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drawings/drawing4.xml" ContentType="application/vnd.openxmlformats-officedocument.drawing+xml"/>
  <Override PartName="/xl/tables/table2.xml" ContentType="application/vnd.openxmlformats-officedocument.spreadsheetml.table+xml"/>
  <Override PartName="/xl/drawings/drawing5.xml" ContentType="application/vnd.openxmlformats-officedocument.drawing+xml"/>
  <Override PartName="/xl/tables/table3.xml" ContentType="application/vnd.openxmlformats-officedocument.spreadsheetml.table+xml"/>
  <Override PartName="/xl/drawings/drawing6.xml" ContentType="application/vnd.openxmlformats-officedocument.drawing+xml"/>
  <Override PartName="/xl/tables/table4.xml" ContentType="application/vnd.openxmlformats-officedocument.spreadsheetml.table+xml"/>
  <Override PartName="/xl/drawings/drawing7.xml" ContentType="application/vnd.openxmlformats-officedocument.drawing+xml"/>
  <Override PartName="/xl/tables/table5.xml" ContentType="application/vnd.openxmlformats-officedocument.spreadsheetml.table+xml"/>
  <Override PartName="/xl/drawings/drawing8.xml" ContentType="application/vnd.openxmlformats-officedocument.drawing+xml"/>
  <Override PartName="/xl/tables/table6.xml" ContentType="application/vnd.openxmlformats-officedocument.spreadsheetml.table+xml"/>
  <Override PartName="/xl/drawings/drawing9.xml" ContentType="application/vnd.openxmlformats-officedocument.drawing+xml"/>
  <Override PartName="/xl/tables/table7.xml" ContentType="application/vnd.openxmlformats-officedocument.spreadsheetml.table+xml"/>
  <Override PartName="/xl/drawings/drawing10.xml" ContentType="application/vnd.openxmlformats-officedocument.drawing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525" windowHeight="8145" tabRatio="898" activeTab="3"/>
  </bookViews>
  <sheets>
    <sheet name="Agence Stats Budget" sheetId="2" r:id="rId1"/>
    <sheet name="Agence Stats Visas" sheetId="3" r:id="rId2"/>
    <sheet name="Paramètres" sheetId="6" r:id="rId3"/>
    <sheet name="Menu" sheetId="38" r:id="rId4"/>
    <sheet name="DELPHINE" sheetId="4" r:id="rId5"/>
    <sheet name="FREDERIQUE" sheetId="31" r:id="rId6"/>
    <sheet name="AURELIE_T" sheetId="32" r:id="rId7"/>
    <sheet name="ERIC" sheetId="34" r:id="rId8"/>
    <sheet name="MARIE_PIERRE" sheetId="33" r:id="rId9"/>
    <sheet name="GUILLAUME" sheetId="35" r:id="rId10"/>
    <sheet name="SEBASTIEN" sheetId="36" r:id="rId11"/>
    <sheet name="AUTRE COMPTABLE" sheetId="37" r:id="rId12"/>
  </sheets>
  <definedNames>
    <definedName name="_xlnm._FilterDatabase" localSheetId="6" hidden="1">AURELIE_T!$B$2:$AI$60</definedName>
    <definedName name="_xlnm._FilterDatabase" localSheetId="11" hidden="1">'AUTRE COMPTABLE'!$B$2:$AI$60</definedName>
    <definedName name="_xlnm._FilterDatabase" localSheetId="4" hidden="1">DELPHINE!$B$2:$AI$60</definedName>
    <definedName name="_xlnm._FilterDatabase" localSheetId="7" hidden="1">ERIC!$B$2:$AI$60</definedName>
    <definedName name="_xlnm._FilterDatabase" localSheetId="5" hidden="1">FREDERIQUE!$B$2:$AI$60</definedName>
    <definedName name="_xlnm._FilterDatabase" localSheetId="9" hidden="1">GUILLAUME!$B$2:$AI$60</definedName>
    <definedName name="_xlnm._FilterDatabase" localSheetId="8" hidden="1">MARIE_PIERRE!$B$2:$AI$60</definedName>
    <definedName name="_xlnm._FilterDatabase" localSheetId="10" hidden="1">SEBASTIEN!$B$2:$AI$60</definedName>
    <definedName name="agoasigneeouinonafairena">Paramètres!$J$22:$J$25</definedName>
    <definedName name="crfaitparlecomptableouinon">Paramètres!$I$22:$I$23</definedName>
    <definedName name="crouinonaterminerafaire">Paramètres!$H$22:$H$25</definedName>
    <definedName name="listedossierdelphine">PORTEFEUILLE_DELPHINE[N° DOSSIER]</definedName>
    <definedName name="N°_DOSSIERDELPHINE">PORTEFEUILLE_DELPHINE[N° DOSSIER]</definedName>
    <definedName name="pcrouinonafaire">Paramètres!$E$22:$E$24</definedName>
    <definedName name="prénomsaac">Paramètres!$J$4:$J$7</definedName>
    <definedName name="prenomscomptables">Paramètres!$L$4:$L$11</definedName>
    <definedName name="prenomsconseillers">Paramètres!$K$4:$K$9</definedName>
    <definedName name="quicomptableconseiller">Paramètres!$G$22:$G$23</definedName>
    <definedName name="ranosouinonafaire">Paramètres!$F$22:$F$24</definedName>
    <definedName name="reconductionouinon">Paramètres!$K$22:$K$23</definedName>
    <definedName name="réponsesouinon">Paramètres!$I$13:$I$14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116" i="37" l="1"/>
  <c r="Q116" i="37"/>
  <c r="P116" i="37"/>
  <c r="O116" i="37"/>
  <c r="N116" i="37"/>
  <c r="M116" i="37"/>
  <c r="L116" i="37"/>
  <c r="K116" i="37"/>
  <c r="J116" i="37"/>
  <c r="I116" i="37"/>
  <c r="H116" i="37"/>
  <c r="G116" i="37"/>
  <c r="F116" i="37"/>
  <c r="E116" i="37"/>
  <c r="R113" i="37"/>
  <c r="Q113" i="37"/>
  <c r="P113" i="37"/>
  <c r="L113" i="37"/>
  <c r="K113" i="37"/>
  <c r="J113" i="37"/>
  <c r="I113" i="37"/>
  <c r="F113" i="37"/>
  <c r="E113" i="37"/>
  <c r="R112" i="37"/>
  <c r="Q112" i="37"/>
  <c r="P112" i="37"/>
  <c r="O112" i="37"/>
  <c r="N112" i="37"/>
  <c r="M112" i="37"/>
  <c r="L112" i="37"/>
  <c r="K112" i="37"/>
  <c r="I112" i="37"/>
  <c r="H112" i="37"/>
  <c r="G112" i="37"/>
  <c r="F112" i="37"/>
  <c r="E112" i="37"/>
  <c r="O111" i="37"/>
  <c r="N111" i="37"/>
  <c r="M111" i="37"/>
  <c r="J111" i="37"/>
  <c r="R110" i="37"/>
  <c r="Q110" i="37"/>
  <c r="P110" i="37"/>
  <c r="O110" i="37"/>
  <c r="N110" i="37"/>
  <c r="M110" i="37"/>
  <c r="L110" i="37"/>
  <c r="K110" i="37"/>
  <c r="J110" i="37"/>
  <c r="I110" i="37"/>
  <c r="H110" i="37"/>
  <c r="G110" i="37"/>
  <c r="F110" i="37"/>
  <c r="E110" i="37"/>
  <c r="R107" i="37"/>
  <c r="R119" i="37" s="1"/>
  <c r="Q107" i="37"/>
  <c r="Q119" i="37" s="1"/>
  <c r="P107" i="37"/>
  <c r="P119" i="37" s="1"/>
  <c r="L107" i="37"/>
  <c r="L119" i="37" s="1"/>
  <c r="K107" i="37"/>
  <c r="K119" i="37" s="1"/>
  <c r="J107" i="37"/>
  <c r="J119" i="37" s="1"/>
  <c r="I107" i="37"/>
  <c r="I119" i="37" s="1"/>
  <c r="H107" i="37"/>
  <c r="F107" i="37"/>
  <c r="F119" i="37" s="1"/>
  <c r="E107" i="37"/>
  <c r="D107" i="37"/>
  <c r="R106" i="37"/>
  <c r="R118" i="37" s="1"/>
  <c r="Q106" i="37"/>
  <c r="Q118" i="37" s="1"/>
  <c r="P106" i="37"/>
  <c r="P118" i="37" s="1"/>
  <c r="O106" i="37"/>
  <c r="O118" i="37" s="1"/>
  <c r="N106" i="37"/>
  <c r="N118" i="37" s="1"/>
  <c r="M106" i="37"/>
  <c r="M118" i="37" s="1"/>
  <c r="L106" i="37"/>
  <c r="L118" i="37" s="1"/>
  <c r="K106" i="37"/>
  <c r="K118" i="37" s="1"/>
  <c r="I106" i="37"/>
  <c r="I118" i="37" s="1"/>
  <c r="H106" i="37"/>
  <c r="H118" i="37" s="1"/>
  <c r="G106" i="37"/>
  <c r="G118" i="37" s="1"/>
  <c r="F106" i="37"/>
  <c r="F118" i="37" s="1"/>
  <c r="E106" i="37"/>
  <c r="D106" i="37"/>
  <c r="P105" i="37"/>
  <c r="O105" i="37"/>
  <c r="O117" i="37" s="1"/>
  <c r="N105" i="37"/>
  <c r="N117" i="37" s="1"/>
  <c r="M105" i="37"/>
  <c r="M117" i="37" s="1"/>
  <c r="L105" i="37"/>
  <c r="L108" i="37" s="1"/>
  <c r="J105" i="37"/>
  <c r="D105" i="37"/>
  <c r="D108" i="37" s="1"/>
  <c r="R104" i="37"/>
  <c r="Q104" i="37"/>
  <c r="P104" i="37"/>
  <c r="O104" i="37"/>
  <c r="N104" i="37"/>
  <c r="M104" i="37"/>
  <c r="L104" i="37"/>
  <c r="K104" i="37"/>
  <c r="J104" i="37"/>
  <c r="I104" i="37"/>
  <c r="H104" i="37"/>
  <c r="G104" i="37"/>
  <c r="F104" i="37"/>
  <c r="E104" i="37"/>
  <c r="R99" i="37"/>
  <c r="Q99" i="37"/>
  <c r="P99" i="37"/>
  <c r="L99" i="37"/>
  <c r="K99" i="37"/>
  <c r="J99" i="37"/>
  <c r="I99" i="37"/>
  <c r="F99" i="37"/>
  <c r="E99" i="37"/>
  <c r="R98" i="37"/>
  <c r="Q98" i="37"/>
  <c r="P98" i="37"/>
  <c r="O98" i="37"/>
  <c r="N98" i="37"/>
  <c r="M98" i="37"/>
  <c r="L98" i="37"/>
  <c r="K98" i="37"/>
  <c r="I98" i="37"/>
  <c r="H98" i="37"/>
  <c r="G98" i="37"/>
  <c r="F98" i="37"/>
  <c r="E98" i="37"/>
  <c r="O97" i="37"/>
  <c r="N97" i="37"/>
  <c r="M97" i="37"/>
  <c r="J97" i="37"/>
  <c r="R96" i="37"/>
  <c r="Q96" i="37"/>
  <c r="P96" i="37"/>
  <c r="O96" i="37"/>
  <c r="N96" i="37"/>
  <c r="M96" i="37"/>
  <c r="L96" i="37"/>
  <c r="K96" i="37"/>
  <c r="J96" i="37"/>
  <c r="I96" i="37"/>
  <c r="H96" i="37"/>
  <c r="G96" i="37"/>
  <c r="F96" i="37"/>
  <c r="E96" i="37"/>
  <c r="O93" i="37"/>
  <c r="O94" i="37" s="1"/>
  <c r="N93" i="37"/>
  <c r="N94" i="37" s="1"/>
  <c r="N100" i="37" s="1"/>
  <c r="M93" i="37"/>
  <c r="M94" i="37" s="1"/>
  <c r="H93" i="37"/>
  <c r="G93" i="37"/>
  <c r="D93" i="37"/>
  <c r="T92" i="37"/>
  <c r="J92" i="37"/>
  <c r="J94" i="37" s="1"/>
  <c r="J100" i="37" s="1"/>
  <c r="D92" i="37"/>
  <c r="R91" i="37"/>
  <c r="R94" i="37" s="1"/>
  <c r="Q91" i="37"/>
  <c r="Q94" i="37" s="1"/>
  <c r="P91" i="37"/>
  <c r="P94" i="37" s="1"/>
  <c r="L91" i="37"/>
  <c r="L94" i="37" s="1"/>
  <c r="K91" i="37"/>
  <c r="K94" i="37" s="1"/>
  <c r="I91" i="37"/>
  <c r="I94" i="37" s="1"/>
  <c r="H91" i="37"/>
  <c r="H94" i="37" s="1"/>
  <c r="G91" i="37"/>
  <c r="G94" i="37" s="1"/>
  <c r="F91" i="37"/>
  <c r="F94" i="37" s="1"/>
  <c r="E91" i="37"/>
  <c r="E94" i="37" s="1"/>
  <c r="D91" i="37"/>
  <c r="D94" i="37" s="1"/>
  <c r="R90" i="37"/>
  <c r="Q90" i="37"/>
  <c r="P90" i="37"/>
  <c r="O90" i="37"/>
  <c r="N90" i="37"/>
  <c r="M90" i="37"/>
  <c r="L90" i="37"/>
  <c r="K90" i="37"/>
  <c r="J90" i="37"/>
  <c r="I90" i="37"/>
  <c r="H90" i="37"/>
  <c r="G90" i="37"/>
  <c r="F90" i="37"/>
  <c r="E90" i="37"/>
  <c r="P88" i="37"/>
  <c r="N88" i="37"/>
  <c r="L88" i="37"/>
  <c r="J88" i="37"/>
  <c r="H88" i="37"/>
  <c r="D88" i="37"/>
  <c r="O87" i="37"/>
  <c r="O88" i="37" s="1"/>
  <c r="O100" i="37" s="1"/>
  <c r="N87" i="37"/>
  <c r="M87" i="37"/>
  <c r="H87" i="37"/>
  <c r="H99" i="37" s="1"/>
  <c r="G87" i="37"/>
  <c r="D87" i="37"/>
  <c r="D99" i="37" s="1"/>
  <c r="T86" i="37"/>
  <c r="J86" i="37"/>
  <c r="D86" i="37"/>
  <c r="D98" i="37" s="1"/>
  <c r="R85" i="37"/>
  <c r="R88" i="37" s="1"/>
  <c r="R100" i="37" s="1"/>
  <c r="Q85" i="37"/>
  <c r="Q97" i="37" s="1"/>
  <c r="P85" i="37"/>
  <c r="P97" i="37" s="1"/>
  <c r="L85" i="37"/>
  <c r="L97" i="37" s="1"/>
  <c r="K85" i="37"/>
  <c r="I85" i="37"/>
  <c r="I97" i="37" s="1"/>
  <c r="H85" i="37"/>
  <c r="H97" i="37" s="1"/>
  <c r="G85" i="37"/>
  <c r="G88" i="37" s="1"/>
  <c r="G100" i="37" s="1"/>
  <c r="F85" i="37"/>
  <c r="F88" i="37" s="1"/>
  <c r="F100" i="37" s="1"/>
  <c r="E85" i="37"/>
  <c r="E97" i="37" s="1"/>
  <c r="D85" i="37"/>
  <c r="D97" i="37" s="1"/>
  <c r="R84" i="37"/>
  <c r="Q84" i="37"/>
  <c r="P84" i="37"/>
  <c r="O84" i="37"/>
  <c r="N84" i="37"/>
  <c r="M84" i="37"/>
  <c r="L84" i="37"/>
  <c r="K84" i="37"/>
  <c r="J84" i="37"/>
  <c r="I84" i="37"/>
  <c r="H84" i="37"/>
  <c r="G84" i="37"/>
  <c r="F84" i="37"/>
  <c r="E84" i="37"/>
  <c r="R80" i="37"/>
  <c r="Q80" i="37"/>
  <c r="P80" i="37"/>
  <c r="L80" i="37"/>
  <c r="K80" i="37"/>
  <c r="J80" i="37"/>
  <c r="I80" i="37"/>
  <c r="H80" i="37"/>
  <c r="F80" i="37"/>
  <c r="E80" i="37"/>
  <c r="R79" i="37"/>
  <c r="Q79" i="37"/>
  <c r="P79" i="37"/>
  <c r="O79" i="37"/>
  <c r="N79" i="37"/>
  <c r="M79" i="37"/>
  <c r="L79" i="37"/>
  <c r="K79" i="37"/>
  <c r="J79" i="37"/>
  <c r="I79" i="37"/>
  <c r="H79" i="37"/>
  <c r="G79" i="37"/>
  <c r="F79" i="37"/>
  <c r="T79" i="37" s="1"/>
  <c r="E79" i="37"/>
  <c r="O78" i="37"/>
  <c r="N78" i="37"/>
  <c r="M78" i="37"/>
  <c r="J78" i="37"/>
  <c r="O74" i="37"/>
  <c r="N74" i="37"/>
  <c r="M74" i="37"/>
  <c r="H74" i="37"/>
  <c r="H113" i="37" s="1"/>
  <c r="H119" i="37" s="1"/>
  <c r="G74" i="37"/>
  <c r="D74" i="37"/>
  <c r="J73" i="37"/>
  <c r="T73" i="37" s="1"/>
  <c r="D73" i="37"/>
  <c r="D112" i="37" s="1"/>
  <c r="D118" i="37" s="1"/>
  <c r="R72" i="37"/>
  <c r="R75" i="37" s="1"/>
  <c r="Q72" i="37"/>
  <c r="P72" i="37"/>
  <c r="P111" i="37" s="1"/>
  <c r="P114" i="37" s="1"/>
  <c r="L72" i="37"/>
  <c r="K72" i="37"/>
  <c r="I72" i="37"/>
  <c r="H72" i="37"/>
  <c r="H111" i="37" s="1"/>
  <c r="H114" i="37" s="1"/>
  <c r="G72" i="37"/>
  <c r="F72" i="37"/>
  <c r="E72" i="37"/>
  <c r="D72" i="37"/>
  <c r="D111" i="37" s="1"/>
  <c r="D117" i="37" s="1"/>
  <c r="R71" i="37"/>
  <c r="Q71" i="37"/>
  <c r="P71" i="37"/>
  <c r="O71" i="37"/>
  <c r="N71" i="37"/>
  <c r="M71" i="37"/>
  <c r="L71" i="37"/>
  <c r="K71" i="37"/>
  <c r="J71" i="37"/>
  <c r="I71" i="37"/>
  <c r="H71" i="37"/>
  <c r="G71" i="37"/>
  <c r="F71" i="37"/>
  <c r="E71" i="37"/>
  <c r="P69" i="37"/>
  <c r="N69" i="37"/>
  <c r="L69" i="37"/>
  <c r="J69" i="37"/>
  <c r="H69" i="37"/>
  <c r="F69" i="37"/>
  <c r="O68" i="37"/>
  <c r="N68" i="37"/>
  <c r="N107" i="37" s="1"/>
  <c r="M68" i="37"/>
  <c r="H68" i="37"/>
  <c r="G68" i="37"/>
  <c r="D68" i="37"/>
  <c r="T67" i="37"/>
  <c r="J67" i="37"/>
  <c r="J106" i="37" s="1"/>
  <c r="D67" i="37"/>
  <c r="D79" i="37" s="1"/>
  <c r="R66" i="37"/>
  <c r="Q66" i="37"/>
  <c r="Q105" i="37" s="1"/>
  <c r="P66" i="37"/>
  <c r="L66" i="37"/>
  <c r="K66" i="37"/>
  <c r="I66" i="37"/>
  <c r="I105" i="37" s="1"/>
  <c r="H66" i="37"/>
  <c r="H78" i="37" s="1"/>
  <c r="G66" i="37"/>
  <c r="G105" i="37" s="1"/>
  <c r="F66" i="37"/>
  <c r="F105" i="37" s="1"/>
  <c r="E66" i="37"/>
  <c r="E105" i="37" s="1"/>
  <c r="D66" i="37"/>
  <c r="D69" i="37" s="1"/>
  <c r="AU60" i="37"/>
  <c r="AW60" i="37" s="1"/>
  <c r="AT60" i="37"/>
  <c r="AV60" i="37" s="1"/>
  <c r="AQ60" i="37"/>
  <c r="AS60" i="37" s="1"/>
  <c r="AP60" i="37"/>
  <c r="AR60" i="37" s="1"/>
  <c r="AH60" i="37"/>
  <c r="L60" i="37"/>
  <c r="K60" i="37"/>
  <c r="AU59" i="37"/>
  <c r="AW59" i="37" s="1"/>
  <c r="AT59" i="37"/>
  <c r="AV59" i="37" s="1"/>
  <c r="AQ59" i="37"/>
  <c r="AS59" i="37" s="1"/>
  <c r="AP59" i="37"/>
  <c r="AR59" i="37" s="1"/>
  <c r="AH59" i="37"/>
  <c r="L59" i="37"/>
  <c r="K59" i="37"/>
  <c r="AU58" i="37"/>
  <c r="AW58" i="37" s="1"/>
  <c r="AT58" i="37"/>
  <c r="AV58" i="37" s="1"/>
  <c r="AS58" i="37"/>
  <c r="AQ58" i="37"/>
  <c r="AP58" i="37"/>
  <c r="AR58" i="37" s="1"/>
  <c r="AH58" i="37"/>
  <c r="L58" i="37"/>
  <c r="K58" i="37"/>
  <c r="AV57" i="37"/>
  <c r="AU57" i="37"/>
  <c r="AW57" i="37" s="1"/>
  <c r="AT57" i="37"/>
  <c r="AR57" i="37"/>
  <c r="AQ57" i="37"/>
  <c r="AS57" i="37" s="1"/>
  <c r="AP57" i="37"/>
  <c r="AH57" i="37"/>
  <c r="L57" i="37"/>
  <c r="K57" i="37"/>
  <c r="AU56" i="37"/>
  <c r="AW56" i="37" s="1"/>
  <c r="AT56" i="37"/>
  <c r="AV56" i="37" s="1"/>
  <c r="AQ56" i="37"/>
  <c r="AS56" i="37" s="1"/>
  <c r="AP56" i="37"/>
  <c r="AR56" i="37" s="1"/>
  <c r="AH56" i="37"/>
  <c r="L56" i="37"/>
  <c r="K56" i="37"/>
  <c r="AU55" i="37"/>
  <c r="AW55" i="37" s="1"/>
  <c r="AT55" i="37"/>
  <c r="AV55" i="37" s="1"/>
  <c r="AQ55" i="37"/>
  <c r="AS55" i="37" s="1"/>
  <c r="AP55" i="37"/>
  <c r="AR55" i="37" s="1"/>
  <c r="AH55" i="37"/>
  <c r="L55" i="37"/>
  <c r="K55" i="37"/>
  <c r="AU54" i="37"/>
  <c r="AW54" i="37" s="1"/>
  <c r="AT54" i="37"/>
  <c r="AV54" i="37" s="1"/>
  <c r="AQ54" i="37"/>
  <c r="AS54" i="37" s="1"/>
  <c r="AP54" i="37"/>
  <c r="AR54" i="37" s="1"/>
  <c r="AH54" i="37"/>
  <c r="L54" i="37"/>
  <c r="K54" i="37"/>
  <c r="AW53" i="37"/>
  <c r="AU53" i="37"/>
  <c r="AT53" i="37"/>
  <c r="AV53" i="37" s="1"/>
  <c r="AS53" i="37"/>
  <c r="AQ53" i="37"/>
  <c r="AP53" i="37"/>
  <c r="AR53" i="37" s="1"/>
  <c r="AH53" i="37"/>
  <c r="L53" i="37"/>
  <c r="K53" i="37"/>
  <c r="AU52" i="37"/>
  <c r="AW52" i="37" s="1"/>
  <c r="AT52" i="37"/>
  <c r="AV52" i="37" s="1"/>
  <c r="AQ52" i="37"/>
  <c r="AS52" i="37" s="1"/>
  <c r="AP52" i="37"/>
  <c r="AR52" i="37" s="1"/>
  <c r="AH52" i="37"/>
  <c r="L52" i="37"/>
  <c r="K52" i="37"/>
  <c r="AU51" i="37"/>
  <c r="AW51" i="37" s="1"/>
  <c r="AT51" i="37"/>
  <c r="AV51" i="37" s="1"/>
  <c r="AR51" i="37"/>
  <c r="AQ51" i="37"/>
  <c r="AS51" i="37" s="1"/>
  <c r="AP51" i="37"/>
  <c r="AH51" i="37"/>
  <c r="L51" i="37"/>
  <c r="K51" i="37"/>
  <c r="AU50" i="37"/>
  <c r="AW50" i="37" s="1"/>
  <c r="AT50" i="37"/>
  <c r="AV50" i="37" s="1"/>
  <c r="AQ50" i="37"/>
  <c r="AS50" i="37" s="1"/>
  <c r="AP50" i="37"/>
  <c r="AR50" i="37" s="1"/>
  <c r="AH50" i="37"/>
  <c r="L50" i="37"/>
  <c r="K50" i="37"/>
  <c r="AU49" i="37"/>
  <c r="AW49" i="37" s="1"/>
  <c r="AT49" i="37"/>
  <c r="AV49" i="37" s="1"/>
  <c r="AS49" i="37"/>
  <c r="AQ49" i="37"/>
  <c r="AP49" i="37"/>
  <c r="AR49" i="37" s="1"/>
  <c r="AH49" i="37"/>
  <c r="L49" i="37"/>
  <c r="K49" i="37"/>
  <c r="AV48" i="37"/>
  <c r="AU48" i="37"/>
  <c r="AW48" i="37" s="1"/>
  <c r="AT48" i="37"/>
  <c r="AR48" i="37"/>
  <c r="AQ48" i="37"/>
  <c r="AS48" i="37" s="1"/>
  <c r="AP48" i="37"/>
  <c r="AH48" i="37"/>
  <c r="L48" i="37"/>
  <c r="K48" i="37"/>
  <c r="AU47" i="37"/>
  <c r="AW47" i="37" s="1"/>
  <c r="AT47" i="37"/>
  <c r="AV47" i="37" s="1"/>
  <c r="AR47" i="37"/>
  <c r="AQ47" i="37"/>
  <c r="AS47" i="37" s="1"/>
  <c r="AP47" i="37"/>
  <c r="AH47" i="37"/>
  <c r="L47" i="37"/>
  <c r="K47" i="37"/>
  <c r="AU46" i="37"/>
  <c r="AW46" i="37" s="1"/>
  <c r="AT46" i="37"/>
  <c r="AV46" i="37" s="1"/>
  <c r="AQ46" i="37"/>
  <c r="AS46" i="37" s="1"/>
  <c r="AP46" i="37"/>
  <c r="AR46" i="37" s="1"/>
  <c r="AH46" i="37"/>
  <c r="L46" i="37"/>
  <c r="K46" i="37"/>
  <c r="AU45" i="37"/>
  <c r="AW45" i="37" s="1"/>
  <c r="AT45" i="37"/>
  <c r="AV45" i="37" s="1"/>
  <c r="AS45" i="37"/>
  <c r="AQ45" i="37"/>
  <c r="AP45" i="37"/>
  <c r="AR45" i="37" s="1"/>
  <c r="AH45" i="37"/>
  <c r="L45" i="37"/>
  <c r="K45" i="37"/>
  <c r="AV44" i="37"/>
  <c r="AU44" i="37"/>
  <c r="AW44" i="37" s="1"/>
  <c r="AT44" i="37"/>
  <c r="AR44" i="37"/>
  <c r="AQ44" i="37"/>
  <c r="AS44" i="37" s="1"/>
  <c r="AP44" i="37"/>
  <c r="AH44" i="37"/>
  <c r="L44" i="37"/>
  <c r="K44" i="37"/>
  <c r="AU43" i="37"/>
  <c r="AW43" i="37" s="1"/>
  <c r="AT43" i="37"/>
  <c r="AV43" i="37" s="1"/>
  <c r="AR43" i="37"/>
  <c r="AQ43" i="37"/>
  <c r="AS43" i="37" s="1"/>
  <c r="AP43" i="37"/>
  <c r="AH43" i="37"/>
  <c r="L43" i="37"/>
  <c r="K43" i="37"/>
  <c r="AU42" i="37"/>
  <c r="AW42" i="37" s="1"/>
  <c r="AT42" i="37"/>
  <c r="AV42" i="37" s="1"/>
  <c r="AQ42" i="37"/>
  <c r="AS42" i="37" s="1"/>
  <c r="AP42" i="37"/>
  <c r="AR42" i="37" s="1"/>
  <c r="AH42" i="37"/>
  <c r="L42" i="37"/>
  <c r="K42" i="37"/>
  <c r="AU41" i="37"/>
  <c r="AW41" i="37" s="1"/>
  <c r="AT41" i="37"/>
  <c r="AV41" i="37" s="1"/>
  <c r="AS41" i="37"/>
  <c r="AQ41" i="37"/>
  <c r="AP41" i="37"/>
  <c r="AR41" i="37" s="1"/>
  <c r="AH41" i="37"/>
  <c r="L41" i="37"/>
  <c r="K41" i="37"/>
  <c r="AV40" i="37"/>
  <c r="AU40" i="37"/>
  <c r="AW40" i="37" s="1"/>
  <c r="AT40" i="37"/>
  <c r="AR40" i="37"/>
  <c r="AQ40" i="37"/>
  <c r="AS40" i="37" s="1"/>
  <c r="AP40" i="37"/>
  <c r="AH40" i="37"/>
  <c r="L40" i="37"/>
  <c r="K40" i="37"/>
  <c r="AU39" i="37"/>
  <c r="AW39" i="37" s="1"/>
  <c r="AT39" i="37"/>
  <c r="AV39" i="37" s="1"/>
  <c r="AR39" i="37"/>
  <c r="AQ39" i="37"/>
  <c r="AS39" i="37" s="1"/>
  <c r="AP39" i="37"/>
  <c r="AH39" i="37"/>
  <c r="L39" i="37"/>
  <c r="K39" i="37"/>
  <c r="AU38" i="37"/>
  <c r="AW38" i="37" s="1"/>
  <c r="AT38" i="37"/>
  <c r="AV38" i="37" s="1"/>
  <c r="AQ38" i="37"/>
  <c r="AS38" i="37" s="1"/>
  <c r="AP38" i="37"/>
  <c r="AR38" i="37" s="1"/>
  <c r="AH38" i="37"/>
  <c r="L38" i="37"/>
  <c r="K38" i="37"/>
  <c r="AU37" i="37"/>
  <c r="AW37" i="37" s="1"/>
  <c r="AT37" i="37"/>
  <c r="AV37" i="37" s="1"/>
  <c r="AS37" i="37"/>
  <c r="AQ37" i="37"/>
  <c r="AP37" i="37"/>
  <c r="AR37" i="37" s="1"/>
  <c r="AH37" i="37"/>
  <c r="L37" i="37"/>
  <c r="K37" i="37"/>
  <c r="AV36" i="37"/>
  <c r="AU36" i="37"/>
  <c r="AW36" i="37" s="1"/>
  <c r="AT36" i="37"/>
  <c r="AR36" i="37"/>
  <c r="AQ36" i="37"/>
  <c r="AS36" i="37" s="1"/>
  <c r="AP36" i="37"/>
  <c r="AH36" i="37"/>
  <c r="L36" i="37"/>
  <c r="K36" i="37"/>
  <c r="AU35" i="37"/>
  <c r="AW35" i="37" s="1"/>
  <c r="AT35" i="37"/>
  <c r="AV35" i="37" s="1"/>
  <c r="AR35" i="37"/>
  <c r="AQ35" i="37"/>
  <c r="AS35" i="37" s="1"/>
  <c r="AP35" i="37"/>
  <c r="AH35" i="37"/>
  <c r="L35" i="37"/>
  <c r="K35" i="37"/>
  <c r="AU34" i="37"/>
  <c r="AW34" i="37" s="1"/>
  <c r="AT34" i="37"/>
  <c r="AV34" i="37" s="1"/>
  <c r="AQ34" i="37"/>
  <c r="AS34" i="37" s="1"/>
  <c r="AP34" i="37"/>
  <c r="AR34" i="37" s="1"/>
  <c r="AH34" i="37"/>
  <c r="L34" i="37"/>
  <c r="K34" i="37"/>
  <c r="AU33" i="37"/>
  <c r="AW33" i="37" s="1"/>
  <c r="AT33" i="37"/>
  <c r="AV33" i="37" s="1"/>
  <c r="AS33" i="37"/>
  <c r="AQ33" i="37"/>
  <c r="AP33" i="37"/>
  <c r="AR33" i="37" s="1"/>
  <c r="AH33" i="37"/>
  <c r="L33" i="37"/>
  <c r="K33" i="37"/>
  <c r="AV32" i="37"/>
  <c r="AU32" i="37"/>
  <c r="AW32" i="37" s="1"/>
  <c r="AT32" i="37"/>
  <c r="AR32" i="37"/>
  <c r="AQ32" i="37"/>
  <c r="AS32" i="37" s="1"/>
  <c r="AP32" i="37"/>
  <c r="AH32" i="37"/>
  <c r="L32" i="37"/>
  <c r="K32" i="37"/>
  <c r="AU31" i="37"/>
  <c r="AW31" i="37" s="1"/>
  <c r="AT31" i="37"/>
  <c r="AV31" i="37" s="1"/>
  <c r="AR31" i="37"/>
  <c r="AQ31" i="37"/>
  <c r="AS31" i="37" s="1"/>
  <c r="AP31" i="37"/>
  <c r="AH31" i="37"/>
  <c r="L31" i="37"/>
  <c r="K31" i="37"/>
  <c r="AU30" i="37"/>
  <c r="AW30" i="37" s="1"/>
  <c r="AT30" i="37"/>
  <c r="AV30" i="37" s="1"/>
  <c r="AQ30" i="37"/>
  <c r="AS30" i="37" s="1"/>
  <c r="AP30" i="37"/>
  <c r="AR30" i="37" s="1"/>
  <c r="AH30" i="37"/>
  <c r="L30" i="37"/>
  <c r="K30" i="37"/>
  <c r="AU29" i="37"/>
  <c r="AW29" i="37" s="1"/>
  <c r="AT29" i="37"/>
  <c r="AV29" i="37" s="1"/>
  <c r="AS29" i="37"/>
  <c r="AQ29" i="37"/>
  <c r="AP29" i="37"/>
  <c r="AR29" i="37" s="1"/>
  <c r="AH29" i="37"/>
  <c r="L29" i="37"/>
  <c r="K29" i="37"/>
  <c r="AV28" i="37"/>
  <c r="AU28" i="37"/>
  <c r="AW28" i="37" s="1"/>
  <c r="AT28" i="37"/>
  <c r="AR28" i="37"/>
  <c r="AQ28" i="37"/>
  <c r="AS28" i="37" s="1"/>
  <c r="AP28" i="37"/>
  <c r="AH28" i="37"/>
  <c r="L28" i="37"/>
  <c r="K28" i="37"/>
  <c r="AU27" i="37"/>
  <c r="AW27" i="37" s="1"/>
  <c r="AT27" i="37"/>
  <c r="AV27" i="37" s="1"/>
  <c r="AR27" i="37"/>
  <c r="AQ27" i="37"/>
  <c r="AS27" i="37" s="1"/>
  <c r="AP27" i="37"/>
  <c r="AH27" i="37"/>
  <c r="L27" i="37"/>
  <c r="K27" i="37"/>
  <c r="AU26" i="37"/>
  <c r="AW26" i="37" s="1"/>
  <c r="AT26" i="37"/>
  <c r="AV26" i="37" s="1"/>
  <c r="AQ26" i="37"/>
  <c r="AS26" i="37" s="1"/>
  <c r="AP26" i="37"/>
  <c r="AR26" i="37" s="1"/>
  <c r="AH26" i="37"/>
  <c r="L26" i="37"/>
  <c r="K26" i="37"/>
  <c r="AU25" i="37"/>
  <c r="AW25" i="37" s="1"/>
  <c r="AT25" i="37"/>
  <c r="AV25" i="37" s="1"/>
  <c r="AS25" i="37"/>
  <c r="AQ25" i="37"/>
  <c r="AP25" i="37"/>
  <c r="AR25" i="37" s="1"/>
  <c r="AH25" i="37"/>
  <c r="L25" i="37"/>
  <c r="K25" i="37"/>
  <c r="AV24" i="37"/>
  <c r="AU24" i="37"/>
  <c r="AW24" i="37" s="1"/>
  <c r="AT24" i="37"/>
  <c r="AR24" i="37"/>
  <c r="AQ24" i="37"/>
  <c r="AS24" i="37" s="1"/>
  <c r="AP24" i="37"/>
  <c r="AH24" i="37"/>
  <c r="L24" i="37"/>
  <c r="K24" i="37"/>
  <c r="AU23" i="37"/>
  <c r="AW23" i="37" s="1"/>
  <c r="AT23" i="37"/>
  <c r="AV23" i="37" s="1"/>
  <c r="AR23" i="37"/>
  <c r="AQ23" i="37"/>
  <c r="AS23" i="37" s="1"/>
  <c r="AP23" i="37"/>
  <c r="AH23" i="37"/>
  <c r="L23" i="37"/>
  <c r="K23" i="37"/>
  <c r="AU22" i="37"/>
  <c r="AW22" i="37" s="1"/>
  <c r="AT22" i="37"/>
  <c r="AV22" i="37" s="1"/>
  <c r="AQ22" i="37"/>
  <c r="AS22" i="37" s="1"/>
  <c r="AP22" i="37"/>
  <c r="AR22" i="37" s="1"/>
  <c r="AH22" i="37"/>
  <c r="L22" i="37"/>
  <c r="K22" i="37"/>
  <c r="AU21" i="37"/>
  <c r="AW21" i="37" s="1"/>
  <c r="AT21" i="37"/>
  <c r="AV21" i="37" s="1"/>
  <c r="AS21" i="37"/>
  <c r="AQ21" i="37"/>
  <c r="AP21" i="37"/>
  <c r="AR21" i="37" s="1"/>
  <c r="AH21" i="37"/>
  <c r="L21" i="37"/>
  <c r="K21" i="37"/>
  <c r="AV20" i="37"/>
  <c r="AU20" i="37"/>
  <c r="AW20" i="37" s="1"/>
  <c r="AT20" i="37"/>
  <c r="AR20" i="37"/>
  <c r="AQ20" i="37"/>
  <c r="AS20" i="37" s="1"/>
  <c r="AP20" i="37"/>
  <c r="AH20" i="37"/>
  <c r="L20" i="37"/>
  <c r="K20" i="37"/>
  <c r="AU19" i="37"/>
  <c r="AW19" i="37" s="1"/>
  <c r="AT19" i="37"/>
  <c r="AV19" i="37" s="1"/>
  <c r="AR19" i="37"/>
  <c r="AQ19" i="37"/>
  <c r="AS19" i="37" s="1"/>
  <c r="AP19" i="37"/>
  <c r="AH19" i="37"/>
  <c r="L19" i="37"/>
  <c r="K19" i="37"/>
  <c r="AU18" i="37"/>
  <c r="AW18" i="37" s="1"/>
  <c r="AT18" i="37"/>
  <c r="AV18" i="37" s="1"/>
  <c r="AQ18" i="37"/>
  <c r="AS18" i="37" s="1"/>
  <c r="AP18" i="37"/>
  <c r="AR18" i="37" s="1"/>
  <c r="AH18" i="37"/>
  <c r="L18" i="37"/>
  <c r="K18" i="37"/>
  <c r="AU17" i="37"/>
  <c r="AW17" i="37" s="1"/>
  <c r="AT17" i="37"/>
  <c r="AV17" i="37" s="1"/>
  <c r="AS17" i="37"/>
  <c r="AQ17" i="37"/>
  <c r="AP17" i="37"/>
  <c r="AR17" i="37" s="1"/>
  <c r="AH17" i="37"/>
  <c r="L17" i="37"/>
  <c r="K17" i="37"/>
  <c r="AV16" i="37"/>
  <c r="AU16" i="37"/>
  <c r="AW16" i="37" s="1"/>
  <c r="AT16" i="37"/>
  <c r="AR16" i="37"/>
  <c r="AQ16" i="37"/>
  <c r="AS16" i="37" s="1"/>
  <c r="AP16" i="37"/>
  <c r="AH16" i="37"/>
  <c r="L16" i="37"/>
  <c r="K16" i="37"/>
  <c r="AU15" i="37"/>
  <c r="AW15" i="37" s="1"/>
  <c r="AT15" i="37"/>
  <c r="AV15" i="37" s="1"/>
  <c r="AR15" i="37"/>
  <c r="AQ15" i="37"/>
  <c r="AS15" i="37" s="1"/>
  <c r="AP15" i="37"/>
  <c r="AH15" i="37"/>
  <c r="L15" i="37"/>
  <c r="K15" i="37"/>
  <c r="AU14" i="37"/>
  <c r="AW14" i="37" s="1"/>
  <c r="AT14" i="37"/>
  <c r="AV14" i="37" s="1"/>
  <c r="AQ14" i="37"/>
  <c r="AS14" i="37" s="1"/>
  <c r="AP14" i="37"/>
  <c r="AR14" i="37" s="1"/>
  <c r="AH14" i="37"/>
  <c r="L14" i="37"/>
  <c r="K14" i="37"/>
  <c r="AU13" i="37"/>
  <c r="AW13" i="37" s="1"/>
  <c r="AT13" i="37"/>
  <c r="AV13" i="37" s="1"/>
  <c r="AS13" i="37"/>
  <c r="AQ13" i="37"/>
  <c r="AP13" i="37"/>
  <c r="AR13" i="37" s="1"/>
  <c r="AH13" i="37"/>
  <c r="L13" i="37"/>
  <c r="K13" i="37"/>
  <c r="AV12" i="37"/>
  <c r="AU12" i="37"/>
  <c r="AW12" i="37" s="1"/>
  <c r="AT12" i="37"/>
  <c r="AR12" i="37"/>
  <c r="AQ12" i="37"/>
  <c r="AS12" i="37" s="1"/>
  <c r="AP12" i="37"/>
  <c r="AH12" i="37"/>
  <c r="L12" i="37"/>
  <c r="K12" i="37"/>
  <c r="AU11" i="37"/>
  <c r="AW11" i="37" s="1"/>
  <c r="AT11" i="37"/>
  <c r="AV11" i="37" s="1"/>
  <c r="AR11" i="37"/>
  <c r="AQ11" i="37"/>
  <c r="AS11" i="37" s="1"/>
  <c r="AP11" i="37"/>
  <c r="AH11" i="37"/>
  <c r="L11" i="37"/>
  <c r="K11" i="37"/>
  <c r="AU10" i="37"/>
  <c r="AW10" i="37" s="1"/>
  <c r="AT10" i="37"/>
  <c r="AV10" i="37" s="1"/>
  <c r="AQ10" i="37"/>
  <c r="AS10" i="37" s="1"/>
  <c r="AP10" i="37"/>
  <c r="AR10" i="37" s="1"/>
  <c r="AH10" i="37"/>
  <c r="L10" i="37"/>
  <c r="K10" i="37"/>
  <c r="AU9" i="37"/>
  <c r="AW9" i="37" s="1"/>
  <c r="AT9" i="37"/>
  <c r="AV9" i="37" s="1"/>
  <c r="AS9" i="37"/>
  <c r="AQ9" i="37"/>
  <c r="AP9" i="37"/>
  <c r="AR9" i="37" s="1"/>
  <c r="AH9" i="37"/>
  <c r="L9" i="37"/>
  <c r="K9" i="37"/>
  <c r="AV8" i="37"/>
  <c r="AU8" i="37"/>
  <c r="AW8" i="37" s="1"/>
  <c r="AT8" i="37"/>
  <c r="AR8" i="37"/>
  <c r="AQ8" i="37"/>
  <c r="AS8" i="37" s="1"/>
  <c r="AP8" i="37"/>
  <c r="AH8" i="37"/>
  <c r="L8" i="37"/>
  <c r="K8" i="37"/>
  <c r="AU7" i="37"/>
  <c r="AW7" i="37" s="1"/>
  <c r="AT7" i="37"/>
  <c r="AV7" i="37" s="1"/>
  <c r="AR7" i="37"/>
  <c r="AQ7" i="37"/>
  <c r="AS7" i="37" s="1"/>
  <c r="AP7" i="37"/>
  <c r="AH7" i="37"/>
  <c r="L7" i="37"/>
  <c r="K7" i="37"/>
  <c r="AU6" i="37"/>
  <c r="AW6" i="37" s="1"/>
  <c r="AT6" i="37"/>
  <c r="AV6" i="37" s="1"/>
  <c r="AQ6" i="37"/>
  <c r="AS6" i="37" s="1"/>
  <c r="AP6" i="37"/>
  <c r="AR6" i="37" s="1"/>
  <c r="AH6" i="37"/>
  <c r="L6" i="37"/>
  <c r="K6" i="37"/>
  <c r="AU5" i="37"/>
  <c r="AW5" i="37" s="1"/>
  <c r="AT5" i="37"/>
  <c r="AV5" i="37" s="1"/>
  <c r="AS5" i="37"/>
  <c r="AQ5" i="37"/>
  <c r="AP5" i="37"/>
  <c r="AR5" i="37" s="1"/>
  <c r="AH5" i="37"/>
  <c r="L5" i="37"/>
  <c r="K5" i="37"/>
  <c r="AV4" i="37"/>
  <c r="AU4" i="37"/>
  <c r="AW4" i="37" s="1"/>
  <c r="AT4" i="37"/>
  <c r="AR4" i="37"/>
  <c r="AQ4" i="37"/>
  <c r="AS4" i="37" s="1"/>
  <c r="AP4" i="37"/>
  <c r="AH4" i="37"/>
  <c r="L4" i="37"/>
  <c r="K4" i="37"/>
  <c r="AU3" i="37"/>
  <c r="AW3" i="37" s="1"/>
  <c r="AT3" i="37"/>
  <c r="AV3" i="37" s="1"/>
  <c r="AR3" i="37"/>
  <c r="AQ3" i="37"/>
  <c r="AS3" i="37" s="1"/>
  <c r="AP3" i="37"/>
  <c r="AH3" i="37"/>
  <c r="L3" i="37"/>
  <c r="K3" i="37"/>
  <c r="R116" i="36"/>
  <c r="Q116" i="36"/>
  <c r="P116" i="36"/>
  <c r="O116" i="36"/>
  <c r="N116" i="36"/>
  <c r="M116" i="36"/>
  <c r="L116" i="36"/>
  <c r="K116" i="36"/>
  <c r="J116" i="36"/>
  <c r="I116" i="36"/>
  <c r="H116" i="36"/>
  <c r="G116" i="36"/>
  <c r="F116" i="36"/>
  <c r="E116" i="36"/>
  <c r="R113" i="36"/>
  <c r="Q113" i="36"/>
  <c r="P113" i="36"/>
  <c r="O113" i="36"/>
  <c r="L113" i="36"/>
  <c r="K113" i="36"/>
  <c r="J113" i="36"/>
  <c r="I113" i="36"/>
  <c r="F113" i="36"/>
  <c r="E113" i="36"/>
  <c r="R112" i="36"/>
  <c r="Q112" i="36"/>
  <c r="P112" i="36"/>
  <c r="O112" i="36"/>
  <c r="N112" i="36"/>
  <c r="M112" i="36"/>
  <c r="L112" i="36"/>
  <c r="K112" i="36"/>
  <c r="I112" i="36"/>
  <c r="H112" i="36"/>
  <c r="G112" i="36"/>
  <c r="F112" i="36"/>
  <c r="E112" i="36"/>
  <c r="O111" i="36"/>
  <c r="N111" i="36"/>
  <c r="M111" i="36"/>
  <c r="M114" i="36" s="1"/>
  <c r="J111" i="36"/>
  <c r="R110" i="36"/>
  <c r="Q110" i="36"/>
  <c r="P110" i="36"/>
  <c r="O110" i="36"/>
  <c r="N110" i="36"/>
  <c r="M110" i="36"/>
  <c r="L110" i="36"/>
  <c r="K110" i="36"/>
  <c r="J110" i="36"/>
  <c r="I110" i="36"/>
  <c r="H110" i="36"/>
  <c r="G110" i="36"/>
  <c r="F110" i="36"/>
  <c r="E110" i="36"/>
  <c r="R107" i="36"/>
  <c r="R119" i="36" s="1"/>
  <c r="Q107" i="36"/>
  <c r="Q119" i="36" s="1"/>
  <c r="P107" i="36"/>
  <c r="P119" i="36" s="1"/>
  <c r="L107" i="36"/>
  <c r="L119" i="36" s="1"/>
  <c r="K107" i="36"/>
  <c r="K119" i="36" s="1"/>
  <c r="J107" i="36"/>
  <c r="J119" i="36" s="1"/>
  <c r="I107" i="36"/>
  <c r="I119" i="36" s="1"/>
  <c r="H107" i="36"/>
  <c r="F107" i="36"/>
  <c r="F119" i="36" s="1"/>
  <c r="E107" i="36"/>
  <c r="R106" i="36"/>
  <c r="R118" i="36" s="1"/>
  <c r="Q106" i="36"/>
  <c r="Q118" i="36" s="1"/>
  <c r="P106" i="36"/>
  <c r="P118" i="36" s="1"/>
  <c r="O106" i="36"/>
  <c r="O118" i="36" s="1"/>
  <c r="N106" i="36"/>
  <c r="N118" i="36" s="1"/>
  <c r="M106" i="36"/>
  <c r="M118" i="36" s="1"/>
  <c r="L106" i="36"/>
  <c r="L118" i="36" s="1"/>
  <c r="K106" i="36"/>
  <c r="K118" i="36" s="1"/>
  <c r="I106" i="36"/>
  <c r="I118" i="36" s="1"/>
  <c r="H106" i="36"/>
  <c r="H118" i="36" s="1"/>
  <c r="G106" i="36"/>
  <c r="G118" i="36" s="1"/>
  <c r="F106" i="36"/>
  <c r="F118" i="36" s="1"/>
  <c r="E106" i="36"/>
  <c r="T106" i="36" s="1"/>
  <c r="D106" i="36"/>
  <c r="Q105" i="36"/>
  <c r="P105" i="36"/>
  <c r="O105" i="36"/>
  <c r="O117" i="36" s="1"/>
  <c r="N105" i="36"/>
  <c r="N117" i="36" s="1"/>
  <c r="M105" i="36"/>
  <c r="M117" i="36" s="1"/>
  <c r="J105" i="36"/>
  <c r="J117" i="36" s="1"/>
  <c r="I105" i="36"/>
  <c r="H105" i="36"/>
  <c r="E105" i="36"/>
  <c r="D105" i="36"/>
  <c r="R104" i="36"/>
  <c r="Q104" i="36"/>
  <c r="P104" i="36"/>
  <c r="O104" i="36"/>
  <c r="N104" i="36"/>
  <c r="M104" i="36"/>
  <c r="L104" i="36"/>
  <c r="K104" i="36"/>
  <c r="J104" i="36"/>
  <c r="I104" i="36"/>
  <c r="H104" i="36"/>
  <c r="G104" i="36"/>
  <c r="F104" i="36"/>
  <c r="E104" i="36"/>
  <c r="R99" i="36"/>
  <c r="Q99" i="36"/>
  <c r="P99" i="36"/>
  <c r="O99" i="36"/>
  <c r="L99" i="36"/>
  <c r="K99" i="36"/>
  <c r="J99" i="36"/>
  <c r="I99" i="36"/>
  <c r="G99" i="36"/>
  <c r="F99" i="36"/>
  <c r="E99" i="36"/>
  <c r="R98" i="36"/>
  <c r="Q98" i="36"/>
  <c r="P98" i="36"/>
  <c r="O98" i="36"/>
  <c r="N98" i="36"/>
  <c r="M98" i="36"/>
  <c r="L98" i="36"/>
  <c r="K98" i="36"/>
  <c r="I98" i="36"/>
  <c r="H98" i="36"/>
  <c r="G98" i="36"/>
  <c r="F98" i="36"/>
  <c r="E98" i="36"/>
  <c r="O97" i="36"/>
  <c r="N97" i="36"/>
  <c r="M97" i="36"/>
  <c r="J97" i="36"/>
  <c r="R96" i="36"/>
  <c r="Q96" i="36"/>
  <c r="P96" i="36"/>
  <c r="O96" i="36"/>
  <c r="N96" i="36"/>
  <c r="M96" i="36"/>
  <c r="L96" i="36"/>
  <c r="K96" i="36"/>
  <c r="J96" i="36"/>
  <c r="I96" i="36"/>
  <c r="H96" i="36"/>
  <c r="G96" i="36"/>
  <c r="F96" i="36"/>
  <c r="E96" i="36"/>
  <c r="Q94" i="36"/>
  <c r="E94" i="36"/>
  <c r="O93" i="36"/>
  <c r="O94" i="36" s="1"/>
  <c r="N93" i="36"/>
  <c r="N94" i="36" s="1"/>
  <c r="M93" i="36"/>
  <c r="M94" i="36" s="1"/>
  <c r="H93" i="36"/>
  <c r="G93" i="36"/>
  <c r="D93" i="36"/>
  <c r="J92" i="36"/>
  <c r="D92" i="36"/>
  <c r="R91" i="36"/>
  <c r="R94" i="36" s="1"/>
  <c r="Q91" i="36"/>
  <c r="P91" i="36"/>
  <c r="P94" i="36" s="1"/>
  <c r="L91" i="36"/>
  <c r="L94" i="36" s="1"/>
  <c r="K91" i="36"/>
  <c r="K94" i="36" s="1"/>
  <c r="I91" i="36"/>
  <c r="I94" i="36" s="1"/>
  <c r="H91" i="36"/>
  <c r="G91" i="36"/>
  <c r="G94" i="36" s="1"/>
  <c r="F91" i="36"/>
  <c r="F94" i="36" s="1"/>
  <c r="E91" i="36"/>
  <c r="D91" i="36"/>
  <c r="R90" i="36"/>
  <c r="Q90" i="36"/>
  <c r="P90" i="36"/>
  <c r="O90" i="36"/>
  <c r="N90" i="36"/>
  <c r="M90" i="36"/>
  <c r="L90" i="36"/>
  <c r="K90" i="36"/>
  <c r="J90" i="36"/>
  <c r="I90" i="36"/>
  <c r="H90" i="36"/>
  <c r="G90" i="36"/>
  <c r="F90" i="36"/>
  <c r="E90" i="36"/>
  <c r="Q88" i="36"/>
  <c r="P88" i="36"/>
  <c r="I88" i="36"/>
  <c r="I100" i="36" s="1"/>
  <c r="H88" i="36"/>
  <c r="E88" i="36"/>
  <c r="O87" i="36"/>
  <c r="O88" i="36" s="1"/>
  <c r="N87" i="36"/>
  <c r="N88" i="36" s="1"/>
  <c r="N100" i="36" s="1"/>
  <c r="M87" i="36"/>
  <c r="H87" i="36"/>
  <c r="G87" i="36"/>
  <c r="D87" i="36"/>
  <c r="D99" i="36" s="1"/>
  <c r="T86" i="36"/>
  <c r="J86" i="36"/>
  <c r="J88" i="36" s="1"/>
  <c r="D86" i="36"/>
  <c r="R85" i="36"/>
  <c r="R88" i="36" s="1"/>
  <c r="R100" i="36" s="1"/>
  <c r="Q85" i="36"/>
  <c r="P85" i="36"/>
  <c r="L85" i="36"/>
  <c r="K85" i="36"/>
  <c r="I85" i="36"/>
  <c r="H85" i="36"/>
  <c r="G85" i="36"/>
  <c r="F85" i="36"/>
  <c r="F88" i="36" s="1"/>
  <c r="F100" i="36" s="1"/>
  <c r="E85" i="36"/>
  <c r="D85" i="36"/>
  <c r="R84" i="36"/>
  <c r="Q84" i="36"/>
  <c r="P84" i="36"/>
  <c r="O84" i="36"/>
  <c r="N84" i="36"/>
  <c r="M84" i="36"/>
  <c r="L84" i="36"/>
  <c r="K84" i="36"/>
  <c r="J84" i="36"/>
  <c r="I84" i="36"/>
  <c r="H84" i="36"/>
  <c r="G84" i="36"/>
  <c r="F84" i="36"/>
  <c r="E84" i="36"/>
  <c r="R80" i="36"/>
  <c r="Q80" i="36"/>
  <c r="P80" i="36"/>
  <c r="L80" i="36"/>
  <c r="K80" i="36"/>
  <c r="J80" i="36"/>
  <c r="I80" i="36"/>
  <c r="H80" i="36"/>
  <c r="F80" i="36"/>
  <c r="E80" i="36"/>
  <c r="R79" i="36"/>
  <c r="Q79" i="36"/>
  <c r="P79" i="36"/>
  <c r="O79" i="36"/>
  <c r="N79" i="36"/>
  <c r="M79" i="36"/>
  <c r="L79" i="36"/>
  <c r="K79" i="36"/>
  <c r="I79" i="36"/>
  <c r="H79" i="36"/>
  <c r="G79" i="36"/>
  <c r="F79" i="36"/>
  <c r="E79" i="36"/>
  <c r="D79" i="36"/>
  <c r="O78" i="36"/>
  <c r="N78" i="36"/>
  <c r="M78" i="36"/>
  <c r="J78" i="36"/>
  <c r="I78" i="36"/>
  <c r="Q75" i="36"/>
  <c r="E75" i="36"/>
  <c r="O74" i="36"/>
  <c r="O75" i="36" s="1"/>
  <c r="N74" i="36"/>
  <c r="N75" i="36" s="1"/>
  <c r="M74" i="36"/>
  <c r="M113" i="36" s="1"/>
  <c r="H74" i="36"/>
  <c r="G74" i="36"/>
  <c r="G113" i="36" s="1"/>
  <c r="D74" i="36"/>
  <c r="D113" i="36" s="1"/>
  <c r="J73" i="36"/>
  <c r="D73" i="36"/>
  <c r="R72" i="36"/>
  <c r="R75" i="36" s="1"/>
  <c r="Q72" i="36"/>
  <c r="Q111" i="36" s="1"/>
  <c r="Q114" i="36" s="1"/>
  <c r="P72" i="36"/>
  <c r="L72" i="36"/>
  <c r="K72" i="36"/>
  <c r="I72" i="36"/>
  <c r="I111" i="36" s="1"/>
  <c r="I114" i="36" s="1"/>
  <c r="H72" i="36"/>
  <c r="G72" i="36"/>
  <c r="F72" i="36"/>
  <c r="F75" i="36" s="1"/>
  <c r="E72" i="36"/>
  <c r="E111" i="36" s="1"/>
  <c r="D72" i="36"/>
  <c r="R71" i="36"/>
  <c r="Q71" i="36"/>
  <c r="P71" i="36"/>
  <c r="O71" i="36"/>
  <c r="N71" i="36"/>
  <c r="M71" i="36"/>
  <c r="L71" i="36"/>
  <c r="K71" i="36"/>
  <c r="J71" i="36"/>
  <c r="I71" i="36"/>
  <c r="H71" i="36"/>
  <c r="G71" i="36"/>
  <c r="F71" i="36"/>
  <c r="E71" i="36"/>
  <c r="Q69" i="36"/>
  <c r="P69" i="36"/>
  <c r="L69" i="36"/>
  <c r="I69" i="36"/>
  <c r="H69" i="36"/>
  <c r="E69" i="36"/>
  <c r="E81" i="36" s="1"/>
  <c r="D69" i="36"/>
  <c r="O68" i="36"/>
  <c r="O107" i="36" s="1"/>
  <c r="N68" i="36"/>
  <c r="M68" i="36"/>
  <c r="M107" i="36" s="1"/>
  <c r="M119" i="36" s="1"/>
  <c r="H68" i="36"/>
  <c r="G68" i="36"/>
  <c r="G107" i="36" s="1"/>
  <c r="D68" i="36"/>
  <c r="D107" i="36" s="1"/>
  <c r="D119" i="36" s="1"/>
  <c r="T67" i="36"/>
  <c r="J67" i="36"/>
  <c r="J106" i="36" s="1"/>
  <c r="D67" i="36"/>
  <c r="R66" i="36"/>
  <c r="Q66" i="36"/>
  <c r="P66" i="36"/>
  <c r="L66" i="36"/>
  <c r="L105" i="36" s="1"/>
  <c r="K66" i="36"/>
  <c r="I66" i="36"/>
  <c r="H66" i="36"/>
  <c r="G66" i="36"/>
  <c r="F66" i="36"/>
  <c r="T66" i="36" s="1"/>
  <c r="E66" i="36"/>
  <c r="D66" i="36"/>
  <c r="AU60" i="36"/>
  <c r="AW60" i="36" s="1"/>
  <c r="AT60" i="36"/>
  <c r="AV60" i="36" s="1"/>
  <c r="AQ60" i="36"/>
  <c r="AS60" i="36" s="1"/>
  <c r="AP60" i="36"/>
  <c r="AR60" i="36" s="1"/>
  <c r="AH60" i="36"/>
  <c r="L60" i="36"/>
  <c r="K60" i="36"/>
  <c r="AV59" i="36"/>
  <c r="AU59" i="36"/>
  <c r="AW59" i="36" s="1"/>
  <c r="AT59" i="36"/>
  <c r="AR59" i="36"/>
  <c r="AQ59" i="36"/>
  <c r="AS59" i="36" s="1"/>
  <c r="AP59" i="36"/>
  <c r="AH59" i="36"/>
  <c r="L59" i="36"/>
  <c r="K59" i="36"/>
  <c r="AU58" i="36"/>
  <c r="AW58" i="36" s="1"/>
  <c r="AT58" i="36"/>
  <c r="AV58" i="36" s="1"/>
  <c r="AQ58" i="36"/>
  <c r="AS58" i="36" s="1"/>
  <c r="AP58" i="36"/>
  <c r="AR58" i="36" s="1"/>
  <c r="AH58" i="36"/>
  <c r="L58" i="36"/>
  <c r="K58" i="36"/>
  <c r="AW57" i="36"/>
  <c r="AU57" i="36"/>
  <c r="AT57" i="36"/>
  <c r="AV57" i="36" s="1"/>
  <c r="AS57" i="36"/>
  <c r="AQ57" i="36"/>
  <c r="AP57" i="36"/>
  <c r="AR57" i="36" s="1"/>
  <c r="AH57" i="36"/>
  <c r="L57" i="36"/>
  <c r="K57" i="36"/>
  <c r="AU56" i="36"/>
  <c r="AW56" i="36" s="1"/>
  <c r="AT56" i="36"/>
  <c r="AV56" i="36" s="1"/>
  <c r="AQ56" i="36"/>
  <c r="AS56" i="36" s="1"/>
  <c r="AP56" i="36"/>
  <c r="AR56" i="36" s="1"/>
  <c r="AH56" i="36"/>
  <c r="L56" i="36"/>
  <c r="K56" i="36"/>
  <c r="AV55" i="36"/>
  <c r="AU55" i="36"/>
  <c r="AW55" i="36" s="1"/>
  <c r="AT55" i="36"/>
  <c r="AR55" i="36"/>
  <c r="AQ55" i="36"/>
  <c r="AS55" i="36" s="1"/>
  <c r="AP55" i="36"/>
  <c r="AH55" i="36"/>
  <c r="L55" i="36"/>
  <c r="K55" i="36"/>
  <c r="AU54" i="36"/>
  <c r="AW54" i="36" s="1"/>
  <c r="AT54" i="36"/>
  <c r="AV54" i="36" s="1"/>
  <c r="AQ54" i="36"/>
  <c r="AS54" i="36" s="1"/>
  <c r="AP54" i="36"/>
  <c r="AR54" i="36" s="1"/>
  <c r="AH54" i="36"/>
  <c r="L54" i="36"/>
  <c r="K54" i="36"/>
  <c r="AW53" i="36"/>
  <c r="AU53" i="36"/>
  <c r="AT53" i="36"/>
  <c r="AV53" i="36" s="1"/>
  <c r="AS53" i="36"/>
  <c r="AQ53" i="36"/>
  <c r="AP53" i="36"/>
  <c r="AR53" i="36" s="1"/>
  <c r="AH53" i="36"/>
  <c r="L53" i="36"/>
  <c r="K53" i="36"/>
  <c r="AU52" i="36"/>
  <c r="AW52" i="36" s="1"/>
  <c r="AT52" i="36"/>
  <c r="AV52" i="36" s="1"/>
  <c r="AQ52" i="36"/>
  <c r="AS52" i="36" s="1"/>
  <c r="AP52" i="36"/>
  <c r="AR52" i="36" s="1"/>
  <c r="AH52" i="36"/>
  <c r="L52" i="36"/>
  <c r="K52" i="36"/>
  <c r="AV51" i="36"/>
  <c r="AU51" i="36"/>
  <c r="AW51" i="36" s="1"/>
  <c r="AT51" i="36"/>
  <c r="AR51" i="36"/>
  <c r="AQ51" i="36"/>
  <c r="AS51" i="36" s="1"/>
  <c r="AP51" i="36"/>
  <c r="AH51" i="36"/>
  <c r="L51" i="36"/>
  <c r="K51" i="36"/>
  <c r="AU50" i="36"/>
  <c r="AW50" i="36" s="1"/>
  <c r="AT50" i="36"/>
  <c r="AV50" i="36" s="1"/>
  <c r="AQ50" i="36"/>
  <c r="AS50" i="36" s="1"/>
  <c r="AP50" i="36"/>
  <c r="AR50" i="36" s="1"/>
  <c r="AH50" i="36"/>
  <c r="L50" i="36"/>
  <c r="K50" i="36"/>
  <c r="AW49" i="36"/>
  <c r="AU49" i="36"/>
  <c r="AT49" i="36"/>
  <c r="AV49" i="36" s="1"/>
  <c r="AQ49" i="36"/>
  <c r="AS49" i="36" s="1"/>
  <c r="AP49" i="36"/>
  <c r="AR49" i="36" s="1"/>
  <c r="AH49" i="36"/>
  <c r="L49" i="36"/>
  <c r="K49" i="36"/>
  <c r="AV48" i="36"/>
  <c r="AU48" i="36"/>
  <c r="AW48" i="36" s="1"/>
  <c r="AT48" i="36"/>
  <c r="AR48" i="36"/>
  <c r="AQ48" i="36"/>
  <c r="AS48" i="36" s="1"/>
  <c r="AP48" i="36"/>
  <c r="AH48" i="36"/>
  <c r="L48" i="36"/>
  <c r="K48" i="36"/>
  <c r="AU47" i="36"/>
  <c r="AW47" i="36" s="1"/>
  <c r="AT47" i="36"/>
  <c r="AV47" i="36" s="1"/>
  <c r="AR47" i="36"/>
  <c r="AQ47" i="36"/>
  <c r="AS47" i="36" s="1"/>
  <c r="AP47" i="36"/>
  <c r="AH47" i="36"/>
  <c r="L47" i="36"/>
  <c r="K47" i="36"/>
  <c r="AU46" i="36"/>
  <c r="AW46" i="36" s="1"/>
  <c r="AT46" i="36"/>
  <c r="AV46" i="36" s="1"/>
  <c r="AQ46" i="36"/>
  <c r="AS46" i="36" s="1"/>
  <c r="AP46" i="36"/>
  <c r="AR46" i="36" s="1"/>
  <c r="AH46" i="36"/>
  <c r="L46" i="36"/>
  <c r="K46" i="36"/>
  <c r="AW45" i="36"/>
  <c r="AU45" i="36"/>
  <c r="AT45" i="36"/>
  <c r="AV45" i="36" s="1"/>
  <c r="AS45" i="36"/>
  <c r="AQ45" i="36"/>
  <c r="AP45" i="36"/>
  <c r="AR45" i="36" s="1"/>
  <c r="AH45" i="36"/>
  <c r="L45" i="36"/>
  <c r="K45" i="36"/>
  <c r="AU44" i="36"/>
  <c r="AW44" i="36" s="1"/>
  <c r="AT44" i="36"/>
  <c r="AV44" i="36" s="1"/>
  <c r="AQ44" i="36"/>
  <c r="AS44" i="36" s="1"/>
  <c r="AP44" i="36"/>
  <c r="AR44" i="36" s="1"/>
  <c r="AH44" i="36"/>
  <c r="L44" i="36"/>
  <c r="K44" i="36"/>
  <c r="AV43" i="36"/>
  <c r="AU43" i="36"/>
  <c r="AW43" i="36" s="1"/>
  <c r="AT43" i="36"/>
  <c r="AR43" i="36"/>
  <c r="AQ43" i="36"/>
  <c r="AS43" i="36" s="1"/>
  <c r="AP43" i="36"/>
  <c r="AH43" i="36"/>
  <c r="L43" i="36"/>
  <c r="K43" i="36"/>
  <c r="AU42" i="36"/>
  <c r="AW42" i="36" s="1"/>
  <c r="AT42" i="36"/>
  <c r="AV42" i="36" s="1"/>
  <c r="AQ42" i="36"/>
  <c r="AS42" i="36" s="1"/>
  <c r="AP42" i="36"/>
  <c r="AR42" i="36" s="1"/>
  <c r="AH42" i="36"/>
  <c r="L42" i="36"/>
  <c r="K42" i="36"/>
  <c r="AW41" i="36"/>
  <c r="AU41" i="36"/>
  <c r="AT41" i="36"/>
  <c r="AV41" i="36" s="1"/>
  <c r="AQ41" i="36"/>
  <c r="AS41" i="36" s="1"/>
  <c r="AP41" i="36"/>
  <c r="AR41" i="36" s="1"/>
  <c r="AH41" i="36"/>
  <c r="L41" i="36"/>
  <c r="K41" i="36"/>
  <c r="AV40" i="36"/>
  <c r="AU40" i="36"/>
  <c r="AW40" i="36" s="1"/>
  <c r="AT40" i="36"/>
  <c r="AR40" i="36"/>
  <c r="AQ40" i="36"/>
  <c r="AS40" i="36" s="1"/>
  <c r="AP40" i="36"/>
  <c r="AH40" i="36"/>
  <c r="L40" i="36"/>
  <c r="K40" i="36"/>
  <c r="AU39" i="36"/>
  <c r="AW39" i="36" s="1"/>
  <c r="AT39" i="36"/>
  <c r="AV39" i="36" s="1"/>
  <c r="AR39" i="36"/>
  <c r="AQ39" i="36"/>
  <c r="AS39" i="36" s="1"/>
  <c r="AP39" i="36"/>
  <c r="AH39" i="36"/>
  <c r="L39" i="36"/>
  <c r="K39" i="36"/>
  <c r="AU38" i="36"/>
  <c r="AW38" i="36" s="1"/>
  <c r="AT38" i="36"/>
  <c r="AV38" i="36" s="1"/>
  <c r="AQ38" i="36"/>
  <c r="AS38" i="36" s="1"/>
  <c r="AP38" i="36"/>
  <c r="AR38" i="36" s="1"/>
  <c r="AH38" i="36"/>
  <c r="L38" i="36"/>
  <c r="K38" i="36"/>
  <c r="AW37" i="36"/>
  <c r="AU37" i="36"/>
  <c r="AT37" i="36"/>
  <c r="AV37" i="36" s="1"/>
  <c r="AS37" i="36"/>
  <c r="AQ37" i="36"/>
  <c r="AP37" i="36"/>
  <c r="AR37" i="36" s="1"/>
  <c r="AH37" i="36"/>
  <c r="L37" i="36"/>
  <c r="K37" i="36"/>
  <c r="AU36" i="36"/>
  <c r="AW36" i="36" s="1"/>
  <c r="AT36" i="36"/>
  <c r="AV36" i="36" s="1"/>
  <c r="AQ36" i="36"/>
  <c r="AS36" i="36" s="1"/>
  <c r="AP36" i="36"/>
  <c r="AR36" i="36" s="1"/>
  <c r="AH36" i="36"/>
  <c r="L36" i="36"/>
  <c r="K36" i="36"/>
  <c r="AV35" i="36"/>
  <c r="AU35" i="36"/>
  <c r="AW35" i="36" s="1"/>
  <c r="AT35" i="36"/>
  <c r="AR35" i="36"/>
  <c r="AQ35" i="36"/>
  <c r="AS35" i="36" s="1"/>
  <c r="AP35" i="36"/>
  <c r="AH35" i="36"/>
  <c r="L35" i="36"/>
  <c r="K35" i="36"/>
  <c r="AU34" i="36"/>
  <c r="AW34" i="36" s="1"/>
  <c r="AT34" i="36"/>
  <c r="AV34" i="36" s="1"/>
  <c r="AQ34" i="36"/>
  <c r="AS34" i="36" s="1"/>
  <c r="AP34" i="36"/>
  <c r="AR34" i="36" s="1"/>
  <c r="AH34" i="36"/>
  <c r="L34" i="36"/>
  <c r="K34" i="36"/>
  <c r="AW33" i="36"/>
  <c r="AU33" i="36"/>
  <c r="AT33" i="36"/>
  <c r="AV33" i="36" s="1"/>
  <c r="AQ33" i="36"/>
  <c r="AS33" i="36" s="1"/>
  <c r="AP33" i="36"/>
  <c r="AR33" i="36" s="1"/>
  <c r="AH33" i="36"/>
  <c r="L33" i="36"/>
  <c r="K33" i="36"/>
  <c r="AV32" i="36"/>
  <c r="AU32" i="36"/>
  <c r="AW32" i="36" s="1"/>
  <c r="AT32" i="36"/>
  <c r="AR32" i="36"/>
  <c r="AQ32" i="36"/>
  <c r="AS32" i="36" s="1"/>
  <c r="AP32" i="36"/>
  <c r="AH32" i="36"/>
  <c r="L32" i="36"/>
  <c r="K32" i="36"/>
  <c r="AU31" i="36"/>
  <c r="AW31" i="36" s="1"/>
  <c r="AT31" i="36"/>
  <c r="AV31" i="36" s="1"/>
  <c r="AR31" i="36"/>
  <c r="AQ31" i="36"/>
  <c r="AS31" i="36" s="1"/>
  <c r="AP31" i="36"/>
  <c r="AH31" i="36"/>
  <c r="L31" i="36"/>
  <c r="K31" i="36"/>
  <c r="AU30" i="36"/>
  <c r="AW30" i="36" s="1"/>
  <c r="AT30" i="36"/>
  <c r="AV30" i="36" s="1"/>
  <c r="AQ30" i="36"/>
  <c r="AS30" i="36" s="1"/>
  <c r="AP30" i="36"/>
  <c r="AR30" i="36" s="1"/>
  <c r="AH30" i="36"/>
  <c r="L30" i="36"/>
  <c r="K30" i="36"/>
  <c r="AW29" i="36"/>
  <c r="AU29" i="36"/>
  <c r="AT29" i="36"/>
  <c r="AV29" i="36" s="1"/>
  <c r="AS29" i="36"/>
  <c r="AQ29" i="36"/>
  <c r="AP29" i="36"/>
  <c r="AR29" i="36" s="1"/>
  <c r="AH29" i="36"/>
  <c r="L29" i="36"/>
  <c r="K29" i="36"/>
  <c r="AU28" i="36"/>
  <c r="AW28" i="36" s="1"/>
  <c r="AT28" i="36"/>
  <c r="AV28" i="36" s="1"/>
  <c r="AQ28" i="36"/>
  <c r="AS28" i="36" s="1"/>
  <c r="AP28" i="36"/>
  <c r="AR28" i="36" s="1"/>
  <c r="AH28" i="36"/>
  <c r="L28" i="36"/>
  <c r="K28" i="36"/>
  <c r="AV27" i="36"/>
  <c r="AU27" i="36"/>
  <c r="AW27" i="36" s="1"/>
  <c r="AT27" i="36"/>
  <c r="AR27" i="36"/>
  <c r="AQ27" i="36"/>
  <c r="AS27" i="36" s="1"/>
  <c r="AP27" i="36"/>
  <c r="AH27" i="36"/>
  <c r="L27" i="36"/>
  <c r="K27" i="36"/>
  <c r="AU26" i="36"/>
  <c r="AW26" i="36" s="1"/>
  <c r="AT26" i="36"/>
  <c r="AV26" i="36" s="1"/>
  <c r="AQ26" i="36"/>
  <c r="AS26" i="36" s="1"/>
  <c r="AP26" i="36"/>
  <c r="AR26" i="36" s="1"/>
  <c r="AH26" i="36"/>
  <c r="L26" i="36"/>
  <c r="K26" i="36"/>
  <c r="AW25" i="36"/>
  <c r="AU25" i="36"/>
  <c r="AT25" i="36"/>
  <c r="AV25" i="36" s="1"/>
  <c r="AQ25" i="36"/>
  <c r="AS25" i="36" s="1"/>
  <c r="AP25" i="36"/>
  <c r="AR25" i="36" s="1"/>
  <c r="AH25" i="36"/>
  <c r="L25" i="36"/>
  <c r="K25" i="36"/>
  <c r="AV24" i="36"/>
  <c r="AU24" i="36"/>
  <c r="AW24" i="36" s="1"/>
  <c r="AT24" i="36"/>
  <c r="AR24" i="36"/>
  <c r="AQ24" i="36"/>
  <c r="AS24" i="36" s="1"/>
  <c r="AP24" i="36"/>
  <c r="AH24" i="36"/>
  <c r="L24" i="36"/>
  <c r="K24" i="36"/>
  <c r="AU23" i="36"/>
  <c r="AW23" i="36" s="1"/>
  <c r="AT23" i="36"/>
  <c r="AV23" i="36" s="1"/>
  <c r="AR23" i="36"/>
  <c r="AQ23" i="36"/>
  <c r="AS23" i="36" s="1"/>
  <c r="AP23" i="36"/>
  <c r="AH23" i="36"/>
  <c r="L23" i="36"/>
  <c r="K23" i="36"/>
  <c r="AU22" i="36"/>
  <c r="AW22" i="36" s="1"/>
  <c r="AT22" i="36"/>
  <c r="AV22" i="36" s="1"/>
  <c r="AQ22" i="36"/>
  <c r="AS22" i="36" s="1"/>
  <c r="AP22" i="36"/>
  <c r="AR22" i="36" s="1"/>
  <c r="AH22" i="36"/>
  <c r="L22" i="36"/>
  <c r="K22" i="36"/>
  <c r="AW21" i="36"/>
  <c r="AU21" i="36"/>
  <c r="AT21" i="36"/>
  <c r="AV21" i="36" s="1"/>
  <c r="AS21" i="36"/>
  <c r="AQ21" i="36"/>
  <c r="AP21" i="36"/>
  <c r="AR21" i="36" s="1"/>
  <c r="AH21" i="36"/>
  <c r="L21" i="36"/>
  <c r="K21" i="36"/>
  <c r="AU20" i="36"/>
  <c r="AW20" i="36" s="1"/>
  <c r="AT20" i="36"/>
  <c r="AV20" i="36" s="1"/>
  <c r="AQ20" i="36"/>
  <c r="AS20" i="36" s="1"/>
  <c r="AP20" i="36"/>
  <c r="AR20" i="36" s="1"/>
  <c r="AH20" i="36"/>
  <c r="L20" i="36"/>
  <c r="K20" i="36"/>
  <c r="AV19" i="36"/>
  <c r="AU19" i="36"/>
  <c r="AW19" i="36" s="1"/>
  <c r="AT19" i="36"/>
  <c r="AR19" i="36"/>
  <c r="AQ19" i="36"/>
  <c r="AS19" i="36" s="1"/>
  <c r="AP19" i="36"/>
  <c r="AH19" i="36"/>
  <c r="L19" i="36"/>
  <c r="K19" i="36"/>
  <c r="AU18" i="36"/>
  <c r="AW18" i="36" s="1"/>
  <c r="AT18" i="36"/>
  <c r="AV18" i="36" s="1"/>
  <c r="AQ18" i="36"/>
  <c r="AS18" i="36" s="1"/>
  <c r="AP18" i="36"/>
  <c r="AR18" i="36" s="1"/>
  <c r="AH18" i="36"/>
  <c r="L18" i="36"/>
  <c r="K18" i="36"/>
  <c r="AW17" i="36"/>
  <c r="AU17" i="36"/>
  <c r="AT17" i="36"/>
  <c r="AV17" i="36" s="1"/>
  <c r="AQ17" i="36"/>
  <c r="AS17" i="36" s="1"/>
  <c r="AP17" i="36"/>
  <c r="AR17" i="36" s="1"/>
  <c r="AH17" i="36"/>
  <c r="L17" i="36"/>
  <c r="K17" i="36"/>
  <c r="AV16" i="36"/>
  <c r="AU16" i="36"/>
  <c r="AW16" i="36" s="1"/>
  <c r="AT16" i="36"/>
  <c r="AR16" i="36"/>
  <c r="AQ16" i="36"/>
  <c r="AS16" i="36" s="1"/>
  <c r="AP16" i="36"/>
  <c r="AH16" i="36"/>
  <c r="L16" i="36"/>
  <c r="K16" i="36"/>
  <c r="AU15" i="36"/>
  <c r="AW15" i="36" s="1"/>
  <c r="AT15" i="36"/>
  <c r="AV15" i="36" s="1"/>
  <c r="AR15" i="36"/>
  <c r="AQ15" i="36"/>
  <c r="AS15" i="36" s="1"/>
  <c r="AP15" i="36"/>
  <c r="AH15" i="36"/>
  <c r="L15" i="36"/>
  <c r="K15" i="36"/>
  <c r="AU14" i="36"/>
  <c r="AW14" i="36" s="1"/>
  <c r="AT14" i="36"/>
  <c r="AV14" i="36" s="1"/>
  <c r="AQ14" i="36"/>
  <c r="AS14" i="36" s="1"/>
  <c r="AP14" i="36"/>
  <c r="AR14" i="36" s="1"/>
  <c r="AH14" i="36"/>
  <c r="L14" i="36"/>
  <c r="K14" i="36"/>
  <c r="AW13" i="36"/>
  <c r="AU13" i="36"/>
  <c r="AT13" i="36"/>
  <c r="AV13" i="36" s="1"/>
  <c r="AS13" i="36"/>
  <c r="AQ13" i="36"/>
  <c r="AP13" i="36"/>
  <c r="AR13" i="36" s="1"/>
  <c r="AH13" i="36"/>
  <c r="L13" i="36"/>
  <c r="K13" i="36"/>
  <c r="AU12" i="36"/>
  <c r="AW12" i="36" s="1"/>
  <c r="AT12" i="36"/>
  <c r="AV12" i="36" s="1"/>
  <c r="AQ12" i="36"/>
  <c r="AS12" i="36" s="1"/>
  <c r="AP12" i="36"/>
  <c r="AR12" i="36" s="1"/>
  <c r="AH12" i="36"/>
  <c r="L12" i="36"/>
  <c r="K12" i="36"/>
  <c r="AV11" i="36"/>
  <c r="AU11" i="36"/>
  <c r="AW11" i="36" s="1"/>
  <c r="AT11" i="36"/>
  <c r="AR11" i="36"/>
  <c r="AQ11" i="36"/>
  <c r="AS11" i="36" s="1"/>
  <c r="AP11" i="36"/>
  <c r="AH11" i="36"/>
  <c r="L11" i="36"/>
  <c r="K11" i="36"/>
  <c r="AU10" i="36"/>
  <c r="AW10" i="36" s="1"/>
  <c r="AT10" i="36"/>
  <c r="AV10" i="36" s="1"/>
  <c r="AQ10" i="36"/>
  <c r="AS10" i="36" s="1"/>
  <c r="AP10" i="36"/>
  <c r="AR10" i="36" s="1"/>
  <c r="AH10" i="36"/>
  <c r="L10" i="36"/>
  <c r="K10" i="36"/>
  <c r="AW9" i="36"/>
  <c r="AU9" i="36"/>
  <c r="AT9" i="36"/>
  <c r="AV9" i="36" s="1"/>
  <c r="AQ9" i="36"/>
  <c r="AS9" i="36" s="1"/>
  <c r="AP9" i="36"/>
  <c r="AR9" i="36" s="1"/>
  <c r="AH9" i="36"/>
  <c r="L9" i="36"/>
  <c r="K9" i="36"/>
  <c r="AV8" i="36"/>
  <c r="AU8" i="36"/>
  <c r="AW8" i="36" s="1"/>
  <c r="AT8" i="36"/>
  <c r="AR8" i="36"/>
  <c r="AQ8" i="36"/>
  <c r="AS8" i="36" s="1"/>
  <c r="AP8" i="36"/>
  <c r="AH8" i="36"/>
  <c r="L8" i="36"/>
  <c r="K8" i="36"/>
  <c r="AU7" i="36"/>
  <c r="AW7" i="36" s="1"/>
  <c r="AT7" i="36"/>
  <c r="AV7" i="36" s="1"/>
  <c r="AR7" i="36"/>
  <c r="AQ7" i="36"/>
  <c r="AS7" i="36" s="1"/>
  <c r="AP7" i="36"/>
  <c r="AH7" i="36"/>
  <c r="L7" i="36"/>
  <c r="K7" i="36"/>
  <c r="AU6" i="36"/>
  <c r="AW6" i="36" s="1"/>
  <c r="AT6" i="36"/>
  <c r="AV6" i="36" s="1"/>
  <c r="AQ6" i="36"/>
  <c r="AS6" i="36" s="1"/>
  <c r="AP6" i="36"/>
  <c r="AR6" i="36" s="1"/>
  <c r="AH6" i="36"/>
  <c r="L6" i="36"/>
  <c r="K6" i="36"/>
  <c r="AW5" i="36"/>
  <c r="AU5" i="36"/>
  <c r="AT5" i="36"/>
  <c r="AV5" i="36" s="1"/>
  <c r="AS5" i="36"/>
  <c r="AQ5" i="36"/>
  <c r="AP5" i="36"/>
  <c r="AR5" i="36" s="1"/>
  <c r="AH5" i="36"/>
  <c r="L5" i="36"/>
  <c r="K5" i="36"/>
  <c r="AV4" i="36"/>
  <c r="AU4" i="36"/>
  <c r="AW4" i="36" s="1"/>
  <c r="AT4" i="36"/>
  <c r="AR4" i="36"/>
  <c r="AQ4" i="36"/>
  <c r="AS4" i="36" s="1"/>
  <c r="AP4" i="36"/>
  <c r="AH4" i="36"/>
  <c r="L4" i="36"/>
  <c r="K4" i="36"/>
  <c r="AU3" i="36"/>
  <c r="AW3" i="36" s="1"/>
  <c r="AT3" i="36"/>
  <c r="AV3" i="36" s="1"/>
  <c r="AR3" i="36"/>
  <c r="AQ3" i="36"/>
  <c r="AS3" i="36" s="1"/>
  <c r="AP3" i="36"/>
  <c r="AH3" i="36"/>
  <c r="L3" i="36"/>
  <c r="K3" i="36"/>
  <c r="L119" i="35"/>
  <c r="E118" i="35"/>
  <c r="E117" i="35"/>
  <c r="R116" i="35"/>
  <c r="Q116" i="35"/>
  <c r="P116" i="35"/>
  <c r="O116" i="35"/>
  <c r="N116" i="35"/>
  <c r="M116" i="35"/>
  <c r="L116" i="35"/>
  <c r="K116" i="35"/>
  <c r="J116" i="35"/>
  <c r="I116" i="35"/>
  <c r="H116" i="35"/>
  <c r="G116" i="35"/>
  <c r="F116" i="35"/>
  <c r="E116" i="35"/>
  <c r="R113" i="35"/>
  <c r="Q113" i="35"/>
  <c r="P113" i="35"/>
  <c r="L113" i="35"/>
  <c r="K113" i="35"/>
  <c r="J113" i="35"/>
  <c r="I113" i="35"/>
  <c r="G113" i="35"/>
  <c r="F113" i="35"/>
  <c r="E113" i="35"/>
  <c r="R112" i="35"/>
  <c r="Q112" i="35"/>
  <c r="P112" i="35"/>
  <c r="O112" i="35"/>
  <c r="N112" i="35"/>
  <c r="M112" i="35"/>
  <c r="L112" i="35"/>
  <c r="K112" i="35"/>
  <c r="J112" i="35"/>
  <c r="I112" i="35"/>
  <c r="H112" i="35"/>
  <c r="G112" i="35"/>
  <c r="F112" i="35"/>
  <c r="E112" i="35"/>
  <c r="O111" i="35"/>
  <c r="N111" i="35"/>
  <c r="M111" i="35"/>
  <c r="M114" i="35" s="1"/>
  <c r="J111" i="35"/>
  <c r="R110" i="35"/>
  <c r="Q110" i="35"/>
  <c r="P110" i="35"/>
  <c r="O110" i="35"/>
  <c r="N110" i="35"/>
  <c r="M110" i="35"/>
  <c r="L110" i="35"/>
  <c r="K110" i="35"/>
  <c r="J110" i="35"/>
  <c r="I110" i="35"/>
  <c r="H110" i="35"/>
  <c r="G110" i="35"/>
  <c r="F110" i="35"/>
  <c r="E110" i="35"/>
  <c r="E108" i="35"/>
  <c r="R107" i="35"/>
  <c r="Q107" i="35"/>
  <c r="Q119" i="35" s="1"/>
  <c r="P107" i="35"/>
  <c r="P119" i="35" s="1"/>
  <c r="L107" i="35"/>
  <c r="K107" i="35"/>
  <c r="K119" i="35" s="1"/>
  <c r="J107" i="35"/>
  <c r="I107" i="35"/>
  <c r="I119" i="35" s="1"/>
  <c r="H107" i="35"/>
  <c r="F107" i="35"/>
  <c r="F119" i="35" s="1"/>
  <c r="E107" i="35"/>
  <c r="R106" i="35"/>
  <c r="R118" i="35" s="1"/>
  <c r="Q106" i="35"/>
  <c r="Q118" i="35" s="1"/>
  <c r="P106" i="35"/>
  <c r="P118" i="35" s="1"/>
  <c r="O106" i="35"/>
  <c r="N106" i="35"/>
  <c r="N118" i="35" s="1"/>
  <c r="M106" i="35"/>
  <c r="M118" i="35" s="1"/>
  <c r="L106" i="35"/>
  <c r="L118" i="35" s="1"/>
  <c r="K106" i="35"/>
  <c r="I106" i="35"/>
  <c r="I118" i="35" s="1"/>
  <c r="H106" i="35"/>
  <c r="H118" i="35" s="1"/>
  <c r="G106" i="35"/>
  <c r="G118" i="35" s="1"/>
  <c r="F106" i="35"/>
  <c r="F118" i="35" s="1"/>
  <c r="E106" i="35"/>
  <c r="D106" i="35"/>
  <c r="Q105" i="35"/>
  <c r="P105" i="35"/>
  <c r="O105" i="35"/>
  <c r="O117" i="35" s="1"/>
  <c r="N105" i="35"/>
  <c r="N117" i="35" s="1"/>
  <c r="M105" i="35"/>
  <c r="M117" i="35" s="1"/>
  <c r="J105" i="35"/>
  <c r="J117" i="35" s="1"/>
  <c r="I105" i="35"/>
  <c r="H105" i="35"/>
  <c r="H108" i="35" s="1"/>
  <c r="E105" i="35"/>
  <c r="D105" i="35"/>
  <c r="R104" i="35"/>
  <c r="Q104" i="35"/>
  <c r="P104" i="35"/>
  <c r="O104" i="35"/>
  <c r="N104" i="35"/>
  <c r="M104" i="35"/>
  <c r="L104" i="35"/>
  <c r="K104" i="35"/>
  <c r="J104" i="35"/>
  <c r="I104" i="35"/>
  <c r="H104" i="35"/>
  <c r="G104" i="35"/>
  <c r="F104" i="35"/>
  <c r="E104" i="35"/>
  <c r="R99" i="35"/>
  <c r="Q99" i="35"/>
  <c r="P99" i="35"/>
  <c r="O99" i="35"/>
  <c r="L99" i="35"/>
  <c r="K99" i="35"/>
  <c r="J99" i="35"/>
  <c r="I99" i="35"/>
  <c r="F99" i="35"/>
  <c r="E99" i="35"/>
  <c r="R98" i="35"/>
  <c r="Q98" i="35"/>
  <c r="P98" i="35"/>
  <c r="O98" i="35"/>
  <c r="N98" i="35"/>
  <c r="M98" i="35"/>
  <c r="L98" i="35"/>
  <c r="K98" i="35"/>
  <c r="J98" i="35"/>
  <c r="I98" i="35"/>
  <c r="H98" i="35"/>
  <c r="G98" i="35"/>
  <c r="F98" i="35"/>
  <c r="T98" i="35" s="1"/>
  <c r="E98" i="35"/>
  <c r="O97" i="35"/>
  <c r="N97" i="35"/>
  <c r="M97" i="35"/>
  <c r="J97" i="35"/>
  <c r="R96" i="35"/>
  <c r="Q96" i="35"/>
  <c r="P96" i="35"/>
  <c r="O96" i="35"/>
  <c r="N96" i="35"/>
  <c r="M96" i="35"/>
  <c r="L96" i="35"/>
  <c r="K96" i="35"/>
  <c r="J96" i="35"/>
  <c r="I96" i="35"/>
  <c r="H96" i="35"/>
  <c r="G96" i="35"/>
  <c r="F96" i="35"/>
  <c r="E96" i="35"/>
  <c r="Q94" i="35"/>
  <c r="I94" i="35"/>
  <c r="H94" i="35"/>
  <c r="O93" i="35"/>
  <c r="O94" i="35" s="1"/>
  <c r="O100" i="35" s="1"/>
  <c r="N93" i="35"/>
  <c r="N94" i="35" s="1"/>
  <c r="M93" i="35"/>
  <c r="M94" i="35" s="1"/>
  <c r="H93" i="35"/>
  <c r="G93" i="35"/>
  <c r="D93" i="35"/>
  <c r="T92" i="35"/>
  <c r="J92" i="35"/>
  <c r="J94" i="35" s="1"/>
  <c r="D92" i="35"/>
  <c r="R91" i="35"/>
  <c r="R94" i="35" s="1"/>
  <c r="Q91" i="35"/>
  <c r="P91" i="35"/>
  <c r="P94" i="35" s="1"/>
  <c r="L91" i="35"/>
  <c r="L94" i="35" s="1"/>
  <c r="K91" i="35"/>
  <c r="K94" i="35" s="1"/>
  <c r="I91" i="35"/>
  <c r="H91" i="35"/>
  <c r="G91" i="35"/>
  <c r="G94" i="35" s="1"/>
  <c r="F91" i="35"/>
  <c r="F94" i="35" s="1"/>
  <c r="F100" i="35" s="1"/>
  <c r="E91" i="35"/>
  <c r="E94" i="35" s="1"/>
  <c r="D91" i="35"/>
  <c r="D94" i="35" s="1"/>
  <c r="R90" i="35"/>
  <c r="Q90" i="35"/>
  <c r="P90" i="35"/>
  <c r="O90" i="35"/>
  <c r="N90" i="35"/>
  <c r="M90" i="35"/>
  <c r="L90" i="35"/>
  <c r="K90" i="35"/>
  <c r="J90" i="35"/>
  <c r="I90" i="35"/>
  <c r="H90" i="35"/>
  <c r="G90" i="35"/>
  <c r="F90" i="35"/>
  <c r="E90" i="35"/>
  <c r="Q88" i="35"/>
  <c r="P88" i="35"/>
  <c r="I88" i="35"/>
  <c r="I100" i="35" s="1"/>
  <c r="H88" i="35"/>
  <c r="E88" i="35"/>
  <c r="O87" i="35"/>
  <c r="O88" i="35" s="1"/>
  <c r="N87" i="35"/>
  <c r="M87" i="35"/>
  <c r="M99" i="35" s="1"/>
  <c r="H87" i="35"/>
  <c r="H99" i="35" s="1"/>
  <c r="G87" i="35"/>
  <c r="D87" i="35"/>
  <c r="T86" i="35"/>
  <c r="J86" i="35"/>
  <c r="J88" i="35" s="1"/>
  <c r="D86" i="35"/>
  <c r="R85" i="35"/>
  <c r="R88" i="35" s="1"/>
  <c r="Q85" i="35"/>
  <c r="Q97" i="35" s="1"/>
  <c r="P85" i="35"/>
  <c r="P97" i="35" s="1"/>
  <c r="L85" i="35"/>
  <c r="K85" i="35"/>
  <c r="K88" i="35" s="1"/>
  <c r="I85" i="35"/>
  <c r="I97" i="35" s="1"/>
  <c r="H85" i="35"/>
  <c r="H97" i="35" s="1"/>
  <c r="G85" i="35"/>
  <c r="G88" i="35" s="1"/>
  <c r="F85" i="35"/>
  <c r="F88" i="35" s="1"/>
  <c r="E85" i="35"/>
  <c r="E97" i="35" s="1"/>
  <c r="D85" i="35"/>
  <c r="D97" i="35" s="1"/>
  <c r="R84" i="35"/>
  <c r="Q84" i="35"/>
  <c r="P84" i="35"/>
  <c r="O84" i="35"/>
  <c r="N84" i="35"/>
  <c r="M84" i="35"/>
  <c r="L84" i="35"/>
  <c r="K84" i="35"/>
  <c r="J84" i="35"/>
  <c r="I84" i="35"/>
  <c r="H84" i="35"/>
  <c r="G84" i="35"/>
  <c r="F84" i="35"/>
  <c r="E84" i="35"/>
  <c r="R80" i="35"/>
  <c r="Q80" i="35"/>
  <c r="P80" i="35"/>
  <c r="L80" i="35"/>
  <c r="K80" i="35"/>
  <c r="J80" i="35"/>
  <c r="I80" i="35"/>
  <c r="H80" i="35"/>
  <c r="F80" i="35"/>
  <c r="E80" i="35"/>
  <c r="R79" i="35"/>
  <c r="Q79" i="35"/>
  <c r="P79" i="35"/>
  <c r="O79" i="35"/>
  <c r="N79" i="35"/>
  <c r="M79" i="35"/>
  <c r="L79" i="35"/>
  <c r="K79" i="35"/>
  <c r="I79" i="35"/>
  <c r="H79" i="35"/>
  <c r="G79" i="35"/>
  <c r="F79" i="35"/>
  <c r="E79" i="35"/>
  <c r="Q78" i="35"/>
  <c r="O78" i="35"/>
  <c r="N78" i="35"/>
  <c r="M78" i="35"/>
  <c r="J78" i="35"/>
  <c r="H78" i="35"/>
  <c r="E78" i="35"/>
  <c r="P75" i="35"/>
  <c r="I75" i="35"/>
  <c r="O74" i="35"/>
  <c r="O75" i="35" s="1"/>
  <c r="N74" i="35"/>
  <c r="M74" i="35"/>
  <c r="M113" i="35" s="1"/>
  <c r="H74" i="35"/>
  <c r="H113" i="35" s="1"/>
  <c r="G74" i="35"/>
  <c r="D74" i="35"/>
  <c r="J73" i="35"/>
  <c r="J75" i="35" s="1"/>
  <c r="D73" i="35"/>
  <c r="D112" i="35" s="1"/>
  <c r="R72" i="35"/>
  <c r="Q72" i="35"/>
  <c r="Q111" i="35" s="1"/>
  <c r="Q114" i="35" s="1"/>
  <c r="P72" i="35"/>
  <c r="P111" i="35" s="1"/>
  <c r="P114" i="35" s="1"/>
  <c r="L72" i="35"/>
  <c r="K72" i="35"/>
  <c r="I72" i="35"/>
  <c r="I111" i="35" s="1"/>
  <c r="I114" i="35" s="1"/>
  <c r="H72" i="35"/>
  <c r="H111" i="35" s="1"/>
  <c r="H114" i="35" s="1"/>
  <c r="G72" i="35"/>
  <c r="F72" i="35"/>
  <c r="E72" i="35"/>
  <c r="E111" i="35" s="1"/>
  <c r="E114" i="35" s="1"/>
  <c r="D72" i="35"/>
  <c r="D111" i="35" s="1"/>
  <c r="D117" i="35" s="1"/>
  <c r="R71" i="35"/>
  <c r="Q71" i="35"/>
  <c r="P71" i="35"/>
  <c r="O71" i="35"/>
  <c r="N71" i="35"/>
  <c r="M71" i="35"/>
  <c r="L71" i="35"/>
  <c r="K71" i="35"/>
  <c r="J71" i="35"/>
  <c r="I71" i="35"/>
  <c r="H71" i="35"/>
  <c r="G71" i="35"/>
  <c r="F71" i="35"/>
  <c r="E71" i="35"/>
  <c r="Q69" i="35"/>
  <c r="P69" i="35"/>
  <c r="I69" i="35"/>
  <c r="H69" i="35"/>
  <c r="E69" i="35"/>
  <c r="O68" i="35"/>
  <c r="O107" i="35" s="1"/>
  <c r="N68" i="35"/>
  <c r="M68" i="35"/>
  <c r="H68" i="35"/>
  <c r="G68" i="35"/>
  <c r="G107" i="35" s="1"/>
  <c r="D68" i="35"/>
  <c r="T67" i="35"/>
  <c r="J67" i="35"/>
  <c r="J106" i="35" s="1"/>
  <c r="D67" i="35"/>
  <c r="R66" i="35"/>
  <c r="Q66" i="35"/>
  <c r="P66" i="35"/>
  <c r="L66" i="35"/>
  <c r="K66" i="35"/>
  <c r="I66" i="35"/>
  <c r="H66" i="35"/>
  <c r="G66" i="35"/>
  <c r="F66" i="35"/>
  <c r="T66" i="35" s="1"/>
  <c r="E66" i="35"/>
  <c r="D66" i="35"/>
  <c r="AV60" i="35"/>
  <c r="AU60" i="35"/>
  <c r="AW60" i="35" s="1"/>
  <c r="AT60" i="35"/>
  <c r="AR60" i="35"/>
  <c r="AQ60" i="35"/>
  <c r="AS60" i="35" s="1"/>
  <c r="AP60" i="35"/>
  <c r="AH60" i="35"/>
  <c r="L60" i="35"/>
  <c r="K60" i="35"/>
  <c r="AU59" i="35"/>
  <c r="AW59" i="35" s="1"/>
  <c r="AT59" i="35"/>
  <c r="AV59" i="35" s="1"/>
  <c r="AR59" i="35"/>
  <c r="AQ59" i="35"/>
  <c r="AS59" i="35" s="1"/>
  <c r="AP59" i="35"/>
  <c r="AH59" i="35"/>
  <c r="L59" i="35"/>
  <c r="K59" i="35"/>
  <c r="AU58" i="35"/>
  <c r="AW58" i="35" s="1"/>
  <c r="AT58" i="35"/>
  <c r="AV58" i="35" s="1"/>
  <c r="AQ58" i="35"/>
  <c r="AS58" i="35" s="1"/>
  <c r="AP58" i="35"/>
  <c r="AR58" i="35" s="1"/>
  <c r="AH58" i="35"/>
  <c r="L58" i="35"/>
  <c r="K58" i="35"/>
  <c r="AU57" i="35"/>
  <c r="AW57" i="35" s="1"/>
  <c r="AT57" i="35"/>
  <c r="AV57" i="35" s="1"/>
  <c r="AS57" i="35"/>
  <c r="AQ57" i="35"/>
  <c r="AP57" i="35"/>
  <c r="AR57" i="35" s="1"/>
  <c r="AH57" i="35"/>
  <c r="L57" i="35"/>
  <c r="K57" i="35"/>
  <c r="AV56" i="35"/>
  <c r="AU56" i="35"/>
  <c r="AW56" i="35" s="1"/>
  <c r="AT56" i="35"/>
  <c r="AR56" i="35"/>
  <c r="AQ56" i="35"/>
  <c r="AS56" i="35" s="1"/>
  <c r="AP56" i="35"/>
  <c r="AH56" i="35"/>
  <c r="L56" i="35"/>
  <c r="K56" i="35"/>
  <c r="AU55" i="35"/>
  <c r="AW55" i="35" s="1"/>
  <c r="AT55" i="35"/>
  <c r="AV55" i="35" s="1"/>
  <c r="AR55" i="35"/>
  <c r="AQ55" i="35"/>
  <c r="AS55" i="35" s="1"/>
  <c r="AP55" i="35"/>
  <c r="AH55" i="35"/>
  <c r="L55" i="35"/>
  <c r="K55" i="35"/>
  <c r="AU54" i="35"/>
  <c r="AW54" i="35" s="1"/>
  <c r="AT54" i="35"/>
  <c r="AV54" i="35" s="1"/>
  <c r="AQ54" i="35"/>
  <c r="AS54" i="35" s="1"/>
  <c r="AP54" i="35"/>
  <c r="AR54" i="35" s="1"/>
  <c r="AH54" i="35"/>
  <c r="L54" i="35"/>
  <c r="K54" i="35"/>
  <c r="AU53" i="35"/>
  <c r="AW53" i="35" s="1"/>
  <c r="AT53" i="35"/>
  <c r="AV53" i="35" s="1"/>
  <c r="AS53" i="35"/>
  <c r="AQ53" i="35"/>
  <c r="AP53" i="35"/>
  <c r="AR53" i="35" s="1"/>
  <c r="AH53" i="35"/>
  <c r="L53" i="35"/>
  <c r="K53" i="35"/>
  <c r="AV52" i="35"/>
  <c r="AU52" i="35"/>
  <c r="AW52" i="35" s="1"/>
  <c r="AT52" i="35"/>
  <c r="AR52" i="35"/>
  <c r="AQ52" i="35"/>
  <c r="AS52" i="35" s="1"/>
  <c r="AP52" i="35"/>
  <c r="AH52" i="35"/>
  <c r="L52" i="35"/>
  <c r="K52" i="35"/>
  <c r="AU51" i="35"/>
  <c r="AW51" i="35" s="1"/>
  <c r="AT51" i="35"/>
  <c r="AV51" i="35" s="1"/>
  <c r="AR51" i="35"/>
  <c r="AQ51" i="35"/>
  <c r="AS51" i="35" s="1"/>
  <c r="AP51" i="35"/>
  <c r="AH51" i="35"/>
  <c r="L51" i="35"/>
  <c r="K51" i="35"/>
  <c r="AU50" i="35"/>
  <c r="AW50" i="35" s="1"/>
  <c r="AT50" i="35"/>
  <c r="AV50" i="35" s="1"/>
  <c r="AR50" i="35"/>
  <c r="AQ50" i="35"/>
  <c r="AS50" i="35" s="1"/>
  <c r="AP50" i="35"/>
  <c r="AH50" i="35"/>
  <c r="L50" i="35"/>
  <c r="K50" i="35"/>
  <c r="AU49" i="35"/>
  <c r="AW49" i="35" s="1"/>
  <c r="AT49" i="35"/>
  <c r="AV49" i="35" s="1"/>
  <c r="AQ49" i="35"/>
  <c r="AS49" i="35" s="1"/>
  <c r="AP49" i="35"/>
  <c r="AR49" i="35" s="1"/>
  <c r="AH49" i="35"/>
  <c r="L49" i="35"/>
  <c r="K49" i="35"/>
  <c r="AU48" i="35"/>
  <c r="AW48" i="35" s="1"/>
  <c r="AT48" i="35"/>
  <c r="AV48" i="35" s="1"/>
  <c r="AS48" i="35"/>
  <c r="AQ48" i="35"/>
  <c r="AP48" i="35"/>
  <c r="AR48" i="35" s="1"/>
  <c r="AH48" i="35"/>
  <c r="L48" i="35"/>
  <c r="K48" i="35"/>
  <c r="AV47" i="35"/>
  <c r="AU47" i="35"/>
  <c r="AW47" i="35" s="1"/>
  <c r="AT47" i="35"/>
  <c r="AR47" i="35"/>
  <c r="AQ47" i="35"/>
  <c r="AS47" i="35" s="1"/>
  <c r="AP47" i="35"/>
  <c r="AH47" i="35"/>
  <c r="L47" i="35"/>
  <c r="K47" i="35"/>
  <c r="AU46" i="35"/>
  <c r="AW46" i="35" s="1"/>
  <c r="AT46" i="35"/>
  <c r="AV46" i="35" s="1"/>
  <c r="AR46" i="35"/>
  <c r="AQ46" i="35"/>
  <c r="AS46" i="35" s="1"/>
  <c r="AP46" i="35"/>
  <c r="AH46" i="35"/>
  <c r="L46" i="35"/>
  <c r="K46" i="35"/>
  <c r="AU45" i="35"/>
  <c r="AW45" i="35" s="1"/>
  <c r="AT45" i="35"/>
  <c r="AV45" i="35" s="1"/>
  <c r="AQ45" i="35"/>
  <c r="AS45" i="35" s="1"/>
  <c r="AP45" i="35"/>
  <c r="AR45" i="35" s="1"/>
  <c r="AH45" i="35"/>
  <c r="L45" i="35"/>
  <c r="K45" i="35"/>
  <c r="AU44" i="35"/>
  <c r="AW44" i="35" s="1"/>
  <c r="AT44" i="35"/>
  <c r="AV44" i="35" s="1"/>
  <c r="AS44" i="35"/>
  <c r="AQ44" i="35"/>
  <c r="AP44" i="35"/>
  <c r="AR44" i="35" s="1"/>
  <c r="AH44" i="35"/>
  <c r="L44" i="35"/>
  <c r="K44" i="35"/>
  <c r="AV43" i="35"/>
  <c r="AU43" i="35"/>
  <c r="AW43" i="35" s="1"/>
  <c r="AT43" i="35"/>
  <c r="AR43" i="35"/>
  <c r="AQ43" i="35"/>
  <c r="AS43" i="35" s="1"/>
  <c r="AP43" i="35"/>
  <c r="AH43" i="35"/>
  <c r="L43" i="35"/>
  <c r="K43" i="35"/>
  <c r="AU42" i="35"/>
  <c r="AW42" i="35" s="1"/>
  <c r="AT42" i="35"/>
  <c r="AV42" i="35" s="1"/>
  <c r="AR42" i="35"/>
  <c r="AQ42" i="35"/>
  <c r="AS42" i="35" s="1"/>
  <c r="AP42" i="35"/>
  <c r="AH42" i="35"/>
  <c r="L42" i="35"/>
  <c r="K42" i="35"/>
  <c r="AU41" i="35"/>
  <c r="AW41" i="35" s="1"/>
  <c r="AT41" i="35"/>
  <c r="AV41" i="35" s="1"/>
  <c r="AQ41" i="35"/>
  <c r="AS41" i="35" s="1"/>
  <c r="AP41" i="35"/>
  <c r="AR41" i="35" s="1"/>
  <c r="AH41" i="35"/>
  <c r="L41" i="35"/>
  <c r="K41" i="35"/>
  <c r="AU40" i="35"/>
  <c r="AW40" i="35" s="1"/>
  <c r="AT40" i="35"/>
  <c r="AV40" i="35" s="1"/>
  <c r="AS40" i="35"/>
  <c r="AQ40" i="35"/>
  <c r="AP40" i="35"/>
  <c r="AR40" i="35" s="1"/>
  <c r="AH40" i="35"/>
  <c r="L40" i="35"/>
  <c r="K40" i="35"/>
  <c r="AV39" i="35"/>
  <c r="AU39" i="35"/>
  <c r="AW39" i="35" s="1"/>
  <c r="AT39" i="35"/>
  <c r="AR39" i="35"/>
  <c r="AQ39" i="35"/>
  <c r="AS39" i="35" s="1"/>
  <c r="AP39" i="35"/>
  <c r="AH39" i="35"/>
  <c r="L39" i="35"/>
  <c r="K39" i="35"/>
  <c r="AU38" i="35"/>
  <c r="AW38" i="35" s="1"/>
  <c r="AT38" i="35"/>
  <c r="AV38" i="35" s="1"/>
  <c r="AR38" i="35"/>
  <c r="AQ38" i="35"/>
  <c r="AS38" i="35" s="1"/>
  <c r="AP38" i="35"/>
  <c r="AH38" i="35"/>
  <c r="L38" i="35"/>
  <c r="K38" i="35"/>
  <c r="AU37" i="35"/>
  <c r="AW37" i="35" s="1"/>
  <c r="AT37" i="35"/>
  <c r="AV37" i="35" s="1"/>
  <c r="AQ37" i="35"/>
  <c r="AS37" i="35" s="1"/>
  <c r="AP37" i="35"/>
  <c r="AR37" i="35" s="1"/>
  <c r="AH37" i="35"/>
  <c r="L37" i="35"/>
  <c r="K37" i="35"/>
  <c r="AU36" i="35"/>
  <c r="AW36" i="35" s="1"/>
  <c r="AT36" i="35"/>
  <c r="AV36" i="35" s="1"/>
  <c r="AS36" i="35"/>
  <c r="AQ36" i="35"/>
  <c r="AP36" i="35"/>
  <c r="AR36" i="35" s="1"/>
  <c r="AH36" i="35"/>
  <c r="L36" i="35"/>
  <c r="K36" i="35"/>
  <c r="AV35" i="35"/>
  <c r="AU35" i="35"/>
  <c r="AW35" i="35" s="1"/>
  <c r="AT35" i="35"/>
  <c r="AR35" i="35"/>
  <c r="AQ35" i="35"/>
  <c r="AS35" i="35" s="1"/>
  <c r="AP35" i="35"/>
  <c r="AH35" i="35"/>
  <c r="L35" i="35"/>
  <c r="K35" i="35"/>
  <c r="AU34" i="35"/>
  <c r="AW34" i="35" s="1"/>
  <c r="AT34" i="35"/>
  <c r="AV34" i="35" s="1"/>
  <c r="AR34" i="35"/>
  <c r="AQ34" i="35"/>
  <c r="AS34" i="35" s="1"/>
  <c r="AP34" i="35"/>
  <c r="AH34" i="35"/>
  <c r="L34" i="35"/>
  <c r="K34" i="35"/>
  <c r="AU33" i="35"/>
  <c r="AW33" i="35" s="1"/>
  <c r="AT33" i="35"/>
  <c r="AV33" i="35" s="1"/>
  <c r="AQ33" i="35"/>
  <c r="AS33" i="35" s="1"/>
  <c r="AP33" i="35"/>
  <c r="AR33" i="35" s="1"/>
  <c r="AH33" i="35"/>
  <c r="L33" i="35"/>
  <c r="K33" i="35"/>
  <c r="AU32" i="35"/>
  <c r="AW32" i="35" s="1"/>
  <c r="AT32" i="35"/>
  <c r="AV32" i="35" s="1"/>
  <c r="AS32" i="35"/>
  <c r="AQ32" i="35"/>
  <c r="AP32" i="35"/>
  <c r="AR32" i="35" s="1"/>
  <c r="AH32" i="35"/>
  <c r="L32" i="35"/>
  <c r="K32" i="35"/>
  <c r="AV31" i="35"/>
  <c r="AU31" i="35"/>
  <c r="AW31" i="35" s="1"/>
  <c r="AT31" i="35"/>
  <c r="AR31" i="35"/>
  <c r="AQ31" i="35"/>
  <c r="AS31" i="35" s="1"/>
  <c r="AP31" i="35"/>
  <c r="AH31" i="35"/>
  <c r="L31" i="35"/>
  <c r="K31" i="35"/>
  <c r="AU30" i="35"/>
  <c r="AW30" i="35" s="1"/>
  <c r="AT30" i="35"/>
  <c r="AV30" i="35" s="1"/>
  <c r="AR30" i="35"/>
  <c r="AQ30" i="35"/>
  <c r="AS30" i="35" s="1"/>
  <c r="AP30" i="35"/>
  <c r="AH30" i="35"/>
  <c r="L30" i="35"/>
  <c r="K30" i="35"/>
  <c r="AU29" i="35"/>
  <c r="AW29" i="35" s="1"/>
  <c r="AT29" i="35"/>
  <c r="AV29" i="35" s="1"/>
  <c r="AQ29" i="35"/>
  <c r="AS29" i="35" s="1"/>
  <c r="AP29" i="35"/>
  <c r="AR29" i="35" s="1"/>
  <c r="AH29" i="35"/>
  <c r="L29" i="35"/>
  <c r="K29" i="35"/>
  <c r="AU28" i="35"/>
  <c r="AW28" i="35" s="1"/>
  <c r="AT28" i="35"/>
  <c r="AV28" i="35" s="1"/>
  <c r="AS28" i="35"/>
  <c r="AQ28" i="35"/>
  <c r="AP28" i="35"/>
  <c r="AR28" i="35" s="1"/>
  <c r="AH28" i="35"/>
  <c r="L28" i="35"/>
  <c r="K28" i="35"/>
  <c r="AV27" i="35"/>
  <c r="AU27" i="35"/>
  <c r="AW27" i="35" s="1"/>
  <c r="AT27" i="35"/>
  <c r="AR27" i="35"/>
  <c r="AQ27" i="35"/>
  <c r="AS27" i="35" s="1"/>
  <c r="AP27" i="35"/>
  <c r="AH27" i="35"/>
  <c r="L27" i="35"/>
  <c r="K27" i="35"/>
  <c r="AU26" i="35"/>
  <c r="AW26" i="35" s="1"/>
  <c r="AT26" i="35"/>
  <c r="AV26" i="35" s="1"/>
  <c r="AR26" i="35"/>
  <c r="AQ26" i="35"/>
  <c r="AS26" i="35" s="1"/>
  <c r="AP26" i="35"/>
  <c r="AH26" i="35"/>
  <c r="L26" i="35"/>
  <c r="K26" i="35"/>
  <c r="AU25" i="35"/>
  <c r="AW25" i="35" s="1"/>
  <c r="AT25" i="35"/>
  <c r="AV25" i="35" s="1"/>
  <c r="AQ25" i="35"/>
  <c r="AS25" i="35" s="1"/>
  <c r="AP25" i="35"/>
  <c r="AR25" i="35" s="1"/>
  <c r="AH25" i="35"/>
  <c r="L25" i="35"/>
  <c r="K25" i="35"/>
  <c r="AU24" i="35"/>
  <c r="AW24" i="35" s="1"/>
  <c r="AT24" i="35"/>
  <c r="AV24" i="35" s="1"/>
  <c r="AS24" i="35"/>
  <c r="AQ24" i="35"/>
  <c r="AP24" i="35"/>
  <c r="AR24" i="35" s="1"/>
  <c r="AH24" i="35"/>
  <c r="L24" i="35"/>
  <c r="K24" i="35"/>
  <c r="AV23" i="35"/>
  <c r="AU23" i="35"/>
  <c r="AW23" i="35" s="1"/>
  <c r="AT23" i="35"/>
  <c r="AR23" i="35"/>
  <c r="AQ23" i="35"/>
  <c r="AS23" i="35" s="1"/>
  <c r="AP23" i="35"/>
  <c r="AH23" i="35"/>
  <c r="L23" i="35"/>
  <c r="K23" i="35"/>
  <c r="AU22" i="35"/>
  <c r="AW22" i="35" s="1"/>
  <c r="AT22" i="35"/>
  <c r="AV22" i="35" s="1"/>
  <c r="AR22" i="35"/>
  <c r="AQ22" i="35"/>
  <c r="AS22" i="35" s="1"/>
  <c r="AP22" i="35"/>
  <c r="AH22" i="35"/>
  <c r="L22" i="35"/>
  <c r="K22" i="35"/>
  <c r="AU21" i="35"/>
  <c r="AW21" i="35" s="1"/>
  <c r="AT21" i="35"/>
  <c r="AV21" i="35" s="1"/>
  <c r="AQ21" i="35"/>
  <c r="AS21" i="35" s="1"/>
  <c r="AP21" i="35"/>
  <c r="AR21" i="35" s="1"/>
  <c r="AH21" i="35"/>
  <c r="L21" i="35"/>
  <c r="K21" i="35"/>
  <c r="AU20" i="35"/>
  <c r="AW20" i="35" s="1"/>
  <c r="AT20" i="35"/>
  <c r="AV20" i="35" s="1"/>
  <c r="AS20" i="35"/>
  <c r="AQ20" i="35"/>
  <c r="AP20" i="35"/>
  <c r="AR20" i="35" s="1"/>
  <c r="AH20" i="35"/>
  <c r="L20" i="35"/>
  <c r="K20" i="35"/>
  <c r="AV19" i="35"/>
  <c r="AU19" i="35"/>
  <c r="AW19" i="35" s="1"/>
  <c r="AT19" i="35"/>
  <c r="AR19" i="35"/>
  <c r="AQ19" i="35"/>
  <c r="AS19" i="35" s="1"/>
  <c r="AP19" i="35"/>
  <c r="AH19" i="35"/>
  <c r="L19" i="35"/>
  <c r="K19" i="35"/>
  <c r="AU18" i="35"/>
  <c r="AW18" i="35" s="1"/>
  <c r="AT18" i="35"/>
  <c r="AV18" i="35" s="1"/>
  <c r="AR18" i="35"/>
  <c r="AQ18" i="35"/>
  <c r="AS18" i="35" s="1"/>
  <c r="AP18" i="35"/>
  <c r="AH18" i="35"/>
  <c r="L18" i="35"/>
  <c r="K18" i="35"/>
  <c r="AU17" i="35"/>
  <c r="AW17" i="35" s="1"/>
  <c r="AT17" i="35"/>
  <c r="AV17" i="35" s="1"/>
  <c r="AQ17" i="35"/>
  <c r="AS17" i="35" s="1"/>
  <c r="AP17" i="35"/>
  <c r="AR17" i="35" s="1"/>
  <c r="AH17" i="35"/>
  <c r="L17" i="35"/>
  <c r="K17" i="35"/>
  <c r="AU16" i="35"/>
  <c r="AW16" i="35" s="1"/>
  <c r="AT16" i="35"/>
  <c r="AV16" i="35" s="1"/>
  <c r="AS16" i="35"/>
  <c r="AQ16" i="35"/>
  <c r="AP16" i="35"/>
  <c r="AR16" i="35" s="1"/>
  <c r="AH16" i="35"/>
  <c r="L16" i="35"/>
  <c r="K16" i="35"/>
  <c r="AV15" i="35"/>
  <c r="AU15" i="35"/>
  <c r="AW15" i="35" s="1"/>
  <c r="AT15" i="35"/>
  <c r="AR15" i="35"/>
  <c r="AQ15" i="35"/>
  <c r="AS15" i="35" s="1"/>
  <c r="AP15" i="35"/>
  <c r="AH15" i="35"/>
  <c r="L15" i="35"/>
  <c r="K15" i="35"/>
  <c r="AU14" i="35"/>
  <c r="AW14" i="35" s="1"/>
  <c r="AT14" i="35"/>
  <c r="AV14" i="35" s="1"/>
  <c r="AR14" i="35"/>
  <c r="AQ14" i="35"/>
  <c r="AS14" i="35" s="1"/>
  <c r="AP14" i="35"/>
  <c r="AH14" i="35"/>
  <c r="L14" i="35"/>
  <c r="K14" i="35"/>
  <c r="AU13" i="35"/>
  <c r="AW13" i="35" s="1"/>
  <c r="AT13" i="35"/>
  <c r="AV13" i="35" s="1"/>
  <c r="AQ13" i="35"/>
  <c r="AS13" i="35" s="1"/>
  <c r="AP13" i="35"/>
  <c r="AR13" i="35" s="1"/>
  <c r="AH13" i="35"/>
  <c r="L13" i="35"/>
  <c r="K13" i="35"/>
  <c r="AU12" i="35"/>
  <c r="AW12" i="35" s="1"/>
  <c r="AT12" i="35"/>
  <c r="AV12" i="35" s="1"/>
  <c r="AS12" i="35"/>
  <c r="AQ12" i="35"/>
  <c r="AP12" i="35"/>
  <c r="AR12" i="35" s="1"/>
  <c r="AH12" i="35"/>
  <c r="L12" i="35"/>
  <c r="K12" i="35"/>
  <c r="AV11" i="35"/>
  <c r="AU11" i="35"/>
  <c r="AW11" i="35" s="1"/>
  <c r="AT11" i="35"/>
  <c r="AR11" i="35"/>
  <c r="AQ11" i="35"/>
  <c r="AS11" i="35" s="1"/>
  <c r="AP11" i="35"/>
  <c r="AH11" i="35"/>
  <c r="L11" i="35"/>
  <c r="K11" i="35"/>
  <c r="AU10" i="35"/>
  <c r="AW10" i="35" s="1"/>
  <c r="AT10" i="35"/>
  <c r="AV10" i="35" s="1"/>
  <c r="AR10" i="35"/>
  <c r="AQ10" i="35"/>
  <c r="AS10" i="35" s="1"/>
  <c r="AP10" i="35"/>
  <c r="AH10" i="35"/>
  <c r="L10" i="35"/>
  <c r="K10" i="35"/>
  <c r="AU9" i="35"/>
  <c r="AW9" i="35" s="1"/>
  <c r="AT9" i="35"/>
  <c r="AV9" i="35" s="1"/>
  <c r="AQ9" i="35"/>
  <c r="AS9" i="35" s="1"/>
  <c r="AP9" i="35"/>
  <c r="AR9" i="35" s="1"/>
  <c r="AH9" i="35"/>
  <c r="L9" i="35"/>
  <c r="K9" i="35"/>
  <c r="AU8" i="35"/>
  <c r="AW8" i="35" s="1"/>
  <c r="AT8" i="35"/>
  <c r="AV8" i="35" s="1"/>
  <c r="AS8" i="35"/>
  <c r="AQ8" i="35"/>
  <c r="AP8" i="35"/>
  <c r="AR8" i="35" s="1"/>
  <c r="AH8" i="35"/>
  <c r="L8" i="35"/>
  <c r="K8" i="35"/>
  <c r="AV7" i="35"/>
  <c r="AU7" i="35"/>
  <c r="AW7" i="35" s="1"/>
  <c r="AT7" i="35"/>
  <c r="AR7" i="35"/>
  <c r="AQ7" i="35"/>
  <c r="AS7" i="35" s="1"/>
  <c r="AP7" i="35"/>
  <c r="AH7" i="35"/>
  <c r="L7" i="35"/>
  <c r="K7" i="35"/>
  <c r="AU6" i="35"/>
  <c r="AW6" i="35" s="1"/>
  <c r="AT6" i="35"/>
  <c r="AV6" i="35" s="1"/>
  <c r="AR6" i="35"/>
  <c r="AQ6" i="35"/>
  <c r="AS6" i="35" s="1"/>
  <c r="AP6" i="35"/>
  <c r="AH6" i="35"/>
  <c r="L6" i="35"/>
  <c r="K6" i="35"/>
  <c r="AU5" i="35"/>
  <c r="AW5" i="35" s="1"/>
  <c r="AT5" i="35"/>
  <c r="AV5" i="35" s="1"/>
  <c r="AQ5" i="35"/>
  <c r="AS5" i="35" s="1"/>
  <c r="AP5" i="35"/>
  <c r="AR5" i="35" s="1"/>
  <c r="AH5" i="35"/>
  <c r="L5" i="35"/>
  <c r="K5" i="35"/>
  <c r="AU4" i="35"/>
  <c r="AW4" i="35" s="1"/>
  <c r="AT4" i="35"/>
  <c r="AV4" i="35" s="1"/>
  <c r="AS4" i="35"/>
  <c r="AQ4" i="35"/>
  <c r="AP4" i="35"/>
  <c r="AR4" i="35" s="1"/>
  <c r="AH4" i="35"/>
  <c r="L4" i="35"/>
  <c r="K4" i="35"/>
  <c r="AV3" i="35"/>
  <c r="AU3" i="35"/>
  <c r="AW3" i="35" s="1"/>
  <c r="AT3" i="35"/>
  <c r="AR3" i="35"/>
  <c r="AQ3" i="35"/>
  <c r="AS3" i="35" s="1"/>
  <c r="AP3" i="35"/>
  <c r="AH3" i="35"/>
  <c r="L3" i="35"/>
  <c r="K3" i="35"/>
  <c r="L119" i="34"/>
  <c r="E118" i="34"/>
  <c r="R116" i="34"/>
  <c r="Q116" i="34"/>
  <c r="P116" i="34"/>
  <c r="O116" i="34"/>
  <c r="N116" i="34"/>
  <c r="M116" i="34"/>
  <c r="L116" i="34"/>
  <c r="K116" i="34"/>
  <c r="J116" i="34"/>
  <c r="I116" i="34"/>
  <c r="H116" i="34"/>
  <c r="G116" i="34"/>
  <c r="F116" i="34"/>
  <c r="E116" i="34"/>
  <c r="R113" i="34"/>
  <c r="Q113" i="34"/>
  <c r="P113" i="34"/>
  <c r="L113" i="34"/>
  <c r="K113" i="34"/>
  <c r="J113" i="34"/>
  <c r="I113" i="34"/>
  <c r="F113" i="34"/>
  <c r="E113" i="34"/>
  <c r="R112" i="34"/>
  <c r="Q112" i="34"/>
  <c r="P112" i="34"/>
  <c r="O112" i="34"/>
  <c r="N112" i="34"/>
  <c r="M112" i="34"/>
  <c r="L112" i="34"/>
  <c r="K112" i="34"/>
  <c r="I112" i="34"/>
  <c r="H112" i="34"/>
  <c r="G112" i="34"/>
  <c r="F112" i="34"/>
  <c r="E112" i="34"/>
  <c r="O111" i="34"/>
  <c r="N111" i="34"/>
  <c r="M111" i="34"/>
  <c r="J111" i="34"/>
  <c r="R110" i="34"/>
  <c r="Q110" i="34"/>
  <c r="P110" i="34"/>
  <c r="O110" i="34"/>
  <c r="N110" i="34"/>
  <c r="M110" i="34"/>
  <c r="L110" i="34"/>
  <c r="K110" i="34"/>
  <c r="J110" i="34"/>
  <c r="I110" i="34"/>
  <c r="H110" i="34"/>
  <c r="G110" i="34"/>
  <c r="F110" i="34"/>
  <c r="E110" i="34"/>
  <c r="H108" i="34"/>
  <c r="R107" i="34"/>
  <c r="Q107" i="34"/>
  <c r="Q119" i="34" s="1"/>
  <c r="P107" i="34"/>
  <c r="P119" i="34" s="1"/>
  <c r="L107" i="34"/>
  <c r="K107" i="34"/>
  <c r="K119" i="34" s="1"/>
  <c r="J107" i="34"/>
  <c r="J119" i="34" s="1"/>
  <c r="I107" i="34"/>
  <c r="I119" i="34" s="1"/>
  <c r="H107" i="34"/>
  <c r="F107" i="34"/>
  <c r="F119" i="34" s="1"/>
  <c r="E107" i="34"/>
  <c r="R106" i="34"/>
  <c r="R118" i="34" s="1"/>
  <c r="Q106" i="34"/>
  <c r="Q118" i="34" s="1"/>
  <c r="P106" i="34"/>
  <c r="P118" i="34" s="1"/>
  <c r="O106" i="34"/>
  <c r="N106" i="34"/>
  <c r="N118" i="34" s="1"/>
  <c r="M106" i="34"/>
  <c r="M118" i="34" s="1"/>
  <c r="L106" i="34"/>
  <c r="L118" i="34" s="1"/>
  <c r="K106" i="34"/>
  <c r="I106" i="34"/>
  <c r="I118" i="34" s="1"/>
  <c r="H106" i="34"/>
  <c r="H118" i="34" s="1"/>
  <c r="G106" i="34"/>
  <c r="F106" i="34"/>
  <c r="F118" i="34" s="1"/>
  <c r="E106" i="34"/>
  <c r="D106" i="34"/>
  <c r="Q105" i="34"/>
  <c r="P105" i="34"/>
  <c r="O105" i="34"/>
  <c r="O117" i="34" s="1"/>
  <c r="N105" i="34"/>
  <c r="N117" i="34" s="1"/>
  <c r="M105" i="34"/>
  <c r="M117" i="34" s="1"/>
  <c r="J105" i="34"/>
  <c r="J117" i="34" s="1"/>
  <c r="I105" i="34"/>
  <c r="H105" i="34"/>
  <c r="E105" i="34"/>
  <c r="D105" i="34"/>
  <c r="R104" i="34"/>
  <c r="Q104" i="34"/>
  <c r="P104" i="34"/>
  <c r="O104" i="34"/>
  <c r="N104" i="34"/>
  <c r="M104" i="34"/>
  <c r="L104" i="34"/>
  <c r="K104" i="34"/>
  <c r="J104" i="34"/>
  <c r="I104" i="34"/>
  <c r="H104" i="34"/>
  <c r="G104" i="34"/>
  <c r="F104" i="34"/>
  <c r="E104" i="34"/>
  <c r="R99" i="34"/>
  <c r="Q99" i="34"/>
  <c r="P99" i="34"/>
  <c r="L99" i="34"/>
  <c r="K99" i="34"/>
  <c r="J99" i="34"/>
  <c r="I99" i="34"/>
  <c r="F99" i="34"/>
  <c r="E99" i="34"/>
  <c r="R98" i="34"/>
  <c r="Q98" i="34"/>
  <c r="P98" i="34"/>
  <c r="O98" i="34"/>
  <c r="N98" i="34"/>
  <c r="M98" i="34"/>
  <c r="L98" i="34"/>
  <c r="K98" i="34"/>
  <c r="J98" i="34"/>
  <c r="I98" i="34"/>
  <c r="H98" i="34"/>
  <c r="G98" i="34"/>
  <c r="F98" i="34"/>
  <c r="T98" i="34" s="1"/>
  <c r="E98" i="34"/>
  <c r="O97" i="34"/>
  <c r="N97" i="34"/>
  <c r="M97" i="34"/>
  <c r="J97" i="34"/>
  <c r="G97" i="34"/>
  <c r="R96" i="34"/>
  <c r="Q96" i="34"/>
  <c r="P96" i="34"/>
  <c r="O96" i="34"/>
  <c r="N96" i="34"/>
  <c r="M96" i="34"/>
  <c r="L96" i="34"/>
  <c r="K96" i="34"/>
  <c r="J96" i="34"/>
  <c r="I96" i="34"/>
  <c r="H96" i="34"/>
  <c r="G96" i="34"/>
  <c r="F96" i="34"/>
  <c r="E96" i="34"/>
  <c r="P94" i="34"/>
  <c r="H94" i="34"/>
  <c r="E94" i="34"/>
  <c r="O93" i="34"/>
  <c r="O94" i="34" s="1"/>
  <c r="N93" i="34"/>
  <c r="N94" i="34" s="1"/>
  <c r="M93" i="34"/>
  <c r="M94" i="34" s="1"/>
  <c r="H93" i="34"/>
  <c r="G93" i="34"/>
  <c r="G99" i="34" s="1"/>
  <c r="D93" i="34"/>
  <c r="T92" i="34"/>
  <c r="J92" i="34"/>
  <c r="J94" i="34" s="1"/>
  <c r="D92" i="34"/>
  <c r="R91" i="34"/>
  <c r="R94" i="34" s="1"/>
  <c r="Q91" i="34"/>
  <c r="Q94" i="34" s="1"/>
  <c r="P91" i="34"/>
  <c r="L91" i="34"/>
  <c r="L94" i="34" s="1"/>
  <c r="K91" i="34"/>
  <c r="K94" i="34" s="1"/>
  <c r="I91" i="34"/>
  <c r="I94" i="34" s="1"/>
  <c r="H91" i="34"/>
  <c r="G91" i="34"/>
  <c r="G94" i="34" s="1"/>
  <c r="F91" i="34"/>
  <c r="F94" i="34" s="1"/>
  <c r="F100" i="34" s="1"/>
  <c r="E91" i="34"/>
  <c r="D91" i="34"/>
  <c r="D94" i="34" s="1"/>
  <c r="R90" i="34"/>
  <c r="Q90" i="34"/>
  <c r="P90" i="34"/>
  <c r="O90" i="34"/>
  <c r="N90" i="34"/>
  <c r="M90" i="34"/>
  <c r="L90" i="34"/>
  <c r="K90" i="34"/>
  <c r="J90" i="34"/>
  <c r="I90" i="34"/>
  <c r="H90" i="34"/>
  <c r="G90" i="34"/>
  <c r="F90" i="34"/>
  <c r="E90" i="34"/>
  <c r="Q88" i="34"/>
  <c r="Q100" i="34" s="1"/>
  <c r="P88" i="34"/>
  <c r="I88" i="34"/>
  <c r="H88" i="34"/>
  <c r="H100" i="34" s="1"/>
  <c r="E88" i="34"/>
  <c r="O87" i="34"/>
  <c r="O88" i="34" s="1"/>
  <c r="N87" i="34"/>
  <c r="M87" i="34"/>
  <c r="H87" i="34"/>
  <c r="H99" i="34" s="1"/>
  <c r="G87" i="34"/>
  <c r="D87" i="34"/>
  <c r="T86" i="34"/>
  <c r="J86" i="34"/>
  <c r="J88" i="34" s="1"/>
  <c r="J100" i="34" s="1"/>
  <c r="D86" i="34"/>
  <c r="R85" i="34"/>
  <c r="R88" i="34" s="1"/>
  <c r="R100" i="34" s="1"/>
  <c r="Q85" i="34"/>
  <c r="P85" i="34"/>
  <c r="P97" i="34" s="1"/>
  <c r="L85" i="34"/>
  <c r="K85" i="34"/>
  <c r="K88" i="34" s="1"/>
  <c r="K100" i="34" s="1"/>
  <c r="I85" i="34"/>
  <c r="H85" i="34"/>
  <c r="H97" i="34" s="1"/>
  <c r="G85" i="34"/>
  <c r="G88" i="34" s="1"/>
  <c r="F85" i="34"/>
  <c r="F88" i="34" s="1"/>
  <c r="E85" i="34"/>
  <c r="D85" i="34"/>
  <c r="D97" i="34" s="1"/>
  <c r="R84" i="34"/>
  <c r="Q84" i="34"/>
  <c r="P84" i="34"/>
  <c r="O84" i="34"/>
  <c r="N84" i="34"/>
  <c r="M84" i="34"/>
  <c r="L84" i="34"/>
  <c r="K84" i="34"/>
  <c r="J84" i="34"/>
  <c r="I84" i="34"/>
  <c r="H84" i="34"/>
  <c r="G84" i="34"/>
  <c r="F84" i="34"/>
  <c r="E84" i="34"/>
  <c r="R80" i="34"/>
  <c r="Q80" i="34"/>
  <c r="P80" i="34"/>
  <c r="L80" i="34"/>
  <c r="K80" i="34"/>
  <c r="J80" i="34"/>
  <c r="I80" i="34"/>
  <c r="F80" i="34"/>
  <c r="E80" i="34"/>
  <c r="R79" i="34"/>
  <c r="Q79" i="34"/>
  <c r="P79" i="34"/>
  <c r="O79" i="34"/>
  <c r="N79" i="34"/>
  <c r="M79" i="34"/>
  <c r="L79" i="34"/>
  <c r="K79" i="34"/>
  <c r="I79" i="34"/>
  <c r="H79" i="34"/>
  <c r="G79" i="34"/>
  <c r="F79" i="34"/>
  <c r="E79" i="34"/>
  <c r="Q78" i="34"/>
  <c r="O78" i="34"/>
  <c r="N78" i="34"/>
  <c r="M78" i="34"/>
  <c r="J78" i="34"/>
  <c r="I78" i="34"/>
  <c r="E78" i="34"/>
  <c r="Q75" i="34"/>
  <c r="I75" i="34"/>
  <c r="E75" i="34"/>
  <c r="O74" i="34"/>
  <c r="O75" i="34" s="1"/>
  <c r="N74" i="34"/>
  <c r="N75" i="34" s="1"/>
  <c r="M74" i="34"/>
  <c r="H74" i="34"/>
  <c r="H113" i="34" s="1"/>
  <c r="G74" i="34"/>
  <c r="G113" i="34" s="1"/>
  <c r="D74" i="34"/>
  <c r="J73" i="34"/>
  <c r="J75" i="34" s="1"/>
  <c r="D73" i="34"/>
  <c r="D112" i="34" s="1"/>
  <c r="R72" i="34"/>
  <c r="R75" i="34" s="1"/>
  <c r="Q72" i="34"/>
  <c r="P72" i="34"/>
  <c r="P111" i="34" s="1"/>
  <c r="P114" i="34" s="1"/>
  <c r="L72" i="34"/>
  <c r="K72" i="34"/>
  <c r="K75" i="34" s="1"/>
  <c r="I72" i="34"/>
  <c r="H72" i="34"/>
  <c r="H111" i="34" s="1"/>
  <c r="H114" i="34" s="1"/>
  <c r="G72" i="34"/>
  <c r="F72" i="34"/>
  <c r="E72" i="34"/>
  <c r="D72" i="34"/>
  <c r="D111" i="34" s="1"/>
  <c r="R71" i="34"/>
  <c r="Q71" i="34"/>
  <c r="P71" i="34"/>
  <c r="O71" i="34"/>
  <c r="N71" i="34"/>
  <c r="M71" i="34"/>
  <c r="L71" i="34"/>
  <c r="K71" i="34"/>
  <c r="J71" i="34"/>
  <c r="I71" i="34"/>
  <c r="H71" i="34"/>
  <c r="G71" i="34"/>
  <c r="F71" i="34"/>
  <c r="E71" i="34"/>
  <c r="Q69" i="34"/>
  <c r="P69" i="34"/>
  <c r="M69" i="34"/>
  <c r="I69" i="34"/>
  <c r="H69" i="34"/>
  <c r="E69" i="34"/>
  <c r="E81" i="34" s="1"/>
  <c r="O68" i="34"/>
  <c r="O107" i="34" s="1"/>
  <c r="N68" i="34"/>
  <c r="M68" i="34"/>
  <c r="H68" i="34"/>
  <c r="G68" i="34"/>
  <c r="G107" i="34" s="1"/>
  <c r="D68" i="34"/>
  <c r="T67" i="34"/>
  <c r="J67" i="34"/>
  <c r="J106" i="34" s="1"/>
  <c r="D67" i="34"/>
  <c r="R66" i="34"/>
  <c r="Q66" i="34"/>
  <c r="P66" i="34"/>
  <c r="L66" i="34"/>
  <c r="K66" i="34"/>
  <c r="I66" i="34"/>
  <c r="H66" i="34"/>
  <c r="G66" i="34"/>
  <c r="F66" i="34"/>
  <c r="E66" i="34"/>
  <c r="D66" i="34"/>
  <c r="AW60" i="34"/>
  <c r="AV60" i="34"/>
  <c r="AU60" i="34"/>
  <c r="AT60" i="34"/>
  <c r="AS60" i="34"/>
  <c r="AR60" i="34"/>
  <c r="AQ60" i="34"/>
  <c r="AP60" i="34"/>
  <c r="AH60" i="34"/>
  <c r="L60" i="34"/>
  <c r="K60" i="34"/>
  <c r="AU59" i="34"/>
  <c r="AW59" i="34" s="1"/>
  <c r="AT59" i="34"/>
  <c r="AV59" i="34" s="1"/>
  <c r="AQ59" i="34"/>
  <c r="AS59" i="34" s="1"/>
  <c r="AP59" i="34"/>
  <c r="AR59" i="34" s="1"/>
  <c r="AH59" i="34"/>
  <c r="L59" i="34"/>
  <c r="K59" i="34"/>
  <c r="AU58" i="34"/>
  <c r="AW58" i="34" s="1"/>
  <c r="AT58" i="34"/>
  <c r="AV58" i="34" s="1"/>
  <c r="AQ58" i="34"/>
  <c r="AS58" i="34" s="1"/>
  <c r="AP58" i="34"/>
  <c r="AR58" i="34" s="1"/>
  <c r="AH58" i="34"/>
  <c r="L58" i="34"/>
  <c r="K58" i="34"/>
  <c r="AW57" i="34"/>
  <c r="AU57" i="34"/>
  <c r="AT57" i="34"/>
  <c r="AV57" i="34" s="1"/>
  <c r="AQ57" i="34"/>
  <c r="AS57" i="34" s="1"/>
  <c r="AP57" i="34"/>
  <c r="AR57" i="34" s="1"/>
  <c r="AH57" i="34"/>
  <c r="L57" i="34"/>
  <c r="K57" i="34"/>
  <c r="AW56" i="34"/>
  <c r="AV56" i="34"/>
  <c r="AU56" i="34"/>
  <c r="AT56" i="34"/>
  <c r="AS56" i="34"/>
  <c r="AR56" i="34"/>
  <c r="AQ56" i="34"/>
  <c r="AP56" i="34"/>
  <c r="AH56" i="34"/>
  <c r="L56" i="34"/>
  <c r="K56" i="34"/>
  <c r="AU55" i="34"/>
  <c r="AW55" i="34" s="1"/>
  <c r="AT55" i="34"/>
  <c r="AV55" i="34" s="1"/>
  <c r="AQ55" i="34"/>
  <c r="AS55" i="34" s="1"/>
  <c r="AP55" i="34"/>
  <c r="AR55" i="34" s="1"/>
  <c r="AH55" i="34"/>
  <c r="L55" i="34"/>
  <c r="K55" i="34"/>
  <c r="AU54" i="34"/>
  <c r="AW54" i="34" s="1"/>
  <c r="AT54" i="34"/>
  <c r="AV54" i="34" s="1"/>
  <c r="AQ54" i="34"/>
  <c r="AS54" i="34" s="1"/>
  <c r="AP54" i="34"/>
  <c r="AR54" i="34" s="1"/>
  <c r="AH54" i="34"/>
  <c r="L54" i="34"/>
  <c r="K54" i="34"/>
  <c r="AW53" i="34"/>
  <c r="AU53" i="34"/>
  <c r="AT53" i="34"/>
  <c r="AV53" i="34" s="1"/>
  <c r="AQ53" i="34"/>
  <c r="AS53" i="34" s="1"/>
  <c r="AP53" i="34"/>
  <c r="AR53" i="34" s="1"/>
  <c r="AH53" i="34"/>
  <c r="L53" i="34"/>
  <c r="K53" i="34"/>
  <c r="AW52" i="34"/>
  <c r="AV52" i="34"/>
  <c r="AU52" i="34"/>
  <c r="AT52" i="34"/>
  <c r="AS52" i="34"/>
  <c r="AR52" i="34"/>
  <c r="AQ52" i="34"/>
  <c r="AP52" i="34"/>
  <c r="AH52" i="34"/>
  <c r="L52" i="34"/>
  <c r="K52" i="34"/>
  <c r="AU51" i="34"/>
  <c r="AW51" i="34" s="1"/>
  <c r="AT51" i="34"/>
  <c r="AV51" i="34" s="1"/>
  <c r="AQ51" i="34"/>
  <c r="AS51" i="34" s="1"/>
  <c r="AP51" i="34"/>
  <c r="AR51" i="34" s="1"/>
  <c r="AH51" i="34"/>
  <c r="L51" i="34"/>
  <c r="K51" i="34"/>
  <c r="AU50" i="34"/>
  <c r="AW50" i="34" s="1"/>
  <c r="AT50" i="34"/>
  <c r="AV50" i="34" s="1"/>
  <c r="AQ50" i="34"/>
  <c r="AS50" i="34" s="1"/>
  <c r="AP50" i="34"/>
  <c r="AR50" i="34" s="1"/>
  <c r="AH50" i="34"/>
  <c r="L50" i="34"/>
  <c r="K50" i="34"/>
  <c r="AU49" i="34"/>
  <c r="AW49" i="34" s="1"/>
  <c r="AT49" i="34"/>
  <c r="AV49" i="34" s="1"/>
  <c r="AQ49" i="34"/>
  <c r="AS49" i="34" s="1"/>
  <c r="AP49" i="34"/>
  <c r="AR49" i="34" s="1"/>
  <c r="AH49" i="34"/>
  <c r="L49" i="34"/>
  <c r="K49" i="34"/>
  <c r="AW48" i="34"/>
  <c r="AU48" i="34"/>
  <c r="AT48" i="34"/>
  <c r="AV48" i="34" s="1"/>
  <c r="AQ48" i="34"/>
  <c r="AS48" i="34" s="1"/>
  <c r="AP48" i="34"/>
  <c r="AR48" i="34" s="1"/>
  <c r="AH48" i="34"/>
  <c r="L48" i="34"/>
  <c r="K48" i="34"/>
  <c r="AW47" i="34"/>
  <c r="AV47" i="34"/>
  <c r="AU47" i="34"/>
  <c r="AT47" i="34"/>
  <c r="AS47" i="34"/>
  <c r="AR47" i="34"/>
  <c r="AQ47" i="34"/>
  <c r="AP47" i="34"/>
  <c r="AH47" i="34"/>
  <c r="L47" i="34"/>
  <c r="K47" i="34"/>
  <c r="AU46" i="34"/>
  <c r="AW46" i="34" s="1"/>
  <c r="AT46" i="34"/>
  <c r="AV46" i="34" s="1"/>
  <c r="AQ46" i="34"/>
  <c r="AS46" i="34" s="1"/>
  <c r="AP46" i="34"/>
  <c r="AR46" i="34" s="1"/>
  <c r="AH46" i="34"/>
  <c r="L46" i="34"/>
  <c r="K46" i="34"/>
  <c r="AU45" i="34"/>
  <c r="AW45" i="34" s="1"/>
  <c r="AT45" i="34"/>
  <c r="AV45" i="34" s="1"/>
  <c r="AQ45" i="34"/>
  <c r="AS45" i="34" s="1"/>
  <c r="AP45" i="34"/>
  <c r="AR45" i="34" s="1"/>
  <c r="AH45" i="34"/>
  <c r="L45" i="34"/>
  <c r="K45" i="34"/>
  <c r="AW44" i="34"/>
  <c r="AU44" i="34"/>
  <c r="AT44" i="34"/>
  <c r="AV44" i="34" s="1"/>
  <c r="AQ44" i="34"/>
  <c r="AS44" i="34" s="1"/>
  <c r="AP44" i="34"/>
  <c r="AR44" i="34" s="1"/>
  <c r="AH44" i="34"/>
  <c r="L44" i="34"/>
  <c r="K44" i="34"/>
  <c r="AW43" i="34"/>
  <c r="AV43" i="34"/>
  <c r="AU43" i="34"/>
  <c r="AT43" i="34"/>
  <c r="AS43" i="34"/>
  <c r="AR43" i="34"/>
  <c r="AQ43" i="34"/>
  <c r="AP43" i="34"/>
  <c r="AH43" i="34"/>
  <c r="L43" i="34"/>
  <c r="K43" i="34"/>
  <c r="AU42" i="34"/>
  <c r="AW42" i="34" s="1"/>
  <c r="AT42" i="34"/>
  <c r="AV42" i="34" s="1"/>
  <c r="AQ42" i="34"/>
  <c r="AS42" i="34" s="1"/>
  <c r="AP42" i="34"/>
  <c r="AR42" i="34" s="1"/>
  <c r="AH42" i="34"/>
  <c r="L42" i="34"/>
  <c r="K42" i="34"/>
  <c r="AU41" i="34"/>
  <c r="AW41" i="34" s="1"/>
  <c r="AT41" i="34"/>
  <c r="AV41" i="34" s="1"/>
  <c r="AQ41" i="34"/>
  <c r="AS41" i="34" s="1"/>
  <c r="AP41" i="34"/>
  <c r="AR41" i="34" s="1"/>
  <c r="AH41" i="34"/>
  <c r="L41" i="34"/>
  <c r="K41" i="34"/>
  <c r="AW40" i="34"/>
  <c r="AU40" i="34"/>
  <c r="AT40" i="34"/>
  <c r="AV40" i="34" s="1"/>
  <c r="AQ40" i="34"/>
  <c r="AS40" i="34" s="1"/>
  <c r="AP40" i="34"/>
  <c r="AR40" i="34" s="1"/>
  <c r="AH40" i="34"/>
  <c r="L40" i="34"/>
  <c r="K40" i="34"/>
  <c r="AW39" i="34"/>
  <c r="AU39" i="34"/>
  <c r="AT39" i="34"/>
  <c r="AV39" i="34" s="1"/>
  <c r="AS39" i="34"/>
  <c r="AQ39" i="34"/>
  <c r="AP39" i="34"/>
  <c r="AR39" i="34" s="1"/>
  <c r="AH39" i="34"/>
  <c r="L39" i="34"/>
  <c r="K39" i="34"/>
  <c r="AV38" i="34"/>
  <c r="AU38" i="34"/>
  <c r="AW38" i="34" s="1"/>
  <c r="AT38" i="34"/>
  <c r="AQ38" i="34"/>
  <c r="AS38" i="34" s="1"/>
  <c r="AP38" i="34"/>
  <c r="AR38" i="34" s="1"/>
  <c r="AH38" i="34"/>
  <c r="L38" i="34"/>
  <c r="K38" i="34"/>
  <c r="AU37" i="34"/>
  <c r="AW37" i="34" s="1"/>
  <c r="AT37" i="34"/>
  <c r="AV37" i="34" s="1"/>
  <c r="AQ37" i="34"/>
  <c r="AS37" i="34" s="1"/>
  <c r="AP37" i="34"/>
  <c r="AR37" i="34" s="1"/>
  <c r="AH37" i="34"/>
  <c r="L37" i="34"/>
  <c r="K37" i="34"/>
  <c r="AU36" i="34"/>
  <c r="AW36" i="34" s="1"/>
  <c r="AT36" i="34"/>
  <c r="AV36" i="34" s="1"/>
  <c r="AQ36" i="34"/>
  <c r="AS36" i="34" s="1"/>
  <c r="AP36" i="34"/>
  <c r="AR36" i="34" s="1"/>
  <c r="AH36" i="34"/>
  <c r="L36" i="34"/>
  <c r="K36" i="34"/>
  <c r="AW35" i="34"/>
  <c r="AV35" i="34"/>
  <c r="AU35" i="34"/>
  <c r="AT35" i="34"/>
  <c r="AS35" i="34"/>
  <c r="AR35" i="34"/>
  <c r="AQ35" i="34"/>
  <c r="AP35" i="34"/>
  <c r="AH35" i="34"/>
  <c r="L35" i="34"/>
  <c r="K35" i="34"/>
  <c r="AU34" i="34"/>
  <c r="AW34" i="34" s="1"/>
  <c r="AT34" i="34"/>
  <c r="AV34" i="34" s="1"/>
  <c r="AQ34" i="34"/>
  <c r="AS34" i="34" s="1"/>
  <c r="AP34" i="34"/>
  <c r="AR34" i="34" s="1"/>
  <c r="AH34" i="34"/>
  <c r="L34" i="34"/>
  <c r="K34" i="34"/>
  <c r="AU33" i="34"/>
  <c r="AW33" i="34" s="1"/>
  <c r="AT33" i="34"/>
  <c r="AV33" i="34" s="1"/>
  <c r="AQ33" i="34"/>
  <c r="AS33" i="34" s="1"/>
  <c r="AP33" i="34"/>
  <c r="AR33" i="34" s="1"/>
  <c r="AH33" i="34"/>
  <c r="L33" i="34"/>
  <c r="K33" i="34"/>
  <c r="AW32" i="34"/>
  <c r="AU32" i="34"/>
  <c r="AT32" i="34"/>
  <c r="AV32" i="34" s="1"/>
  <c r="AQ32" i="34"/>
  <c r="AS32" i="34" s="1"/>
  <c r="AP32" i="34"/>
  <c r="AR32" i="34" s="1"/>
  <c r="AH32" i="34"/>
  <c r="L32" i="34"/>
  <c r="K32" i="34"/>
  <c r="AW31" i="34"/>
  <c r="AU31" i="34"/>
  <c r="AT31" i="34"/>
  <c r="AV31" i="34" s="1"/>
  <c r="AS31" i="34"/>
  <c r="AQ31" i="34"/>
  <c r="AP31" i="34"/>
  <c r="AR31" i="34" s="1"/>
  <c r="AH31" i="34"/>
  <c r="L31" i="34"/>
  <c r="K31" i="34"/>
  <c r="AV30" i="34"/>
  <c r="AU30" i="34"/>
  <c r="AW30" i="34" s="1"/>
  <c r="AT30" i="34"/>
  <c r="AQ30" i="34"/>
  <c r="AS30" i="34" s="1"/>
  <c r="AP30" i="34"/>
  <c r="AR30" i="34" s="1"/>
  <c r="AH30" i="34"/>
  <c r="L30" i="34"/>
  <c r="K30" i="34"/>
  <c r="AU29" i="34"/>
  <c r="AW29" i="34" s="1"/>
  <c r="AT29" i="34"/>
  <c r="AV29" i="34" s="1"/>
  <c r="AQ29" i="34"/>
  <c r="AS29" i="34" s="1"/>
  <c r="AP29" i="34"/>
  <c r="AR29" i="34" s="1"/>
  <c r="AH29" i="34"/>
  <c r="L29" i="34"/>
  <c r="K29" i="34"/>
  <c r="AU28" i="34"/>
  <c r="AW28" i="34" s="1"/>
  <c r="AT28" i="34"/>
  <c r="AV28" i="34" s="1"/>
  <c r="AQ28" i="34"/>
  <c r="AS28" i="34" s="1"/>
  <c r="AP28" i="34"/>
  <c r="AR28" i="34" s="1"/>
  <c r="AH28" i="34"/>
  <c r="L28" i="34"/>
  <c r="K28" i="34"/>
  <c r="AW27" i="34"/>
  <c r="AV27" i="34"/>
  <c r="AU27" i="34"/>
  <c r="AT27" i="34"/>
  <c r="AS27" i="34"/>
  <c r="AR27" i="34"/>
  <c r="AQ27" i="34"/>
  <c r="AP27" i="34"/>
  <c r="AH27" i="34"/>
  <c r="L27" i="34"/>
  <c r="K27" i="34"/>
  <c r="AU26" i="34"/>
  <c r="AW26" i="34" s="1"/>
  <c r="AT26" i="34"/>
  <c r="AV26" i="34" s="1"/>
  <c r="AQ26" i="34"/>
  <c r="AS26" i="34" s="1"/>
  <c r="AP26" i="34"/>
  <c r="AR26" i="34" s="1"/>
  <c r="AH26" i="34"/>
  <c r="L26" i="34"/>
  <c r="K26" i="34"/>
  <c r="AU25" i="34"/>
  <c r="AW25" i="34" s="1"/>
  <c r="AT25" i="34"/>
  <c r="AV25" i="34" s="1"/>
  <c r="AQ25" i="34"/>
  <c r="AS25" i="34" s="1"/>
  <c r="AP25" i="34"/>
  <c r="AR25" i="34" s="1"/>
  <c r="AH25" i="34"/>
  <c r="L25" i="34"/>
  <c r="K25" i="34"/>
  <c r="AW24" i="34"/>
  <c r="AU24" i="34"/>
  <c r="AT24" i="34"/>
  <c r="AV24" i="34" s="1"/>
  <c r="AQ24" i="34"/>
  <c r="AS24" i="34" s="1"/>
  <c r="AP24" i="34"/>
  <c r="AR24" i="34" s="1"/>
  <c r="AH24" i="34"/>
  <c r="L24" i="34"/>
  <c r="K24" i="34"/>
  <c r="AW23" i="34"/>
  <c r="AU23" i="34"/>
  <c r="AT23" i="34"/>
  <c r="AV23" i="34" s="1"/>
  <c r="AS23" i="34"/>
  <c r="AQ23" i="34"/>
  <c r="AP23" i="34"/>
  <c r="AR23" i="34" s="1"/>
  <c r="AH23" i="34"/>
  <c r="L23" i="34"/>
  <c r="K23" i="34"/>
  <c r="AV22" i="34"/>
  <c r="AU22" i="34"/>
  <c r="AW22" i="34" s="1"/>
  <c r="AT22" i="34"/>
  <c r="AQ22" i="34"/>
  <c r="AS22" i="34" s="1"/>
  <c r="AP22" i="34"/>
  <c r="AR22" i="34" s="1"/>
  <c r="AH22" i="34"/>
  <c r="L22" i="34"/>
  <c r="K22" i="34"/>
  <c r="AU21" i="34"/>
  <c r="AW21" i="34" s="1"/>
  <c r="AT21" i="34"/>
  <c r="AV21" i="34" s="1"/>
  <c r="AQ21" i="34"/>
  <c r="AS21" i="34" s="1"/>
  <c r="AP21" i="34"/>
  <c r="AR21" i="34" s="1"/>
  <c r="AH21" i="34"/>
  <c r="L21" i="34"/>
  <c r="K21" i="34"/>
  <c r="AU20" i="34"/>
  <c r="AW20" i="34" s="1"/>
  <c r="AT20" i="34"/>
  <c r="AV20" i="34" s="1"/>
  <c r="AQ20" i="34"/>
  <c r="AS20" i="34" s="1"/>
  <c r="AP20" i="34"/>
  <c r="AR20" i="34" s="1"/>
  <c r="AH20" i="34"/>
  <c r="L20" i="34"/>
  <c r="K20" i="34"/>
  <c r="AW19" i="34"/>
  <c r="AV19" i="34"/>
  <c r="AU19" i="34"/>
  <c r="AT19" i="34"/>
  <c r="AS19" i="34"/>
  <c r="AR19" i="34"/>
  <c r="AQ19" i="34"/>
  <c r="AP19" i="34"/>
  <c r="AH19" i="34"/>
  <c r="L19" i="34"/>
  <c r="K19" i="34"/>
  <c r="AU18" i="34"/>
  <c r="AW18" i="34" s="1"/>
  <c r="AT18" i="34"/>
  <c r="AV18" i="34" s="1"/>
  <c r="AQ18" i="34"/>
  <c r="AS18" i="34" s="1"/>
  <c r="AP18" i="34"/>
  <c r="AR18" i="34" s="1"/>
  <c r="AH18" i="34"/>
  <c r="L18" i="34"/>
  <c r="K18" i="34"/>
  <c r="AU17" i="34"/>
  <c r="AW17" i="34" s="1"/>
  <c r="AT17" i="34"/>
  <c r="AV17" i="34" s="1"/>
  <c r="AQ17" i="34"/>
  <c r="AS17" i="34" s="1"/>
  <c r="AP17" i="34"/>
  <c r="AR17" i="34" s="1"/>
  <c r="AH17" i="34"/>
  <c r="L17" i="34"/>
  <c r="K17" i="34"/>
  <c r="AW16" i="34"/>
  <c r="AU16" i="34"/>
  <c r="AT16" i="34"/>
  <c r="AV16" i="34" s="1"/>
  <c r="AQ16" i="34"/>
  <c r="AS16" i="34" s="1"/>
  <c r="AP16" i="34"/>
  <c r="AR16" i="34" s="1"/>
  <c r="AH16" i="34"/>
  <c r="L16" i="34"/>
  <c r="K16" i="34"/>
  <c r="AW15" i="34"/>
  <c r="AU15" i="34"/>
  <c r="AT15" i="34"/>
  <c r="AV15" i="34" s="1"/>
  <c r="AS15" i="34"/>
  <c r="AQ15" i="34"/>
  <c r="AP15" i="34"/>
  <c r="AR15" i="34" s="1"/>
  <c r="AH15" i="34"/>
  <c r="L15" i="34"/>
  <c r="K15" i="34"/>
  <c r="AV14" i="34"/>
  <c r="AU14" i="34"/>
  <c r="AW14" i="34" s="1"/>
  <c r="AT14" i="34"/>
  <c r="AQ14" i="34"/>
  <c r="AS14" i="34" s="1"/>
  <c r="AP14" i="34"/>
  <c r="AR14" i="34" s="1"/>
  <c r="AH14" i="34"/>
  <c r="L14" i="34"/>
  <c r="K14" i="34"/>
  <c r="AU13" i="34"/>
  <c r="AW13" i="34" s="1"/>
  <c r="AT13" i="34"/>
  <c r="AV13" i="34" s="1"/>
  <c r="AQ13" i="34"/>
  <c r="AS13" i="34" s="1"/>
  <c r="AP13" i="34"/>
  <c r="AR13" i="34" s="1"/>
  <c r="AH13" i="34"/>
  <c r="L13" i="34"/>
  <c r="K13" i="34"/>
  <c r="AU12" i="34"/>
  <c r="AW12" i="34" s="1"/>
  <c r="AT12" i="34"/>
  <c r="AV12" i="34" s="1"/>
  <c r="AQ12" i="34"/>
  <c r="AS12" i="34" s="1"/>
  <c r="AP12" i="34"/>
  <c r="AR12" i="34" s="1"/>
  <c r="AH12" i="34"/>
  <c r="L12" i="34"/>
  <c r="K12" i="34"/>
  <c r="AW11" i="34"/>
  <c r="AV11" i="34"/>
  <c r="AU11" i="34"/>
  <c r="AT11" i="34"/>
  <c r="AS11" i="34"/>
  <c r="AR11" i="34"/>
  <c r="AQ11" i="34"/>
  <c r="AP11" i="34"/>
  <c r="AH11" i="34"/>
  <c r="L11" i="34"/>
  <c r="K11" i="34"/>
  <c r="AU10" i="34"/>
  <c r="AW10" i="34" s="1"/>
  <c r="AT10" i="34"/>
  <c r="AV10" i="34" s="1"/>
  <c r="AQ10" i="34"/>
  <c r="AS10" i="34" s="1"/>
  <c r="AP10" i="34"/>
  <c r="AR10" i="34" s="1"/>
  <c r="AH10" i="34"/>
  <c r="L10" i="34"/>
  <c r="K10" i="34"/>
  <c r="AU9" i="34"/>
  <c r="AW9" i="34" s="1"/>
  <c r="AT9" i="34"/>
  <c r="AV9" i="34" s="1"/>
  <c r="AQ9" i="34"/>
  <c r="AS9" i="34" s="1"/>
  <c r="AP9" i="34"/>
  <c r="AR9" i="34" s="1"/>
  <c r="AH9" i="34"/>
  <c r="L9" i="34"/>
  <c r="K9" i="34"/>
  <c r="AW8" i="34"/>
  <c r="AU8" i="34"/>
  <c r="AT8" i="34"/>
  <c r="AV8" i="34" s="1"/>
  <c r="AQ8" i="34"/>
  <c r="AS8" i="34" s="1"/>
  <c r="AP8" i="34"/>
  <c r="AR8" i="34" s="1"/>
  <c r="AH8" i="34"/>
  <c r="L8" i="34"/>
  <c r="K8" i="34"/>
  <c r="AW7" i="34"/>
  <c r="AU7" i="34"/>
  <c r="AT7" i="34"/>
  <c r="AV7" i="34" s="1"/>
  <c r="AS7" i="34"/>
  <c r="AQ7" i="34"/>
  <c r="AP7" i="34"/>
  <c r="AR7" i="34" s="1"/>
  <c r="AH7" i="34"/>
  <c r="L7" i="34"/>
  <c r="K7" i="34"/>
  <c r="AV6" i="34"/>
  <c r="AU6" i="34"/>
  <c r="AW6" i="34" s="1"/>
  <c r="AT6" i="34"/>
  <c r="AQ6" i="34"/>
  <c r="AS6" i="34" s="1"/>
  <c r="AP6" i="34"/>
  <c r="AR6" i="34" s="1"/>
  <c r="AH6" i="34"/>
  <c r="L6" i="34"/>
  <c r="K6" i="34"/>
  <c r="AU5" i="34"/>
  <c r="AW5" i="34" s="1"/>
  <c r="AT5" i="34"/>
  <c r="AV5" i="34" s="1"/>
  <c r="AQ5" i="34"/>
  <c r="AS5" i="34" s="1"/>
  <c r="AP5" i="34"/>
  <c r="AR5" i="34" s="1"/>
  <c r="AH5" i="34"/>
  <c r="L5" i="34"/>
  <c r="K5" i="34"/>
  <c r="AU4" i="34"/>
  <c r="AW4" i="34" s="1"/>
  <c r="AT4" i="34"/>
  <c r="AV4" i="34" s="1"/>
  <c r="AQ4" i="34"/>
  <c r="AS4" i="34" s="1"/>
  <c r="AP4" i="34"/>
  <c r="AR4" i="34" s="1"/>
  <c r="AH4" i="34"/>
  <c r="L4" i="34"/>
  <c r="K4" i="34"/>
  <c r="AW3" i="34"/>
  <c r="AV3" i="34"/>
  <c r="AU3" i="34"/>
  <c r="AT3" i="34"/>
  <c r="AS3" i="34"/>
  <c r="AR3" i="34"/>
  <c r="AQ3" i="34"/>
  <c r="AP3" i="34"/>
  <c r="AH3" i="34"/>
  <c r="L3" i="34"/>
  <c r="K3" i="34"/>
  <c r="L119" i="33"/>
  <c r="E118" i="33"/>
  <c r="E117" i="33"/>
  <c r="R116" i="33"/>
  <c r="Q116" i="33"/>
  <c r="P116" i="33"/>
  <c r="O116" i="33"/>
  <c r="N116" i="33"/>
  <c r="M116" i="33"/>
  <c r="L116" i="33"/>
  <c r="K116" i="33"/>
  <c r="J116" i="33"/>
  <c r="I116" i="33"/>
  <c r="H116" i="33"/>
  <c r="G116" i="33"/>
  <c r="F116" i="33"/>
  <c r="E116" i="33"/>
  <c r="R113" i="33"/>
  <c r="Q113" i="33"/>
  <c r="P113" i="33"/>
  <c r="L113" i="33"/>
  <c r="K113" i="33"/>
  <c r="J113" i="33"/>
  <c r="I113" i="33"/>
  <c r="F113" i="33"/>
  <c r="E113" i="33"/>
  <c r="R112" i="33"/>
  <c r="Q112" i="33"/>
  <c r="P112" i="33"/>
  <c r="O112" i="33"/>
  <c r="N112" i="33"/>
  <c r="M112" i="33"/>
  <c r="L112" i="33"/>
  <c r="K112" i="33"/>
  <c r="I112" i="33"/>
  <c r="H112" i="33"/>
  <c r="G112" i="33"/>
  <c r="F112" i="33"/>
  <c r="E112" i="33"/>
  <c r="O111" i="33"/>
  <c r="N111" i="33"/>
  <c r="M111" i="33"/>
  <c r="J111" i="33"/>
  <c r="R110" i="33"/>
  <c r="Q110" i="33"/>
  <c r="P110" i="33"/>
  <c r="O110" i="33"/>
  <c r="N110" i="33"/>
  <c r="M110" i="33"/>
  <c r="L110" i="33"/>
  <c r="K110" i="33"/>
  <c r="J110" i="33"/>
  <c r="I110" i="33"/>
  <c r="H110" i="33"/>
  <c r="G110" i="33"/>
  <c r="F110" i="33"/>
  <c r="E110" i="33"/>
  <c r="R107" i="33"/>
  <c r="Q107" i="33"/>
  <c r="Q119" i="33" s="1"/>
  <c r="P107" i="33"/>
  <c r="P119" i="33" s="1"/>
  <c r="L107" i="33"/>
  <c r="K107" i="33"/>
  <c r="K119" i="33" s="1"/>
  <c r="J107" i="33"/>
  <c r="J119" i="33" s="1"/>
  <c r="I107" i="33"/>
  <c r="I119" i="33" s="1"/>
  <c r="H107" i="33"/>
  <c r="F107" i="33"/>
  <c r="F119" i="33" s="1"/>
  <c r="E107" i="33"/>
  <c r="R106" i="33"/>
  <c r="R118" i="33" s="1"/>
  <c r="Q106" i="33"/>
  <c r="Q118" i="33" s="1"/>
  <c r="P106" i="33"/>
  <c r="P118" i="33" s="1"/>
  <c r="O106" i="33"/>
  <c r="N106" i="33"/>
  <c r="N118" i="33" s="1"/>
  <c r="M106" i="33"/>
  <c r="M118" i="33" s="1"/>
  <c r="L106" i="33"/>
  <c r="L118" i="33" s="1"/>
  <c r="K106" i="33"/>
  <c r="I106" i="33"/>
  <c r="I118" i="33" s="1"/>
  <c r="H106" i="33"/>
  <c r="H118" i="33" s="1"/>
  <c r="G106" i="33"/>
  <c r="G118" i="33" s="1"/>
  <c r="F106" i="33"/>
  <c r="F118" i="33" s="1"/>
  <c r="E106" i="33"/>
  <c r="D106" i="33"/>
  <c r="Q105" i="33"/>
  <c r="P105" i="33"/>
  <c r="O105" i="33"/>
  <c r="O117" i="33" s="1"/>
  <c r="N105" i="33"/>
  <c r="N117" i="33" s="1"/>
  <c r="M105" i="33"/>
  <c r="M117" i="33" s="1"/>
  <c r="J105" i="33"/>
  <c r="I105" i="33"/>
  <c r="H105" i="33"/>
  <c r="E105" i="33"/>
  <c r="D105" i="33"/>
  <c r="R104" i="33"/>
  <c r="Q104" i="33"/>
  <c r="P104" i="33"/>
  <c r="O104" i="33"/>
  <c r="N104" i="33"/>
  <c r="M104" i="33"/>
  <c r="L104" i="33"/>
  <c r="K104" i="33"/>
  <c r="J104" i="33"/>
  <c r="I104" i="33"/>
  <c r="H104" i="33"/>
  <c r="G104" i="33"/>
  <c r="F104" i="33"/>
  <c r="E104" i="33"/>
  <c r="F100" i="33"/>
  <c r="R99" i="33"/>
  <c r="Q99" i="33"/>
  <c r="P99" i="33"/>
  <c r="L99" i="33"/>
  <c r="K99" i="33"/>
  <c r="J99" i="33"/>
  <c r="I99" i="33"/>
  <c r="F99" i="33"/>
  <c r="E99" i="33"/>
  <c r="R98" i="33"/>
  <c r="Q98" i="33"/>
  <c r="P98" i="33"/>
  <c r="O98" i="33"/>
  <c r="N98" i="33"/>
  <c r="M98" i="33"/>
  <c r="L98" i="33"/>
  <c r="K98" i="33"/>
  <c r="I98" i="33"/>
  <c r="H98" i="33"/>
  <c r="G98" i="33"/>
  <c r="F98" i="33"/>
  <c r="E98" i="33"/>
  <c r="O97" i="33"/>
  <c r="N97" i="33"/>
  <c r="M97" i="33"/>
  <c r="J97" i="33"/>
  <c r="R96" i="33"/>
  <c r="Q96" i="33"/>
  <c r="P96" i="33"/>
  <c r="O96" i="33"/>
  <c r="N96" i="33"/>
  <c r="M96" i="33"/>
  <c r="L96" i="33"/>
  <c r="K96" i="33"/>
  <c r="J96" i="33"/>
  <c r="I96" i="33"/>
  <c r="H96" i="33"/>
  <c r="G96" i="33"/>
  <c r="F96" i="33"/>
  <c r="E96" i="33"/>
  <c r="I94" i="33"/>
  <c r="O93" i="33"/>
  <c r="O113" i="33" s="1"/>
  <c r="N93" i="33"/>
  <c r="N94" i="33" s="1"/>
  <c r="M93" i="33"/>
  <c r="M94" i="33" s="1"/>
  <c r="H93" i="33"/>
  <c r="G93" i="33"/>
  <c r="D93" i="33"/>
  <c r="J92" i="33"/>
  <c r="J94" i="33" s="1"/>
  <c r="D92" i="33"/>
  <c r="R91" i="33"/>
  <c r="R94" i="33" s="1"/>
  <c r="Q91" i="33"/>
  <c r="Q94" i="33" s="1"/>
  <c r="P91" i="33"/>
  <c r="P94" i="33" s="1"/>
  <c r="L91" i="33"/>
  <c r="L94" i="33" s="1"/>
  <c r="K91" i="33"/>
  <c r="K94" i="33" s="1"/>
  <c r="I91" i="33"/>
  <c r="H91" i="33"/>
  <c r="H94" i="33" s="1"/>
  <c r="G91" i="33"/>
  <c r="G94" i="33" s="1"/>
  <c r="F91" i="33"/>
  <c r="F94" i="33" s="1"/>
  <c r="E91" i="33"/>
  <c r="E94" i="33" s="1"/>
  <c r="D91" i="33"/>
  <c r="R90" i="33"/>
  <c r="Q90" i="33"/>
  <c r="P90" i="33"/>
  <c r="O90" i="33"/>
  <c r="N90" i="33"/>
  <c r="M90" i="33"/>
  <c r="L90" i="33"/>
  <c r="K90" i="33"/>
  <c r="J90" i="33"/>
  <c r="I90" i="33"/>
  <c r="H90" i="33"/>
  <c r="G90" i="33"/>
  <c r="F90" i="33"/>
  <c r="E90" i="33"/>
  <c r="Q88" i="33"/>
  <c r="Q100" i="33" s="1"/>
  <c r="P88" i="33"/>
  <c r="I88" i="33"/>
  <c r="I100" i="33" s="1"/>
  <c r="H88" i="33"/>
  <c r="E88" i="33"/>
  <c r="O87" i="33"/>
  <c r="O88" i="33" s="1"/>
  <c r="N87" i="33"/>
  <c r="M87" i="33"/>
  <c r="H87" i="33"/>
  <c r="G87" i="33"/>
  <c r="D87" i="33"/>
  <c r="T86" i="33"/>
  <c r="J86" i="33"/>
  <c r="J88" i="33" s="1"/>
  <c r="D86" i="33"/>
  <c r="R85" i="33"/>
  <c r="R88" i="33" s="1"/>
  <c r="R100" i="33" s="1"/>
  <c r="Q85" i="33"/>
  <c r="P85" i="33"/>
  <c r="L85" i="33"/>
  <c r="K85" i="33"/>
  <c r="K88" i="33" s="1"/>
  <c r="K100" i="33" s="1"/>
  <c r="I85" i="33"/>
  <c r="H85" i="33"/>
  <c r="G85" i="33"/>
  <c r="G88" i="33" s="1"/>
  <c r="F85" i="33"/>
  <c r="F88" i="33" s="1"/>
  <c r="E85" i="33"/>
  <c r="D85" i="33"/>
  <c r="R84" i="33"/>
  <c r="Q84" i="33"/>
  <c r="P84" i="33"/>
  <c r="O84" i="33"/>
  <c r="N84" i="33"/>
  <c r="M84" i="33"/>
  <c r="L84" i="33"/>
  <c r="K84" i="33"/>
  <c r="J84" i="33"/>
  <c r="I84" i="33"/>
  <c r="H84" i="33"/>
  <c r="G84" i="33"/>
  <c r="F84" i="33"/>
  <c r="E84" i="33"/>
  <c r="R80" i="33"/>
  <c r="Q80" i="33"/>
  <c r="P80" i="33"/>
  <c r="L80" i="33"/>
  <c r="K80" i="33"/>
  <c r="J80" i="33"/>
  <c r="I80" i="33"/>
  <c r="F80" i="33"/>
  <c r="E80" i="33"/>
  <c r="R79" i="33"/>
  <c r="Q79" i="33"/>
  <c r="P79" i="33"/>
  <c r="O79" i="33"/>
  <c r="N79" i="33"/>
  <c r="M79" i="33"/>
  <c r="L79" i="33"/>
  <c r="K79" i="33"/>
  <c r="I79" i="33"/>
  <c r="H79" i="33"/>
  <c r="G79" i="33"/>
  <c r="F79" i="33"/>
  <c r="E79" i="33"/>
  <c r="Q78" i="33"/>
  <c r="P78" i="33"/>
  <c r="O78" i="33"/>
  <c r="N78" i="33"/>
  <c r="M78" i="33"/>
  <c r="J78" i="33"/>
  <c r="I78" i="33"/>
  <c r="Q75" i="33"/>
  <c r="I75" i="33"/>
  <c r="E75" i="33"/>
  <c r="O74" i="33"/>
  <c r="O75" i="33" s="1"/>
  <c r="N74" i="33"/>
  <c r="N75" i="33" s="1"/>
  <c r="M74" i="33"/>
  <c r="M113" i="33" s="1"/>
  <c r="H74" i="33"/>
  <c r="G74" i="33"/>
  <c r="G113" i="33" s="1"/>
  <c r="D74" i="33"/>
  <c r="J73" i="33"/>
  <c r="J75" i="33" s="1"/>
  <c r="D73" i="33"/>
  <c r="R72" i="33"/>
  <c r="R75" i="33" s="1"/>
  <c r="Q72" i="33"/>
  <c r="Q111" i="33" s="1"/>
  <c r="Q114" i="33" s="1"/>
  <c r="P72" i="33"/>
  <c r="L72" i="33"/>
  <c r="K72" i="33"/>
  <c r="K75" i="33" s="1"/>
  <c r="I72" i="33"/>
  <c r="I111" i="33" s="1"/>
  <c r="I114" i="33" s="1"/>
  <c r="H72" i="33"/>
  <c r="G72" i="33"/>
  <c r="F72" i="33"/>
  <c r="F75" i="33" s="1"/>
  <c r="E72" i="33"/>
  <c r="E111" i="33" s="1"/>
  <c r="E114" i="33" s="1"/>
  <c r="D72" i="33"/>
  <c r="D111" i="33" s="1"/>
  <c r="R71" i="33"/>
  <c r="Q71" i="33"/>
  <c r="P71" i="33"/>
  <c r="O71" i="33"/>
  <c r="N71" i="33"/>
  <c r="M71" i="33"/>
  <c r="L71" i="33"/>
  <c r="K71" i="33"/>
  <c r="J71" i="33"/>
  <c r="I71" i="33"/>
  <c r="H71" i="33"/>
  <c r="G71" i="33"/>
  <c r="F71" i="33"/>
  <c r="E71" i="33"/>
  <c r="Q69" i="33"/>
  <c r="P69" i="33"/>
  <c r="M69" i="33"/>
  <c r="I69" i="33"/>
  <c r="H69" i="33"/>
  <c r="E69" i="33"/>
  <c r="E81" i="33" s="1"/>
  <c r="O68" i="33"/>
  <c r="O107" i="33" s="1"/>
  <c r="N68" i="33"/>
  <c r="M68" i="33"/>
  <c r="H68" i="33"/>
  <c r="G68" i="33"/>
  <c r="G107" i="33" s="1"/>
  <c r="G119" i="33" s="1"/>
  <c r="D68" i="33"/>
  <c r="T67" i="33"/>
  <c r="J67" i="33"/>
  <c r="J106" i="33" s="1"/>
  <c r="D67" i="33"/>
  <c r="R66" i="33"/>
  <c r="Q66" i="33"/>
  <c r="P66" i="33"/>
  <c r="L66" i="33"/>
  <c r="K66" i="33"/>
  <c r="I66" i="33"/>
  <c r="H66" i="33"/>
  <c r="G66" i="33"/>
  <c r="F66" i="33"/>
  <c r="E66" i="33"/>
  <c r="D66" i="33"/>
  <c r="AW60" i="33"/>
  <c r="AV60" i="33"/>
  <c r="AU60" i="33"/>
  <c r="AT60" i="33"/>
  <c r="AS60" i="33"/>
  <c r="AR60" i="33"/>
  <c r="AQ60" i="33"/>
  <c r="AP60" i="33"/>
  <c r="AH60" i="33"/>
  <c r="L60" i="33"/>
  <c r="K60" i="33"/>
  <c r="AU59" i="33"/>
  <c r="AW59" i="33" s="1"/>
  <c r="AT59" i="33"/>
  <c r="AV59" i="33" s="1"/>
  <c r="AQ59" i="33"/>
  <c r="AS59" i="33" s="1"/>
  <c r="AP59" i="33"/>
  <c r="AR59" i="33" s="1"/>
  <c r="AH59" i="33"/>
  <c r="L59" i="33"/>
  <c r="K59" i="33"/>
  <c r="AU58" i="33"/>
  <c r="AW58" i="33" s="1"/>
  <c r="AT58" i="33"/>
  <c r="AV58" i="33" s="1"/>
  <c r="AQ58" i="33"/>
  <c r="AS58" i="33" s="1"/>
  <c r="AP58" i="33"/>
  <c r="AR58" i="33" s="1"/>
  <c r="AH58" i="33"/>
  <c r="L58" i="33"/>
  <c r="K58" i="33"/>
  <c r="AU57" i="33"/>
  <c r="AW57" i="33" s="1"/>
  <c r="AT57" i="33"/>
  <c r="AV57" i="33" s="1"/>
  <c r="AQ57" i="33"/>
  <c r="AS57" i="33" s="1"/>
  <c r="AP57" i="33"/>
  <c r="AR57" i="33" s="1"/>
  <c r="AH57" i="33"/>
  <c r="L57" i="33"/>
  <c r="K57" i="33"/>
  <c r="AW56" i="33"/>
  <c r="AV56" i="33"/>
  <c r="AU56" i="33"/>
  <c r="AT56" i="33"/>
  <c r="AS56" i="33"/>
  <c r="AR56" i="33"/>
  <c r="AQ56" i="33"/>
  <c r="AP56" i="33"/>
  <c r="AH56" i="33"/>
  <c r="L56" i="33"/>
  <c r="K56" i="33"/>
  <c r="AU55" i="33"/>
  <c r="AW55" i="33" s="1"/>
  <c r="AT55" i="33"/>
  <c r="AV55" i="33" s="1"/>
  <c r="AQ55" i="33"/>
  <c r="AS55" i="33" s="1"/>
  <c r="AP55" i="33"/>
  <c r="AR55" i="33" s="1"/>
  <c r="AH55" i="33"/>
  <c r="L55" i="33"/>
  <c r="K55" i="33"/>
  <c r="AU54" i="33"/>
  <c r="AW54" i="33" s="1"/>
  <c r="AT54" i="33"/>
  <c r="AV54" i="33" s="1"/>
  <c r="AQ54" i="33"/>
  <c r="AS54" i="33" s="1"/>
  <c r="AP54" i="33"/>
  <c r="AR54" i="33" s="1"/>
  <c r="AH54" i="33"/>
  <c r="L54" i="33"/>
  <c r="K54" i="33"/>
  <c r="AU53" i="33"/>
  <c r="AW53" i="33" s="1"/>
  <c r="AT53" i="33"/>
  <c r="AV53" i="33" s="1"/>
  <c r="AS53" i="33"/>
  <c r="AQ53" i="33"/>
  <c r="AP53" i="33"/>
  <c r="AR53" i="33" s="1"/>
  <c r="AH53" i="33"/>
  <c r="L53" i="33"/>
  <c r="K53" i="33"/>
  <c r="AV52" i="33"/>
  <c r="AU52" i="33"/>
  <c r="AW52" i="33" s="1"/>
  <c r="AT52" i="33"/>
  <c r="AR52" i="33"/>
  <c r="AQ52" i="33"/>
  <c r="AS52" i="33" s="1"/>
  <c r="AP52" i="33"/>
  <c r="AH52" i="33"/>
  <c r="L52" i="33"/>
  <c r="K52" i="33"/>
  <c r="AU51" i="33"/>
  <c r="AW51" i="33" s="1"/>
  <c r="AT51" i="33"/>
  <c r="AV51" i="33" s="1"/>
  <c r="AR51" i="33"/>
  <c r="AQ51" i="33"/>
  <c r="AS51" i="33" s="1"/>
  <c r="AP51" i="33"/>
  <c r="AH51" i="33"/>
  <c r="L51" i="33"/>
  <c r="K51" i="33"/>
  <c r="AU50" i="33"/>
  <c r="AW50" i="33" s="1"/>
  <c r="AT50" i="33"/>
  <c r="AV50" i="33" s="1"/>
  <c r="AR50" i="33"/>
  <c r="AQ50" i="33"/>
  <c r="AS50" i="33" s="1"/>
  <c r="AP50" i="33"/>
  <c r="AH50" i="33"/>
  <c r="L50" i="33"/>
  <c r="K50" i="33"/>
  <c r="AU49" i="33"/>
  <c r="AW49" i="33" s="1"/>
  <c r="AT49" i="33"/>
  <c r="AV49" i="33" s="1"/>
  <c r="AQ49" i="33"/>
  <c r="AS49" i="33" s="1"/>
  <c r="AP49" i="33"/>
  <c r="AR49" i="33" s="1"/>
  <c r="AH49" i="33"/>
  <c r="L49" i="33"/>
  <c r="K49" i="33"/>
  <c r="AU48" i="33"/>
  <c r="AW48" i="33" s="1"/>
  <c r="AT48" i="33"/>
  <c r="AV48" i="33" s="1"/>
  <c r="AS48" i="33"/>
  <c r="AQ48" i="33"/>
  <c r="AP48" i="33"/>
  <c r="AR48" i="33" s="1"/>
  <c r="AH48" i="33"/>
  <c r="L48" i="33"/>
  <c r="K48" i="33"/>
  <c r="AV47" i="33"/>
  <c r="AU47" i="33"/>
  <c r="AW47" i="33" s="1"/>
  <c r="AT47" i="33"/>
  <c r="AR47" i="33"/>
  <c r="AQ47" i="33"/>
  <c r="AS47" i="33" s="1"/>
  <c r="AP47" i="33"/>
  <c r="AH47" i="33"/>
  <c r="L47" i="33"/>
  <c r="K47" i="33"/>
  <c r="AU46" i="33"/>
  <c r="AW46" i="33" s="1"/>
  <c r="AT46" i="33"/>
  <c r="AV46" i="33" s="1"/>
  <c r="AR46" i="33"/>
  <c r="AQ46" i="33"/>
  <c r="AS46" i="33" s="1"/>
  <c r="AP46" i="33"/>
  <c r="AH46" i="33"/>
  <c r="L46" i="33"/>
  <c r="K46" i="33"/>
  <c r="AU45" i="33"/>
  <c r="AW45" i="33" s="1"/>
  <c r="AT45" i="33"/>
  <c r="AV45" i="33" s="1"/>
  <c r="AQ45" i="33"/>
  <c r="AS45" i="33" s="1"/>
  <c r="AP45" i="33"/>
  <c r="AR45" i="33" s="1"/>
  <c r="AH45" i="33"/>
  <c r="L45" i="33"/>
  <c r="K45" i="33"/>
  <c r="AU44" i="33"/>
  <c r="AW44" i="33" s="1"/>
  <c r="AT44" i="33"/>
  <c r="AV44" i="33" s="1"/>
  <c r="AS44" i="33"/>
  <c r="AQ44" i="33"/>
  <c r="AP44" i="33"/>
  <c r="AR44" i="33" s="1"/>
  <c r="AH44" i="33"/>
  <c r="L44" i="33"/>
  <c r="K44" i="33"/>
  <c r="AV43" i="33"/>
  <c r="AU43" i="33"/>
  <c r="AW43" i="33" s="1"/>
  <c r="AT43" i="33"/>
  <c r="AR43" i="33"/>
  <c r="AQ43" i="33"/>
  <c r="AS43" i="33" s="1"/>
  <c r="AP43" i="33"/>
  <c r="AH43" i="33"/>
  <c r="L43" i="33"/>
  <c r="K43" i="33"/>
  <c r="AU42" i="33"/>
  <c r="AW42" i="33" s="1"/>
  <c r="AT42" i="33"/>
  <c r="AV42" i="33" s="1"/>
  <c r="AR42" i="33"/>
  <c r="AQ42" i="33"/>
  <c r="AS42" i="33" s="1"/>
  <c r="AP42" i="33"/>
  <c r="AH42" i="33"/>
  <c r="L42" i="33"/>
  <c r="K42" i="33"/>
  <c r="AU41" i="33"/>
  <c r="AW41" i="33" s="1"/>
  <c r="AT41" i="33"/>
  <c r="AV41" i="33" s="1"/>
  <c r="AQ41" i="33"/>
  <c r="AS41" i="33" s="1"/>
  <c r="AP41" i="33"/>
  <c r="AR41" i="33" s="1"/>
  <c r="AH41" i="33"/>
  <c r="L41" i="33"/>
  <c r="K41" i="33"/>
  <c r="AU40" i="33"/>
  <c r="AW40" i="33" s="1"/>
  <c r="AT40" i="33"/>
  <c r="AV40" i="33" s="1"/>
  <c r="AS40" i="33"/>
  <c r="AQ40" i="33"/>
  <c r="AP40" i="33"/>
  <c r="AR40" i="33" s="1"/>
  <c r="AH40" i="33"/>
  <c r="L40" i="33"/>
  <c r="K40" i="33"/>
  <c r="AV39" i="33"/>
  <c r="AU39" i="33"/>
  <c r="AW39" i="33" s="1"/>
  <c r="AT39" i="33"/>
  <c r="AR39" i="33"/>
  <c r="AQ39" i="33"/>
  <c r="AS39" i="33" s="1"/>
  <c r="AP39" i="33"/>
  <c r="AH39" i="33"/>
  <c r="L39" i="33"/>
  <c r="K39" i="33"/>
  <c r="AU38" i="33"/>
  <c r="AW38" i="33" s="1"/>
  <c r="AT38" i="33"/>
  <c r="AV38" i="33" s="1"/>
  <c r="AR38" i="33"/>
  <c r="AQ38" i="33"/>
  <c r="AS38" i="33" s="1"/>
  <c r="AP38" i="33"/>
  <c r="AH38" i="33"/>
  <c r="L38" i="33"/>
  <c r="K38" i="33"/>
  <c r="AU37" i="33"/>
  <c r="AW37" i="33" s="1"/>
  <c r="AT37" i="33"/>
  <c r="AV37" i="33" s="1"/>
  <c r="AQ37" i="33"/>
  <c r="AS37" i="33" s="1"/>
  <c r="AP37" i="33"/>
  <c r="AR37" i="33" s="1"/>
  <c r="AH37" i="33"/>
  <c r="L37" i="33"/>
  <c r="K37" i="33"/>
  <c r="AU36" i="33"/>
  <c r="AW36" i="33" s="1"/>
  <c r="AT36" i="33"/>
  <c r="AV36" i="33" s="1"/>
  <c r="AS36" i="33"/>
  <c r="AQ36" i="33"/>
  <c r="AP36" i="33"/>
  <c r="AR36" i="33" s="1"/>
  <c r="AH36" i="33"/>
  <c r="L36" i="33"/>
  <c r="K36" i="33"/>
  <c r="AV35" i="33"/>
  <c r="AU35" i="33"/>
  <c r="AW35" i="33" s="1"/>
  <c r="AT35" i="33"/>
  <c r="AR35" i="33"/>
  <c r="AQ35" i="33"/>
  <c r="AS35" i="33" s="1"/>
  <c r="AP35" i="33"/>
  <c r="AH35" i="33"/>
  <c r="L35" i="33"/>
  <c r="K35" i="33"/>
  <c r="AU34" i="33"/>
  <c r="AW34" i="33" s="1"/>
  <c r="AT34" i="33"/>
  <c r="AV34" i="33" s="1"/>
  <c r="AR34" i="33"/>
  <c r="AQ34" i="33"/>
  <c r="AS34" i="33" s="1"/>
  <c r="AP34" i="33"/>
  <c r="AH34" i="33"/>
  <c r="L34" i="33"/>
  <c r="K34" i="33"/>
  <c r="AU33" i="33"/>
  <c r="AW33" i="33" s="1"/>
  <c r="AT33" i="33"/>
  <c r="AV33" i="33" s="1"/>
  <c r="AQ33" i="33"/>
  <c r="AS33" i="33" s="1"/>
  <c r="AP33" i="33"/>
  <c r="AR33" i="33" s="1"/>
  <c r="AH33" i="33"/>
  <c r="L33" i="33"/>
  <c r="K33" i="33"/>
  <c r="AU32" i="33"/>
  <c r="AW32" i="33" s="1"/>
  <c r="AT32" i="33"/>
  <c r="AV32" i="33" s="1"/>
  <c r="AS32" i="33"/>
  <c r="AQ32" i="33"/>
  <c r="AP32" i="33"/>
  <c r="AR32" i="33" s="1"/>
  <c r="AH32" i="33"/>
  <c r="L32" i="33"/>
  <c r="K32" i="33"/>
  <c r="AV31" i="33"/>
  <c r="AU31" i="33"/>
  <c r="AW31" i="33" s="1"/>
  <c r="AT31" i="33"/>
  <c r="AR31" i="33"/>
  <c r="AQ31" i="33"/>
  <c r="AS31" i="33" s="1"/>
  <c r="AP31" i="33"/>
  <c r="AH31" i="33"/>
  <c r="L31" i="33"/>
  <c r="K31" i="33"/>
  <c r="AU30" i="33"/>
  <c r="AW30" i="33" s="1"/>
  <c r="AT30" i="33"/>
  <c r="AV30" i="33" s="1"/>
  <c r="AR30" i="33"/>
  <c r="AQ30" i="33"/>
  <c r="AS30" i="33" s="1"/>
  <c r="AP30" i="33"/>
  <c r="AH30" i="33"/>
  <c r="L30" i="33"/>
  <c r="K30" i="33"/>
  <c r="AU29" i="33"/>
  <c r="AW29" i="33" s="1"/>
  <c r="AT29" i="33"/>
  <c r="AV29" i="33" s="1"/>
  <c r="AQ29" i="33"/>
  <c r="AS29" i="33" s="1"/>
  <c r="AP29" i="33"/>
  <c r="AR29" i="33" s="1"/>
  <c r="AH29" i="33"/>
  <c r="L29" i="33"/>
  <c r="K29" i="33"/>
  <c r="AU28" i="33"/>
  <c r="AW28" i="33" s="1"/>
  <c r="AT28" i="33"/>
  <c r="AV28" i="33" s="1"/>
  <c r="AS28" i="33"/>
  <c r="AQ28" i="33"/>
  <c r="AP28" i="33"/>
  <c r="AR28" i="33" s="1"/>
  <c r="AH28" i="33"/>
  <c r="L28" i="33"/>
  <c r="K28" i="33"/>
  <c r="AV27" i="33"/>
  <c r="AU27" i="33"/>
  <c r="AW27" i="33" s="1"/>
  <c r="AT27" i="33"/>
  <c r="AR27" i="33"/>
  <c r="AQ27" i="33"/>
  <c r="AS27" i="33" s="1"/>
  <c r="AP27" i="33"/>
  <c r="AH27" i="33"/>
  <c r="L27" i="33"/>
  <c r="K27" i="33"/>
  <c r="AU26" i="33"/>
  <c r="AW26" i="33" s="1"/>
  <c r="AT26" i="33"/>
  <c r="AV26" i="33" s="1"/>
  <c r="AR26" i="33"/>
  <c r="AQ26" i="33"/>
  <c r="AS26" i="33" s="1"/>
  <c r="AP26" i="33"/>
  <c r="AH26" i="33"/>
  <c r="L26" i="33"/>
  <c r="K26" i="33"/>
  <c r="AU25" i="33"/>
  <c r="AW25" i="33" s="1"/>
  <c r="AT25" i="33"/>
  <c r="AV25" i="33" s="1"/>
  <c r="AQ25" i="33"/>
  <c r="AS25" i="33" s="1"/>
  <c r="AP25" i="33"/>
  <c r="AR25" i="33" s="1"/>
  <c r="AH25" i="33"/>
  <c r="L25" i="33"/>
  <c r="K25" i="33"/>
  <c r="AU24" i="33"/>
  <c r="AW24" i="33" s="1"/>
  <c r="AT24" i="33"/>
  <c r="AV24" i="33" s="1"/>
  <c r="AS24" i="33"/>
  <c r="AQ24" i="33"/>
  <c r="AP24" i="33"/>
  <c r="AR24" i="33" s="1"/>
  <c r="AH24" i="33"/>
  <c r="L24" i="33"/>
  <c r="K24" i="33"/>
  <c r="AV23" i="33"/>
  <c r="AU23" i="33"/>
  <c r="AW23" i="33" s="1"/>
  <c r="AT23" i="33"/>
  <c r="AR23" i="33"/>
  <c r="AQ23" i="33"/>
  <c r="AS23" i="33" s="1"/>
  <c r="AP23" i="33"/>
  <c r="AH23" i="33"/>
  <c r="L23" i="33"/>
  <c r="K23" i="33"/>
  <c r="AU22" i="33"/>
  <c r="AW22" i="33" s="1"/>
  <c r="AT22" i="33"/>
  <c r="AV22" i="33" s="1"/>
  <c r="AR22" i="33"/>
  <c r="AQ22" i="33"/>
  <c r="AS22" i="33" s="1"/>
  <c r="AP22" i="33"/>
  <c r="AH22" i="33"/>
  <c r="L22" i="33"/>
  <c r="K22" i="33"/>
  <c r="AU21" i="33"/>
  <c r="AW21" i="33" s="1"/>
  <c r="AT21" i="33"/>
  <c r="AV21" i="33" s="1"/>
  <c r="AQ21" i="33"/>
  <c r="AS21" i="33" s="1"/>
  <c r="AP21" i="33"/>
  <c r="AR21" i="33" s="1"/>
  <c r="AH21" i="33"/>
  <c r="L21" i="33"/>
  <c r="K21" i="33"/>
  <c r="AU20" i="33"/>
  <c r="AW20" i="33" s="1"/>
  <c r="AT20" i="33"/>
  <c r="AV20" i="33" s="1"/>
  <c r="AS20" i="33"/>
  <c r="AQ20" i="33"/>
  <c r="AP20" i="33"/>
  <c r="AR20" i="33" s="1"/>
  <c r="AH20" i="33"/>
  <c r="L20" i="33"/>
  <c r="K20" i="33"/>
  <c r="AV19" i="33"/>
  <c r="AU19" i="33"/>
  <c r="AW19" i="33" s="1"/>
  <c r="AT19" i="33"/>
  <c r="AR19" i="33"/>
  <c r="AQ19" i="33"/>
  <c r="AS19" i="33" s="1"/>
  <c r="AP19" i="33"/>
  <c r="AH19" i="33"/>
  <c r="L19" i="33"/>
  <c r="K19" i="33"/>
  <c r="AU18" i="33"/>
  <c r="AW18" i="33" s="1"/>
  <c r="AT18" i="33"/>
  <c r="AV18" i="33" s="1"/>
  <c r="AR18" i="33"/>
  <c r="AQ18" i="33"/>
  <c r="AS18" i="33" s="1"/>
  <c r="AP18" i="33"/>
  <c r="AH18" i="33"/>
  <c r="L18" i="33"/>
  <c r="K18" i="33"/>
  <c r="AU17" i="33"/>
  <c r="AW17" i="33" s="1"/>
  <c r="AT17" i="33"/>
  <c r="AV17" i="33" s="1"/>
  <c r="AQ17" i="33"/>
  <c r="AS17" i="33" s="1"/>
  <c r="AP17" i="33"/>
  <c r="AR17" i="33" s="1"/>
  <c r="AH17" i="33"/>
  <c r="L17" i="33"/>
  <c r="K17" i="33"/>
  <c r="AU16" i="33"/>
  <c r="AW16" i="33" s="1"/>
  <c r="AT16" i="33"/>
  <c r="AV16" i="33" s="1"/>
  <c r="AS16" i="33"/>
  <c r="AQ16" i="33"/>
  <c r="AP16" i="33"/>
  <c r="AR16" i="33" s="1"/>
  <c r="AH16" i="33"/>
  <c r="L16" i="33"/>
  <c r="K16" i="33"/>
  <c r="AV15" i="33"/>
  <c r="AU15" i="33"/>
  <c r="AW15" i="33" s="1"/>
  <c r="AT15" i="33"/>
  <c r="AR15" i="33"/>
  <c r="AQ15" i="33"/>
  <c r="AS15" i="33" s="1"/>
  <c r="AP15" i="33"/>
  <c r="AH15" i="33"/>
  <c r="L15" i="33"/>
  <c r="K15" i="33"/>
  <c r="AU14" i="33"/>
  <c r="AW14" i="33" s="1"/>
  <c r="AT14" i="33"/>
  <c r="AV14" i="33" s="1"/>
  <c r="AR14" i="33"/>
  <c r="AQ14" i="33"/>
  <c r="AS14" i="33" s="1"/>
  <c r="AP14" i="33"/>
  <c r="AH14" i="33"/>
  <c r="L14" i="33"/>
  <c r="K14" i="33"/>
  <c r="AU13" i="33"/>
  <c r="AW13" i="33" s="1"/>
  <c r="AT13" i="33"/>
  <c r="AV13" i="33" s="1"/>
  <c r="AQ13" i="33"/>
  <c r="AS13" i="33" s="1"/>
  <c r="AP13" i="33"/>
  <c r="AR13" i="33" s="1"/>
  <c r="AH13" i="33"/>
  <c r="L13" i="33"/>
  <c r="K13" i="33"/>
  <c r="AU12" i="33"/>
  <c r="AW12" i="33" s="1"/>
  <c r="AT12" i="33"/>
  <c r="AV12" i="33" s="1"/>
  <c r="AS12" i="33"/>
  <c r="AQ12" i="33"/>
  <c r="AP12" i="33"/>
  <c r="AR12" i="33" s="1"/>
  <c r="AH12" i="33"/>
  <c r="L12" i="33"/>
  <c r="K12" i="33"/>
  <c r="AV11" i="33"/>
  <c r="AU11" i="33"/>
  <c r="AW11" i="33" s="1"/>
  <c r="AT11" i="33"/>
  <c r="AR11" i="33"/>
  <c r="AQ11" i="33"/>
  <c r="AS11" i="33" s="1"/>
  <c r="AP11" i="33"/>
  <c r="AH11" i="33"/>
  <c r="L11" i="33"/>
  <c r="K11" i="33"/>
  <c r="AU10" i="33"/>
  <c r="AW10" i="33" s="1"/>
  <c r="AT10" i="33"/>
  <c r="AV10" i="33" s="1"/>
  <c r="AR10" i="33"/>
  <c r="AQ10" i="33"/>
  <c r="AS10" i="33" s="1"/>
  <c r="AP10" i="33"/>
  <c r="AH10" i="33"/>
  <c r="L10" i="33"/>
  <c r="K10" i="33"/>
  <c r="AU9" i="33"/>
  <c r="AW9" i="33" s="1"/>
  <c r="AT9" i="33"/>
  <c r="AV9" i="33" s="1"/>
  <c r="AQ9" i="33"/>
  <c r="AS9" i="33" s="1"/>
  <c r="AP9" i="33"/>
  <c r="AR9" i="33" s="1"/>
  <c r="AH9" i="33"/>
  <c r="L9" i="33"/>
  <c r="K9" i="33"/>
  <c r="AU8" i="33"/>
  <c r="AW8" i="33" s="1"/>
  <c r="AT8" i="33"/>
  <c r="AV8" i="33" s="1"/>
  <c r="AS8" i="33"/>
  <c r="AQ8" i="33"/>
  <c r="AP8" i="33"/>
  <c r="AR8" i="33" s="1"/>
  <c r="AH8" i="33"/>
  <c r="L8" i="33"/>
  <c r="K8" i="33"/>
  <c r="AV7" i="33"/>
  <c r="AU7" i="33"/>
  <c r="AW7" i="33" s="1"/>
  <c r="AT7" i="33"/>
  <c r="AR7" i="33"/>
  <c r="AQ7" i="33"/>
  <c r="AS7" i="33" s="1"/>
  <c r="AP7" i="33"/>
  <c r="AH7" i="33"/>
  <c r="L7" i="33"/>
  <c r="K7" i="33"/>
  <c r="AU6" i="33"/>
  <c r="AW6" i="33" s="1"/>
  <c r="AT6" i="33"/>
  <c r="AV6" i="33" s="1"/>
  <c r="AR6" i="33"/>
  <c r="AQ6" i="33"/>
  <c r="AS6" i="33" s="1"/>
  <c r="AP6" i="33"/>
  <c r="AH6" i="33"/>
  <c r="L6" i="33"/>
  <c r="K6" i="33"/>
  <c r="AU5" i="33"/>
  <c r="AW5" i="33" s="1"/>
  <c r="AT5" i="33"/>
  <c r="AV5" i="33" s="1"/>
  <c r="AQ5" i="33"/>
  <c r="AS5" i="33" s="1"/>
  <c r="AP5" i="33"/>
  <c r="AR5" i="33" s="1"/>
  <c r="AH5" i="33"/>
  <c r="L5" i="33"/>
  <c r="K5" i="33"/>
  <c r="AU4" i="33"/>
  <c r="AW4" i="33" s="1"/>
  <c r="AT4" i="33"/>
  <c r="AV4" i="33" s="1"/>
  <c r="AS4" i="33"/>
  <c r="AQ4" i="33"/>
  <c r="AP4" i="33"/>
  <c r="AR4" i="33" s="1"/>
  <c r="AH4" i="33"/>
  <c r="L4" i="33"/>
  <c r="K4" i="33"/>
  <c r="AV3" i="33"/>
  <c r="AU3" i="33"/>
  <c r="AW3" i="33" s="1"/>
  <c r="AT3" i="33"/>
  <c r="AR3" i="33"/>
  <c r="AQ3" i="33"/>
  <c r="AS3" i="33" s="1"/>
  <c r="AP3" i="33"/>
  <c r="AH3" i="33"/>
  <c r="L3" i="33"/>
  <c r="K3" i="33"/>
  <c r="R116" i="32"/>
  <c r="Q116" i="32"/>
  <c r="P116" i="32"/>
  <c r="O116" i="32"/>
  <c r="N116" i="32"/>
  <c r="M116" i="32"/>
  <c r="L116" i="32"/>
  <c r="K116" i="32"/>
  <c r="J116" i="32"/>
  <c r="I116" i="32"/>
  <c r="H116" i="32"/>
  <c r="G116" i="32"/>
  <c r="F116" i="32"/>
  <c r="E116" i="32"/>
  <c r="R113" i="32"/>
  <c r="Q113" i="32"/>
  <c r="P113" i="32"/>
  <c r="L113" i="32"/>
  <c r="K113" i="32"/>
  <c r="J113" i="32"/>
  <c r="I113" i="32"/>
  <c r="F113" i="32"/>
  <c r="E113" i="32"/>
  <c r="R112" i="32"/>
  <c r="Q112" i="32"/>
  <c r="P112" i="32"/>
  <c r="O112" i="32"/>
  <c r="N112" i="32"/>
  <c r="M112" i="32"/>
  <c r="L112" i="32"/>
  <c r="K112" i="32"/>
  <c r="I112" i="32"/>
  <c r="H112" i="32"/>
  <c r="G112" i="32"/>
  <c r="F112" i="32"/>
  <c r="E112" i="32"/>
  <c r="O111" i="32"/>
  <c r="N111" i="32"/>
  <c r="M111" i="32"/>
  <c r="J111" i="32"/>
  <c r="R110" i="32"/>
  <c r="Q110" i="32"/>
  <c r="P110" i="32"/>
  <c r="O110" i="32"/>
  <c r="N110" i="32"/>
  <c r="M110" i="32"/>
  <c r="L110" i="32"/>
  <c r="K110" i="32"/>
  <c r="J110" i="32"/>
  <c r="I110" i="32"/>
  <c r="H110" i="32"/>
  <c r="G110" i="32"/>
  <c r="F110" i="32"/>
  <c r="E110" i="32"/>
  <c r="R107" i="32"/>
  <c r="R119" i="32" s="1"/>
  <c r="Q107" i="32"/>
  <c r="Q119" i="32" s="1"/>
  <c r="P107" i="32"/>
  <c r="P119" i="32" s="1"/>
  <c r="L107" i="32"/>
  <c r="L119" i="32" s="1"/>
  <c r="K107" i="32"/>
  <c r="K119" i="32" s="1"/>
  <c r="J107" i="32"/>
  <c r="J119" i="32" s="1"/>
  <c r="I107" i="32"/>
  <c r="I119" i="32" s="1"/>
  <c r="H107" i="32"/>
  <c r="F107" i="32"/>
  <c r="F119" i="32" s="1"/>
  <c r="E107" i="32"/>
  <c r="R106" i="32"/>
  <c r="R118" i="32" s="1"/>
  <c r="Q106" i="32"/>
  <c r="Q118" i="32" s="1"/>
  <c r="P106" i="32"/>
  <c r="P118" i="32" s="1"/>
  <c r="O106" i="32"/>
  <c r="O118" i="32" s="1"/>
  <c r="N106" i="32"/>
  <c r="N118" i="32" s="1"/>
  <c r="M106" i="32"/>
  <c r="M118" i="32" s="1"/>
  <c r="L106" i="32"/>
  <c r="L118" i="32" s="1"/>
  <c r="K106" i="32"/>
  <c r="K118" i="32" s="1"/>
  <c r="I106" i="32"/>
  <c r="I118" i="32" s="1"/>
  <c r="H106" i="32"/>
  <c r="H118" i="32" s="1"/>
  <c r="G106" i="32"/>
  <c r="G118" i="32" s="1"/>
  <c r="F106" i="32"/>
  <c r="F118" i="32" s="1"/>
  <c r="E106" i="32"/>
  <c r="D106" i="32"/>
  <c r="P105" i="32"/>
  <c r="O105" i="32"/>
  <c r="O117" i="32" s="1"/>
  <c r="N105" i="32"/>
  <c r="N117" i="32" s="1"/>
  <c r="M105" i="32"/>
  <c r="M117" i="32" s="1"/>
  <c r="L105" i="32"/>
  <c r="J105" i="32"/>
  <c r="J117" i="32" s="1"/>
  <c r="R104" i="32"/>
  <c r="Q104" i="32"/>
  <c r="P104" i="32"/>
  <c r="O104" i="32"/>
  <c r="N104" i="32"/>
  <c r="M104" i="32"/>
  <c r="L104" i="32"/>
  <c r="K104" i="32"/>
  <c r="J104" i="32"/>
  <c r="I104" i="32"/>
  <c r="H104" i="32"/>
  <c r="G104" i="32"/>
  <c r="F104" i="32"/>
  <c r="E104" i="32"/>
  <c r="R99" i="32"/>
  <c r="Q99" i="32"/>
  <c r="P99" i="32"/>
  <c r="L99" i="32"/>
  <c r="K99" i="32"/>
  <c r="J99" i="32"/>
  <c r="I99" i="32"/>
  <c r="G99" i="32"/>
  <c r="F99" i="32"/>
  <c r="E99" i="32"/>
  <c r="R98" i="32"/>
  <c r="Q98" i="32"/>
  <c r="P98" i="32"/>
  <c r="O98" i="32"/>
  <c r="N98" i="32"/>
  <c r="M98" i="32"/>
  <c r="L98" i="32"/>
  <c r="K98" i="32"/>
  <c r="I98" i="32"/>
  <c r="H98" i="32"/>
  <c r="G98" i="32"/>
  <c r="F98" i="32"/>
  <c r="E98" i="32"/>
  <c r="O97" i="32"/>
  <c r="N97" i="32"/>
  <c r="M97" i="32"/>
  <c r="J97" i="32"/>
  <c r="R96" i="32"/>
  <c r="Q96" i="32"/>
  <c r="P96" i="32"/>
  <c r="O96" i="32"/>
  <c r="N96" i="32"/>
  <c r="M96" i="32"/>
  <c r="L96" i="32"/>
  <c r="K96" i="32"/>
  <c r="J96" i="32"/>
  <c r="I96" i="32"/>
  <c r="H96" i="32"/>
  <c r="G96" i="32"/>
  <c r="F96" i="32"/>
  <c r="E96" i="32"/>
  <c r="P94" i="32"/>
  <c r="L94" i="32"/>
  <c r="O93" i="32"/>
  <c r="O94" i="32" s="1"/>
  <c r="N93" i="32"/>
  <c r="N94" i="32" s="1"/>
  <c r="M93" i="32"/>
  <c r="M94" i="32" s="1"/>
  <c r="H93" i="32"/>
  <c r="G93" i="32"/>
  <c r="D93" i="32"/>
  <c r="T92" i="32"/>
  <c r="J92" i="32"/>
  <c r="J94" i="32" s="1"/>
  <c r="J100" i="32" s="1"/>
  <c r="D92" i="32"/>
  <c r="R91" i="32"/>
  <c r="R94" i="32" s="1"/>
  <c r="Q91" i="32"/>
  <c r="Q94" i="32" s="1"/>
  <c r="P91" i="32"/>
  <c r="L91" i="32"/>
  <c r="K91" i="32"/>
  <c r="K94" i="32" s="1"/>
  <c r="I91" i="32"/>
  <c r="I94" i="32" s="1"/>
  <c r="H91" i="32"/>
  <c r="H94" i="32" s="1"/>
  <c r="G91" i="32"/>
  <c r="G94" i="32" s="1"/>
  <c r="F91" i="32"/>
  <c r="E91" i="32"/>
  <c r="E94" i="32" s="1"/>
  <c r="D91" i="32"/>
  <c r="D94" i="32" s="1"/>
  <c r="R90" i="32"/>
  <c r="Q90" i="32"/>
  <c r="P90" i="32"/>
  <c r="O90" i="32"/>
  <c r="N90" i="32"/>
  <c r="M90" i="32"/>
  <c r="L90" i="32"/>
  <c r="K90" i="32"/>
  <c r="J90" i="32"/>
  <c r="I90" i="32"/>
  <c r="H90" i="32"/>
  <c r="G90" i="32"/>
  <c r="F90" i="32"/>
  <c r="E90" i="32"/>
  <c r="Q88" i="32"/>
  <c r="Q100" i="32" s="1"/>
  <c r="P88" i="32"/>
  <c r="I88" i="32"/>
  <c r="H88" i="32"/>
  <c r="E88" i="32"/>
  <c r="O87" i="32"/>
  <c r="O88" i="32" s="1"/>
  <c r="O100" i="32" s="1"/>
  <c r="N87" i="32"/>
  <c r="N88" i="32" s="1"/>
  <c r="M87" i="32"/>
  <c r="H87" i="32"/>
  <c r="H99" i="32" s="1"/>
  <c r="G87" i="32"/>
  <c r="T87" i="32" s="1"/>
  <c r="D87" i="32"/>
  <c r="T86" i="32"/>
  <c r="J86" i="32"/>
  <c r="J88" i="32" s="1"/>
  <c r="D86" i="32"/>
  <c r="D98" i="32" s="1"/>
  <c r="R85" i="32"/>
  <c r="R88" i="32" s="1"/>
  <c r="Q85" i="32"/>
  <c r="P85" i="32"/>
  <c r="P97" i="32" s="1"/>
  <c r="L85" i="32"/>
  <c r="L97" i="32" s="1"/>
  <c r="K85" i="32"/>
  <c r="I85" i="32"/>
  <c r="H85" i="32"/>
  <c r="H97" i="32" s="1"/>
  <c r="G85" i="32"/>
  <c r="F85" i="32"/>
  <c r="F88" i="32" s="1"/>
  <c r="E85" i="32"/>
  <c r="D85" i="32"/>
  <c r="D97" i="32" s="1"/>
  <c r="R84" i="32"/>
  <c r="Q84" i="32"/>
  <c r="P84" i="32"/>
  <c r="O84" i="32"/>
  <c r="N84" i="32"/>
  <c r="M84" i="32"/>
  <c r="L84" i="32"/>
  <c r="K84" i="32"/>
  <c r="J84" i="32"/>
  <c r="I84" i="32"/>
  <c r="H84" i="32"/>
  <c r="G84" i="32"/>
  <c r="F84" i="32"/>
  <c r="E84" i="32"/>
  <c r="R80" i="32"/>
  <c r="Q80" i="32"/>
  <c r="P80" i="32"/>
  <c r="L80" i="32"/>
  <c r="K80" i="32"/>
  <c r="J80" i="32"/>
  <c r="I80" i="32"/>
  <c r="H80" i="32"/>
  <c r="F80" i="32"/>
  <c r="E80" i="32"/>
  <c r="R79" i="32"/>
  <c r="Q79" i="32"/>
  <c r="P79" i="32"/>
  <c r="O79" i="32"/>
  <c r="N79" i="32"/>
  <c r="M79" i="32"/>
  <c r="L79" i="32"/>
  <c r="K79" i="32"/>
  <c r="I79" i="32"/>
  <c r="H79" i="32"/>
  <c r="G79" i="32"/>
  <c r="F79" i="32"/>
  <c r="E79" i="32"/>
  <c r="D79" i="32"/>
  <c r="Q78" i="32"/>
  <c r="O78" i="32"/>
  <c r="N78" i="32"/>
  <c r="M78" i="32"/>
  <c r="J78" i="32"/>
  <c r="E78" i="32"/>
  <c r="Q75" i="32"/>
  <c r="J75" i="32"/>
  <c r="I75" i="32"/>
  <c r="O74" i="32"/>
  <c r="O75" i="32" s="1"/>
  <c r="N74" i="32"/>
  <c r="N75" i="32" s="1"/>
  <c r="M74" i="32"/>
  <c r="H74" i="32"/>
  <c r="H113" i="32" s="1"/>
  <c r="G74" i="32"/>
  <c r="T74" i="32" s="1"/>
  <c r="D74" i="32"/>
  <c r="J73" i="32"/>
  <c r="D73" i="32"/>
  <c r="D112" i="32" s="1"/>
  <c r="D118" i="32" s="1"/>
  <c r="R72" i="32"/>
  <c r="R75" i="32" s="1"/>
  <c r="Q72" i="32"/>
  <c r="P72" i="32"/>
  <c r="L72" i="32"/>
  <c r="L111" i="32" s="1"/>
  <c r="L114" i="32" s="1"/>
  <c r="K72" i="32"/>
  <c r="I72" i="32"/>
  <c r="H72" i="32"/>
  <c r="G72" i="32"/>
  <c r="F72" i="32"/>
  <c r="F75" i="32" s="1"/>
  <c r="E72" i="32"/>
  <c r="D72" i="32"/>
  <c r="D111" i="32" s="1"/>
  <c r="R71" i="32"/>
  <c r="Q71" i="32"/>
  <c r="P71" i="32"/>
  <c r="O71" i="32"/>
  <c r="N71" i="32"/>
  <c r="M71" i="32"/>
  <c r="L71" i="32"/>
  <c r="K71" i="32"/>
  <c r="J71" i="32"/>
  <c r="I71" i="32"/>
  <c r="H71" i="32"/>
  <c r="G71" i="32"/>
  <c r="F71" i="32"/>
  <c r="E71" i="32"/>
  <c r="Q69" i="32"/>
  <c r="P69" i="32"/>
  <c r="M69" i="32"/>
  <c r="J69" i="32"/>
  <c r="I69" i="32"/>
  <c r="H69" i="32"/>
  <c r="E69" i="32"/>
  <c r="D69" i="32"/>
  <c r="O68" i="32"/>
  <c r="O107" i="32" s="1"/>
  <c r="N68" i="32"/>
  <c r="M68" i="32"/>
  <c r="M107" i="32" s="1"/>
  <c r="H68" i="32"/>
  <c r="G68" i="32"/>
  <c r="G107" i="32" s="1"/>
  <c r="D68" i="32"/>
  <c r="D107" i="32" s="1"/>
  <c r="T67" i="32"/>
  <c r="J67" i="32"/>
  <c r="J106" i="32" s="1"/>
  <c r="D67" i="32"/>
  <c r="R66" i="32"/>
  <c r="Q66" i="32"/>
  <c r="Q105" i="32" s="1"/>
  <c r="P66" i="32"/>
  <c r="L66" i="32"/>
  <c r="K66" i="32"/>
  <c r="I66" i="32"/>
  <c r="I105" i="32" s="1"/>
  <c r="H66" i="32"/>
  <c r="G66" i="32"/>
  <c r="F66" i="32"/>
  <c r="E66" i="32"/>
  <c r="E105" i="32" s="1"/>
  <c r="D66" i="32"/>
  <c r="D105" i="32" s="1"/>
  <c r="AU60" i="32"/>
  <c r="AW60" i="32" s="1"/>
  <c r="AT60" i="32"/>
  <c r="AV60" i="32" s="1"/>
  <c r="AQ60" i="32"/>
  <c r="AS60" i="32" s="1"/>
  <c r="AP60" i="32"/>
  <c r="AR60" i="32" s="1"/>
  <c r="AH60" i="32"/>
  <c r="L60" i="32"/>
  <c r="K60" i="32"/>
  <c r="AV59" i="32"/>
  <c r="AU59" i="32"/>
  <c r="AW59" i="32" s="1"/>
  <c r="AT59" i="32"/>
  <c r="AQ59" i="32"/>
  <c r="AS59" i="32" s="1"/>
  <c r="AP59" i="32"/>
  <c r="AR59" i="32" s="1"/>
  <c r="AH59" i="32"/>
  <c r="L59" i="32"/>
  <c r="K59" i="32"/>
  <c r="AV58" i="32"/>
  <c r="AU58" i="32"/>
  <c r="AW58" i="32" s="1"/>
  <c r="AT58" i="32"/>
  <c r="AQ58" i="32"/>
  <c r="AS58" i="32" s="1"/>
  <c r="AP58" i="32"/>
  <c r="AR58" i="32" s="1"/>
  <c r="AH58" i="32"/>
  <c r="L58" i="32"/>
  <c r="K58" i="32"/>
  <c r="AU57" i="32"/>
  <c r="AW57" i="32" s="1"/>
  <c r="AT57" i="32"/>
  <c r="AV57" i="32" s="1"/>
  <c r="AQ57" i="32"/>
  <c r="AS57" i="32" s="1"/>
  <c r="AP57" i="32"/>
  <c r="AR57" i="32" s="1"/>
  <c r="AH57" i="32"/>
  <c r="L57" i="32"/>
  <c r="K57" i="32"/>
  <c r="AW56" i="32"/>
  <c r="AU56" i="32"/>
  <c r="AT56" i="32"/>
  <c r="AV56" i="32" s="1"/>
  <c r="AS56" i="32"/>
  <c r="AQ56" i="32"/>
  <c r="AP56" i="32"/>
  <c r="AR56" i="32" s="1"/>
  <c r="AH56" i="32"/>
  <c r="L56" i="32"/>
  <c r="K56" i="32"/>
  <c r="AU55" i="32"/>
  <c r="AW55" i="32" s="1"/>
  <c r="AT55" i="32"/>
  <c r="AV55" i="32" s="1"/>
  <c r="AQ55" i="32"/>
  <c r="AS55" i="32" s="1"/>
  <c r="AP55" i="32"/>
  <c r="AR55" i="32" s="1"/>
  <c r="AH55" i="32"/>
  <c r="L55" i="32"/>
  <c r="K55" i="32"/>
  <c r="AV54" i="32"/>
  <c r="AU54" i="32"/>
  <c r="AW54" i="32" s="1"/>
  <c r="AT54" i="32"/>
  <c r="AQ54" i="32"/>
  <c r="AS54" i="32" s="1"/>
  <c r="AP54" i="32"/>
  <c r="AR54" i="32" s="1"/>
  <c r="AH54" i="32"/>
  <c r="L54" i="32"/>
  <c r="K54" i="32"/>
  <c r="AU53" i="32"/>
  <c r="AW53" i="32" s="1"/>
  <c r="AT53" i="32"/>
  <c r="AV53" i="32" s="1"/>
  <c r="AQ53" i="32"/>
  <c r="AS53" i="32" s="1"/>
  <c r="AP53" i="32"/>
  <c r="AR53" i="32" s="1"/>
  <c r="AH53" i="32"/>
  <c r="L53" i="32"/>
  <c r="K53" i="32"/>
  <c r="AW52" i="32"/>
  <c r="AU52" i="32"/>
  <c r="AT52" i="32"/>
  <c r="AV52" i="32" s="1"/>
  <c r="AQ52" i="32"/>
  <c r="AS52" i="32" s="1"/>
  <c r="AP52" i="32"/>
  <c r="AR52" i="32" s="1"/>
  <c r="AH52" i="32"/>
  <c r="L52" i="32"/>
  <c r="K52" i="32"/>
  <c r="AU51" i="32"/>
  <c r="AW51" i="32" s="1"/>
  <c r="AT51" i="32"/>
  <c r="AV51" i="32" s="1"/>
  <c r="AQ51" i="32"/>
  <c r="AS51" i="32" s="1"/>
  <c r="AP51" i="32"/>
  <c r="AR51" i="32" s="1"/>
  <c r="AH51" i="32"/>
  <c r="L51" i="32"/>
  <c r="K51" i="32"/>
  <c r="AV50" i="32"/>
  <c r="AU50" i="32"/>
  <c r="AW50" i="32" s="1"/>
  <c r="AT50" i="32"/>
  <c r="AQ50" i="32"/>
  <c r="AS50" i="32" s="1"/>
  <c r="AP50" i="32"/>
  <c r="AR50" i="32" s="1"/>
  <c r="AH50" i="32"/>
  <c r="L50" i="32"/>
  <c r="K50" i="32"/>
  <c r="AU49" i="32"/>
  <c r="AW49" i="32" s="1"/>
  <c r="AT49" i="32"/>
  <c r="AV49" i="32" s="1"/>
  <c r="AR49" i="32"/>
  <c r="AQ49" i="32"/>
  <c r="AS49" i="32" s="1"/>
  <c r="AP49" i="32"/>
  <c r="AH49" i="32"/>
  <c r="L49" i="32"/>
  <c r="K49" i="32"/>
  <c r="AU48" i="32"/>
  <c r="AW48" i="32" s="1"/>
  <c r="AT48" i="32"/>
  <c r="AV48" i="32" s="1"/>
  <c r="AR48" i="32"/>
  <c r="AQ48" i="32"/>
  <c r="AS48" i="32" s="1"/>
  <c r="AP48" i="32"/>
  <c r="AH48" i="32"/>
  <c r="L48" i="32"/>
  <c r="K48" i="32"/>
  <c r="AU47" i="32"/>
  <c r="AW47" i="32" s="1"/>
  <c r="AT47" i="32"/>
  <c r="AV47" i="32" s="1"/>
  <c r="AQ47" i="32"/>
  <c r="AS47" i="32" s="1"/>
  <c r="AP47" i="32"/>
  <c r="AR47" i="32" s="1"/>
  <c r="AH47" i="32"/>
  <c r="L47" i="32"/>
  <c r="K47" i="32"/>
  <c r="AU46" i="32"/>
  <c r="AW46" i="32" s="1"/>
  <c r="AT46" i="32"/>
  <c r="AV46" i="32" s="1"/>
  <c r="AS46" i="32"/>
  <c r="AQ46" i="32"/>
  <c r="AP46" i="32"/>
  <c r="AR46" i="32" s="1"/>
  <c r="AH46" i="32"/>
  <c r="L46" i="32"/>
  <c r="K46" i="32"/>
  <c r="AV45" i="32"/>
  <c r="AU45" i="32"/>
  <c r="AW45" i="32" s="1"/>
  <c r="AT45" i="32"/>
  <c r="AR45" i="32"/>
  <c r="AQ45" i="32"/>
  <c r="AS45" i="32" s="1"/>
  <c r="AP45" i="32"/>
  <c r="AH45" i="32"/>
  <c r="L45" i="32"/>
  <c r="K45" i="32"/>
  <c r="AU44" i="32"/>
  <c r="AW44" i="32" s="1"/>
  <c r="AT44" i="32"/>
  <c r="AV44" i="32" s="1"/>
  <c r="AR44" i="32"/>
  <c r="AQ44" i="32"/>
  <c r="AS44" i="32" s="1"/>
  <c r="AP44" i="32"/>
  <c r="AH44" i="32"/>
  <c r="L44" i="32"/>
  <c r="K44" i="32"/>
  <c r="AU43" i="32"/>
  <c r="AW43" i="32" s="1"/>
  <c r="AT43" i="32"/>
  <c r="AV43" i="32" s="1"/>
  <c r="AQ43" i="32"/>
  <c r="AS43" i="32" s="1"/>
  <c r="AP43" i="32"/>
  <c r="AR43" i="32" s="1"/>
  <c r="AH43" i="32"/>
  <c r="L43" i="32"/>
  <c r="K43" i="32"/>
  <c r="AU42" i="32"/>
  <c r="AW42" i="32" s="1"/>
  <c r="AT42" i="32"/>
  <c r="AV42" i="32" s="1"/>
  <c r="AS42" i="32"/>
  <c r="AQ42" i="32"/>
  <c r="AP42" i="32"/>
  <c r="AR42" i="32" s="1"/>
  <c r="AH42" i="32"/>
  <c r="L42" i="32"/>
  <c r="K42" i="32"/>
  <c r="AV41" i="32"/>
  <c r="AU41" i="32"/>
  <c r="AW41" i="32" s="1"/>
  <c r="AT41" i="32"/>
  <c r="AR41" i="32"/>
  <c r="AQ41" i="32"/>
  <c r="AS41" i="32" s="1"/>
  <c r="AP41" i="32"/>
  <c r="AH41" i="32"/>
  <c r="L41" i="32"/>
  <c r="K41" i="32"/>
  <c r="AU40" i="32"/>
  <c r="AW40" i="32" s="1"/>
  <c r="AT40" i="32"/>
  <c r="AV40" i="32" s="1"/>
  <c r="AR40" i="32"/>
  <c r="AQ40" i="32"/>
  <c r="AS40" i="32" s="1"/>
  <c r="AP40" i="32"/>
  <c r="AH40" i="32"/>
  <c r="L40" i="32"/>
  <c r="K40" i="32"/>
  <c r="AU39" i="32"/>
  <c r="AW39" i="32" s="1"/>
  <c r="AT39" i="32"/>
  <c r="AV39" i="32" s="1"/>
  <c r="AQ39" i="32"/>
  <c r="AS39" i="32" s="1"/>
  <c r="AP39" i="32"/>
  <c r="AR39" i="32" s="1"/>
  <c r="AH39" i="32"/>
  <c r="L39" i="32"/>
  <c r="K39" i="32"/>
  <c r="AU38" i="32"/>
  <c r="AW38" i="32" s="1"/>
  <c r="AT38" i="32"/>
  <c r="AV38" i="32" s="1"/>
  <c r="AS38" i="32"/>
  <c r="AQ38" i="32"/>
  <c r="AP38" i="32"/>
  <c r="AR38" i="32" s="1"/>
  <c r="AH38" i="32"/>
  <c r="L38" i="32"/>
  <c r="K38" i="32"/>
  <c r="AV37" i="32"/>
  <c r="AU37" i="32"/>
  <c r="AW37" i="32" s="1"/>
  <c r="AT37" i="32"/>
  <c r="AS37" i="32"/>
  <c r="AR37" i="32"/>
  <c r="AQ37" i="32"/>
  <c r="AP37" i="32"/>
  <c r="AH37" i="32"/>
  <c r="L37" i="32"/>
  <c r="K37" i="32"/>
  <c r="AU36" i="32"/>
  <c r="AW36" i="32" s="1"/>
  <c r="AT36" i="32"/>
  <c r="AV36" i="32" s="1"/>
  <c r="AR36" i="32"/>
  <c r="AQ36" i="32"/>
  <c r="AS36" i="32" s="1"/>
  <c r="AP36" i="32"/>
  <c r="AH36" i="32"/>
  <c r="L36" i="32"/>
  <c r="K36" i="32"/>
  <c r="AU35" i="32"/>
  <c r="AW35" i="32" s="1"/>
  <c r="AT35" i="32"/>
  <c r="AV35" i="32" s="1"/>
  <c r="AQ35" i="32"/>
  <c r="AS35" i="32" s="1"/>
  <c r="AP35" i="32"/>
  <c r="AR35" i="32" s="1"/>
  <c r="AH35" i="32"/>
  <c r="L35" i="32"/>
  <c r="K35" i="32"/>
  <c r="AU34" i="32"/>
  <c r="AW34" i="32" s="1"/>
  <c r="AT34" i="32"/>
  <c r="AV34" i="32" s="1"/>
  <c r="AS34" i="32"/>
  <c r="AQ34" i="32"/>
  <c r="AP34" i="32"/>
  <c r="AR34" i="32" s="1"/>
  <c r="AH34" i="32"/>
  <c r="L34" i="32"/>
  <c r="K34" i="32"/>
  <c r="AV33" i="32"/>
  <c r="AU33" i="32"/>
  <c r="AW33" i="32" s="1"/>
  <c r="AT33" i="32"/>
  <c r="AR33" i="32"/>
  <c r="AQ33" i="32"/>
  <c r="AS33" i="32" s="1"/>
  <c r="AP33" i="32"/>
  <c r="AH33" i="32"/>
  <c r="L33" i="32"/>
  <c r="K33" i="32"/>
  <c r="AU32" i="32"/>
  <c r="AW32" i="32" s="1"/>
  <c r="AT32" i="32"/>
  <c r="AV32" i="32" s="1"/>
  <c r="AQ32" i="32"/>
  <c r="AS32" i="32" s="1"/>
  <c r="AP32" i="32"/>
  <c r="AR32" i="32" s="1"/>
  <c r="AH32" i="32"/>
  <c r="L32" i="32"/>
  <c r="K32" i="32"/>
  <c r="AU31" i="32"/>
  <c r="AW31" i="32" s="1"/>
  <c r="AT31" i="32"/>
  <c r="AV31" i="32" s="1"/>
  <c r="AQ31" i="32"/>
  <c r="AS31" i="32" s="1"/>
  <c r="AP31" i="32"/>
  <c r="AR31" i="32" s="1"/>
  <c r="AH31" i="32"/>
  <c r="L31" i="32"/>
  <c r="K31" i="32"/>
  <c r="AU30" i="32"/>
  <c r="AW30" i="32" s="1"/>
  <c r="AT30" i="32"/>
  <c r="AV30" i="32" s="1"/>
  <c r="AS30" i="32"/>
  <c r="AQ30" i="32"/>
  <c r="AP30" i="32"/>
  <c r="AR30" i="32" s="1"/>
  <c r="AH30" i="32"/>
  <c r="L30" i="32"/>
  <c r="K30" i="32"/>
  <c r="AW29" i="32"/>
  <c r="AV29" i="32"/>
  <c r="AU29" i="32"/>
  <c r="AT29" i="32"/>
  <c r="AS29" i="32"/>
  <c r="AR29" i="32"/>
  <c r="AQ29" i="32"/>
  <c r="AP29" i="32"/>
  <c r="AH29" i="32"/>
  <c r="L29" i="32"/>
  <c r="K29" i="32"/>
  <c r="AU28" i="32"/>
  <c r="AW28" i="32" s="1"/>
  <c r="AT28" i="32"/>
  <c r="AV28" i="32" s="1"/>
  <c r="AR28" i="32"/>
  <c r="AQ28" i="32"/>
  <c r="AS28" i="32" s="1"/>
  <c r="AP28" i="32"/>
  <c r="AH28" i="32"/>
  <c r="L28" i="32"/>
  <c r="K28" i="32"/>
  <c r="AU27" i="32"/>
  <c r="AW27" i="32" s="1"/>
  <c r="AT27" i="32"/>
  <c r="AV27" i="32" s="1"/>
  <c r="AQ27" i="32"/>
  <c r="AS27" i="32" s="1"/>
  <c r="AP27" i="32"/>
  <c r="AR27" i="32" s="1"/>
  <c r="AH27" i="32"/>
  <c r="L27" i="32"/>
  <c r="K27" i="32"/>
  <c r="AU26" i="32"/>
  <c r="AW26" i="32" s="1"/>
  <c r="AT26" i="32"/>
  <c r="AV26" i="32" s="1"/>
  <c r="AS26" i="32"/>
  <c r="AQ26" i="32"/>
  <c r="AP26" i="32"/>
  <c r="AR26" i="32" s="1"/>
  <c r="AH26" i="32"/>
  <c r="L26" i="32"/>
  <c r="K26" i="32"/>
  <c r="AV25" i="32"/>
  <c r="AU25" i="32"/>
  <c r="AW25" i="32" s="1"/>
  <c r="AT25" i="32"/>
  <c r="AR25" i="32"/>
  <c r="AQ25" i="32"/>
  <c r="AS25" i="32" s="1"/>
  <c r="AP25" i="32"/>
  <c r="AH25" i="32"/>
  <c r="L25" i="32"/>
  <c r="K25" i="32"/>
  <c r="AU24" i="32"/>
  <c r="AW24" i="32" s="1"/>
  <c r="AT24" i="32"/>
  <c r="AV24" i="32" s="1"/>
  <c r="AQ24" i="32"/>
  <c r="AS24" i="32" s="1"/>
  <c r="AP24" i="32"/>
  <c r="AR24" i="32" s="1"/>
  <c r="AH24" i="32"/>
  <c r="L24" i="32"/>
  <c r="K24" i="32"/>
  <c r="AU23" i="32"/>
  <c r="AW23" i="32" s="1"/>
  <c r="AT23" i="32"/>
  <c r="AV23" i="32" s="1"/>
  <c r="AQ23" i="32"/>
  <c r="AS23" i="32" s="1"/>
  <c r="AP23" i="32"/>
  <c r="AR23" i="32" s="1"/>
  <c r="AH23" i="32"/>
  <c r="L23" i="32"/>
  <c r="K23" i="32"/>
  <c r="AU22" i="32"/>
  <c r="AW22" i="32" s="1"/>
  <c r="AT22" i="32"/>
  <c r="AV22" i="32" s="1"/>
  <c r="AS22" i="32"/>
  <c r="AQ22" i="32"/>
  <c r="AP22" i="32"/>
  <c r="AR22" i="32" s="1"/>
  <c r="AH22" i="32"/>
  <c r="L22" i="32"/>
  <c r="K22" i="32"/>
  <c r="AW21" i="32"/>
  <c r="AV21" i="32"/>
  <c r="AU21" i="32"/>
  <c r="AT21" i="32"/>
  <c r="AS21" i="32"/>
  <c r="AR21" i="32"/>
  <c r="AQ21" i="32"/>
  <c r="AP21" i="32"/>
  <c r="AH21" i="32"/>
  <c r="L21" i="32"/>
  <c r="K21" i="32"/>
  <c r="AU20" i="32"/>
  <c r="AW20" i="32" s="1"/>
  <c r="AT20" i="32"/>
  <c r="AV20" i="32" s="1"/>
  <c r="AR20" i="32"/>
  <c r="AQ20" i="32"/>
  <c r="AS20" i="32" s="1"/>
  <c r="AP20" i="32"/>
  <c r="AH20" i="32"/>
  <c r="L20" i="32"/>
  <c r="K20" i="32"/>
  <c r="AU19" i="32"/>
  <c r="AW19" i="32" s="1"/>
  <c r="AT19" i="32"/>
  <c r="AV19" i="32" s="1"/>
  <c r="AQ19" i="32"/>
  <c r="AS19" i="32" s="1"/>
  <c r="AP19" i="32"/>
  <c r="AR19" i="32" s="1"/>
  <c r="AH19" i="32"/>
  <c r="L19" i="32"/>
  <c r="K19" i="32"/>
  <c r="AU18" i="32"/>
  <c r="AW18" i="32" s="1"/>
  <c r="AT18" i="32"/>
  <c r="AV18" i="32" s="1"/>
  <c r="AS18" i="32"/>
  <c r="AQ18" i="32"/>
  <c r="AP18" i="32"/>
  <c r="AR18" i="32" s="1"/>
  <c r="AH18" i="32"/>
  <c r="L18" i="32"/>
  <c r="K18" i="32"/>
  <c r="AV17" i="32"/>
  <c r="AU17" i="32"/>
  <c r="AW17" i="32" s="1"/>
  <c r="AT17" i="32"/>
  <c r="AR17" i="32"/>
  <c r="AQ17" i="32"/>
  <c r="AS17" i="32" s="1"/>
  <c r="AP17" i="32"/>
  <c r="AH17" i="32"/>
  <c r="L17" i="32"/>
  <c r="K17" i="32"/>
  <c r="AU16" i="32"/>
  <c r="AW16" i="32" s="1"/>
  <c r="AT16" i="32"/>
  <c r="AV16" i="32" s="1"/>
  <c r="AQ16" i="32"/>
  <c r="AS16" i="32" s="1"/>
  <c r="AP16" i="32"/>
  <c r="AR16" i="32" s="1"/>
  <c r="AH16" i="32"/>
  <c r="L16" i="32"/>
  <c r="K16" i="32"/>
  <c r="AU15" i="32"/>
  <c r="AW15" i="32" s="1"/>
  <c r="AT15" i="32"/>
  <c r="AV15" i="32" s="1"/>
  <c r="AQ15" i="32"/>
  <c r="AS15" i="32" s="1"/>
  <c r="AP15" i="32"/>
  <c r="AR15" i="32" s="1"/>
  <c r="AH15" i="32"/>
  <c r="L15" i="32"/>
  <c r="K15" i="32"/>
  <c r="AU14" i="32"/>
  <c r="AW14" i="32" s="1"/>
  <c r="AT14" i="32"/>
  <c r="AV14" i="32" s="1"/>
  <c r="AS14" i="32"/>
  <c r="AQ14" i="32"/>
  <c r="AP14" i="32"/>
  <c r="AR14" i="32" s="1"/>
  <c r="AH14" i="32"/>
  <c r="L14" i="32"/>
  <c r="K14" i="32"/>
  <c r="AW13" i="32"/>
  <c r="AV13" i="32"/>
  <c r="AU13" i="32"/>
  <c r="AT13" i="32"/>
  <c r="AS13" i="32"/>
  <c r="AR13" i="32"/>
  <c r="AQ13" i="32"/>
  <c r="AP13" i="32"/>
  <c r="AH13" i="32"/>
  <c r="L13" i="32"/>
  <c r="K13" i="32"/>
  <c r="AU12" i="32"/>
  <c r="AW12" i="32" s="1"/>
  <c r="AT12" i="32"/>
  <c r="AV12" i="32" s="1"/>
  <c r="AR12" i="32"/>
  <c r="AQ12" i="32"/>
  <c r="AS12" i="32" s="1"/>
  <c r="AP12" i="32"/>
  <c r="AH12" i="32"/>
  <c r="L12" i="32"/>
  <c r="K12" i="32"/>
  <c r="AU11" i="32"/>
  <c r="AW11" i="32" s="1"/>
  <c r="AT11" i="32"/>
  <c r="AV11" i="32" s="1"/>
  <c r="AQ11" i="32"/>
  <c r="AS11" i="32" s="1"/>
  <c r="AP11" i="32"/>
  <c r="AR11" i="32" s="1"/>
  <c r="AH11" i="32"/>
  <c r="L11" i="32"/>
  <c r="K11" i="32"/>
  <c r="AU10" i="32"/>
  <c r="AW10" i="32" s="1"/>
  <c r="AT10" i="32"/>
  <c r="AV10" i="32" s="1"/>
  <c r="AS10" i="32"/>
  <c r="AQ10" i="32"/>
  <c r="AP10" i="32"/>
  <c r="AR10" i="32" s="1"/>
  <c r="AH10" i="32"/>
  <c r="L10" i="32"/>
  <c r="K10" i="32"/>
  <c r="AV9" i="32"/>
  <c r="AU9" i="32"/>
  <c r="AW9" i="32" s="1"/>
  <c r="AT9" i="32"/>
  <c r="AR9" i="32"/>
  <c r="AQ9" i="32"/>
  <c r="AS9" i="32" s="1"/>
  <c r="AP9" i="32"/>
  <c r="AH9" i="32"/>
  <c r="L9" i="32"/>
  <c r="K9" i="32"/>
  <c r="AU8" i="32"/>
  <c r="AW8" i="32" s="1"/>
  <c r="AT8" i="32"/>
  <c r="AV8" i="32" s="1"/>
  <c r="AQ8" i="32"/>
  <c r="AS8" i="32" s="1"/>
  <c r="AP8" i="32"/>
  <c r="AR8" i="32" s="1"/>
  <c r="AH8" i="32"/>
  <c r="L8" i="32"/>
  <c r="K8" i="32"/>
  <c r="AU7" i="32"/>
  <c r="AW7" i="32" s="1"/>
  <c r="AT7" i="32"/>
  <c r="AV7" i="32" s="1"/>
  <c r="AQ7" i="32"/>
  <c r="AS7" i="32" s="1"/>
  <c r="AP7" i="32"/>
  <c r="AR7" i="32" s="1"/>
  <c r="AH7" i="32"/>
  <c r="L7" i="32"/>
  <c r="K7" i="32"/>
  <c r="AU6" i="32"/>
  <c r="AW6" i="32" s="1"/>
  <c r="AT6" i="32"/>
  <c r="AV6" i="32" s="1"/>
  <c r="AS6" i="32"/>
  <c r="AQ6" i="32"/>
  <c r="AP6" i="32"/>
  <c r="AR6" i="32" s="1"/>
  <c r="AH6" i="32"/>
  <c r="L6" i="32"/>
  <c r="K6" i="32"/>
  <c r="AW5" i="32"/>
  <c r="AV5" i="32"/>
  <c r="AU5" i="32"/>
  <c r="AT5" i="32"/>
  <c r="AS5" i="32"/>
  <c r="AR5" i="32"/>
  <c r="AQ5" i="32"/>
  <c r="AP5" i="32"/>
  <c r="AH5" i="32"/>
  <c r="L5" i="32"/>
  <c r="K5" i="32"/>
  <c r="AU4" i="32"/>
  <c r="AW4" i="32" s="1"/>
  <c r="AT4" i="32"/>
  <c r="AV4" i="32" s="1"/>
  <c r="AR4" i="32"/>
  <c r="AQ4" i="32"/>
  <c r="AS4" i="32" s="1"/>
  <c r="AP4" i="32"/>
  <c r="AH4" i="32"/>
  <c r="L4" i="32"/>
  <c r="K4" i="32"/>
  <c r="AU3" i="32"/>
  <c r="AW3" i="32" s="1"/>
  <c r="AT3" i="32"/>
  <c r="AV3" i="32" s="1"/>
  <c r="AQ3" i="32"/>
  <c r="AS3" i="32" s="1"/>
  <c r="AP3" i="32"/>
  <c r="AR3" i="32" s="1"/>
  <c r="AH3" i="32"/>
  <c r="L3" i="32"/>
  <c r="K3" i="32"/>
  <c r="L119" i="31"/>
  <c r="E118" i="31"/>
  <c r="D118" i="31"/>
  <c r="R116" i="31"/>
  <c r="Q116" i="31"/>
  <c r="P116" i="31"/>
  <c r="O116" i="31"/>
  <c r="N116" i="31"/>
  <c r="M116" i="31"/>
  <c r="L116" i="31"/>
  <c r="K116" i="31"/>
  <c r="J116" i="31"/>
  <c r="I116" i="31"/>
  <c r="H116" i="31"/>
  <c r="G116" i="31"/>
  <c r="F116" i="31"/>
  <c r="E116" i="31"/>
  <c r="R113" i="31"/>
  <c r="Q113" i="31"/>
  <c r="P113" i="31"/>
  <c r="O113" i="31"/>
  <c r="L113" i="31"/>
  <c r="K113" i="31"/>
  <c r="J113" i="31"/>
  <c r="I113" i="31"/>
  <c r="F113" i="31"/>
  <c r="E113" i="31"/>
  <c r="R112" i="31"/>
  <c r="Q112" i="31"/>
  <c r="P112" i="31"/>
  <c r="O112" i="31"/>
  <c r="N112" i="31"/>
  <c r="M112" i="31"/>
  <c r="L112" i="31"/>
  <c r="K112" i="31"/>
  <c r="I112" i="31"/>
  <c r="H112" i="31"/>
  <c r="G112" i="31"/>
  <c r="F112" i="31"/>
  <c r="E112" i="31"/>
  <c r="O111" i="31"/>
  <c r="N111" i="31"/>
  <c r="M111" i="31"/>
  <c r="J111" i="31"/>
  <c r="R110" i="31"/>
  <c r="Q110" i="31"/>
  <c r="P110" i="31"/>
  <c r="O110" i="31"/>
  <c r="N110" i="31"/>
  <c r="M110" i="31"/>
  <c r="L110" i="31"/>
  <c r="K110" i="31"/>
  <c r="J110" i="31"/>
  <c r="I110" i="31"/>
  <c r="H110" i="31"/>
  <c r="G110" i="31"/>
  <c r="F110" i="31"/>
  <c r="E110" i="31"/>
  <c r="R107" i="31"/>
  <c r="Q107" i="31"/>
  <c r="Q119" i="31" s="1"/>
  <c r="P107" i="31"/>
  <c r="P119" i="31" s="1"/>
  <c r="L107" i="31"/>
  <c r="K107" i="31"/>
  <c r="K119" i="31" s="1"/>
  <c r="J107" i="31"/>
  <c r="J119" i="31" s="1"/>
  <c r="I107" i="31"/>
  <c r="I119" i="31" s="1"/>
  <c r="H107" i="31"/>
  <c r="F107" i="31"/>
  <c r="F119" i="31" s="1"/>
  <c r="E107" i="31"/>
  <c r="E119" i="31" s="1"/>
  <c r="R106" i="31"/>
  <c r="R118" i="31" s="1"/>
  <c r="Q106" i="31"/>
  <c r="Q118" i="31" s="1"/>
  <c r="P106" i="31"/>
  <c r="P118" i="31" s="1"/>
  <c r="O106" i="31"/>
  <c r="N106" i="31"/>
  <c r="N118" i="31" s="1"/>
  <c r="M106" i="31"/>
  <c r="M118" i="31" s="1"/>
  <c r="L106" i="31"/>
  <c r="L118" i="31" s="1"/>
  <c r="K106" i="31"/>
  <c r="I106" i="31"/>
  <c r="I118" i="31" s="1"/>
  <c r="H106" i="31"/>
  <c r="H118" i="31" s="1"/>
  <c r="G106" i="31"/>
  <c r="G118" i="31" s="1"/>
  <c r="F106" i="31"/>
  <c r="F118" i="31" s="1"/>
  <c r="E106" i="31"/>
  <c r="D106" i="31"/>
  <c r="Q105" i="31"/>
  <c r="P105" i="31"/>
  <c r="O105" i="31"/>
  <c r="O117" i="31" s="1"/>
  <c r="N105" i="31"/>
  <c r="N117" i="31" s="1"/>
  <c r="M105" i="31"/>
  <c r="M117" i="31" s="1"/>
  <c r="J105" i="31"/>
  <c r="J117" i="31" s="1"/>
  <c r="I105" i="31"/>
  <c r="I117" i="31" s="1"/>
  <c r="H105" i="31"/>
  <c r="E105" i="31"/>
  <c r="D105" i="31"/>
  <c r="R104" i="31"/>
  <c r="Q104" i="31"/>
  <c r="P104" i="31"/>
  <c r="O104" i="31"/>
  <c r="N104" i="31"/>
  <c r="M104" i="31"/>
  <c r="L104" i="31"/>
  <c r="K104" i="31"/>
  <c r="J104" i="31"/>
  <c r="I104" i="31"/>
  <c r="H104" i="31"/>
  <c r="G104" i="31"/>
  <c r="F104" i="31"/>
  <c r="E104" i="31"/>
  <c r="R99" i="31"/>
  <c r="Q99" i="31"/>
  <c r="P99" i="31"/>
  <c r="L99" i="31"/>
  <c r="K99" i="31"/>
  <c r="J99" i="31"/>
  <c r="I99" i="31"/>
  <c r="F99" i="31"/>
  <c r="E99" i="31"/>
  <c r="R98" i="31"/>
  <c r="Q98" i="31"/>
  <c r="P98" i="31"/>
  <c r="O98" i="31"/>
  <c r="N98" i="31"/>
  <c r="M98" i="31"/>
  <c r="L98" i="31"/>
  <c r="K98" i="31"/>
  <c r="I98" i="31"/>
  <c r="H98" i="31"/>
  <c r="G98" i="31"/>
  <c r="F98" i="31"/>
  <c r="E98" i="31"/>
  <c r="O97" i="31"/>
  <c r="N97" i="31"/>
  <c r="M97" i="31"/>
  <c r="J97" i="31"/>
  <c r="R96" i="31"/>
  <c r="Q96" i="31"/>
  <c r="P96" i="31"/>
  <c r="O96" i="31"/>
  <c r="N96" i="31"/>
  <c r="M96" i="31"/>
  <c r="L96" i="31"/>
  <c r="K96" i="31"/>
  <c r="J96" i="31"/>
  <c r="I96" i="31"/>
  <c r="H96" i="31"/>
  <c r="G96" i="31"/>
  <c r="F96" i="31"/>
  <c r="E96" i="31"/>
  <c r="L94" i="31"/>
  <c r="O93" i="31"/>
  <c r="O94" i="31" s="1"/>
  <c r="N93" i="31"/>
  <c r="N94" i="31" s="1"/>
  <c r="M93" i="31"/>
  <c r="M94" i="31" s="1"/>
  <c r="H93" i="31"/>
  <c r="G93" i="31"/>
  <c r="G99" i="31" s="1"/>
  <c r="D93" i="31"/>
  <c r="J92" i="31"/>
  <c r="J94" i="31" s="1"/>
  <c r="D92" i="31"/>
  <c r="R91" i="31"/>
  <c r="R94" i="31" s="1"/>
  <c r="R100" i="31" s="1"/>
  <c r="Q91" i="31"/>
  <c r="Q94" i="31" s="1"/>
  <c r="P91" i="31"/>
  <c r="P94" i="31" s="1"/>
  <c r="L91" i="31"/>
  <c r="K91" i="31"/>
  <c r="K94" i="31" s="1"/>
  <c r="I91" i="31"/>
  <c r="I94" i="31" s="1"/>
  <c r="H91" i="31"/>
  <c r="H94" i="31" s="1"/>
  <c r="G91" i="31"/>
  <c r="G94" i="31" s="1"/>
  <c r="F91" i="31"/>
  <c r="F94" i="31" s="1"/>
  <c r="F100" i="31" s="1"/>
  <c r="E91" i="31"/>
  <c r="E94" i="31" s="1"/>
  <c r="D91" i="31"/>
  <c r="D94" i="31" s="1"/>
  <c r="R90" i="31"/>
  <c r="Q90" i="31"/>
  <c r="P90" i="31"/>
  <c r="O90" i="31"/>
  <c r="N90" i="31"/>
  <c r="M90" i="31"/>
  <c r="L90" i="31"/>
  <c r="K90" i="31"/>
  <c r="J90" i="31"/>
  <c r="I90" i="31"/>
  <c r="H90" i="31"/>
  <c r="G90" i="31"/>
  <c r="F90" i="31"/>
  <c r="E90" i="31"/>
  <c r="Q88" i="31"/>
  <c r="P88" i="31"/>
  <c r="I88" i="31"/>
  <c r="H88" i="31"/>
  <c r="E88" i="31"/>
  <c r="O87" i="31"/>
  <c r="O88" i="31" s="1"/>
  <c r="O100" i="31" s="1"/>
  <c r="N87" i="31"/>
  <c r="N88" i="31" s="1"/>
  <c r="N100" i="31" s="1"/>
  <c r="M87" i="31"/>
  <c r="H87" i="31"/>
  <c r="G87" i="31"/>
  <c r="D87" i="31"/>
  <c r="D99" i="31" s="1"/>
  <c r="T86" i="31"/>
  <c r="J86" i="31"/>
  <c r="J88" i="31" s="1"/>
  <c r="D86" i="31"/>
  <c r="D98" i="31" s="1"/>
  <c r="R85" i="31"/>
  <c r="R88" i="31" s="1"/>
  <c r="Q85" i="31"/>
  <c r="Q97" i="31" s="1"/>
  <c r="P85" i="31"/>
  <c r="L85" i="31"/>
  <c r="L97" i="31" s="1"/>
  <c r="K85" i="31"/>
  <c r="K88" i="31" s="1"/>
  <c r="K100" i="31" s="1"/>
  <c r="I85" i="31"/>
  <c r="I97" i="31" s="1"/>
  <c r="H85" i="31"/>
  <c r="G85" i="31"/>
  <c r="G88" i="31" s="1"/>
  <c r="G100" i="31" s="1"/>
  <c r="F85" i="31"/>
  <c r="F88" i="31" s="1"/>
  <c r="E85" i="31"/>
  <c r="D85" i="31"/>
  <c r="R84" i="31"/>
  <c r="Q84" i="31"/>
  <c r="P84" i="31"/>
  <c r="O84" i="31"/>
  <c r="N84" i="31"/>
  <c r="M84" i="31"/>
  <c r="L84" i="31"/>
  <c r="K84" i="31"/>
  <c r="J84" i="31"/>
  <c r="I84" i="31"/>
  <c r="H84" i="31"/>
  <c r="G84" i="31"/>
  <c r="F84" i="31"/>
  <c r="E84" i="31"/>
  <c r="R80" i="31"/>
  <c r="Q80" i="31"/>
  <c r="P80" i="31"/>
  <c r="L80" i="31"/>
  <c r="K80" i="31"/>
  <c r="J80" i="31"/>
  <c r="I80" i="31"/>
  <c r="F80" i="31"/>
  <c r="E80" i="31"/>
  <c r="R79" i="31"/>
  <c r="Q79" i="31"/>
  <c r="P79" i="31"/>
  <c r="O79" i="31"/>
  <c r="N79" i="31"/>
  <c r="M79" i="31"/>
  <c r="L79" i="31"/>
  <c r="K79" i="31"/>
  <c r="I79" i="31"/>
  <c r="H79" i="31"/>
  <c r="G79" i="31"/>
  <c r="F79" i="31"/>
  <c r="E79" i="31"/>
  <c r="O78" i="31"/>
  <c r="N78" i="31"/>
  <c r="M78" i="31"/>
  <c r="J78" i="31"/>
  <c r="I78" i="31"/>
  <c r="Q75" i="31"/>
  <c r="E75" i="31"/>
  <c r="O74" i="31"/>
  <c r="O75" i="31" s="1"/>
  <c r="N74" i="31"/>
  <c r="N75" i="31" s="1"/>
  <c r="M74" i="31"/>
  <c r="H74" i="31"/>
  <c r="H113" i="31" s="1"/>
  <c r="G74" i="31"/>
  <c r="G113" i="31" s="1"/>
  <c r="D74" i="31"/>
  <c r="D113" i="31" s="1"/>
  <c r="J73" i="31"/>
  <c r="J75" i="31" s="1"/>
  <c r="D73" i="31"/>
  <c r="D112" i="31" s="1"/>
  <c r="R72" i="31"/>
  <c r="R75" i="31" s="1"/>
  <c r="Q72" i="31"/>
  <c r="Q111" i="31" s="1"/>
  <c r="Q114" i="31" s="1"/>
  <c r="P72" i="31"/>
  <c r="P111" i="31" s="1"/>
  <c r="P114" i="31" s="1"/>
  <c r="L72" i="31"/>
  <c r="L111" i="31" s="1"/>
  <c r="L114" i="31" s="1"/>
  <c r="K72" i="31"/>
  <c r="K75" i="31" s="1"/>
  <c r="I72" i="31"/>
  <c r="I111" i="31" s="1"/>
  <c r="I114" i="31" s="1"/>
  <c r="H72" i="31"/>
  <c r="H111" i="31" s="1"/>
  <c r="H114" i="31" s="1"/>
  <c r="G72" i="31"/>
  <c r="G75" i="31" s="1"/>
  <c r="F72" i="31"/>
  <c r="F75" i="31" s="1"/>
  <c r="E72" i="31"/>
  <c r="E111" i="31" s="1"/>
  <c r="E114" i="31" s="1"/>
  <c r="D72" i="31"/>
  <c r="D111" i="31" s="1"/>
  <c r="D117" i="31" s="1"/>
  <c r="R71" i="31"/>
  <c r="Q71" i="31"/>
  <c r="P71" i="31"/>
  <c r="O71" i="31"/>
  <c r="N71" i="31"/>
  <c r="M71" i="31"/>
  <c r="L71" i="31"/>
  <c r="K71" i="31"/>
  <c r="J71" i="31"/>
  <c r="I71" i="31"/>
  <c r="H71" i="31"/>
  <c r="G71" i="31"/>
  <c r="F71" i="31"/>
  <c r="E71" i="31"/>
  <c r="Q69" i="31"/>
  <c r="P69" i="31"/>
  <c r="I69" i="31"/>
  <c r="H69" i="31"/>
  <c r="E69" i="31"/>
  <c r="O68" i="31"/>
  <c r="O107" i="31" s="1"/>
  <c r="O119" i="31" s="1"/>
  <c r="N68" i="31"/>
  <c r="M68" i="31"/>
  <c r="M107" i="31" s="1"/>
  <c r="H68" i="31"/>
  <c r="G68" i="31"/>
  <c r="G107" i="31" s="1"/>
  <c r="D68" i="31"/>
  <c r="D107" i="31" s="1"/>
  <c r="D119" i="31" s="1"/>
  <c r="T67" i="31"/>
  <c r="J67" i="31"/>
  <c r="J106" i="31" s="1"/>
  <c r="D67" i="31"/>
  <c r="R66" i="31"/>
  <c r="Q66" i="31"/>
  <c r="P66" i="31"/>
  <c r="L66" i="31"/>
  <c r="L105" i="31" s="1"/>
  <c r="K66" i="31"/>
  <c r="I66" i="31"/>
  <c r="H66" i="31"/>
  <c r="G66" i="31"/>
  <c r="F66" i="31"/>
  <c r="T66" i="31" s="1"/>
  <c r="E66" i="31"/>
  <c r="D66" i="31"/>
  <c r="AW60" i="31"/>
  <c r="AV60" i="31"/>
  <c r="AU60" i="31"/>
  <c r="AT60" i="31"/>
  <c r="AS60" i="31"/>
  <c r="AR60" i="31"/>
  <c r="AQ60" i="31"/>
  <c r="AP60" i="31"/>
  <c r="AH60" i="31"/>
  <c r="L60" i="31"/>
  <c r="K60" i="31"/>
  <c r="AU59" i="31"/>
  <c r="AW59" i="31" s="1"/>
  <c r="AT59" i="31"/>
  <c r="AV59" i="31" s="1"/>
  <c r="AQ59" i="31"/>
  <c r="AS59" i="31" s="1"/>
  <c r="AP59" i="31"/>
  <c r="AR59" i="31" s="1"/>
  <c r="AH59" i="31"/>
  <c r="L59" i="31"/>
  <c r="K59" i="31"/>
  <c r="AU58" i="31"/>
  <c r="AW58" i="31" s="1"/>
  <c r="AT58" i="31"/>
  <c r="AV58" i="31" s="1"/>
  <c r="AQ58" i="31"/>
  <c r="AS58" i="31" s="1"/>
  <c r="AP58" i="31"/>
  <c r="AR58" i="31" s="1"/>
  <c r="AH58" i="31"/>
  <c r="L58" i="31"/>
  <c r="K58" i="31"/>
  <c r="AU57" i="31"/>
  <c r="AW57" i="31" s="1"/>
  <c r="AT57" i="31"/>
  <c r="AV57" i="31" s="1"/>
  <c r="AQ57" i="31"/>
  <c r="AS57" i="31" s="1"/>
  <c r="AP57" i="31"/>
  <c r="AR57" i="31" s="1"/>
  <c r="AH57" i="31"/>
  <c r="L57" i="31"/>
  <c r="K57" i="31"/>
  <c r="AW56" i="31"/>
  <c r="AV56" i="31"/>
  <c r="AU56" i="31"/>
  <c r="AT56" i="31"/>
  <c r="AS56" i="31"/>
  <c r="AR56" i="31"/>
  <c r="AQ56" i="31"/>
  <c r="AP56" i="31"/>
  <c r="AH56" i="31"/>
  <c r="L56" i="31"/>
  <c r="K56" i="31"/>
  <c r="AU55" i="31"/>
  <c r="AW55" i="31" s="1"/>
  <c r="AT55" i="31"/>
  <c r="AV55" i="31" s="1"/>
  <c r="AQ55" i="31"/>
  <c r="AS55" i="31" s="1"/>
  <c r="AP55" i="31"/>
  <c r="AR55" i="31" s="1"/>
  <c r="AH55" i="31"/>
  <c r="L55" i="31"/>
  <c r="K55" i="31"/>
  <c r="AU54" i="31"/>
  <c r="AW54" i="31" s="1"/>
  <c r="AT54" i="31"/>
  <c r="AV54" i="31" s="1"/>
  <c r="AQ54" i="31"/>
  <c r="AS54" i="31" s="1"/>
  <c r="AP54" i="31"/>
  <c r="AR54" i="31" s="1"/>
  <c r="AH54" i="31"/>
  <c r="L54" i="31"/>
  <c r="K54" i="31"/>
  <c r="AU53" i="31"/>
  <c r="AW53" i="31" s="1"/>
  <c r="AT53" i="31"/>
  <c r="AV53" i="31" s="1"/>
  <c r="AQ53" i="31"/>
  <c r="AS53" i="31" s="1"/>
  <c r="AP53" i="31"/>
  <c r="AR53" i="31" s="1"/>
  <c r="AH53" i="31"/>
  <c r="L53" i="31"/>
  <c r="K53" i="31"/>
  <c r="AV52" i="31"/>
  <c r="AU52" i="31"/>
  <c r="AW52" i="31" s="1"/>
  <c r="AT52" i="31"/>
  <c r="AR52" i="31"/>
  <c r="AQ52" i="31"/>
  <c r="AS52" i="31" s="1"/>
  <c r="AP52" i="31"/>
  <c r="AH52" i="31"/>
  <c r="L52" i="31"/>
  <c r="K52" i="31"/>
  <c r="AU51" i="31"/>
  <c r="AW51" i="31" s="1"/>
  <c r="AT51" i="31"/>
  <c r="AV51" i="31" s="1"/>
  <c r="AR51" i="31"/>
  <c r="AQ51" i="31"/>
  <c r="AS51" i="31" s="1"/>
  <c r="AP51" i="31"/>
  <c r="AH51" i="31"/>
  <c r="L51" i="31"/>
  <c r="K51" i="31"/>
  <c r="AU50" i="31"/>
  <c r="AW50" i="31" s="1"/>
  <c r="AT50" i="31"/>
  <c r="AV50" i="31" s="1"/>
  <c r="AR50" i="31"/>
  <c r="AQ50" i="31"/>
  <c r="AS50" i="31" s="1"/>
  <c r="AP50" i="31"/>
  <c r="AH50" i="31"/>
  <c r="L50" i="31"/>
  <c r="K50" i="31"/>
  <c r="AU49" i="31"/>
  <c r="AW49" i="31" s="1"/>
  <c r="AT49" i="31"/>
  <c r="AV49" i="31" s="1"/>
  <c r="AQ49" i="31"/>
  <c r="AS49" i="31" s="1"/>
  <c r="AP49" i="31"/>
  <c r="AR49" i="31" s="1"/>
  <c r="AH49" i="31"/>
  <c r="L49" i="31"/>
  <c r="K49" i="31"/>
  <c r="AU48" i="31"/>
  <c r="AW48" i="31" s="1"/>
  <c r="AT48" i="31"/>
  <c r="AV48" i="31" s="1"/>
  <c r="AS48" i="31"/>
  <c r="AQ48" i="31"/>
  <c r="AP48" i="31"/>
  <c r="AR48" i="31" s="1"/>
  <c r="AH48" i="31"/>
  <c r="L48" i="31"/>
  <c r="K48" i="31"/>
  <c r="AV47" i="31"/>
  <c r="AU47" i="31"/>
  <c r="AW47" i="31" s="1"/>
  <c r="AT47" i="31"/>
  <c r="AR47" i="31"/>
  <c r="AQ47" i="31"/>
  <c r="AS47" i="31" s="1"/>
  <c r="AP47" i="31"/>
  <c r="AH47" i="31"/>
  <c r="L47" i="31"/>
  <c r="K47" i="31"/>
  <c r="AU46" i="31"/>
  <c r="AW46" i="31" s="1"/>
  <c r="AT46" i="31"/>
  <c r="AV46" i="31" s="1"/>
  <c r="AR46" i="31"/>
  <c r="AQ46" i="31"/>
  <c r="AS46" i="31" s="1"/>
  <c r="AP46" i="31"/>
  <c r="AH46" i="31"/>
  <c r="L46" i="31"/>
  <c r="K46" i="31"/>
  <c r="AU45" i="31"/>
  <c r="AW45" i="31" s="1"/>
  <c r="AT45" i="31"/>
  <c r="AV45" i="31" s="1"/>
  <c r="AQ45" i="31"/>
  <c r="AS45" i="31" s="1"/>
  <c r="AP45" i="31"/>
  <c r="AR45" i="31" s="1"/>
  <c r="AH45" i="31"/>
  <c r="L45" i="31"/>
  <c r="K45" i="31"/>
  <c r="AU44" i="31"/>
  <c r="AW44" i="31" s="1"/>
  <c r="AT44" i="31"/>
  <c r="AV44" i="31" s="1"/>
  <c r="AS44" i="31"/>
  <c r="AQ44" i="31"/>
  <c r="AP44" i="31"/>
  <c r="AR44" i="31" s="1"/>
  <c r="AH44" i="31"/>
  <c r="L44" i="31"/>
  <c r="K44" i="31"/>
  <c r="AV43" i="31"/>
  <c r="AU43" i="31"/>
  <c r="AW43" i="31" s="1"/>
  <c r="AT43" i="31"/>
  <c r="AR43" i="31"/>
  <c r="AQ43" i="31"/>
  <c r="AS43" i="31" s="1"/>
  <c r="AP43" i="31"/>
  <c r="AH43" i="31"/>
  <c r="L43" i="31"/>
  <c r="K43" i="31"/>
  <c r="AU42" i="31"/>
  <c r="AW42" i="31" s="1"/>
  <c r="AT42" i="31"/>
  <c r="AV42" i="31" s="1"/>
  <c r="AR42" i="31"/>
  <c r="AQ42" i="31"/>
  <c r="AS42" i="31" s="1"/>
  <c r="AP42" i="31"/>
  <c r="AH42" i="31"/>
  <c r="L42" i="31"/>
  <c r="K42" i="31"/>
  <c r="AU41" i="31"/>
  <c r="AW41" i="31" s="1"/>
  <c r="AT41" i="31"/>
  <c r="AV41" i="31" s="1"/>
  <c r="AQ41" i="31"/>
  <c r="AS41" i="31" s="1"/>
  <c r="AP41" i="31"/>
  <c r="AR41" i="31" s="1"/>
  <c r="AH41" i="31"/>
  <c r="L41" i="31"/>
  <c r="K41" i="31"/>
  <c r="AU40" i="31"/>
  <c r="AW40" i="31" s="1"/>
  <c r="AT40" i="31"/>
  <c r="AV40" i="31" s="1"/>
  <c r="AS40" i="31"/>
  <c r="AQ40" i="31"/>
  <c r="AP40" i="31"/>
  <c r="AR40" i="31" s="1"/>
  <c r="AH40" i="31"/>
  <c r="L40" i="31"/>
  <c r="K40" i="31"/>
  <c r="AV39" i="31"/>
  <c r="AU39" i="31"/>
  <c r="AW39" i="31" s="1"/>
  <c r="AT39" i="31"/>
  <c r="AR39" i="31"/>
  <c r="AQ39" i="31"/>
  <c r="AS39" i="31" s="1"/>
  <c r="AP39" i="31"/>
  <c r="AH39" i="31"/>
  <c r="L39" i="31"/>
  <c r="K39" i="31"/>
  <c r="AU38" i="31"/>
  <c r="AW38" i="31" s="1"/>
  <c r="AT38" i="31"/>
  <c r="AV38" i="31" s="1"/>
  <c r="AR38" i="31"/>
  <c r="AQ38" i="31"/>
  <c r="AS38" i="31" s="1"/>
  <c r="AP38" i="31"/>
  <c r="AH38" i="31"/>
  <c r="L38" i="31"/>
  <c r="K38" i="31"/>
  <c r="AU37" i="31"/>
  <c r="AW37" i="31" s="1"/>
  <c r="AT37" i="31"/>
  <c r="AV37" i="31" s="1"/>
  <c r="AQ37" i="31"/>
  <c r="AS37" i="31" s="1"/>
  <c r="AP37" i="31"/>
  <c r="AR37" i="31" s="1"/>
  <c r="AH37" i="31"/>
  <c r="L37" i="31"/>
  <c r="K37" i="31"/>
  <c r="AU36" i="31"/>
  <c r="AW36" i="31" s="1"/>
  <c r="AT36" i="31"/>
  <c r="AV36" i="31" s="1"/>
  <c r="AS36" i="31"/>
  <c r="AQ36" i="31"/>
  <c r="AP36" i="31"/>
  <c r="AR36" i="31" s="1"/>
  <c r="AH36" i="31"/>
  <c r="L36" i="31"/>
  <c r="K36" i="31"/>
  <c r="AV35" i="31"/>
  <c r="AU35" i="31"/>
  <c r="AW35" i="31" s="1"/>
  <c r="AT35" i="31"/>
  <c r="AR35" i="31"/>
  <c r="AQ35" i="31"/>
  <c r="AS35" i="31" s="1"/>
  <c r="AP35" i="31"/>
  <c r="AH35" i="31"/>
  <c r="L35" i="31"/>
  <c r="K35" i="31"/>
  <c r="AU34" i="31"/>
  <c r="AW34" i="31" s="1"/>
  <c r="AT34" i="31"/>
  <c r="AV34" i="31" s="1"/>
  <c r="AR34" i="31"/>
  <c r="AQ34" i="31"/>
  <c r="AS34" i="31" s="1"/>
  <c r="AP34" i="31"/>
  <c r="AH34" i="31"/>
  <c r="L34" i="31"/>
  <c r="K34" i="31"/>
  <c r="AU33" i="31"/>
  <c r="AW33" i="31" s="1"/>
  <c r="AT33" i="31"/>
  <c r="AV33" i="31" s="1"/>
  <c r="AQ33" i="31"/>
  <c r="AS33" i="31" s="1"/>
  <c r="AP33" i="31"/>
  <c r="AR33" i="31" s="1"/>
  <c r="AH33" i="31"/>
  <c r="L33" i="31"/>
  <c r="K33" i="31"/>
  <c r="AU32" i="31"/>
  <c r="AW32" i="31" s="1"/>
  <c r="AT32" i="31"/>
  <c r="AV32" i="31" s="1"/>
  <c r="AS32" i="31"/>
  <c r="AQ32" i="31"/>
  <c r="AP32" i="31"/>
  <c r="AR32" i="31" s="1"/>
  <c r="AH32" i="31"/>
  <c r="L32" i="31"/>
  <c r="K32" i="31"/>
  <c r="AV31" i="31"/>
  <c r="AU31" i="31"/>
  <c r="AW31" i="31" s="1"/>
  <c r="AT31" i="31"/>
  <c r="AR31" i="31"/>
  <c r="AQ31" i="31"/>
  <c r="AS31" i="31" s="1"/>
  <c r="AP31" i="31"/>
  <c r="AH31" i="31"/>
  <c r="L31" i="31"/>
  <c r="K31" i="31"/>
  <c r="AU30" i="31"/>
  <c r="AW30" i="31" s="1"/>
  <c r="AT30" i="31"/>
  <c r="AV30" i="31" s="1"/>
  <c r="AR30" i="31"/>
  <c r="AQ30" i="31"/>
  <c r="AS30" i="31" s="1"/>
  <c r="AP30" i="31"/>
  <c r="AH30" i="31"/>
  <c r="L30" i="31"/>
  <c r="K30" i="31"/>
  <c r="AU29" i="31"/>
  <c r="AW29" i="31" s="1"/>
  <c r="AT29" i="31"/>
  <c r="AV29" i="31" s="1"/>
  <c r="AQ29" i="31"/>
  <c r="AS29" i="31" s="1"/>
  <c r="AP29" i="31"/>
  <c r="AR29" i="31" s="1"/>
  <c r="AH29" i="31"/>
  <c r="L29" i="31"/>
  <c r="K29" i="31"/>
  <c r="AU28" i="31"/>
  <c r="AW28" i="31" s="1"/>
  <c r="AT28" i="31"/>
  <c r="AV28" i="31" s="1"/>
  <c r="AS28" i="31"/>
  <c r="AQ28" i="31"/>
  <c r="AP28" i="31"/>
  <c r="AR28" i="31" s="1"/>
  <c r="AH28" i="31"/>
  <c r="L28" i="31"/>
  <c r="K28" i="31"/>
  <c r="AV27" i="31"/>
  <c r="AU27" i="31"/>
  <c r="AW27" i="31" s="1"/>
  <c r="AT27" i="31"/>
  <c r="AR27" i="31"/>
  <c r="AQ27" i="31"/>
  <c r="AS27" i="31" s="1"/>
  <c r="AP27" i="31"/>
  <c r="AH27" i="31"/>
  <c r="L27" i="31"/>
  <c r="K27" i="31"/>
  <c r="AU26" i="31"/>
  <c r="AW26" i="31" s="1"/>
  <c r="AT26" i="31"/>
  <c r="AV26" i="31" s="1"/>
  <c r="AR26" i="31"/>
  <c r="AQ26" i="31"/>
  <c r="AS26" i="31" s="1"/>
  <c r="AP26" i="31"/>
  <c r="AH26" i="31"/>
  <c r="L26" i="31"/>
  <c r="K26" i="31"/>
  <c r="AU25" i="31"/>
  <c r="AW25" i="31" s="1"/>
  <c r="AT25" i="31"/>
  <c r="AV25" i="31" s="1"/>
  <c r="AQ25" i="31"/>
  <c r="AS25" i="31" s="1"/>
  <c r="AP25" i="31"/>
  <c r="AR25" i="31" s="1"/>
  <c r="AH25" i="31"/>
  <c r="L25" i="31"/>
  <c r="K25" i="31"/>
  <c r="AU24" i="31"/>
  <c r="AW24" i="31" s="1"/>
  <c r="AT24" i="31"/>
  <c r="AV24" i="31" s="1"/>
  <c r="AS24" i="31"/>
  <c r="AQ24" i="31"/>
  <c r="AP24" i="31"/>
  <c r="AR24" i="31" s="1"/>
  <c r="AH24" i="31"/>
  <c r="L24" i="31"/>
  <c r="K24" i="31"/>
  <c r="AV23" i="31"/>
  <c r="AU23" i="31"/>
  <c r="AW23" i="31" s="1"/>
  <c r="AT23" i="31"/>
  <c r="AR23" i="31"/>
  <c r="AQ23" i="31"/>
  <c r="AS23" i="31" s="1"/>
  <c r="AP23" i="31"/>
  <c r="AH23" i="31"/>
  <c r="L23" i="31"/>
  <c r="K23" i="31"/>
  <c r="AU22" i="31"/>
  <c r="AW22" i="31" s="1"/>
  <c r="AT22" i="31"/>
  <c r="AV22" i="31" s="1"/>
  <c r="AR22" i="31"/>
  <c r="AQ22" i="31"/>
  <c r="AS22" i="31" s="1"/>
  <c r="AP22" i="31"/>
  <c r="AH22" i="31"/>
  <c r="L22" i="31"/>
  <c r="K22" i="31"/>
  <c r="AU21" i="31"/>
  <c r="AW21" i="31" s="1"/>
  <c r="AT21" i="31"/>
  <c r="AV21" i="31" s="1"/>
  <c r="AQ21" i="31"/>
  <c r="AS21" i="31" s="1"/>
  <c r="AP21" i="31"/>
  <c r="AR21" i="31" s="1"/>
  <c r="AH21" i="31"/>
  <c r="L21" i="31"/>
  <c r="K21" i="31"/>
  <c r="AU20" i="31"/>
  <c r="AW20" i="31" s="1"/>
  <c r="AT20" i="31"/>
  <c r="AV20" i="31" s="1"/>
  <c r="AS20" i="31"/>
  <c r="AQ20" i="31"/>
  <c r="AP20" i="31"/>
  <c r="AR20" i="31" s="1"/>
  <c r="AH20" i="31"/>
  <c r="L20" i="31"/>
  <c r="K20" i="31"/>
  <c r="AV19" i="31"/>
  <c r="AU19" i="31"/>
  <c r="AW19" i="31" s="1"/>
  <c r="AT19" i="31"/>
  <c r="AR19" i="31"/>
  <c r="AQ19" i="31"/>
  <c r="AS19" i="31" s="1"/>
  <c r="AP19" i="31"/>
  <c r="AH19" i="31"/>
  <c r="L19" i="31"/>
  <c r="K19" i="31"/>
  <c r="AU18" i="31"/>
  <c r="AW18" i="31" s="1"/>
  <c r="AT18" i="31"/>
  <c r="AV18" i="31" s="1"/>
  <c r="AR18" i="31"/>
  <c r="AQ18" i="31"/>
  <c r="AS18" i="31" s="1"/>
  <c r="AP18" i="31"/>
  <c r="AH18" i="31"/>
  <c r="L18" i="31"/>
  <c r="K18" i="31"/>
  <c r="AU17" i="31"/>
  <c r="AW17" i="31" s="1"/>
  <c r="AT17" i="31"/>
  <c r="AV17" i="31" s="1"/>
  <c r="AQ17" i="31"/>
  <c r="AS17" i="31" s="1"/>
  <c r="AP17" i="31"/>
  <c r="AR17" i="31" s="1"/>
  <c r="AH17" i="31"/>
  <c r="L17" i="31"/>
  <c r="K17" i="31"/>
  <c r="AU16" i="31"/>
  <c r="AW16" i="31" s="1"/>
  <c r="AT16" i="31"/>
  <c r="AV16" i="31" s="1"/>
  <c r="AS16" i="31"/>
  <c r="AQ16" i="31"/>
  <c r="AP16" i="31"/>
  <c r="AR16" i="31" s="1"/>
  <c r="AH16" i="31"/>
  <c r="L16" i="31"/>
  <c r="K16" i="31"/>
  <c r="AV15" i="31"/>
  <c r="AU15" i="31"/>
  <c r="AW15" i="31" s="1"/>
  <c r="AT15" i="31"/>
  <c r="AR15" i="31"/>
  <c r="AQ15" i="31"/>
  <c r="AS15" i="31" s="1"/>
  <c r="AP15" i="31"/>
  <c r="AH15" i="31"/>
  <c r="L15" i="31"/>
  <c r="K15" i="31"/>
  <c r="AU14" i="31"/>
  <c r="AW14" i="31" s="1"/>
  <c r="AT14" i="31"/>
  <c r="AV14" i="31" s="1"/>
  <c r="AR14" i="31"/>
  <c r="AQ14" i="31"/>
  <c r="AS14" i="31" s="1"/>
  <c r="AP14" i="31"/>
  <c r="AH14" i="31"/>
  <c r="L14" i="31"/>
  <c r="K14" i="31"/>
  <c r="AU13" i="31"/>
  <c r="AW13" i="31" s="1"/>
  <c r="AT13" i="31"/>
  <c r="AV13" i="31" s="1"/>
  <c r="AQ13" i="31"/>
  <c r="AS13" i="31" s="1"/>
  <c r="AP13" i="31"/>
  <c r="AR13" i="31" s="1"/>
  <c r="AH13" i="31"/>
  <c r="L13" i="31"/>
  <c r="K13" i="31"/>
  <c r="AU12" i="31"/>
  <c r="AW12" i="31" s="1"/>
  <c r="AT12" i="31"/>
  <c r="AV12" i="31" s="1"/>
  <c r="AS12" i="31"/>
  <c r="AQ12" i="31"/>
  <c r="AP12" i="31"/>
  <c r="AR12" i="31" s="1"/>
  <c r="AH12" i="31"/>
  <c r="L12" i="31"/>
  <c r="K12" i="31"/>
  <c r="AV11" i="31"/>
  <c r="AU11" i="31"/>
  <c r="AW11" i="31" s="1"/>
  <c r="AT11" i="31"/>
  <c r="AR11" i="31"/>
  <c r="AQ11" i="31"/>
  <c r="AS11" i="31" s="1"/>
  <c r="AP11" i="31"/>
  <c r="AH11" i="31"/>
  <c r="L11" i="31"/>
  <c r="K11" i="31"/>
  <c r="AU10" i="31"/>
  <c r="AW10" i="31" s="1"/>
  <c r="AT10" i="31"/>
  <c r="AV10" i="31" s="1"/>
  <c r="AR10" i="31"/>
  <c r="AQ10" i="31"/>
  <c r="AS10" i="31" s="1"/>
  <c r="AP10" i="31"/>
  <c r="AH10" i="31"/>
  <c r="L10" i="31"/>
  <c r="K10" i="31"/>
  <c r="AU9" i="31"/>
  <c r="AW9" i="31" s="1"/>
  <c r="AT9" i="31"/>
  <c r="AV9" i="31" s="1"/>
  <c r="AQ9" i="31"/>
  <c r="AS9" i="31" s="1"/>
  <c r="AP9" i="31"/>
  <c r="AR9" i="31" s="1"/>
  <c r="AH9" i="31"/>
  <c r="L9" i="31"/>
  <c r="K9" i="31"/>
  <c r="AU8" i="31"/>
  <c r="AW8" i="31" s="1"/>
  <c r="AT8" i="31"/>
  <c r="AV8" i="31" s="1"/>
  <c r="AS8" i="31"/>
  <c r="AQ8" i="31"/>
  <c r="AP8" i="31"/>
  <c r="AR8" i="31" s="1"/>
  <c r="AH8" i="31"/>
  <c r="L8" i="31"/>
  <c r="K8" i="31"/>
  <c r="AV7" i="31"/>
  <c r="AU7" i="31"/>
  <c r="AW7" i="31" s="1"/>
  <c r="AT7" i="31"/>
  <c r="AR7" i="31"/>
  <c r="AQ7" i="31"/>
  <c r="AS7" i="31" s="1"/>
  <c r="AP7" i="31"/>
  <c r="AH7" i="31"/>
  <c r="L7" i="31"/>
  <c r="K7" i="31"/>
  <c r="AU6" i="31"/>
  <c r="AW6" i="31" s="1"/>
  <c r="AT6" i="31"/>
  <c r="AV6" i="31" s="1"/>
  <c r="AR6" i="31"/>
  <c r="AQ6" i="31"/>
  <c r="AS6" i="31" s="1"/>
  <c r="AP6" i="31"/>
  <c r="AH6" i="31"/>
  <c r="L6" i="31"/>
  <c r="K6" i="31"/>
  <c r="AU5" i="31"/>
  <c r="AW5" i="31" s="1"/>
  <c r="AT5" i="31"/>
  <c r="AV5" i="31" s="1"/>
  <c r="AQ5" i="31"/>
  <c r="AS5" i="31" s="1"/>
  <c r="AP5" i="31"/>
  <c r="AR5" i="31" s="1"/>
  <c r="AH5" i="31"/>
  <c r="L5" i="31"/>
  <c r="K5" i="31"/>
  <c r="AU4" i="31"/>
  <c r="AW4" i="31" s="1"/>
  <c r="AT4" i="31"/>
  <c r="AV4" i="31" s="1"/>
  <c r="AS4" i="31"/>
  <c r="AQ4" i="31"/>
  <c r="AP4" i="31"/>
  <c r="AR4" i="31" s="1"/>
  <c r="AH4" i="31"/>
  <c r="L4" i="31"/>
  <c r="K4" i="31"/>
  <c r="AV3" i="31"/>
  <c r="AU3" i="31"/>
  <c r="AW3" i="31" s="1"/>
  <c r="AT3" i="31"/>
  <c r="AR3" i="31"/>
  <c r="AQ3" i="31"/>
  <c r="AS3" i="31" s="1"/>
  <c r="AP3" i="31"/>
  <c r="AH3" i="31"/>
  <c r="L3" i="31"/>
  <c r="K3" i="31"/>
  <c r="G97" i="33" l="1"/>
  <c r="D113" i="37"/>
  <c r="D119" i="37" s="1"/>
  <c r="D80" i="37"/>
  <c r="E81" i="31"/>
  <c r="Q81" i="31"/>
  <c r="T73" i="31"/>
  <c r="H75" i="31"/>
  <c r="D78" i="31"/>
  <c r="P78" i="31"/>
  <c r="D97" i="31"/>
  <c r="H97" i="31"/>
  <c r="P97" i="31"/>
  <c r="J100" i="31"/>
  <c r="H99" i="31"/>
  <c r="T92" i="31"/>
  <c r="O114" i="31"/>
  <c r="D75" i="32"/>
  <c r="D94" i="33"/>
  <c r="J112" i="31"/>
  <c r="J114" i="31" s="1"/>
  <c r="N113" i="37"/>
  <c r="N114" i="37" s="1"/>
  <c r="N80" i="37"/>
  <c r="N75" i="37"/>
  <c r="H81" i="31"/>
  <c r="I75" i="31"/>
  <c r="E78" i="31"/>
  <c r="Q78" i="31"/>
  <c r="E97" i="31"/>
  <c r="H100" i="31"/>
  <c r="J98" i="31"/>
  <c r="T98" i="31" s="1"/>
  <c r="O99" i="31"/>
  <c r="T99" i="31" s="1"/>
  <c r="Q117" i="31"/>
  <c r="K111" i="31"/>
  <c r="K114" i="31" s="1"/>
  <c r="R111" i="31"/>
  <c r="R114" i="31" s="1"/>
  <c r="D119" i="32"/>
  <c r="H111" i="32"/>
  <c r="H75" i="32"/>
  <c r="H81" i="32" s="1"/>
  <c r="P111" i="32"/>
  <c r="P114" i="32" s="1"/>
  <c r="P78" i="32"/>
  <c r="P75" i="32"/>
  <c r="P81" i="32" s="1"/>
  <c r="J112" i="32"/>
  <c r="J114" i="32" s="1"/>
  <c r="T73" i="32"/>
  <c r="E100" i="32"/>
  <c r="G119" i="31"/>
  <c r="P81" i="31"/>
  <c r="P100" i="31"/>
  <c r="I81" i="31"/>
  <c r="P75" i="31"/>
  <c r="H78" i="31"/>
  <c r="D79" i="31"/>
  <c r="H80" i="31"/>
  <c r="T93" i="31"/>
  <c r="H117" i="31"/>
  <c r="H119" i="31"/>
  <c r="T93" i="33"/>
  <c r="G99" i="33"/>
  <c r="O94" i="33"/>
  <c r="O100" i="33" s="1"/>
  <c r="O99" i="33"/>
  <c r="L78" i="32"/>
  <c r="I81" i="32"/>
  <c r="Q81" i="32"/>
  <c r="E111" i="32"/>
  <c r="I111" i="32"/>
  <c r="I114" i="32" s="1"/>
  <c r="Q111" i="32"/>
  <c r="Q114" i="32" s="1"/>
  <c r="M113" i="32"/>
  <c r="M119" i="32" s="1"/>
  <c r="E75" i="32"/>
  <c r="E81" i="32" s="1"/>
  <c r="M75" i="32"/>
  <c r="M81" i="32" s="1"/>
  <c r="I78" i="32"/>
  <c r="E97" i="32"/>
  <c r="I97" i="32"/>
  <c r="Q97" i="32"/>
  <c r="J98" i="32"/>
  <c r="T98" i="32" s="1"/>
  <c r="N99" i="32"/>
  <c r="H111" i="33"/>
  <c r="H78" i="33"/>
  <c r="P111" i="33"/>
  <c r="P114" i="33" s="1"/>
  <c r="P75" i="33"/>
  <c r="P81" i="33" s="1"/>
  <c r="H113" i="33"/>
  <c r="H80" i="33"/>
  <c r="D78" i="33"/>
  <c r="G100" i="33"/>
  <c r="D98" i="33"/>
  <c r="P100" i="33"/>
  <c r="P117" i="33"/>
  <c r="F111" i="33"/>
  <c r="F114" i="33" s="1"/>
  <c r="J112" i="33"/>
  <c r="J114" i="33" s="1"/>
  <c r="P81" i="36"/>
  <c r="D111" i="36"/>
  <c r="D78" i="36"/>
  <c r="H111" i="36"/>
  <c r="H75" i="36"/>
  <c r="H78" i="36"/>
  <c r="P111" i="36"/>
  <c r="P114" i="36" s="1"/>
  <c r="P78" i="36"/>
  <c r="J75" i="36"/>
  <c r="T73" i="36"/>
  <c r="J112" i="36"/>
  <c r="P75" i="36"/>
  <c r="H78" i="32"/>
  <c r="J81" i="32"/>
  <c r="D113" i="32"/>
  <c r="D114" i="32" s="1"/>
  <c r="D99" i="32"/>
  <c r="I100" i="32"/>
  <c r="O99" i="32"/>
  <c r="L117" i="32"/>
  <c r="T112" i="32"/>
  <c r="Q81" i="33"/>
  <c r="T73" i="33"/>
  <c r="H75" i="33"/>
  <c r="H81" i="33" s="1"/>
  <c r="E78" i="33"/>
  <c r="D97" i="33"/>
  <c r="H97" i="33"/>
  <c r="P97" i="33"/>
  <c r="J100" i="33"/>
  <c r="H99" i="33"/>
  <c r="E100" i="33"/>
  <c r="T92" i="33"/>
  <c r="J98" i="33"/>
  <c r="T98" i="33" s="1"/>
  <c r="O114" i="33"/>
  <c r="T112" i="33"/>
  <c r="E100" i="34"/>
  <c r="K111" i="34"/>
  <c r="K114" i="34" s="1"/>
  <c r="R111" i="34"/>
  <c r="R114" i="34" s="1"/>
  <c r="N75" i="35"/>
  <c r="N113" i="35"/>
  <c r="P100" i="32"/>
  <c r="H119" i="33"/>
  <c r="K111" i="33"/>
  <c r="K114" i="33" s="1"/>
  <c r="R111" i="33"/>
  <c r="R114" i="33" s="1"/>
  <c r="F75" i="34"/>
  <c r="F111" i="34"/>
  <c r="F114" i="34" s="1"/>
  <c r="F75" i="35"/>
  <c r="F111" i="35"/>
  <c r="F114" i="35" s="1"/>
  <c r="K75" i="35"/>
  <c r="K111" i="35"/>
  <c r="K114" i="35" s="1"/>
  <c r="R75" i="35"/>
  <c r="R111" i="35"/>
  <c r="R114" i="35" s="1"/>
  <c r="H100" i="35"/>
  <c r="G119" i="34"/>
  <c r="P75" i="34"/>
  <c r="P81" i="34" s="1"/>
  <c r="H78" i="34"/>
  <c r="D79" i="34"/>
  <c r="H80" i="34"/>
  <c r="E97" i="34"/>
  <c r="I97" i="34"/>
  <c r="Q97" i="34"/>
  <c r="M99" i="34"/>
  <c r="P117" i="34"/>
  <c r="I81" i="35"/>
  <c r="T74" i="35"/>
  <c r="D79" i="35"/>
  <c r="K100" i="35"/>
  <c r="R100" i="35"/>
  <c r="T93" i="35"/>
  <c r="L97" i="36"/>
  <c r="D98" i="36"/>
  <c r="P100" i="36"/>
  <c r="H94" i="36"/>
  <c r="H100" i="36" s="1"/>
  <c r="J94" i="36"/>
  <c r="T92" i="36"/>
  <c r="T112" i="36"/>
  <c r="N119" i="37"/>
  <c r="F75" i="37"/>
  <c r="F111" i="37"/>
  <c r="F114" i="37" s="1"/>
  <c r="H100" i="37"/>
  <c r="P100" i="37"/>
  <c r="I100" i="34"/>
  <c r="T93" i="34"/>
  <c r="O99" i="34"/>
  <c r="J112" i="34"/>
  <c r="J114" i="34" s="1"/>
  <c r="O113" i="34"/>
  <c r="G119" i="35"/>
  <c r="P81" i="35"/>
  <c r="E75" i="35"/>
  <c r="Q75" i="35"/>
  <c r="I78" i="35"/>
  <c r="G100" i="35"/>
  <c r="D98" i="35"/>
  <c r="P100" i="35"/>
  <c r="H120" i="35"/>
  <c r="D118" i="35"/>
  <c r="H119" i="35"/>
  <c r="E120" i="35"/>
  <c r="O114" i="35"/>
  <c r="T112" i="35"/>
  <c r="O113" i="35"/>
  <c r="J98" i="36"/>
  <c r="T98" i="36" s="1"/>
  <c r="H117" i="36"/>
  <c r="G75" i="37"/>
  <c r="L111" i="37"/>
  <c r="L114" i="37" s="1"/>
  <c r="L120" i="37" s="1"/>
  <c r="L78" i="37"/>
  <c r="L75" i="37"/>
  <c r="L81" i="37" s="1"/>
  <c r="D112" i="33"/>
  <c r="D118" i="33" s="1"/>
  <c r="D79" i="33"/>
  <c r="E97" i="33"/>
  <c r="I97" i="33"/>
  <c r="Q97" i="33"/>
  <c r="M99" i="33"/>
  <c r="H100" i="33"/>
  <c r="M114" i="33"/>
  <c r="H81" i="34"/>
  <c r="Q81" i="34"/>
  <c r="E111" i="34"/>
  <c r="I111" i="34"/>
  <c r="I114" i="34" s="1"/>
  <c r="Q111" i="34"/>
  <c r="Q114" i="34" s="1"/>
  <c r="T73" i="34"/>
  <c r="M113" i="34"/>
  <c r="M114" i="34" s="1"/>
  <c r="H75" i="34"/>
  <c r="D78" i="34"/>
  <c r="P78" i="34"/>
  <c r="G100" i="34"/>
  <c r="D98" i="34"/>
  <c r="O100" i="34"/>
  <c r="P100" i="34"/>
  <c r="D118" i="34"/>
  <c r="H119" i="34"/>
  <c r="T112" i="34"/>
  <c r="J118" i="35"/>
  <c r="E81" i="35"/>
  <c r="Q81" i="35"/>
  <c r="T73" i="35"/>
  <c r="H75" i="35"/>
  <c r="H81" i="35" s="1"/>
  <c r="D78" i="35"/>
  <c r="P78" i="35"/>
  <c r="E100" i="35"/>
  <c r="G99" i="35"/>
  <c r="T99" i="35" s="1"/>
  <c r="J118" i="36"/>
  <c r="L111" i="36"/>
  <c r="L114" i="36" s="1"/>
  <c r="D112" i="36"/>
  <c r="D118" i="36" s="1"/>
  <c r="H113" i="36"/>
  <c r="H119" i="36" s="1"/>
  <c r="T93" i="36"/>
  <c r="J112" i="37"/>
  <c r="N99" i="37"/>
  <c r="H81" i="36"/>
  <c r="Q81" i="36"/>
  <c r="D97" i="36"/>
  <c r="H97" i="36"/>
  <c r="P97" i="36"/>
  <c r="J100" i="36"/>
  <c r="H99" i="36"/>
  <c r="E100" i="36"/>
  <c r="Q100" i="36"/>
  <c r="O114" i="36"/>
  <c r="J118" i="37"/>
  <c r="N81" i="37"/>
  <c r="J75" i="37"/>
  <c r="J81" i="37" s="1"/>
  <c r="J98" i="37"/>
  <c r="P117" i="37"/>
  <c r="G119" i="36"/>
  <c r="O119" i="36"/>
  <c r="I75" i="36"/>
  <c r="I81" i="36" s="1"/>
  <c r="E78" i="36"/>
  <c r="Q78" i="36"/>
  <c r="E97" i="36"/>
  <c r="I97" i="36"/>
  <c r="Q97" i="36"/>
  <c r="M99" i="36"/>
  <c r="D94" i="36"/>
  <c r="D117" i="36"/>
  <c r="P117" i="36"/>
  <c r="J114" i="36"/>
  <c r="E111" i="37"/>
  <c r="I111" i="37"/>
  <c r="I114" i="37" s="1"/>
  <c r="Q111" i="37"/>
  <c r="Q114" i="37" s="1"/>
  <c r="D100" i="37"/>
  <c r="J114" i="37"/>
  <c r="T112" i="37"/>
  <c r="M107" i="37"/>
  <c r="M80" i="37"/>
  <c r="M69" i="37"/>
  <c r="T74" i="37"/>
  <c r="G113" i="37"/>
  <c r="M99" i="37"/>
  <c r="M88" i="37"/>
  <c r="M100" i="37" s="1"/>
  <c r="R105" i="37"/>
  <c r="R78" i="37"/>
  <c r="D114" i="37"/>
  <c r="D120" i="37" s="1"/>
  <c r="D75" i="37"/>
  <c r="D81" i="37" s="1"/>
  <c r="D78" i="37"/>
  <c r="P78" i="37"/>
  <c r="F97" i="37"/>
  <c r="P108" i="37"/>
  <c r="P120" i="37" s="1"/>
  <c r="R111" i="37"/>
  <c r="R114" i="37" s="1"/>
  <c r="K105" i="37"/>
  <c r="K78" i="37"/>
  <c r="K69" i="37"/>
  <c r="K88" i="37"/>
  <c r="K100" i="37" s="1"/>
  <c r="K97" i="37"/>
  <c r="G108" i="37"/>
  <c r="G107" i="37"/>
  <c r="G80" i="37"/>
  <c r="T68" i="37"/>
  <c r="O107" i="37"/>
  <c r="O80" i="37"/>
  <c r="O69" i="37"/>
  <c r="R69" i="37"/>
  <c r="R81" i="37" s="1"/>
  <c r="E114" i="37"/>
  <c r="M113" i="37"/>
  <c r="M114" i="37" s="1"/>
  <c r="M75" i="37"/>
  <c r="F78" i="37"/>
  <c r="T87" i="37"/>
  <c r="L100" i="37"/>
  <c r="T93" i="37"/>
  <c r="R97" i="37"/>
  <c r="H105" i="37"/>
  <c r="T106" i="37"/>
  <c r="T105" i="37"/>
  <c r="E117" i="37"/>
  <c r="E108" i="37"/>
  <c r="I108" i="37"/>
  <c r="Q117" i="37"/>
  <c r="Q108" i="37"/>
  <c r="Q120" i="37" s="1"/>
  <c r="F81" i="37"/>
  <c r="O75" i="37"/>
  <c r="O113" i="37"/>
  <c r="O114" i="37" s="1"/>
  <c r="F117" i="37"/>
  <c r="F108" i="37"/>
  <c r="F120" i="37" s="1"/>
  <c r="K75" i="37"/>
  <c r="K111" i="37"/>
  <c r="K114" i="37" s="1"/>
  <c r="H75" i="37"/>
  <c r="H81" i="37" s="1"/>
  <c r="P75" i="37"/>
  <c r="P81" i="37" s="1"/>
  <c r="T80" i="37"/>
  <c r="T98" i="37"/>
  <c r="J117" i="37"/>
  <c r="T66" i="37"/>
  <c r="T69" i="37" s="1"/>
  <c r="E69" i="37"/>
  <c r="I69" i="37"/>
  <c r="Q69" i="37"/>
  <c r="T72" i="37"/>
  <c r="E75" i="37"/>
  <c r="I75" i="37"/>
  <c r="Q75" i="37"/>
  <c r="E78" i="37"/>
  <c r="I78" i="37"/>
  <c r="Q78" i="37"/>
  <c r="T85" i="37"/>
  <c r="T88" i="37" s="1"/>
  <c r="E88" i="37"/>
  <c r="E100" i="37" s="1"/>
  <c r="I88" i="37"/>
  <c r="I100" i="37" s="1"/>
  <c r="Q88" i="37"/>
  <c r="Q100" i="37" s="1"/>
  <c r="T91" i="37"/>
  <c r="G97" i="37"/>
  <c r="T97" i="37" s="1"/>
  <c r="G99" i="37"/>
  <c r="T99" i="37" s="1"/>
  <c r="O99" i="37"/>
  <c r="G111" i="37"/>
  <c r="G114" i="37" s="1"/>
  <c r="E118" i="37"/>
  <c r="T118" i="37" s="1"/>
  <c r="E119" i="37"/>
  <c r="J108" i="37"/>
  <c r="N108" i="37"/>
  <c r="N120" i="37" s="1"/>
  <c r="G69" i="37"/>
  <c r="G81" i="37" s="1"/>
  <c r="G78" i="37"/>
  <c r="L117" i="36"/>
  <c r="L108" i="36"/>
  <c r="L120" i="36" s="1"/>
  <c r="K105" i="36"/>
  <c r="K78" i="36"/>
  <c r="K69" i="36"/>
  <c r="M69" i="36"/>
  <c r="G105" i="36"/>
  <c r="G78" i="36"/>
  <c r="T78" i="36" s="1"/>
  <c r="G69" i="36"/>
  <c r="N107" i="36"/>
  <c r="N80" i="36"/>
  <c r="N69" i="36"/>
  <c r="N81" i="36" s="1"/>
  <c r="T74" i="36"/>
  <c r="T87" i="36"/>
  <c r="O100" i="36"/>
  <c r="N99" i="36"/>
  <c r="H108" i="36"/>
  <c r="N113" i="36"/>
  <c r="N114" i="36" s="1"/>
  <c r="F105" i="36"/>
  <c r="T105" i="36" s="1"/>
  <c r="T108" i="36" s="1"/>
  <c r="F78" i="36"/>
  <c r="F69" i="36"/>
  <c r="F81" i="36" s="1"/>
  <c r="R105" i="36"/>
  <c r="R78" i="36"/>
  <c r="R69" i="36"/>
  <c r="R81" i="36" s="1"/>
  <c r="G75" i="36"/>
  <c r="G111" i="36"/>
  <c r="G114" i="36" s="1"/>
  <c r="T72" i="36"/>
  <c r="G88" i="36"/>
  <c r="G100" i="36" s="1"/>
  <c r="G97" i="36"/>
  <c r="T85" i="36"/>
  <c r="D108" i="36"/>
  <c r="E114" i="36"/>
  <c r="D75" i="36"/>
  <c r="D81" i="36" s="1"/>
  <c r="L75" i="36"/>
  <c r="L81" i="36" s="1"/>
  <c r="D88" i="36"/>
  <c r="L88" i="36"/>
  <c r="L100" i="36" s="1"/>
  <c r="F97" i="36"/>
  <c r="Q117" i="36"/>
  <c r="T107" i="36"/>
  <c r="F111" i="36"/>
  <c r="F114" i="36" s="1"/>
  <c r="K75" i="36"/>
  <c r="K111" i="36"/>
  <c r="K114" i="36" s="1"/>
  <c r="M75" i="36"/>
  <c r="L78" i="36"/>
  <c r="D80" i="36"/>
  <c r="M80" i="36"/>
  <c r="K88" i="36"/>
  <c r="K100" i="36" s="1"/>
  <c r="K97" i="36"/>
  <c r="M88" i="36"/>
  <c r="M100" i="36" s="1"/>
  <c r="T91" i="36"/>
  <c r="T94" i="36" s="1"/>
  <c r="R97" i="36"/>
  <c r="T99" i="36"/>
  <c r="I117" i="36"/>
  <c r="P108" i="36"/>
  <c r="P120" i="36" s="1"/>
  <c r="R111" i="36"/>
  <c r="R114" i="36" s="1"/>
  <c r="E108" i="36"/>
  <c r="E120" i="36" s="1"/>
  <c r="I108" i="36"/>
  <c r="I120" i="36" s="1"/>
  <c r="M108" i="36"/>
  <c r="M120" i="36" s="1"/>
  <c r="Q108" i="36"/>
  <c r="Q120" i="36" s="1"/>
  <c r="E117" i="36"/>
  <c r="E118" i="36"/>
  <c r="T118" i="36" s="1"/>
  <c r="E119" i="36"/>
  <c r="J69" i="36"/>
  <c r="J79" i="36"/>
  <c r="T79" i="36" s="1"/>
  <c r="J108" i="36"/>
  <c r="J120" i="36" s="1"/>
  <c r="N108" i="36"/>
  <c r="T68" i="36"/>
  <c r="T69" i="36" s="1"/>
  <c r="O69" i="36"/>
  <c r="O81" i="36" s="1"/>
  <c r="G80" i="36"/>
  <c r="T80" i="36" s="1"/>
  <c r="O80" i="36"/>
  <c r="O108" i="36"/>
  <c r="O120" i="36" s="1"/>
  <c r="Q117" i="35"/>
  <c r="Q108" i="35"/>
  <c r="Q120" i="35" s="1"/>
  <c r="K105" i="35"/>
  <c r="K78" i="35"/>
  <c r="K69" i="35"/>
  <c r="K81" i="35" s="1"/>
  <c r="R105" i="35"/>
  <c r="R78" i="35"/>
  <c r="R69" i="35"/>
  <c r="R81" i="35" s="1"/>
  <c r="L97" i="35"/>
  <c r="L88" i="35"/>
  <c r="L100" i="35" s="1"/>
  <c r="N88" i="35"/>
  <c r="N100" i="35" s="1"/>
  <c r="N99" i="35"/>
  <c r="G105" i="35"/>
  <c r="G78" i="35"/>
  <c r="T78" i="35" s="1"/>
  <c r="G69" i="35"/>
  <c r="L105" i="35"/>
  <c r="L78" i="35"/>
  <c r="L69" i="35"/>
  <c r="D107" i="35"/>
  <c r="D80" i="35"/>
  <c r="D69" i="35"/>
  <c r="N107" i="35"/>
  <c r="N119" i="35" s="1"/>
  <c r="N80" i="35"/>
  <c r="N69" i="35"/>
  <c r="T87" i="35"/>
  <c r="I117" i="35"/>
  <c r="I108" i="35"/>
  <c r="I120" i="35" s="1"/>
  <c r="T113" i="35"/>
  <c r="J114" i="35"/>
  <c r="D114" i="35"/>
  <c r="P108" i="35"/>
  <c r="P120" i="35" s="1"/>
  <c r="F105" i="35"/>
  <c r="F78" i="35"/>
  <c r="F69" i="35"/>
  <c r="F81" i="35" s="1"/>
  <c r="M107" i="35"/>
  <c r="M119" i="35" s="1"/>
  <c r="M80" i="35"/>
  <c r="T85" i="35"/>
  <c r="T88" i="35" s="1"/>
  <c r="D99" i="35"/>
  <c r="D88" i="35"/>
  <c r="D100" i="35" s="1"/>
  <c r="H117" i="35"/>
  <c r="M69" i="35"/>
  <c r="G75" i="35"/>
  <c r="G111" i="35"/>
  <c r="L111" i="35"/>
  <c r="L114" i="35" s="1"/>
  <c r="L75" i="35"/>
  <c r="T72" i="35"/>
  <c r="D113" i="35"/>
  <c r="D75" i="35"/>
  <c r="J100" i="35"/>
  <c r="Q100" i="35"/>
  <c r="G97" i="35"/>
  <c r="P117" i="35"/>
  <c r="T107" i="35"/>
  <c r="E119" i="35"/>
  <c r="J119" i="35"/>
  <c r="M108" i="35"/>
  <c r="M120" i="35" s="1"/>
  <c r="N114" i="35"/>
  <c r="O119" i="35"/>
  <c r="K97" i="35"/>
  <c r="R97" i="35"/>
  <c r="T106" i="35"/>
  <c r="R119" i="35"/>
  <c r="M75" i="35"/>
  <c r="M88" i="35"/>
  <c r="M100" i="35" s="1"/>
  <c r="T91" i="35"/>
  <c r="F97" i="35"/>
  <c r="K118" i="35"/>
  <c r="O118" i="35"/>
  <c r="J69" i="35"/>
  <c r="J81" i="35" s="1"/>
  <c r="J79" i="35"/>
  <c r="T79" i="35" s="1"/>
  <c r="J108" i="35"/>
  <c r="J120" i="35" s="1"/>
  <c r="N108" i="35"/>
  <c r="N120" i="35" s="1"/>
  <c r="T68" i="35"/>
  <c r="T69" i="35" s="1"/>
  <c r="O69" i="35"/>
  <c r="O81" i="35" s="1"/>
  <c r="G80" i="35"/>
  <c r="O80" i="35"/>
  <c r="O108" i="35"/>
  <c r="O120" i="35" s="1"/>
  <c r="G75" i="34"/>
  <c r="G111" i="34"/>
  <c r="G114" i="34" s="1"/>
  <c r="L111" i="34"/>
  <c r="L114" i="34" s="1"/>
  <c r="L75" i="34"/>
  <c r="T72" i="34"/>
  <c r="D113" i="34"/>
  <c r="D114" i="34" s="1"/>
  <c r="D75" i="34"/>
  <c r="E119" i="34"/>
  <c r="T74" i="34"/>
  <c r="Q117" i="34"/>
  <c r="Q108" i="34"/>
  <c r="Q120" i="34" s="1"/>
  <c r="G118" i="34"/>
  <c r="P108" i="34"/>
  <c r="P120" i="34" s="1"/>
  <c r="O114" i="34"/>
  <c r="F105" i="34"/>
  <c r="F78" i="34"/>
  <c r="F69" i="34"/>
  <c r="F81" i="34" s="1"/>
  <c r="K105" i="34"/>
  <c r="K78" i="34"/>
  <c r="K69" i="34"/>
  <c r="K81" i="34" s="1"/>
  <c r="R105" i="34"/>
  <c r="R78" i="34"/>
  <c r="R69" i="34"/>
  <c r="R81" i="34" s="1"/>
  <c r="M107" i="34"/>
  <c r="M80" i="34"/>
  <c r="L97" i="34"/>
  <c r="L88" i="34"/>
  <c r="L100" i="34" s="1"/>
  <c r="T85" i="34"/>
  <c r="D99" i="34"/>
  <c r="D88" i="34"/>
  <c r="D100" i="34" s="1"/>
  <c r="N88" i="34"/>
  <c r="N100" i="34" s="1"/>
  <c r="N99" i="34"/>
  <c r="H117" i="34"/>
  <c r="E108" i="34"/>
  <c r="N113" i="34"/>
  <c r="T113" i="34" s="1"/>
  <c r="D117" i="34"/>
  <c r="G105" i="34"/>
  <c r="G78" i="34"/>
  <c r="G69" i="34"/>
  <c r="G81" i="34" s="1"/>
  <c r="L105" i="34"/>
  <c r="L78" i="34"/>
  <c r="L69" i="34"/>
  <c r="L81" i="34" s="1"/>
  <c r="T66" i="34"/>
  <c r="D107" i="34"/>
  <c r="D80" i="34"/>
  <c r="D69" i="34"/>
  <c r="D81" i="34" s="1"/>
  <c r="N107" i="34"/>
  <c r="N119" i="34" s="1"/>
  <c r="N80" i="34"/>
  <c r="N69" i="34"/>
  <c r="N81" i="34" s="1"/>
  <c r="I81" i="34"/>
  <c r="T87" i="34"/>
  <c r="I117" i="34"/>
  <c r="I108" i="34"/>
  <c r="I120" i="34" s="1"/>
  <c r="H120" i="34"/>
  <c r="O119" i="34"/>
  <c r="K97" i="34"/>
  <c r="R97" i="34"/>
  <c r="T106" i="34"/>
  <c r="R119" i="34"/>
  <c r="M75" i="34"/>
  <c r="M81" i="34" s="1"/>
  <c r="M88" i="34"/>
  <c r="M100" i="34" s="1"/>
  <c r="T91" i="34"/>
  <c r="T94" i="34" s="1"/>
  <c r="F97" i="34"/>
  <c r="K118" i="34"/>
  <c r="O118" i="34"/>
  <c r="J69" i="34"/>
  <c r="J81" i="34" s="1"/>
  <c r="J79" i="34"/>
  <c r="T79" i="34" s="1"/>
  <c r="J108" i="34"/>
  <c r="J120" i="34" s="1"/>
  <c r="N108" i="34"/>
  <c r="T68" i="34"/>
  <c r="O69" i="34"/>
  <c r="O81" i="34" s="1"/>
  <c r="G80" i="34"/>
  <c r="T80" i="34" s="1"/>
  <c r="O80" i="34"/>
  <c r="O108" i="34"/>
  <c r="L111" i="33"/>
  <c r="L114" i="33" s="1"/>
  <c r="L75" i="33"/>
  <c r="E119" i="33"/>
  <c r="Q117" i="33"/>
  <c r="Q108" i="33"/>
  <c r="Q120" i="33" s="1"/>
  <c r="F105" i="33"/>
  <c r="F78" i="33"/>
  <c r="F69" i="33"/>
  <c r="F81" i="33" s="1"/>
  <c r="K105" i="33"/>
  <c r="K78" i="33"/>
  <c r="K69" i="33"/>
  <c r="K81" i="33" s="1"/>
  <c r="R105" i="33"/>
  <c r="R78" i="33"/>
  <c r="R69" i="33"/>
  <c r="R81" i="33" s="1"/>
  <c r="M107" i="33"/>
  <c r="M80" i="33"/>
  <c r="L97" i="33"/>
  <c r="L88" i="33"/>
  <c r="L100" i="33" s="1"/>
  <c r="T85" i="33"/>
  <c r="T88" i="33" s="1"/>
  <c r="D99" i="33"/>
  <c r="D88" i="33"/>
  <c r="D100" i="33" s="1"/>
  <c r="N88" i="33"/>
  <c r="N100" i="33" s="1"/>
  <c r="N99" i="33"/>
  <c r="H117" i="33"/>
  <c r="E108" i="33"/>
  <c r="E120" i="33" s="1"/>
  <c r="N113" i="33"/>
  <c r="T113" i="33" s="1"/>
  <c r="D117" i="33"/>
  <c r="G75" i="33"/>
  <c r="G111" i="33"/>
  <c r="G114" i="33" s="1"/>
  <c r="T72" i="33"/>
  <c r="D113" i="33"/>
  <c r="D114" i="33" s="1"/>
  <c r="D75" i="33"/>
  <c r="T74" i="33"/>
  <c r="P108" i="33"/>
  <c r="P120" i="33" s="1"/>
  <c r="G105" i="33"/>
  <c r="G78" i="33"/>
  <c r="G69" i="33"/>
  <c r="G81" i="33" s="1"/>
  <c r="L105" i="33"/>
  <c r="L78" i="33"/>
  <c r="L69" i="33"/>
  <c r="T66" i="33"/>
  <c r="D107" i="33"/>
  <c r="D80" i="33"/>
  <c r="D69" i="33"/>
  <c r="D81" i="33" s="1"/>
  <c r="N107" i="33"/>
  <c r="N119" i="33" s="1"/>
  <c r="N80" i="33"/>
  <c r="N69" i="33"/>
  <c r="N81" i="33" s="1"/>
  <c r="I81" i="33"/>
  <c r="T87" i="33"/>
  <c r="I117" i="33"/>
  <c r="I108" i="33"/>
  <c r="I120" i="33" s="1"/>
  <c r="H108" i="33"/>
  <c r="O119" i="33"/>
  <c r="K97" i="33"/>
  <c r="R97" i="33"/>
  <c r="J117" i="33"/>
  <c r="T106" i="33"/>
  <c r="R119" i="33"/>
  <c r="M75" i="33"/>
  <c r="M81" i="33" s="1"/>
  <c r="M88" i="33"/>
  <c r="M100" i="33" s="1"/>
  <c r="T91" i="33"/>
  <c r="F97" i="33"/>
  <c r="T105" i="33"/>
  <c r="K118" i="33"/>
  <c r="O118" i="33"/>
  <c r="J69" i="33"/>
  <c r="J81" i="33" s="1"/>
  <c r="J79" i="33"/>
  <c r="T79" i="33" s="1"/>
  <c r="J108" i="33"/>
  <c r="J120" i="33" s="1"/>
  <c r="T68" i="33"/>
  <c r="O69" i="33"/>
  <c r="O81" i="33" s="1"/>
  <c r="G80" i="33"/>
  <c r="T80" i="33" s="1"/>
  <c r="O80" i="33"/>
  <c r="O108" i="33"/>
  <c r="O120" i="33" s="1"/>
  <c r="F94" i="32"/>
  <c r="F100" i="32" s="1"/>
  <c r="T91" i="32"/>
  <c r="F111" i="32"/>
  <c r="F114" i="32" s="1"/>
  <c r="D108" i="32"/>
  <c r="D117" i="32"/>
  <c r="D81" i="32"/>
  <c r="R100" i="32"/>
  <c r="N100" i="32"/>
  <c r="E117" i="32"/>
  <c r="E108" i="32"/>
  <c r="I117" i="32"/>
  <c r="I108" i="32"/>
  <c r="I120" i="32" s="1"/>
  <c r="Q117" i="32"/>
  <c r="Q108" i="32"/>
  <c r="Q120" i="32" s="1"/>
  <c r="P108" i="32"/>
  <c r="E114" i="32"/>
  <c r="R97" i="32"/>
  <c r="H119" i="32"/>
  <c r="L108" i="32"/>
  <c r="L120" i="32" s="1"/>
  <c r="F105" i="32"/>
  <c r="F78" i="32"/>
  <c r="F69" i="32"/>
  <c r="F81" i="32" s="1"/>
  <c r="K105" i="32"/>
  <c r="K78" i="32"/>
  <c r="K69" i="32"/>
  <c r="R105" i="32"/>
  <c r="R78" i="32"/>
  <c r="R69" i="32"/>
  <c r="R81" i="32" s="1"/>
  <c r="L69" i="32"/>
  <c r="K75" i="32"/>
  <c r="K111" i="32"/>
  <c r="K114" i="32" s="1"/>
  <c r="L75" i="32"/>
  <c r="D78" i="32"/>
  <c r="D88" i="32"/>
  <c r="D100" i="32" s="1"/>
  <c r="L88" i="32"/>
  <c r="L100" i="32" s="1"/>
  <c r="T93" i="32"/>
  <c r="R111" i="32"/>
  <c r="R114" i="32" s="1"/>
  <c r="G105" i="32"/>
  <c r="G78" i="32"/>
  <c r="G69" i="32"/>
  <c r="T66" i="32"/>
  <c r="T69" i="32" s="1"/>
  <c r="N107" i="32"/>
  <c r="T107" i="32" s="1"/>
  <c r="N80" i="32"/>
  <c r="N69" i="32"/>
  <c r="N81" i="32" s="1"/>
  <c r="G75" i="32"/>
  <c r="G111" i="32"/>
  <c r="T72" i="32"/>
  <c r="D80" i="32"/>
  <c r="M80" i="32"/>
  <c r="K88" i="32"/>
  <c r="K100" i="32" s="1"/>
  <c r="K97" i="32"/>
  <c r="M99" i="32"/>
  <c r="T99" i="32" s="1"/>
  <c r="M88" i="32"/>
  <c r="M100" i="32" s="1"/>
  <c r="H105" i="32"/>
  <c r="T106" i="32"/>
  <c r="M114" i="32"/>
  <c r="N113" i="32"/>
  <c r="N114" i="32" s="1"/>
  <c r="H114" i="32"/>
  <c r="G88" i="32"/>
  <c r="G100" i="32" s="1"/>
  <c r="G97" i="32"/>
  <c r="T85" i="32"/>
  <c r="T88" i="32" s="1"/>
  <c r="H100" i="32"/>
  <c r="F97" i="32"/>
  <c r="M108" i="32"/>
  <c r="G113" i="32"/>
  <c r="G119" i="32" s="1"/>
  <c r="O113" i="32"/>
  <c r="O114" i="32" s="1"/>
  <c r="E118" i="32"/>
  <c r="E119" i="32"/>
  <c r="J79" i="32"/>
  <c r="T79" i="32" s="1"/>
  <c r="J108" i="32"/>
  <c r="N108" i="32"/>
  <c r="N120" i="32" s="1"/>
  <c r="T68" i="32"/>
  <c r="O69" i="32"/>
  <c r="O81" i="32" s="1"/>
  <c r="G80" i="32"/>
  <c r="O80" i="32"/>
  <c r="O108" i="32"/>
  <c r="L108" i="31"/>
  <c r="L120" i="31" s="1"/>
  <c r="L117" i="31"/>
  <c r="D108" i="31"/>
  <c r="T69" i="31"/>
  <c r="K105" i="31"/>
  <c r="K78" i="31"/>
  <c r="K69" i="31"/>
  <c r="K81" i="31" s="1"/>
  <c r="G97" i="31"/>
  <c r="M108" i="31"/>
  <c r="G105" i="31"/>
  <c r="G78" i="31"/>
  <c r="G69" i="31"/>
  <c r="G81" i="31" s="1"/>
  <c r="N107" i="31"/>
  <c r="N80" i="31"/>
  <c r="N69" i="31"/>
  <c r="N81" i="31" s="1"/>
  <c r="D114" i="31"/>
  <c r="T74" i="31"/>
  <c r="T87" i="31"/>
  <c r="I100" i="31"/>
  <c r="Q100" i="31"/>
  <c r="H108" i="31"/>
  <c r="H120" i="31" s="1"/>
  <c r="P108" i="31"/>
  <c r="P120" i="31" s="1"/>
  <c r="F111" i="31"/>
  <c r="F114" i="31" s="1"/>
  <c r="E117" i="31"/>
  <c r="R105" i="31"/>
  <c r="R78" i="31"/>
  <c r="R69" i="31"/>
  <c r="R81" i="31" s="1"/>
  <c r="M69" i="31"/>
  <c r="T107" i="31"/>
  <c r="E108" i="31"/>
  <c r="E120" i="31" s="1"/>
  <c r="N113" i="31"/>
  <c r="N114" i="31" s="1"/>
  <c r="D75" i="31"/>
  <c r="L75" i="31"/>
  <c r="T79" i="31"/>
  <c r="D88" i="31"/>
  <c r="D100" i="31" s="1"/>
  <c r="L88" i="31"/>
  <c r="L100" i="31" s="1"/>
  <c r="K97" i="31"/>
  <c r="R97" i="31"/>
  <c r="N99" i="31"/>
  <c r="T106" i="31"/>
  <c r="R119" i="31"/>
  <c r="I108" i="31"/>
  <c r="I120" i="31" s="1"/>
  <c r="Q108" i="31"/>
  <c r="Q120" i="31" s="1"/>
  <c r="G111" i="31"/>
  <c r="G114" i="31" s="1"/>
  <c r="P117" i="31"/>
  <c r="F105" i="31"/>
  <c r="T105" i="31" s="1"/>
  <c r="T108" i="31" s="1"/>
  <c r="F78" i="31"/>
  <c r="F69" i="31"/>
  <c r="F81" i="31" s="1"/>
  <c r="T72" i="31"/>
  <c r="T85" i="31"/>
  <c r="T88" i="31" s="1"/>
  <c r="D69" i="31"/>
  <c r="D81" i="31" s="1"/>
  <c r="L69" i="31"/>
  <c r="M113" i="31"/>
  <c r="M119" i="31" s="1"/>
  <c r="T75" i="31"/>
  <c r="M75" i="31"/>
  <c r="L78" i="31"/>
  <c r="D80" i="31"/>
  <c r="M80" i="31"/>
  <c r="M99" i="31"/>
  <c r="E100" i="31"/>
  <c r="M88" i="31"/>
  <c r="M100" i="31" s="1"/>
  <c r="T91" i="31"/>
  <c r="T94" i="31" s="1"/>
  <c r="F97" i="31"/>
  <c r="K118" i="31"/>
  <c r="O118" i="31"/>
  <c r="J69" i="31"/>
  <c r="J81" i="31" s="1"/>
  <c r="J79" i="31"/>
  <c r="J108" i="31"/>
  <c r="N108" i="31"/>
  <c r="T68" i="31"/>
  <c r="O69" i="31"/>
  <c r="O81" i="31" s="1"/>
  <c r="G80" i="31"/>
  <c r="O80" i="31"/>
  <c r="O108" i="31"/>
  <c r="O120" i="31" s="1"/>
  <c r="L4" i="4"/>
  <c r="L5" i="4"/>
  <c r="L6" i="4"/>
  <c r="L7" i="4"/>
  <c r="L8" i="4"/>
  <c r="L9" i="4"/>
  <c r="L10" i="4"/>
  <c r="L11" i="4"/>
  <c r="L12" i="4"/>
  <c r="L13" i="4"/>
  <c r="L14" i="4"/>
  <c r="L15" i="4"/>
  <c r="L16" i="4"/>
  <c r="L17" i="4"/>
  <c r="L18" i="4"/>
  <c r="L19" i="4"/>
  <c r="L20" i="4"/>
  <c r="L21" i="4"/>
  <c r="L22" i="4"/>
  <c r="L23" i="4"/>
  <c r="L24" i="4"/>
  <c r="L25" i="4"/>
  <c r="L26" i="4"/>
  <c r="L27" i="4"/>
  <c r="L28" i="4"/>
  <c r="L29" i="4"/>
  <c r="L30" i="4"/>
  <c r="L31" i="4"/>
  <c r="L32" i="4"/>
  <c r="L33" i="4"/>
  <c r="L34" i="4"/>
  <c r="L35" i="4"/>
  <c r="L36" i="4"/>
  <c r="L37" i="4"/>
  <c r="L38" i="4"/>
  <c r="L39" i="4"/>
  <c r="L40" i="4"/>
  <c r="L41" i="4"/>
  <c r="L42" i="4"/>
  <c r="L43" i="4"/>
  <c r="L44" i="4"/>
  <c r="L45" i="4"/>
  <c r="L46" i="4"/>
  <c r="L47" i="4"/>
  <c r="L48" i="4"/>
  <c r="L49" i="4"/>
  <c r="L50" i="4"/>
  <c r="L51" i="4"/>
  <c r="L52" i="4"/>
  <c r="L53" i="4"/>
  <c r="L54" i="4"/>
  <c r="L55" i="4"/>
  <c r="L56" i="4"/>
  <c r="L57" i="4"/>
  <c r="L58" i="4"/>
  <c r="L59" i="4"/>
  <c r="L60" i="4"/>
  <c r="L3" i="4"/>
  <c r="K4" i="4"/>
  <c r="K5" i="4"/>
  <c r="K6" i="4"/>
  <c r="K7" i="4"/>
  <c r="K8" i="4"/>
  <c r="K9" i="4"/>
  <c r="K10" i="4"/>
  <c r="K11" i="4"/>
  <c r="K12" i="4"/>
  <c r="K13" i="4"/>
  <c r="K14" i="4"/>
  <c r="K15" i="4"/>
  <c r="K16" i="4"/>
  <c r="K17" i="4"/>
  <c r="K18" i="4"/>
  <c r="K19" i="4"/>
  <c r="K20" i="4"/>
  <c r="K21" i="4"/>
  <c r="K22" i="4"/>
  <c r="K23" i="4"/>
  <c r="K24" i="4"/>
  <c r="K25" i="4"/>
  <c r="K26" i="4"/>
  <c r="K27" i="4"/>
  <c r="K28" i="4"/>
  <c r="K29" i="4"/>
  <c r="K30" i="4"/>
  <c r="K31" i="4"/>
  <c r="K32" i="4"/>
  <c r="K33" i="4"/>
  <c r="K34" i="4"/>
  <c r="K35" i="4"/>
  <c r="K36" i="4"/>
  <c r="K37" i="4"/>
  <c r="K38" i="4"/>
  <c r="K39" i="4"/>
  <c r="K40" i="4"/>
  <c r="K41" i="4"/>
  <c r="K42" i="4"/>
  <c r="K43" i="4"/>
  <c r="K44" i="4"/>
  <c r="K45" i="4"/>
  <c r="K46" i="4"/>
  <c r="K47" i="4"/>
  <c r="K48" i="4"/>
  <c r="K49" i="4"/>
  <c r="K50" i="4"/>
  <c r="K51" i="4"/>
  <c r="K52" i="4"/>
  <c r="K53" i="4"/>
  <c r="K54" i="4"/>
  <c r="K55" i="4"/>
  <c r="K56" i="4"/>
  <c r="K57" i="4"/>
  <c r="K58" i="4"/>
  <c r="K59" i="4"/>
  <c r="K60" i="4"/>
  <c r="K3" i="4"/>
  <c r="N114" i="33" l="1"/>
  <c r="T97" i="34"/>
  <c r="T80" i="35"/>
  <c r="T81" i="35" s="1"/>
  <c r="T118" i="35"/>
  <c r="T75" i="35"/>
  <c r="T75" i="36"/>
  <c r="H120" i="36"/>
  <c r="T78" i="37"/>
  <c r="T81" i="37" s="1"/>
  <c r="I120" i="37"/>
  <c r="K81" i="37"/>
  <c r="H114" i="33"/>
  <c r="H120" i="33" s="1"/>
  <c r="T97" i="33"/>
  <c r="T80" i="31"/>
  <c r="J120" i="31"/>
  <c r="T80" i="32"/>
  <c r="J120" i="32"/>
  <c r="P117" i="32"/>
  <c r="D120" i="32"/>
  <c r="T94" i="33"/>
  <c r="O120" i="34"/>
  <c r="D119" i="34"/>
  <c r="T99" i="34"/>
  <c r="T78" i="34"/>
  <c r="T97" i="35"/>
  <c r="T100" i="35" s="1"/>
  <c r="N81" i="35"/>
  <c r="J81" i="36"/>
  <c r="T113" i="36"/>
  <c r="T97" i="36"/>
  <c r="T100" i="36" s="1"/>
  <c r="H114" i="36"/>
  <c r="N119" i="36"/>
  <c r="I117" i="37"/>
  <c r="L117" i="37"/>
  <c r="O119" i="37"/>
  <c r="J118" i="33"/>
  <c r="T112" i="31"/>
  <c r="T75" i="33"/>
  <c r="J118" i="31"/>
  <c r="T118" i="31" s="1"/>
  <c r="T97" i="32"/>
  <c r="P120" i="32"/>
  <c r="T97" i="31"/>
  <c r="T100" i="31" s="1"/>
  <c r="T78" i="31"/>
  <c r="T111" i="31"/>
  <c r="T75" i="32"/>
  <c r="K81" i="32"/>
  <c r="T78" i="32"/>
  <c r="T118" i="33"/>
  <c r="T99" i="33"/>
  <c r="T100" i="33" s="1"/>
  <c r="T78" i="33"/>
  <c r="T81" i="33" s="1"/>
  <c r="T111" i="34"/>
  <c r="T94" i="35"/>
  <c r="D119" i="35"/>
  <c r="G81" i="35"/>
  <c r="N120" i="36"/>
  <c r="T119" i="36"/>
  <c r="D100" i="36"/>
  <c r="D114" i="36"/>
  <c r="D120" i="36" s="1"/>
  <c r="K81" i="36"/>
  <c r="J120" i="37"/>
  <c r="E120" i="37"/>
  <c r="T113" i="37"/>
  <c r="M119" i="37"/>
  <c r="E114" i="34"/>
  <c r="E120" i="34" s="1"/>
  <c r="E117" i="34"/>
  <c r="J118" i="34"/>
  <c r="T118" i="34" s="1"/>
  <c r="J118" i="32"/>
  <c r="T118" i="32" s="1"/>
  <c r="T100" i="37"/>
  <c r="G120" i="37"/>
  <c r="R117" i="37"/>
  <c r="R108" i="37"/>
  <c r="R120" i="37" s="1"/>
  <c r="O108" i="37"/>
  <c r="O120" i="37" s="1"/>
  <c r="M108" i="37"/>
  <c r="M120" i="37" s="1"/>
  <c r="T94" i="37"/>
  <c r="Q81" i="37"/>
  <c r="G117" i="37"/>
  <c r="I81" i="37"/>
  <c r="H108" i="37"/>
  <c r="H120" i="37" s="1"/>
  <c r="H117" i="37"/>
  <c r="T111" i="37"/>
  <c r="T114" i="37" s="1"/>
  <c r="O81" i="37"/>
  <c r="K117" i="37"/>
  <c r="K108" i="37"/>
  <c r="K120" i="37" s="1"/>
  <c r="M81" i="37"/>
  <c r="T75" i="37"/>
  <c r="E81" i="37"/>
  <c r="T107" i="37"/>
  <c r="T108" i="37" s="1"/>
  <c r="G119" i="37"/>
  <c r="T119" i="37" s="1"/>
  <c r="T81" i="36"/>
  <c r="G117" i="36"/>
  <c r="G108" i="36"/>
  <c r="G120" i="36" s="1"/>
  <c r="F117" i="36"/>
  <c r="T117" i="36" s="1"/>
  <c r="T120" i="36" s="1"/>
  <c r="F108" i="36"/>
  <c r="F120" i="36" s="1"/>
  <c r="K117" i="36"/>
  <c r="K108" i="36"/>
  <c r="K120" i="36" s="1"/>
  <c r="T111" i="36"/>
  <c r="T114" i="36" s="1"/>
  <c r="T88" i="36"/>
  <c r="R117" i="36"/>
  <c r="R108" i="36"/>
  <c r="R120" i="36" s="1"/>
  <c r="G81" i="36"/>
  <c r="M81" i="36"/>
  <c r="T119" i="35"/>
  <c r="D108" i="35"/>
  <c r="D120" i="35" s="1"/>
  <c r="L81" i="35"/>
  <c r="R117" i="35"/>
  <c r="R108" i="35"/>
  <c r="R120" i="35" s="1"/>
  <c r="G114" i="35"/>
  <c r="T111" i="35"/>
  <c r="T114" i="35" s="1"/>
  <c r="F117" i="35"/>
  <c r="F108" i="35"/>
  <c r="F120" i="35" s="1"/>
  <c r="D81" i="35"/>
  <c r="G117" i="35"/>
  <c r="G108" i="35"/>
  <c r="M81" i="35"/>
  <c r="K117" i="35"/>
  <c r="K108" i="35"/>
  <c r="K120" i="35" s="1"/>
  <c r="T105" i="35"/>
  <c r="T108" i="35" s="1"/>
  <c r="L108" i="35"/>
  <c r="L120" i="35" s="1"/>
  <c r="L117" i="35"/>
  <c r="T81" i="34"/>
  <c r="T114" i="34"/>
  <c r="L108" i="34"/>
  <c r="L120" i="34" s="1"/>
  <c r="L117" i="34"/>
  <c r="T105" i="34"/>
  <c r="T69" i="34"/>
  <c r="F117" i="34"/>
  <c r="F108" i="34"/>
  <c r="F120" i="34" s="1"/>
  <c r="N114" i="34"/>
  <c r="T88" i="34"/>
  <c r="M119" i="34"/>
  <c r="T119" i="34" s="1"/>
  <c r="M108" i="34"/>
  <c r="M120" i="34" s="1"/>
  <c r="K117" i="34"/>
  <c r="K108" i="34"/>
  <c r="K120" i="34" s="1"/>
  <c r="D108" i="34"/>
  <c r="D120" i="34" s="1"/>
  <c r="N120" i="34"/>
  <c r="T75" i="34"/>
  <c r="G117" i="34"/>
  <c r="G108" i="34"/>
  <c r="G120" i="34" s="1"/>
  <c r="R117" i="34"/>
  <c r="R108" i="34"/>
  <c r="R120" i="34" s="1"/>
  <c r="T107" i="34"/>
  <c r="R117" i="33"/>
  <c r="R108" i="33"/>
  <c r="R120" i="33" s="1"/>
  <c r="L81" i="33"/>
  <c r="M119" i="33"/>
  <c r="T119" i="33" s="1"/>
  <c r="M108" i="33"/>
  <c r="M120" i="33" s="1"/>
  <c r="G117" i="33"/>
  <c r="G108" i="33"/>
  <c r="G120" i="33" s="1"/>
  <c r="F117" i="33"/>
  <c r="F108" i="33"/>
  <c r="F120" i="33" s="1"/>
  <c r="T69" i="33"/>
  <c r="N108" i="33"/>
  <c r="N120" i="33" s="1"/>
  <c r="T111" i="33"/>
  <c r="T114" i="33" s="1"/>
  <c r="D119" i="33"/>
  <c r="L108" i="33"/>
  <c r="L120" i="33" s="1"/>
  <c r="L117" i="33"/>
  <c r="D108" i="33"/>
  <c r="D120" i="33" s="1"/>
  <c r="K117" i="33"/>
  <c r="K108" i="33"/>
  <c r="K120" i="33" s="1"/>
  <c r="T107" i="33"/>
  <c r="T108" i="33" s="1"/>
  <c r="T81" i="32"/>
  <c r="T100" i="32"/>
  <c r="O120" i="32"/>
  <c r="M120" i="32"/>
  <c r="O119" i="32"/>
  <c r="G81" i="32"/>
  <c r="F117" i="32"/>
  <c r="F108" i="32"/>
  <c r="F120" i="32" s="1"/>
  <c r="T105" i="32"/>
  <c r="T108" i="32" s="1"/>
  <c r="T113" i="32"/>
  <c r="L81" i="32"/>
  <c r="H108" i="32"/>
  <c r="H120" i="32" s="1"/>
  <c r="H117" i="32"/>
  <c r="K117" i="32"/>
  <c r="K108" i="32"/>
  <c r="K120" i="32" s="1"/>
  <c r="T94" i="32"/>
  <c r="G114" i="32"/>
  <c r="N119" i="32"/>
  <c r="T119" i="32" s="1"/>
  <c r="G117" i="32"/>
  <c r="G108" i="32"/>
  <c r="G120" i="32" s="1"/>
  <c r="R117" i="32"/>
  <c r="R108" i="32"/>
  <c r="R120" i="32" s="1"/>
  <c r="T111" i="32"/>
  <c r="T114" i="32" s="1"/>
  <c r="E120" i="32"/>
  <c r="T81" i="31"/>
  <c r="N119" i="31"/>
  <c r="T119" i="31" s="1"/>
  <c r="K117" i="31"/>
  <c r="K108" i="31"/>
  <c r="K120" i="31" s="1"/>
  <c r="T113" i="31"/>
  <c r="T114" i="31" s="1"/>
  <c r="F117" i="31"/>
  <c r="F108" i="31"/>
  <c r="F120" i="31" s="1"/>
  <c r="G117" i="31"/>
  <c r="T117" i="31" s="1"/>
  <c r="G108" i="31"/>
  <c r="G120" i="31" s="1"/>
  <c r="L81" i="31"/>
  <c r="R117" i="31"/>
  <c r="R108" i="31"/>
  <c r="R120" i="31" s="1"/>
  <c r="M114" i="31"/>
  <c r="M120" i="31" s="1"/>
  <c r="D120" i="31"/>
  <c r="N120" i="31"/>
  <c r="M81" i="31"/>
  <c r="AP3" i="4"/>
  <c r="AR3" i="4" s="1"/>
  <c r="AQ3" i="4"/>
  <c r="AS3" i="4" s="1"/>
  <c r="AT3" i="4"/>
  <c r="AV3" i="4" s="1"/>
  <c r="AU3" i="4"/>
  <c r="AW3" i="4" s="1"/>
  <c r="AP4" i="4"/>
  <c r="AR4" i="4" s="1"/>
  <c r="AQ4" i="4"/>
  <c r="AS4" i="4" s="1"/>
  <c r="AT4" i="4"/>
  <c r="AV4" i="4" s="1"/>
  <c r="AU4" i="4"/>
  <c r="AW4" i="4" s="1"/>
  <c r="AP5" i="4"/>
  <c r="AR5" i="4" s="1"/>
  <c r="AQ5" i="4"/>
  <c r="AS5" i="4" s="1"/>
  <c r="AT5" i="4"/>
  <c r="AV5" i="4" s="1"/>
  <c r="AU5" i="4"/>
  <c r="AW5" i="4" s="1"/>
  <c r="AP6" i="4"/>
  <c r="AR6" i="4" s="1"/>
  <c r="AQ6" i="4"/>
  <c r="AS6" i="4" s="1"/>
  <c r="AT6" i="4"/>
  <c r="AV6" i="4" s="1"/>
  <c r="AU6" i="4"/>
  <c r="AW6" i="4" s="1"/>
  <c r="AP7" i="4"/>
  <c r="AR7" i="4" s="1"/>
  <c r="AQ7" i="4"/>
  <c r="AS7" i="4" s="1"/>
  <c r="AT7" i="4"/>
  <c r="AV7" i="4" s="1"/>
  <c r="AU7" i="4"/>
  <c r="AW7" i="4" s="1"/>
  <c r="AP8" i="4"/>
  <c r="AR8" i="4" s="1"/>
  <c r="AQ8" i="4"/>
  <c r="AS8" i="4" s="1"/>
  <c r="AT8" i="4"/>
  <c r="AV8" i="4" s="1"/>
  <c r="AU8" i="4"/>
  <c r="AW8" i="4" s="1"/>
  <c r="AP9" i="4"/>
  <c r="AR9" i="4" s="1"/>
  <c r="AQ9" i="4"/>
  <c r="AS9" i="4" s="1"/>
  <c r="AT9" i="4"/>
  <c r="AV9" i="4" s="1"/>
  <c r="AU9" i="4"/>
  <c r="AW9" i="4" s="1"/>
  <c r="AP10" i="4"/>
  <c r="AR10" i="4" s="1"/>
  <c r="AQ10" i="4"/>
  <c r="AS10" i="4" s="1"/>
  <c r="AT10" i="4"/>
  <c r="AV10" i="4" s="1"/>
  <c r="AU10" i="4"/>
  <c r="AW10" i="4" s="1"/>
  <c r="AP11" i="4"/>
  <c r="AR11" i="4" s="1"/>
  <c r="AQ11" i="4"/>
  <c r="AS11" i="4" s="1"/>
  <c r="AT11" i="4"/>
  <c r="AV11" i="4" s="1"/>
  <c r="AU11" i="4"/>
  <c r="AW11" i="4" s="1"/>
  <c r="AP12" i="4"/>
  <c r="AR12" i="4" s="1"/>
  <c r="AQ12" i="4"/>
  <c r="AS12" i="4" s="1"/>
  <c r="AT12" i="4"/>
  <c r="AV12" i="4" s="1"/>
  <c r="AU12" i="4"/>
  <c r="AW12" i="4" s="1"/>
  <c r="AP13" i="4"/>
  <c r="AR13" i="4" s="1"/>
  <c r="AQ13" i="4"/>
  <c r="AS13" i="4" s="1"/>
  <c r="AT13" i="4"/>
  <c r="AV13" i="4" s="1"/>
  <c r="AU13" i="4"/>
  <c r="AW13" i="4" s="1"/>
  <c r="AP14" i="4"/>
  <c r="AR14" i="4" s="1"/>
  <c r="AQ14" i="4"/>
  <c r="AS14" i="4" s="1"/>
  <c r="AT14" i="4"/>
  <c r="AV14" i="4" s="1"/>
  <c r="AU14" i="4"/>
  <c r="AW14" i="4" s="1"/>
  <c r="AP15" i="4"/>
  <c r="AR15" i="4" s="1"/>
  <c r="AQ15" i="4"/>
  <c r="AS15" i="4" s="1"/>
  <c r="AT15" i="4"/>
  <c r="AV15" i="4" s="1"/>
  <c r="AU15" i="4"/>
  <c r="AW15" i="4" s="1"/>
  <c r="AP16" i="4"/>
  <c r="AR16" i="4" s="1"/>
  <c r="AQ16" i="4"/>
  <c r="AS16" i="4" s="1"/>
  <c r="AT16" i="4"/>
  <c r="AV16" i="4" s="1"/>
  <c r="AU16" i="4"/>
  <c r="AW16" i="4" s="1"/>
  <c r="AP17" i="4"/>
  <c r="AR17" i="4" s="1"/>
  <c r="AQ17" i="4"/>
  <c r="AS17" i="4" s="1"/>
  <c r="AT17" i="4"/>
  <c r="AV17" i="4" s="1"/>
  <c r="AU17" i="4"/>
  <c r="AW17" i="4" s="1"/>
  <c r="AP18" i="4"/>
  <c r="AR18" i="4" s="1"/>
  <c r="AQ18" i="4"/>
  <c r="AS18" i="4" s="1"/>
  <c r="AT18" i="4"/>
  <c r="AV18" i="4" s="1"/>
  <c r="AU18" i="4"/>
  <c r="AW18" i="4" s="1"/>
  <c r="AP19" i="4"/>
  <c r="AR19" i="4" s="1"/>
  <c r="AQ19" i="4"/>
  <c r="AS19" i="4" s="1"/>
  <c r="AT19" i="4"/>
  <c r="AV19" i="4" s="1"/>
  <c r="AU19" i="4"/>
  <c r="AW19" i="4" s="1"/>
  <c r="AP20" i="4"/>
  <c r="AR20" i="4" s="1"/>
  <c r="AQ20" i="4"/>
  <c r="AS20" i="4" s="1"/>
  <c r="AT20" i="4"/>
  <c r="AV20" i="4" s="1"/>
  <c r="AU20" i="4"/>
  <c r="AW20" i="4" s="1"/>
  <c r="AP21" i="4"/>
  <c r="AR21" i="4" s="1"/>
  <c r="AQ21" i="4"/>
  <c r="AS21" i="4" s="1"/>
  <c r="AT21" i="4"/>
  <c r="AV21" i="4" s="1"/>
  <c r="AU21" i="4"/>
  <c r="AW21" i="4" s="1"/>
  <c r="AP22" i="4"/>
  <c r="AR22" i="4" s="1"/>
  <c r="AQ22" i="4"/>
  <c r="AS22" i="4" s="1"/>
  <c r="AT22" i="4"/>
  <c r="AV22" i="4" s="1"/>
  <c r="AU22" i="4"/>
  <c r="AW22" i="4" s="1"/>
  <c r="AP23" i="4"/>
  <c r="AR23" i="4" s="1"/>
  <c r="AQ23" i="4"/>
  <c r="AS23" i="4" s="1"/>
  <c r="AT23" i="4"/>
  <c r="AV23" i="4" s="1"/>
  <c r="AU23" i="4"/>
  <c r="AW23" i="4" s="1"/>
  <c r="AP24" i="4"/>
  <c r="AR24" i="4" s="1"/>
  <c r="AQ24" i="4"/>
  <c r="AS24" i="4" s="1"/>
  <c r="AT24" i="4"/>
  <c r="AV24" i="4" s="1"/>
  <c r="AU24" i="4"/>
  <c r="AW24" i="4" s="1"/>
  <c r="AP25" i="4"/>
  <c r="AR25" i="4" s="1"/>
  <c r="AQ25" i="4"/>
  <c r="AS25" i="4" s="1"/>
  <c r="AT25" i="4"/>
  <c r="AV25" i="4" s="1"/>
  <c r="AU25" i="4"/>
  <c r="AW25" i="4" s="1"/>
  <c r="AP26" i="4"/>
  <c r="AR26" i="4" s="1"/>
  <c r="AQ26" i="4"/>
  <c r="AS26" i="4" s="1"/>
  <c r="AT26" i="4"/>
  <c r="AV26" i="4" s="1"/>
  <c r="AU26" i="4"/>
  <c r="AW26" i="4" s="1"/>
  <c r="AP27" i="4"/>
  <c r="AR27" i="4" s="1"/>
  <c r="AQ27" i="4"/>
  <c r="AS27" i="4" s="1"/>
  <c r="AT27" i="4"/>
  <c r="AV27" i="4" s="1"/>
  <c r="AU27" i="4"/>
  <c r="AW27" i="4" s="1"/>
  <c r="AP28" i="4"/>
  <c r="AR28" i="4" s="1"/>
  <c r="AQ28" i="4"/>
  <c r="AS28" i="4" s="1"/>
  <c r="AT28" i="4"/>
  <c r="AV28" i="4" s="1"/>
  <c r="AU28" i="4"/>
  <c r="AW28" i="4" s="1"/>
  <c r="AP29" i="4"/>
  <c r="AR29" i="4" s="1"/>
  <c r="AQ29" i="4"/>
  <c r="AS29" i="4" s="1"/>
  <c r="AT29" i="4"/>
  <c r="AV29" i="4" s="1"/>
  <c r="AU29" i="4"/>
  <c r="AW29" i="4" s="1"/>
  <c r="AP30" i="4"/>
  <c r="AR30" i="4" s="1"/>
  <c r="AQ30" i="4"/>
  <c r="AS30" i="4" s="1"/>
  <c r="AT30" i="4"/>
  <c r="AV30" i="4" s="1"/>
  <c r="AU30" i="4"/>
  <c r="AW30" i="4" s="1"/>
  <c r="AP31" i="4"/>
  <c r="AR31" i="4" s="1"/>
  <c r="AQ31" i="4"/>
  <c r="AS31" i="4" s="1"/>
  <c r="AT31" i="4"/>
  <c r="AV31" i="4" s="1"/>
  <c r="AU31" i="4"/>
  <c r="AW31" i="4" s="1"/>
  <c r="AP32" i="4"/>
  <c r="AR32" i="4" s="1"/>
  <c r="AQ32" i="4"/>
  <c r="AS32" i="4" s="1"/>
  <c r="AT32" i="4"/>
  <c r="AV32" i="4" s="1"/>
  <c r="AU32" i="4"/>
  <c r="AW32" i="4" s="1"/>
  <c r="AP33" i="4"/>
  <c r="AR33" i="4" s="1"/>
  <c r="AQ33" i="4"/>
  <c r="AS33" i="4" s="1"/>
  <c r="AT33" i="4"/>
  <c r="AV33" i="4" s="1"/>
  <c r="AU33" i="4"/>
  <c r="AW33" i="4" s="1"/>
  <c r="AP34" i="4"/>
  <c r="AR34" i="4" s="1"/>
  <c r="AQ34" i="4"/>
  <c r="AS34" i="4" s="1"/>
  <c r="AT34" i="4"/>
  <c r="AV34" i="4" s="1"/>
  <c r="AU34" i="4"/>
  <c r="AW34" i="4" s="1"/>
  <c r="AP35" i="4"/>
  <c r="AR35" i="4" s="1"/>
  <c r="AQ35" i="4"/>
  <c r="AS35" i="4" s="1"/>
  <c r="AT35" i="4"/>
  <c r="AV35" i="4" s="1"/>
  <c r="AU35" i="4"/>
  <c r="AW35" i="4" s="1"/>
  <c r="AP36" i="4"/>
  <c r="AR36" i="4" s="1"/>
  <c r="AQ36" i="4"/>
  <c r="AS36" i="4" s="1"/>
  <c r="AT36" i="4"/>
  <c r="AV36" i="4" s="1"/>
  <c r="AU36" i="4"/>
  <c r="AW36" i="4" s="1"/>
  <c r="AP37" i="4"/>
  <c r="AR37" i="4" s="1"/>
  <c r="AQ37" i="4"/>
  <c r="AS37" i="4" s="1"/>
  <c r="AT37" i="4"/>
  <c r="AV37" i="4" s="1"/>
  <c r="AU37" i="4"/>
  <c r="AW37" i="4" s="1"/>
  <c r="AP38" i="4"/>
  <c r="AR38" i="4" s="1"/>
  <c r="AQ38" i="4"/>
  <c r="AS38" i="4" s="1"/>
  <c r="AT38" i="4"/>
  <c r="AV38" i="4" s="1"/>
  <c r="AU38" i="4"/>
  <c r="AW38" i="4" s="1"/>
  <c r="AP39" i="4"/>
  <c r="AR39" i="4" s="1"/>
  <c r="AQ39" i="4"/>
  <c r="AS39" i="4" s="1"/>
  <c r="AT39" i="4"/>
  <c r="AV39" i="4" s="1"/>
  <c r="AU39" i="4"/>
  <c r="AW39" i="4" s="1"/>
  <c r="AP40" i="4"/>
  <c r="AR40" i="4" s="1"/>
  <c r="AQ40" i="4"/>
  <c r="AS40" i="4" s="1"/>
  <c r="AT40" i="4"/>
  <c r="AV40" i="4" s="1"/>
  <c r="AU40" i="4"/>
  <c r="AW40" i="4" s="1"/>
  <c r="AP41" i="4"/>
  <c r="AR41" i="4" s="1"/>
  <c r="AQ41" i="4"/>
  <c r="AS41" i="4" s="1"/>
  <c r="AT41" i="4"/>
  <c r="AV41" i="4" s="1"/>
  <c r="AU41" i="4"/>
  <c r="AW41" i="4" s="1"/>
  <c r="AP42" i="4"/>
  <c r="AR42" i="4" s="1"/>
  <c r="AQ42" i="4"/>
  <c r="AS42" i="4" s="1"/>
  <c r="AT42" i="4"/>
  <c r="AV42" i="4" s="1"/>
  <c r="AU42" i="4"/>
  <c r="AW42" i="4" s="1"/>
  <c r="AP43" i="4"/>
  <c r="AR43" i="4" s="1"/>
  <c r="AQ43" i="4"/>
  <c r="AS43" i="4" s="1"/>
  <c r="AT43" i="4"/>
  <c r="AV43" i="4" s="1"/>
  <c r="AU43" i="4"/>
  <c r="AW43" i="4" s="1"/>
  <c r="AP44" i="4"/>
  <c r="AR44" i="4" s="1"/>
  <c r="AQ44" i="4"/>
  <c r="AS44" i="4" s="1"/>
  <c r="AT44" i="4"/>
  <c r="AV44" i="4" s="1"/>
  <c r="AU44" i="4"/>
  <c r="AW44" i="4" s="1"/>
  <c r="AP45" i="4"/>
  <c r="AR45" i="4" s="1"/>
  <c r="AQ45" i="4"/>
  <c r="AS45" i="4" s="1"/>
  <c r="AT45" i="4"/>
  <c r="AV45" i="4" s="1"/>
  <c r="AU45" i="4"/>
  <c r="AW45" i="4" s="1"/>
  <c r="AP46" i="4"/>
  <c r="AR46" i="4" s="1"/>
  <c r="AQ46" i="4"/>
  <c r="AS46" i="4" s="1"/>
  <c r="AT46" i="4"/>
  <c r="AV46" i="4" s="1"/>
  <c r="AU46" i="4"/>
  <c r="AW46" i="4" s="1"/>
  <c r="AP47" i="4"/>
  <c r="AR47" i="4" s="1"/>
  <c r="AQ47" i="4"/>
  <c r="AS47" i="4" s="1"/>
  <c r="AT47" i="4"/>
  <c r="AV47" i="4" s="1"/>
  <c r="AU47" i="4"/>
  <c r="AW47" i="4" s="1"/>
  <c r="AP48" i="4"/>
  <c r="AR48" i="4" s="1"/>
  <c r="AQ48" i="4"/>
  <c r="AS48" i="4" s="1"/>
  <c r="AT48" i="4"/>
  <c r="AV48" i="4" s="1"/>
  <c r="AU48" i="4"/>
  <c r="AW48" i="4" s="1"/>
  <c r="AP49" i="4"/>
  <c r="AR49" i="4" s="1"/>
  <c r="AQ49" i="4"/>
  <c r="AS49" i="4" s="1"/>
  <c r="AT49" i="4"/>
  <c r="AV49" i="4" s="1"/>
  <c r="AU49" i="4"/>
  <c r="AW49" i="4" s="1"/>
  <c r="AP50" i="4"/>
  <c r="AR50" i="4" s="1"/>
  <c r="AQ50" i="4"/>
  <c r="AS50" i="4" s="1"/>
  <c r="AT50" i="4"/>
  <c r="AV50" i="4" s="1"/>
  <c r="AU50" i="4"/>
  <c r="AW50" i="4" s="1"/>
  <c r="AP51" i="4"/>
  <c r="AR51" i="4" s="1"/>
  <c r="AQ51" i="4"/>
  <c r="AS51" i="4" s="1"/>
  <c r="AT51" i="4"/>
  <c r="AV51" i="4" s="1"/>
  <c r="AU51" i="4"/>
  <c r="AW51" i="4" s="1"/>
  <c r="AP52" i="4"/>
  <c r="AR52" i="4" s="1"/>
  <c r="AQ52" i="4"/>
  <c r="AS52" i="4" s="1"/>
  <c r="AT52" i="4"/>
  <c r="AV52" i="4" s="1"/>
  <c r="AU52" i="4"/>
  <c r="AW52" i="4" s="1"/>
  <c r="AP53" i="4"/>
  <c r="AR53" i="4" s="1"/>
  <c r="AQ53" i="4"/>
  <c r="AS53" i="4" s="1"/>
  <c r="AT53" i="4"/>
  <c r="AV53" i="4" s="1"/>
  <c r="AU53" i="4"/>
  <c r="AW53" i="4" s="1"/>
  <c r="AP54" i="4"/>
  <c r="AR54" i="4" s="1"/>
  <c r="AQ54" i="4"/>
  <c r="AS54" i="4" s="1"/>
  <c r="AT54" i="4"/>
  <c r="AV54" i="4" s="1"/>
  <c r="AU54" i="4"/>
  <c r="AW54" i="4" s="1"/>
  <c r="AP55" i="4"/>
  <c r="AR55" i="4" s="1"/>
  <c r="AQ55" i="4"/>
  <c r="AS55" i="4" s="1"/>
  <c r="AT55" i="4"/>
  <c r="AV55" i="4" s="1"/>
  <c r="AU55" i="4"/>
  <c r="AW55" i="4" s="1"/>
  <c r="AP56" i="4"/>
  <c r="AR56" i="4" s="1"/>
  <c r="AQ56" i="4"/>
  <c r="AS56" i="4" s="1"/>
  <c r="AT56" i="4"/>
  <c r="AV56" i="4" s="1"/>
  <c r="AU56" i="4"/>
  <c r="AW56" i="4" s="1"/>
  <c r="AP57" i="4"/>
  <c r="AR57" i="4" s="1"/>
  <c r="AQ57" i="4"/>
  <c r="AS57" i="4" s="1"/>
  <c r="AT57" i="4"/>
  <c r="AV57" i="4" s="1"/>
  <c r="AU57" i="4"/>
  <c r="AW57" i="4" s="1"/>
  <c r="AP58" i="4"/>
  <c r="AR58" i="4" s="1"/>
  <c r="AQ58" i="4"/>
  <c r="AS58" i="4" s="1"/>
  <c r="AT58" i="4"/>
  <c r="AV58" i="4" s="1"/>
  <c r="AU58" i="4"/>
  <c r="AW58" i="4" s="1"/>
  <c r="AP59" i="4"/>
  <c r="AR59" i="4" s="1"/>
  <c r="AQ59" i="4"/>
  <c r="AS59" i="4" s="1"/>
  <c r="AT59" i="4"/>
  <c r="AV59" i="4" s="1"/>
  <c r="AU59" i="4"/>
  <c r="AW59" i="4" s="1"/>
  <c r="AP60" i="4"/>
  <c r="AR60" i="4" s="1"/>
  <c r="AQ60" i="4"/>
  <c r="AS60" i="4" s="1"/>
  <c r="AT60" i="4"/>
  <c r="AV60" i="4" s="1"/>
  <c r="AU60" i="4"/>
  <c r="AW60" i="4" s="1"/>
  <c r="T117" i="32" l="1"/>
  <c r="T120" i="32" s="1"/>
  <c r="T117" i="37"/>
  <c r="T120" i="37" s="1"/>
  <c r="T100" i="34"/>
  <c r="G120" i="35"/>
  <c r="T117" i="35"/>
  <c r="T120" i="35" s="1"/>
  <c r="T120" i="31"/>
  <c r="T117" i="34"/>
  <c r="T120" i="34" s="1"/>
  <c r="T108" i="34"/>
  <c r="T117" i="33"/>
  <c r="T120" i="33" s="1"/>
  <c r="AH4" i="4" l="1"/>
  <c r="AH7" i="4"/>
  <c r="AH11" i="4"/>
  <c r="AH15" i="4"/>
  <c r="AH19" i="4"/>
  <c r="AH23" i="4"/>
  <c r="AH27" i="4"/>
  <c r="AH31" i="4"/>
  <c r="AH35" i="4"/>
  <c r="AH39" i="4"/>
  <c r="AH43" i="4"/>
  <c r="AH47" i="4"/>
  <c r="AH51" i="4"/>
  <c r="AH55" i="4"/>
  <c r="AH59" i="4"/>
  <c r="AH3" i="4"/>
  <c r="AH5" i="4"/>
  <c r="AH6" i="4"/>
  <c r="AH8" i="4"/>
  <c r="AH9" i="4"/>
  <c r="AH10" i="4"/>
  <c r="AH12" i="4"/>
  <c r="AH13" i="4"/>
  <c r="AH14" i="4"/>
  <c r="AH16" i="4"/>
  <c r="AH17" i="4"/>
  <c r="AH18" i="4"/>
  <c r="AH20" i="4"/>
  <c r="AH21" i="4"/>
  <c r="AH22" i="4"/>
  <c r="AH24" i="4"/>
  <c r="AH25" i="4"/>
  <c r="AH26" i="4"/>
  <c r="AH28" i="4"/>
  <c r="AH29" i="4"/>
  <c r="AH30" i="4"/>
  <c r="AH32" i="4"/>
  <c r="AH33" i="4"/>
  <c r="AH34" i="4"/>
  <c r="AH36" i="4"/>
  <c r="AH37" i="4"/>
  <c r="AH38" i="4"/>
  <c r="AH40" i="4"/>
  <c r="AH41" i="4"/>
  <c r="AH42" i="4"/>
  <c r="AH44" i="4"/>
  <c r="AH45" i="4"/>
  <c r="AH46" i="4"/>
  <c r="AH48" i="4"/>
  <c r="AH49" i="4"/>
  <c r="AH50" i="4"/>
  <c r="AH52" i="4"/>
  <c r="AH53" i="4"/>
  <c r="AH54" i="4"/>
  <c r="AH56" i="4"/>
  <c r="AH57" i="4"/>
  <c r="AH58" i="4"/>
  <c r="AH60" i="4"/>
  <c r="D7" i="2" l="1"/>
  <c r="D16" i="2" s="1"/>
  <c r="Q7" i="2"/>
  <c r="M7" i="2"/>
  <c r="J7" i="2"/>
  <c r="C7" i="2"/>
  <c r="C16" i="2" s="1"/>
  <c r="O93" i="4"/>
  <c r="O94" i="4" s="1"/>
  <c r="N93" i="4"/>
  <c r="N94" i="4" s="1"/>
  <c r="M93" i="4"/>
  <c r="M94" i="4" s="1"/>
  <c r="H93" i="4"/>
  <c r="G93" i="4"/>
  <c r="J92" i="4"/>
  <c r="J94" i="4" s="1"/>
  <c r="D92" i="4"/>
  <c r="R91" i="4"/>
  <c r="R94" i="4" s="1"/>
  <c r="Q91" i="4"/>
  <c r="Q94" i="4" s="1"/>
  <c r="P91" i="4"/>
  <c r="P94" i="4" s="1"/>
  <c r="L91" i="4"/>
  <c r="L94" i="4" s="1"/>
  <c r="K91" i="4"/>
  <c r="K94" i="4" s="1"/>
  <c r="I91" i="4"/>
  <c r="I94" i="4" s="1"/>
  <c r="H91" i="4"/>
  <c r="G91" i="4"/>
  <c r="F91" i="4"/>
  <c r="F94" i="4" s="1"/>
  <c r="E91" i="4"/>
  <c r="E94" i="4" s="1"/>
  <c r="D93" i="4"/>
  <c r="D91" i="4"/>
  <c r="O74" i="4"/>
  <c r="O75" i="4" s="1"/>
  <c r="N74" i="4"/>
  <c r="N75" i="4" s="1"/>
  <c r="M74" i="4"/>
  <c r="H74" i="4"/>
  <c r="G74" i="4"/>
  <c r="D74" i="4"/>
  <c r="J73" i="4"/>
  <c r="D73" i="4"/>
  <c r="R72" i="4"/>
  <c r="R75" i="4" s="1"/>
  <c r="Q72" i="4"/>
  <c r="P72" i="4"/>
  <c r="P75" i="4" s="1"/>
  <c r="L72" i="4"/>
  <c r="L75" i="4" s="1"/>
  <c r="K72" i="4"/>
  <c r="K75" i="4" s="1"/>
  <c r="I72" i="4"/>
  <c r="H72" i="4"/>
  <c r="G72" i="4"/>
  <c r="F72" i="4"/>
  <c r="E72" i="4"/>
  <c r="D72" i="4"/>
  <c r="E15" i="6"/>
  <c r="E14" i="6"/>
  <c r="E13" i="6"/>
  <c r="E12" i="6"/>
  <c r="E11" i="6"/>
  <c r="E10" i="6"/>
  <c r="E9" i="6"/>
  <c r="E8" i="6"/>
  <c r="E7" i="6"/>
  <c r="E6" i="6"/>
  <c r="E5" i="6"/>
  <c r="E4" i="6"/>
  <c r="J4" i="3"/>
  <c r="J12" i="3" s="1"/>
  <c r="I4" i="3"/>
  <c r="I12" i="3" s="1"/>
  <c r="G4" i="3"/>
  <c r="E4" i="3"/>
  <c r="R113" i="4"/>
  <c r="Q113" i="4"/>
  <c r="P113" i="4"/>
  <c r="L113" i="4"/>
  <c r="K113" i="4"/>
  <c r="J113" i="4"/>
  <c r="I113" i="4"/>
  <c r="F113" i="4"/>
  <c r="E113" i="4"/>
  <c r="R112" i="4"/>
  <c r="Q112" i="4"/>
  <c r="P112" i="4"/>
  <c r="O112" i="4"/>
  <c r="N112" i="4"/>
  <c r="M112" i="4"/>
  <c r="L112" i="4"/>
  <c r="K112" i="4"/>
  <c r="I112" i="4"/>
  <c r="H112" i="4"/>
  <c r="G112" i="4"/>
  <c r="F112" i="4"/>
  <c r="E112" i="4"/>
  <c r="O111" i="4"/>
  <c r="N111" i="4"/>
  <c r="M111" i="4"/>
  <c r="J111" i="4"/>
  <c r="R107" i="4"/>
  <c r="Q107" i="4"/>
  <c r="P107" i="4"/>
  <c r="L107" i="4"/>
  <c r="K107" i="4"/>
  <c r="J107" i="4"/>
  <c r="I107" i="4"/>
  <c r="F107" i="4"/>
  <c r="E107" i="4"/>
  <c r="R106" i="4"/>
  <c r="Q106" i="4"/>
  <c r="P106" i="4"/>
  <c r="O106" i="4"/>
  <c r="N106" i="4"/>
  <c r="M106" i="4"/>
  <c r="L106" i="4"/>
  <c r="K106" i="4"/>
  <c r="I106" i="4"/>
  <c r="H106" i="4"/>
  <c r="G106" i="4"/>
  <c r="F106" i="4"/>
  <c r="E106" i="4"/>
  <c r="O105" i="4"/>
  <c r="N105" i="4"/>
  <c r="M105" i="4"/>
  <c r="J105" i="4"/>
  <c r="R99" i="4"/>
  <c r="Q99" i="4"/>
  <c r="P99" i="4"/>
  <c r="L99" i="4"/>
  <c r="K99" i="4"/>
  <c r="J99" i="4"/>
  <c r="I99" i="4"/>
  <c r="F99" i="4"/>
  <c r="E99" i="4"/>
  <c r="R98" i="4"/>
  <c r="Q98" i="4"/>
  <c r="P98" i="4"/>
  <c r="O98" i="4"/>
  <c r="N98" i="4"/>
  <c r="M98" i="4"/>
  <c r="L98" i="4"/>
  <c r="K98" i="4"/>
  <c r="I98" i="4"/>
  <c r="H98" i="4"/>
  <c r="G98" i="4"/>
  <c r="F98" i="4"/>
  <c r="E98" i="4"/>
  <c r="O97" i="4"/>
  <c r="N97" i="4"/>
  <c r="M97" i="4"/>
  <c r="J97" i="4"/>
  <c r="O87" i="4"/>
  <c r="O88" i="4" s="1"/>
  <c r="N87" i="4"/>
  <c r="M87" i="4"/>
  <c r="H87" i="4"/>
  <c r="G87" i="4"/>
  <c r="D87" i="4"/>
  <c r="J86" i="4"/>
  <c r="J88" i="4" s="1"/>
  <c r="D86" i="4"/>
  <c r="R85" i="4"/>
  <c r="R88" i="4" s="1"/>
  <c r="Q85" i="4"/>
  <c r="P85" i="4"/>
  <c r="P88" i="4" s="1"/>
  <c r="L85" i="4"/>
  <c r="K85" i="4"/>
  <c r="I85" i="4"/>
  <c r="H85" i="4"/>
  <c r="G85" i="4"/>
  <c r="F85" i="4"/>
  <c r="F88" i="4" s="1"/>
  <c r="E85" i="4"/>
  <c r="D85" i="4"/>
  <c r="R80" i="4"/>
  <c r="Q80" i="4"/>
  <c r="P80" i="4"/>
  <c r="L80" i="4"/>
  <c r="K80" i="4"/>
  <c r="J80" i="4"/>
  <c r="I80" i="4"/>
  <c r="F80" i="4"/>
  <c r="E80" i="4"/>
  <c r="R79" i="4"/>
  <c r="Q79" i="4"/>
  <c r="P79" i="4"/>
  <c r="O79" i="4"/>
  <c r="N79" i="4"/>
  <c r="M79" i="4"/>
  <c r="L79" i="4"/>
  <c r="K79" i="4"/>
  <c r="I79" i="4"/>
  <c r="H79" i="4"/>
  <c r="G79" i="4"/>
  <c r="F79" i="4"/>
  <c r="E79" i="4"/>
  <c r="O78" i="4"/>
  <c r="N78" i="4"/>
  <c r="M78" i="4"/>
  <c r="J78" i="4"/>
  <c r="O68" i="4"/>
  <c r="O69" i="4" s="1"/>
  <c r="N68" i="4"/>
  <c r="N69" i="4" s="1"/>
  <c r="M68" i="4"/>
  <c r="H68" i="4"/>
  <c r="G68" i="4"/>
  <c r="D68" i="4"/>
  <c r="J67" i="4"/>
  <c r="D67" i="4"/>
  <c r="R66" i="4"/>
  <c r="Q66" i="4"/>
  <c r="P66" i="4"/>
  <c r="L66" i="4"/>
  <c r="K66" i="4"/>
  <c r="K69" i="4" s="1"/>
  <c r="I66" i="4"/>
  <c r="H66" i="4"/>
  <c r="G66" i="4"/>
  <c r="F66" i="4"/>
  <c r="E66" i="4"/>
  <c r="D66" i="4"/>
  <c r="Q90" i="4"/>
  <c r="P71" i="4"/>
  <c r="O104" i="4"/>
  <c r="M84" i="4"/>
  <c r="K116" i="4"/>
  <c r="I110" i="4"/>
  <c r="H84" i="4"/>
  <c r="G116" i="4"/>
  <c r="AO12" i="3"/>
  <c r="AB12" i="3"/>
  <c r="AB13" i="3" s="1"/>
  <c r="K11" i="3"/>
  <c r="G11" i="3"/>
  <c r="E10" i="3"/>
  <c r="AA10" i="3"/>
  <c r="Y10" i="3"/>
  <c r="Q10" i="3"/>
  <c r="D10" i="3"/>
  <c r="AA9" i="3"/>
  <c r="Y9" i="3"/>
  <c r="W9" i="3"/>
  <c r="Q9" i="3"/>
  <c r="D9" i="3"/>
  <c r="AA8" i="3"/>
  <c r="Y8" i="3"/>
  <c r="W8" i="3"/>
  <c r="Q8" i="3"/>
  <c r="D8" i="3"/>
  <c r="E7" i="3"/>
  <c r="Q7" i="3"/>
  <c r="Y7" i="3"/>
  <c r="AA6" i="3"/>
  <c r="Y6" i="3"/>
  <c r="W6" i="3"/>
  <c r="Q6" i="3"/>
  <c r="D6" i="3"/>
  <c r="AA5" i="3"/>
  <c r="Q5" i="3"/>
  <c r="D5" i="3"/>
  <c r="X16" i="2"/>
  <c r="B16" i="2"/>
  <c r="Z4" i="3" l="1"/>
  <c r="Z12" i="3" s="1"/>
  <c r="Y5" i="3"/>
  <c r="E5" i="3"/>
  <c r="E12" i="3" s="1"/>
  <c r="E8" i="3"/>
  <c r="H8" i="3" s="1"/>
  <c r="K8" i="3" s="1"/>
  <c r="H5" i="3"/>
  <c r="K5" i="3" s="1"/>
  <c r="W5" i="3"/>
  <c r="E9" i="3"/>
  <c r="T9" i="3" s="1"/>
  <c r="E6" i="3"/>
  <c r="T6" i="3" s="1"/>
  <c r="H10" i="3"/>
  <c r="K10" i="3" s="1"/>
  <c r="W10" i="3"/>
  <c r="T7" i="2"/>
  <c r="T16" i="2" s="1"/>
  <c r="N99" i="4"/>
  <c r="U7" i="2"/>
  <c r="U16" i="2" s="1"/>
  <c r="D79" i="4"/>
  <c r="P78" i="4"/>
  <c r="G118" i="4"/>
  <c r="L118" i="4"/>
  <c r="P118" i="4"/>
  <c r="L119" i="4"/>
  <c r="O117" i="4"/>
  <c r="H118" i="4"/>
  <c r="M118" i="4"/>
  <c r="Q118" i="4"/>
  <c r="I119" i="4"/>
  <c r="P119" i="4"/>
  <c r="D98" i="4"/>
  <c r="D97" i="4"/>
  <c r="K104" i="4"/>
  <c r="Q97" i="4"/>
  <c r="Q96" i="4"/>
  <c r="I97" i="4"/>
  <c r="S7" i="2"/>
  <c r="L97" i="4"/>
  <c r="G78" i="4"/>
  <c r="N107" i="4"/>
  <c r="N108" i="4" s="1"/>
  <c r="G75" i="4"/>
  <c r="O80" i="4"/>
  <c r="H99" i="4"/>
  <c r="R7" i="2"/>
  <c r="AN4" i="3"/>
  <c r="AN12" i="3" s="1"/>
  <c r="D113" i="4"/>
  <c r="J100" i="4"/>
  <c r="R100" i="4"/>
  <c r="P100" i="4"/>
  <c r="F100" i="4"/>
  <c r="E97" i="4"/>
  <c r="D99" i="4"/>
  <c r="L78" i="4"/>
  <c r="H78" i="4"/>
  <c r="D75" i="4"/>
  <c r="D4" i="3" s="1"/>
  <c r="AG4" i="3"/>
  <c r="AG12" i="3" s="1"/>
  <c r="G69" i="4"/>
  <c r="G81" i="4" s="1"/>
  <c r="O81" i="4"/>
  <c r="AH4" i="3"/>
  <c r="AH12" i="3" s="1"/>
  <c r="T74" i="4"/>
  <c r="M117" i="4"/>
  <c r="F118" i="4"/>
  <c r="K118" i="4"/>
  <c r="O118" i="4"/>
  <c r="K119" i="4"/>
  <c r="AE4" i="3"/>
  <c r="AE12" i="3" s="1"/>
  <c r="AI4" i="3"/>
  <c r="AI12" i="3" s="1"/>
  <c r="AM4" i="3"/>
  <c r="AM12" i="3" s="1"/>
  <c r="D69" i="4"/>
  <c r="N81" i="4"/>
  <c r="AC4" i="3"/>
  <c r="AC12" i="3" s="1"/>
  <c r="AC13" i="3" s="1"/>
  <c r="AK4" i="3"/>
  <c r="AK12" i="3" s="1"/>
  <c r="J117" i="4"/>
  <c r="I118" i="4"/>
  <c r="J119" i="4"/>
  <c r="Q119" i="4"/>
  <c r="AD4" i="3"/>
  <c r="AD12" i="3" s="1"/>
  <c r="AL4" i="3"/>
  <c r="AL12" i="3" s="1"/>
  <c r="D80" i="4"/>
  <c r="P69" i="4"/>
  <c r="P81" i="4" s="1"/>
  <c r="L69" i="4"/>
  <c r="L81" i="4" s="1"/>
  <c r="N80" i="4"/>
  <c r="AF4" i="3"/>
  <c r="AF12" i="3" s="1"/>
  <c r="AJ4" i="3"/>
  <c r="AJ12" i="3" s="1"/>
  <c r="G88" i="4"/>
  <c r="G111" i="4"/>
  <c r="L111" i="4"/>
  <c r="L114" i="4" s="1"/>
  <c r="O4" i="3" s="1"/>
  <c r="O12" i="3" s="1"/>
  <c r="D112" i="4"/>
  <c r="D94" i="4"/>
  <c r="H94" i="4"/>
  <c r="F111" i="4"/>
  <c r="F114" i="4" s="1"/>
  <c r="K111" i="4"/>
  <c r="K114" i="4" s="1"/>
  <c r="G113" i="4"/>
  <c r="O113" i="4"/>
  <c r="O114" i="4" s="1"/>
  <c r="G94" i="4"/>
  <c r="K105" i="4"/>
  <c r="R105" i="4"/>
  <c r="R108" i="4" s="1"/>
  <c r="M113" i="4"/>
  <c r="M114" i="4" s="1"/>
  <c r="L88" i="4"/>
  <c r="L100" i="4" s="1"/>
  <c r="F105" i="4"/>
  <c r="G107" i="4"/>
  <c r="O107" i="4"/>
  <c r="D111" i="4"/>
  <c r="H111" i="4"/>
  <c r="P111" i="4"/>
  <c r="P114" i="4" s="1"/>
  <c r="T86" i="4"/>
  <c r="N88" i="4"/>
  <c r="N100" i="4" s="1"/>
  <c r="T92" i="4"/>
  <c r="F97" i="4"/>
  <c r="G105" i="4"/>
  <c r="G117" i="4" s="1"/>
  <c r="L105" i="4"/>
  <c r="L117" i="4" s="1"/>
  <c r="R111" i="4"/>
  <c r="N113" i="4"/>
  <c r="N114" i="4" s="1"/>
  <c r="D105" i="4"/>
  <c r="H105" i="4"/>
  <c r="T93" i="4"/>
  <c r="J98" i="4"/>
  <c r="T98" i="4" s="1"/>
  <c r="D107" i="4"/>
  <c r="D119" i="4" s="1"/>
  <c r="L110" i="4"/>
  <c r="L96" i="4"/>
  <c r="L90" i="4"/>
  <c r="L116" i="4"/>
  <c r="L104" i="4"/>
  <c r="L84" i="4"/>
  <c r="E105" i="4"/>
  <c r="E78" i="4"/>
  <c r="E69" i="4"/>
  <c r="T66" i="4"/>
  <c r="Q105" i="4"/>
  <c r="Q78" i="4"/>
  <c r="Q69" i="4"/>
  <c r="L71" i="4"/>
  <c r="K81" i="4"/>
  <c r="H107" i="4"/>
  <c r="H80" i="4"/>
  <c r="H69" i="4"/>
  <c r="T68" i="4"/>
  <c r="J75" i="4"/>
  <c r="J112" i="4"/>
  <c r="J114" i="4" s="1"/>
  <c r="P4" i="3" s="1"/>
  <c r="P12" i="3" s="1"/>
  <c r="T73" i="4"/>
  <c r="H97" i="4"/>
  <c r="H88" i="4"/>
  <c r="H100" i="4" s="1"/>
  <c r="P97" i="4"/>
  <c r="P105" i="4"/>
  <c r="D88" i="4"/>
  <c r="D100" i="4" s="1"/>
  <c r="H110" i="4"/>
  <c r="H96" i="4"/>
  <c r="H90" i="4"/>
  <c r="H116" i="4"/>
  <c r="H104" i="4"/>
  <c r="P110" i="4"/>
  <c r="P96" i="4"/>
  <c r="P90" i="4"/>
  <c r="P116" i="4"/>
  <c r="P104" i="4"/>
  <c r="P84" i="4"/>
  <c r="I105" i="4"/>
  <c r="I78" i="4"/>
  <c r="I69" i="4"/>
  <c r="H113" i="4"/>
  <c r="H75" i="4"/>
  <c r="J106" i="4"/>
  <c r="T106" i="4" s="1"/>
  <c r="J69" i="4"/>
  <c r="J79" i="4"/>
  <c r="T79" i="4" s="1"/>
  <c r="T67" i="4"/>
  <c r="H71" i="4"/>
  <c r="E111" i="4"/>
  <c r="E75" i="4"/>
  <c r="T72" i="4"/>
  <c r="I111" i="4"/>
  <c r="I114" i="4" s="1"/>
  <c r="I75" i="4"/>
  <c r="Q111" i="4"/>
  <c r="Q114" i="4" s="1"/>
  <c r="Q75" i="4"/>
  <c r="E116" i="4"/>
  <c r="E104" i="4"/>
  <c r="I116" i="4"/>
  <c r="I104" i="4"/>
  <c r="M116" i="4"/>
  <c r="M104" i="4"/>
  <c r="Q116" i="4"/>
  <c r="Q104" i="4"/>
  <c r="M107" i="4"/>
  <c r="M119" i="4" s="1"/>
  <c r="M80" i="4"/>
  <c r="E71" i="4"/>
  <c r="I71" i="4"/>
  <c r="M71" i="4"/>
  <c r="Q71" i="4"/>
  <c r="D78" i="4"/>
  <c r="R78" i="4"/>
  <c r="I84" i="4"/>
  <c r="O84" i="4"/>
  <c r="M99" i="4"/>
  <c r="M88" i="4"/>
  <c r="M100" i="4" s="1"/>
  <c r="E90" i="4"/>
  <c r="E96" i="4"/>
  <c r="M110" i="4"/>
  <c r="F116" i="4"/>
  <c r="F104" i="4"/>
  <c r="F110" i="4"/>
  <c r="F96" i="4"/>
  <c r="F90" i="4"/>
  <c r="F84" i="4"/>
  <c r="J116" i="4"/>
  <c r="J104" i="4"/>
  <c r="J110" i="4"/>
  <c r="J96" i="4"/>
  <c r="J90" i="4"/>
  <c r="J84" i="4"/>
  <c r="N116" i="4"/>
  <c r="N104" i="4"/>
  <c r="N110" i="4"/>
  <c r="N96" i="4"/>
  <c r="N90" i="4"/>
  <c r="N84" i="4"/>
  <c r="R116" i="4"/>
  <c r="R104" i="4"/>
  <c r="R110" i="4"/>
  <c r="R96" i="4"/>
  <c r="R90" i="4"/>
  <c r="R84" i="4"/>
  <c r="M69" i="4"/>
  <c r="F71" i="4"/>
  <c r="J71" i="4"/>
  <c r="N71" i="4"/>
  <c r="R71" i="4"/>
  <c r="M75" i="4"/>
  <c r="G80" i="4"/>
  <c r="E84" i="4"/>
  <c r="K84" i="4"/>
  <c r="K88" i="4"/>
  <c r="K100" i="4" s="1"/>
  <c r="K97" i="4"/>
  <c r="I90" i="4"/>
  <c r="I96" i="4"/>
  <c r="R97" i="4"/>
  <c r="D106" i="4"/>
  <c r="F119" i="4"/>
  <c r="R119" i="4"/>
  <c r="Q110" i="4"/>
  <c r="G110" i="4"/>
  <c r="G96" i="4"/>
  <c r="G90" i="4"/>
  <c r="K110" i="4"/>
  <c r="K96" i="4"/>
  <c r="K90" i="4"/>
  <c r="O110" i="4"/>
  <c r="O96" i="4"/>
  <c r="O90" i="4"/>
  <c r="F69" i="4"/>
  <c r="R69" i="4"/>
  <c r="R81" i="4" s="1"/>
  <c r="G71" i="4"/>
  <c r="K71" i="4"/>
  <c r="O71" i="4"/>
  <c r="F75" i="4"/>
  <c r="F78" i="4"/>
  <c r="K78" i="4"/>
  <c r="G84" i="4"/>
  <c r="Q84" i="4"/>
  <c r="T87" i="4"/>
  <c r="O100" i="4"/>
  <c r="M90" i="4"/>
  <c r="M96" i="4"/>
  <c r="G104" i="4"/>
  <c r="N117" i="4"/>
  <c r="N118" i="4"/>
  <c r="R118" i="4"/>
  <c r="E110" i="4"/>
  <c r="O116" i="4"/>
  <c r="T85" i="4"/>
  <c r="E88" i="4"/>
  <c r="E100" i="4" s="1"/>
  <c r="I88" i="4"/>
  <c r="I100" i="4" s="1"/>
  <c r="Q88" i="4"/>
  <c r="Q100" i="4" s="1"/>
  <c r="T91" i="4"/>
  <c r="G97" i="4"/>
  <c r="G99" i="4"/>
  <c r="O99" i="4"/>
  <c r="E118" i="4"/>
  <c r="E119" i="4"/>
  <c r="G7" i="3"/>
  <c r="T7" i="3"/>
  <c r="S7" i="3"/>
  <c r="T10" i="3"/>
  <c r="S10" i="3"/>
  <c r="G10" i="3"/>
  <c r="R10" i="3" s="1"/>
  <c r="S5" i="3"/>
  <c r="T5" i="3"/>
  <c r="G8" i="3"/>
  <c r="R8" i="3" s="1"/>
  <c r="T8" i="3"/>
  <c r="G9" i="3"/>
  <c r="R9" i="3" s="1"/>
  <c r="S9" i="3"/>
  <c r="H9" i="3"/>
  <c r="K9" i="3" s="1"/>
  <c r="H6" i="3"/>
  <c r="K6" i="3" s="1"/>
  <c r="G6" i="3"/>
  <c r="R6" i="3" s="1"/>
  <c r="H7" i="3"/>
  <c r="K7" i="3" s="1"/>
  <c r="W7" i="3"/>
  <c r="AA7" i="3"/>
  <c r="F4" i="3"/>
  <c r="D7" i="3"/>
  <c r="Z7" i="2"/>
  <c r="M16" i="2"/>
  <c r="N7" i="2"/>
  <c r="V7" i="2"/>
  <c r="F7" i="2"/>
  <c r="G119" i="4" l="1"/>
  <c r="S6" i="3"/>
  <c r="S8" i="3"/>
  <c r="G5" i="3"/>
  <c r="R5" i="3" s="1"/>
  <c r="O119" i="4"/>
  <c r="U4" i="3"/>
  <c r="O108" i="4"/>
  <c r="O120" i="4" s="1"/>
  <c r="R4" i="3"/>
  <c r="O7" i="2"/>
  <c r="G7" i="2"/>
  <c r="L7" i="2"/>
  <c r="G100" i="4"/>
  <c r="F117" i="4"/>
  <c r="AD13" i="3"/>
  <c r="AE13" i="3" s="1"/>
  <c r="AF13" i="3" s="1"/>
  <c r="K117" i="4"/>
  <c r="D12" i="3"/>
  <c r="M81" i="4"/>
  <c r="X4" i="3" s="1"/>
  <c r="V4" i="3"/>
  <c r="R117" i="4"/>
  <c r="F81" i="4"/>
  <c r="N119" i="4"/>
  <c r="I81" i="4"/>
  <c r="D118" i="4"/>
  <c r="T80" i="4"/>
  <c r="G108" i="4"/>
  <c r="L108" i="4"/>
  <c r="L120" i="4" s="1"/>
  <c r="M4" i="3" s="1"/>
  <c r="M12" i="3" s="1"/>
  <c r="K108" i="4"/>
  <c r="K120" i="4" s="1"/>
  <c r="T78" i="4"/>
  <c r="G114" i="4"/>
  <c r="D81" i="4"/>
  <c r="C4" i="3" s="1"/>
  <c r="B4" i="3"/>
  <c r="E7" i="2" s="1"/>
  <c r="T113" i="4"/>
  <c r="H114" i="4"/>
  <c r="H117" i="4"/>
  <c r="D114" i="4"/>
  <c r="T97" i="4"/>
  <c r="F108" i="4"/>
  <c r="F120" i="4" s="1"/>
  <c r="D117" i="4"/>
  <c r="D108" i="4"/>
  <c r="T94" i="4"/>
  <c r="R114" i="4"/>
  <c r="R120" i="4" s="1"/>
  <c r="N120" i="4"/>
  <c r="T112" i="4"/>
  <c r="T107" i="4"/>
  <c r="J118" i="4"/>
  <c r="T118" i="4" s="1"/>
  <c r="J108" i="4"/>
  <c r="J120" i="4" s="1"/>
  <c r="T99" i="4"/>
  <c r="E114" i="4"/>
  <c r="T111" i="4"/>
  <c r="J81" i="4"/>
  <c r="I117" i="4"/>
  <c r="I108" i="4"/>
  <c r="I120" i="4" s="1"/>
  <c r="H81" i="4"/>
  <c r="T69" i="4"/>
  <c r="H119" i="4"/>
  <c r="H108" i="4"/>
  <c r="T75" i="4"/>
  <c r="P117" i="4"/>
  <c r="P108" i="4"/>
  <c r="P120" i="4" s="1"/>
  <c r="Q117" i="4"/>
  <c r="Q108" i="4"/>
  <c r="Q120" i="4" s="1"/>
  <c r="T105" i="4"/>
  <c r="E117" i="4"/>
  <c r="E108" i="4"/>
  <c r="E120" i="4" s="1"/>
  <c r="M108" i="4"/>
  <c r="M120" i="4" s="1"/>
  <c r="T88" i="4"/>
  <c r="Q81" i="4"/>
  <c r="E81" i="4"/>
  <c r="F12" i="3"/>
  <c r="R7" i="3"/>
  <c r="G12" i="3"/>
  <c r="F16" i="2"/>
  <c r="Z16" i="2"/>
  <c r="AA7" i="2"/>
  <c r="AA16" i="2" s="1"/>
  <c r="V16" i="2"/>
  <c r="Y7" i="2"/>
  <c r="Y16" i="2" s="1"/>
  <c r="W7" i="2"/>
  <c r="K7" i="2"/>
  <c r="C12" i="3" l="1"/>
  <c r="H7" i="2"/>
  <c r="I7" i="2" s="1"/>
  <c r="P7" i="2"/>
  <c r="T100" i="4"/>
  <c r="D120" i="4"/>
  <c r="T81" i="4"/>
  <c r="T114" i="4"/>
  <c r="Q4" i="3"/>
  <c r="Y4" i="3"/>
  <c r="Y12" i="3" s="1"/>
  <c r="X12" i="3"/>
  <c r="V12" i="3"/>
  <c r="W4" i="3"/>
  <c r="W12" i="3" s="1"/>
  <c r="G120" i="4"/>
  <c r="H120" i="4"/>
  <c r="N4" i="3"/>
  <c r="N12" i="3" s="1"/>
  <c r="T119" i="4"/>
  <c r="H4" i="3"/>
  <c r="B12" i="3"/>
  <c r="AF14" i="3" s="1"/>
  <c r="T4" i="3"/>
  <c r="S4" i="3"/>
  <c r="AA4" i="3"/>
  <c r="T117" i="4"/>
  <c r="T108" i="4"/>
  <c r="AG13" i="3"/>
  <c r="Q12" i="3"/>
  <c r="R12" i="3"/>
  <c r="AE14" i="3" l="1"/>
  <c r="T120" i="4"/>
  <c r="L4" i="3"/>
  <c r="L12" i="3" s="1"/>
  <c r="E17" i="3"/>
  <c r="AC14" i="3"/>
  <c r="AD14" i="3"/>
  <c r="AA12" i="3"/>
  <c r="S12" i="3"/>
  <c r="AB14" i="3"/>
  <c r="T12" i="3"/>
  <c r="K4" i="3"/>
  <c r="K12" i="3" s="1"/>
  <c r="H12" i="3"/>
  <c r="AG14" i="3"/>
  <c r="AH13" i="3"/>
  <c r="AH14" i="3" l="1"/>
  <c r="AI13" i="3"/>
  <c r="AI14" i="3" l="1"/>
  <c r="AJ13" i="3"/>
  <c r="AJ14" i="3" l="1"/>
  <c r="AK13" i="3"/>
  <c r="AK14" i="3" l="1"/>
  <c r="AL13" i="3"/>
  <c r="AL14" i="3" l="1"/>
  <c r="AM13" i="3"/>
  <c r="AM14" i="3" l="1"/>
  <c r="AN13" i="3"/>
  <c r="AN14" i="3" l="1"/>
  <c r="AO13" i="3"/>
  <c r="AO14" i="3" s="1"/>
</calcChain>
</file>

<file path=xl/sharedStrings.xml><?xml version="1.0" encoding="utf-8"?>
<sst xmlns="http://schemas.openxmlformats.org/spreadsheetml/2006/main" count="1824" uniqueCount="229">
  <si>
    <t>Budget comptable du portefeuille</t>
  </si>
  <si>
    <t>Appuis</t>
  </si>
  <si>
    <t>Budget Définitif</t>
  </si>
  <si>
    <t>Budget</t>
  </si>
  <si>
    <t>Nombre</t>
  </si>
  <si>
    <t>Budget exercice 
décalé</t>
  </si>
  <si>
    <t>en % du portefeuille
 total</t>
  </si>
  <si>
    <t>Dossiers</t>
  </si>
  <si>
    <t>Avancement décalés</t>
  </si>
  <si>
    <t>Budget 31/12</t>
  </si>
  <si>
    <t>en % du portefeuille</t>
  </si>
  <si>
    <t>Avancement 31/12</t>
  </si>
  <si>
    <t>BONI</t>
  </si>
  <si>
    <t>MALI</t>
  </si>
  <si>
    <t>Disponibilités</t>
  </si>
  <si>
    <t>Réalisés</t>
  </si>
  <si>
    <t>Disponibilités après appuis</t>
  </si>
  <si>
    <t>y compris dispo</t>
  </si>
  <si>
    <t>Sur ou sous réalisation</t>
  </si>
  <si>
    <t>Budget validé
 par DT début
 de campagne</t>
  </si>
  <si>
    <t>Montant lettre de mission</t>
  </si>
  <si>
    <t xml:space="preserve">Budget du comptable 
portefeuille </t>
  </si>
  <si>
    <t>Dossiers
total</t>
  </si>
  <si>
    <t xml:space="preserve">Montant </t>
  </si>
  <si>
    <t xml:space="preserve">% </t>
  </si>
  <si>
    <t>%</t>
  </si>
  <si>
    <t>Montant</t>
  </si>
  <si>
    <t>Tps 
restant
nécessaire</t>
  </si>
  <si>
    <t>Tps
restant
nécessaire</t>
  </si>
  <si>
    <t>Heures</t>
  </si>
  <si>
    <t>affectation pic</t>
  </si>
  <si>
    <t>Aurélie</t>
  </si>
  <si>
    <t>Total</t>
  </si>
  <si>
    <t>SIGNATURES</t>
  </si>
  <si>
    <t>Dossiers restant à produire</t>
  </si>
  <si>
    <t>Nombre de dossiers</t>
  </si>
  <si>
    <t>Réalisées</t>
  </si>
  <si>
    <t>Solde</t>
  </si>
  <si>
    <t>Base visa V5</t>
  </si>
  <si>
    <t>Nombre de dossier</t>
  </si>
  <si>
    <t>DECALES</t>
  </si>
  <si>
    <t xml:space="preserve">Avancement </t>
  </si>
  <si>
    <t>NOMBRE total</t>
  </si>
  <si>
    <t>NOMBRE de décalés</t>
  </si>
  <si>
    <t>NOMBRE de dossiers
31 12</t>
  </si>
  <si>
    <t>NOMBRE SIGNE CE JOUR</t>
  </si>
  <si>
    <t>NOMBRE de dossiers décalés</t>
  </si>
  <si>
    <t xml:space="preserve">Nombre de dossiers 31 12 </t>
  </si>
  <si>
    <t>RESTE A SIGNER</t>
  </si>
  <si>
    <t xml:space="preserve">Dossier en attente de visa
SM </t>
  </si>
  <si>
    <t xml:space="preserve">Dossier en attente de visa
FM </t>
  </si>
  <si>
    <t>Reste à signer en déduction des visas en attente dans la base</t>
  </si>
  <si>
    <t>SARL / SAS/
INDIV / ASSO /
EARL / SCEA / ETA</t>
  </si>
  <si>
    <t xml:space="preserve">SCI </t>
  </si>
  <si>
    <t>SARL / SAS/
INDIV / ASSO</t>
  </si>
  <si>
    <t>BNC
/
PROF LIB</t>
  </si>
  <si>
    <t>Avancement% décalés</t>
  </si>
  <si>
    <t>Avancement %
31/12/2019</t>
  </si>
  <si>
    <t>Avancement Total du Portefeuille</t>
  </si>
  <si>
    <t>Avancement y compris dossiers en attente base</t>
  </si>
  <si>
    <t>DELAI MOYEN
en jours
(à titre indicatif)</t>
  </si>
  <si>
    <t>NOMBRE PCR</t>
  </si>
  <si>
    <t>% PCR</t>
  </si>
  <si>
    <t>NOMBRE RA NOS</t>
  </si>
  <si>
    <t>% RA NOS</t>
  </si>
  <si>
    <t>REFUS</t>
  </si>
  <si>
    <t>% REFUS</t>
  </si>
  <si>
    <t>DOSSIERS SIGNES AVANT JUIN</t>
  </si>
  <si>
    <t>DOSSIERS SIGNES EN JUIN</t>
  </si>
  <si>
    <t>DOSSIERS SIGNES EN JUILLET</t>
  </si>
  <si>
    <t>DOSSIERS SIGNES EN AOUT</t>
  </si>
  <si>
    <t>DOSSIERS SIGNES EN SEPTEMBRE</t>
  </si>
  <si>
    <t>DOSSIERS SIGNES EN OCTOBRE</t>
  </si>
  <si>
    <t>DOSSIERS SIGNES EN NOVEMBRE</t>
  </si>
  <si>
    <t>DOSSIERS SIGNES EN DECEMBRE</t>
  </si>
  <si>
    <t>DOSSIERS SIGNES EN  JANVIER</t>
  </si>
  <si>
    <t>DOSSIERS SIGNES EN FEVRIER</t>
  </si>
  <si>
    <t>DOSSIERS SIGNES EN MARS</t>
  </si>
  <si>
    <t>DOSSIERS SIGNES EN AVRIL</t>
  </si>
  <si>
    <t>DOSSIERS SIGNES EN MAI</t>
  </si>
  <si>
    <t>Delphine</t>
  </si>
  <si>
    <t>Frédérique</t>
  </si>
  <si>
    <t>Sébastien</t>
  </si>
  <si>
    <t>Eric</t>
  </si>
  <si>
    <t>Guillaume</t>
  </si>
  <si>
    <t>Marie-Pierre</t>
  </si>
  <si>
    <t>TOTAL</t>
  </si>
  <si>
    <t>CUMUL</t>
  </si>
  <si>
    <t>% AVANCEMENT</t>
  </si>
  <si>
    <t>N° DOSSIER</t>
  </si>
  <si>
    <t>NOM DOSSIER</t>
  </si>
  <si>
    <t>TYPE DE MARCHE</t>
  </si>
  <si>
    <t>DATE DE CLOTURE</t>
  </si>
  <si>
    <t>REGIME JURIDIQUE</t>
  </si>
  <si>
    <t>REGIME IMPOSITION</t>
  </si>
  <si>
    <t>DATE
DE DEPOT</t>
  </si>
  <si>
    <t>DATE SIGNATURE</t>
  </si>
  <si>
    <t>MOIS</t>
  </si>
  <si>
    <t>DELAI</t>
  </si>
  <si>
    <t>PCR</t>
  </si>
  <si>
    <t>RA NOS</t>
  </si>
  <si>
    <t xml:space="preserve">QUI </t>
  </si>
  <si>
    <t>CR</t>
  </si>
  <si>
    <t>CR FAIT PAR LE COMPTABLE</t>
  </si>
  <si>
    <t>Prénom
AAC</t>
  </si>
  <si>
    <t>GRILLE ENJEUX</t>
  </si>
  <si>
    <t>Visa
Validé
enjeu 4 ou attestation enjeu</t>
  </si>
  <si>
    <t>VISA VCOMPTA</t>
  </si>
  <si>
    <t>MOTIF</t>
  </si>
  <si>
    <t>ACS</t>
  </si>
  <si>
    <t>SNC</t>
  </si>
  <si>
    <t>IR</t>
  </si>
  <si>
    <t>SARL</t>
  </si>
  <si>
    <t>COMPTABLE</t>
  </si>
  <si>
    <t>IS</t>
  </si>
  <si>
    <t>EURL</t>
  </si>
  <si>
    <t>INDIVIDUEL</t>
  </si>
  <si>
    <t>CONSEILLER</t>
  </si>
  <si>
    <t>SAS</t>
  </si>
  <si>
    <t>SCI</t>
  </si>
  <si>
    <t>PORTEFEUILLE</t>
  </si>
  <si>
    <t>BNC</t>
  </si>
  <si>
    <t>AGRI</t>
  </si>
  <si>
    <t>TOTAL DOSSIERS</t>
  </si>
  <si>
    <t>Association</t>
  </si>
  <si>
    <t>PROFESSION LIBERALE</t>
  </si>
  <si>
    <t>EARL</t>
  </si>
  <si>
    <t>ETA</t>
  </si>
  <si>
    <t>SCEA</t>
  </si>
  <si>
    <t>GROUPEMENT</t>
  </si>
  <si>
    <t>EIRL</t>
  </si>
  <si>
    <t>AUTRE</t>
  </si>
  <si>
    <t>dossiers déposés</t>
  </si>
  <si>
    <t>Reste à produire</t>
  </si>
  <si>
    <t>Données</t>
  </si>
  <si>
    <t>Année de campagne</t>
  </si>
  <si>
    <t>ASSOCIATION</t>
  </si>
  <si>
    <t>AUTRES</t>
  </si>
  <si>
    <t>DELPHINE</t>
  </si>
  <si>
    <t>FREDERIQUE</t>
  </si>
  <si>
    <t>SEBASTIEN</t>
  </si>
  <si>
    <t>ERIC</t>
  </si>
  <si>
    <t>GUILLAUME</t>
  </si>
  <si>
    <t>AURELIE T</t>
  </si>
  <si>
    <t>MARIE PIERRE</t>
  </si>
  <si>
    <t>AG
SIGNEE</t>
  </si>
  <si>
    <t>COMMENTAIRES</t>
  </si>
  <si>
    <t>Attestation
à faire signer par l'EC</t>
  </si>
  <si>
    <t>AAC</t>
  </si>
  <si>
    <t>AURELIE S</t>
  </si>
  <si>
    <t>PRENOM CONSEILLER</t>
  </si>
  <si>
    <t>THOMAS B</t>
  </si>
  <si>
    <t>KARINE V</t>
  </si>
  <si>
    <t>SYLVIE B</t>
  </si>
  <si>
    <t>OLIVIER F</t>
  </si>
  <si>
    <t>DIAN D</t>
  </si>
  <si>
    <t>HENRI A</t>
  </si>
  <si>
    <t>PCR COMPTABLE €</t>
  </si>
  <si>
    <t>PCR CONSEILLER €</t>
  </si>
  <si>
    <t>RA FAIT PAR LE
COMPTABLE €</t>
  </si>
  <si>
    <t>RA FAITE PAR LE CONSEILLER €</t>
  </si>
  <si>
    <t>POINT DE PILOTAGE €</t>
  </si>
  <si>
    <t>SAISIE PAR UNE AAC €</t>
  </si>
  <si>
    <t>SAISIE PAR LE COMPTABLE €</t>
  </si>
  <si>
    <t>TRAVAUX 
DE REVISION €</t>
  </si>
  <si>
    <t>DECLARATION TVA AAC €</t>
  </si>
  <si>
    <t>DECLARATION TVA COMPTABLE €</t>
  </si>
  <si>
    <t>MONTANT
RESPONSABLE RELATION CLIENT €</t>
  </si>
  <si>
    <t xml:space="preserve">TPS PASSE
COMPTABLE H
</t>
  </si>
  <si>
    <t>TPS PASSE 
AAC H</t>
  </si>
  <si>
    <t>BONI COMPTABLE</t>
  </si>
  <si>
    <t>MALI COMPTABLE</t>
  </si>
  <si>
    <t>BONI AAC</t>
  </si>
  <si>
    <t>MALI AAC</t>
  </si>
  <si>
    <t>Taux Horaire compta</t>
  </si>
  <si>
    <t>Taux Horaire AAC</t>
  </si>
  <si>
    <t>PRENOM DU COMPTABLE</t>
  </si>
  <si>
    <t>YANN L</t>
  </si>
  <si>
    <t>MONTANT TOTAL LETTRE DE MISION €</t>
  </si>
  <si>
    <t>ECART DE SAISE avec LETTRE DE MISSION €</t>
  </si>
  <si>
    <t>NBRE DOSSIER MALI AAC</t>
  </si>
  <si>
    <t>NOMBRE DOSSIER BONI AAC</t>
  </si>
  <si>
    <t>NOMBRE DOSSIER BONI COMPTABLE</t>
  </si>
  <si>
    <t>NOMBRE DE DOSSIER MALI COMPTABLE</t>
  </si>
  <si>
    <t>ABONNE COURT 
ABONNE LONG</t>
  </si>
  <si>
    <t>RECONDUCTION AUTOMATIQUE OS</t>
  </si>
  <si>
    <t>MISE EN PLACE SCAN BY CERFRANCE</t>
  </si>
  <si>
    <t>PRENOM PERSONNE AYANT DEPLOYEE SCAN BY CERFRANCE</t>
  </si>
  <si>
    <t>PICKING</t>
  </si>
  <si>
    <t>SCAN BY CERFRANCE</t>
  </si>
  <si>
    <t>SECRETAIRE</t>
  </si>
  <si>
    <t>MARIE M</t>
  </si>
  <si>
    <t>FABIENNE R</t>
  </si>
  <si>
    <t>LISTES</t>
  </si>
  <si>
    <t>SECRETAIRES AAC COMPTABLES</t>
  </si>
  <si>
    <t>Non car le client souhaite garder le scan</t>
  </si>
  <si>
    <t>Non – Cessation d’activité</t>
  </si>
  <si>
    <t>Non – Arrêt de travaux pour le moment</t>
  </si>
  <si>
    <t>essai1</t>
  </si>
  <si>
    <t>ABONNE COURT</t>
  </si>
  <si>
    <t>OUI</t>
  </si>
  <si>
    <t>Non car pour le moment pas disponible</t>
  </si>
  <si>
    <t>Non car dossier trop volumineux</t>
  </si>
  <si>
    <t>Non car le client fait la saisie sur place</t>
  </si>
  <si>
    <t>ESSAI3</t>
  </si>
  <si>
    <t>NON</t>
  </si>
  <si>
    <t>DECLARATION DE TVA</t>
  </si>
  <si>
    <t>PRENOM REALISATION TVA</t>
  </si>
  <si>
    <t>MENSUELLE</t>
  </si>
  <si>
    <t>X</t>
  </si>
  <si>
    <t>essai2</t>
  </si>
  <si>
    <t>AGOA COMPTABLE €</t>
  </si>
  <si>
    <t>AGOA CONSEILLER €</t>
  </si>
  <si>
    <t>VISA JURIDIQUE €</t>
  </si>
  <si>
    <t>Oui  ( CFC + SCAN BY CERFRANCE)</t>
  </si>
  <si>
    <t>N/C</t>
  </si>
  <si>
    <t>EDI</t>
  </si>
  <si>
    <t>Colonne1</t>
  </si>
  <si>
    <t>SUIVI RSA</t>
  </si>
  <si>
    <t>RSA EN DATE DU</t>
  </si>
  <si>
    <t>DIVERS</t>
  </si>
  <si>
    <t>Réponses</t>
  </si>
  <si>
    <t>A FAIRE</t>
  </si>
  <si>
    <t>A TERMINER</t>
  </si>
  <si>
    <t>N/A</t>
  </si>
  <si>
    <t>AURELIE_T</t>
  </si>
  <si>
    <t>MARIE_PIERRE</t>
  </si>
  <si>
    <t>AUTRE COMPTABLE</t>
  </si>
  <si>
    <t>FEDERIQUE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</si>
</sst>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* #,##0.00\ &quot;€&quot;_-;\-* #,##0.00\ &quot;€&quot;_-;_-* &quot;-&quot;??\ &quot;€&quot;_-;_-@_-"/>
    <numFmt numFmtId="164" formatCode="dd/mm/yy;@"/>
    <numFmt numFmtId="165" formatCode="000000"/>
    <numFmt numFmtId="166" formatCode="#,##0\ &quot;€&quot;"/>
    <numFmt numFmtId="167" formatCode="_-* #,##0\ &quot;€&quot;_-;\-* #,##0\ &quot;€&quot;_-;_-* &quot;-&quot;??\ &quot;€&quot;_-;_-@_-"/>
  </numFmts>
  <fonts count="1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u/>
      <sz val="14"/>
      <color indexed="8"/>
      <name val="Calibri"/>
      <family val="2"/>
    </font>
    <font>
      <b/>
      <sz val="14"/>
      <color indexed="8"/>
      <name val="Calibri"/>
      <family val="2"/>
    </font>
    <font>
      <b/>
      <sz val="11"/>
      <color indexed="8"/>
      <name val="Calibri"/>
      <family val="2"/>
    </font>
    <font>
      <sz val="10"/>
      <name val="Arial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1"/>
      <color indexed="10"/>
      <name val="Calibri"/>
      <family val="2"/>
    </font>
    <font>
      <sz val="10"/>
      <name val="Calibri"/>
      <family val="2"/>
    </font>
    <font>
      <sz val="10"/>
      <color indexed="8"/>
      <name val="MS Sans Serif"/>
      <family val="2"/>
    </font>
    <font>
      <sz val="11"/>
      <color indexed="10"/>
      <name val="Calibri"/>
      <family val="2"/>
    </font>
    <font>
      <sz val="10"/>
      <name val="Times New Roman"/>
      <family val="1"/>
    </font>
    <font>
      <sz val="11"/>
      <color theme="1"/>
      <name val="Calibri"/>
      <family val="2"/>
      <scheme val="minor"/>
    </font>
    <font>
      <sz val="30"/>
      <color theme="1"/>
      <name val="Calibri"/>
      <family val="2"/>
      <scheme val="minor"/>
    </font>
    <font>
      <sz val="24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indexed="3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45B5ED"/>
        <bgColor indexed="64"/>
      </patternFill>
    </fill>
    <fill>
      <patternFill patternType="solid">
        <fgColor rgb="FF3AF6F6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8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0" borderId="0"/>
    <xf numFmtId="0" fontId="5" fillId="0" borderId="0"/>
    <xf numFmtId="0" fontId="10" fillId="0" borderId="0"/>
    <xf numFmtId="0" fontId="5" fillId="0" borderId="0" applyNumberFormat="0" applyFont="0" applyFill="0" applyBorder="0" applyAlignment="0" applyProtection="0"/>
    <xf numFmtId="44" fontId="13" fillId="0" borderId="0" applyFont="0" applyFill="0" applyBorder="0" applyAlignment="0" applyProtection="0"/>
  </cellStyleXfs>
  <cellXfs count="282">
    <xf numFmtId="0" fontId="0" fillId="0" borderId="0" xfId="0"/>
    <xf numFmtId="0" fontId="0" fillId="3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6" borderId="4" xfId="0" applyFill="1" applyBorder="1" applyAlignment="1">
      <alignment horizontal="center" wrapText="1"/>
    </xf>
    <xf numFmtId="0" fontId="0" fillId="6" borderId="4" xfId="0" applyFill="1" applyBorder="1" applyAlignment="1">
      <alignment horizontal="center"/>
    </xf>
    <xf numFmtId="0" fontId="0" fillId="8" borderId="4" xfId="0" applyFill="1" applyBorder="1"/>
    <xf numFmtId="0" fontId="0" fillId="5" borderId="4" xfId="0" applyFill="1" applyBorder="1"/>
    <xf numFmtId="0" fontId="0" fillId="9" borderId="7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6" borderId="7" xfId="0" applyFill="1" applyBorder="1" applyAlignment="1">
      <alignment horizontal="center" wrapText="1"/>
    </xf>
    <xf numFmtId="0" fontId="0" fillId="6" borderId="7" xfId="0" applyFill="1" applyBorder="1" applyAlignment="1"/>
    <xf numFmtId="0" fontId="0" fillId="6" borderId="7" xfId="0" applyFill="1" applyBorder="1" applyAlignment="1">
      <alignment horizontal="center"/>
    </xf>
    <xf numFmtId="0" fontId="0" fillId="7" borderId="7" xfId="0" applyFill="1" applyBorder="1" applyAlignment="1">
      <alignment horizontal="center"/>
    </xf>
    <xf numFmtId="0" fontId="0" fillId="7" borderId="7" xfId="0" applyFill="1" applyBorder="1" applyAlignment="1">
      <alignment horizontal="center" wrapText="1"/>
    </xf>
    <xf numFmtId="0" fontId="0" fillId="6" borderId="5" xfId="0" applyFill="1" applyBorder="1" applyAlignment="1">
      <alignment horizontal="center"/>
    </xf>
    <xf numFmtId="0" fontId="0" fillId="7" borderId="5" xfId="0" applyFill="1" applyBorder="1" applyAlignment="1">
      <alignment horizontal="center"/>
    </xf>
    <xf numFmtId="0" fontId="0" fillId="7" borderId="5" xfId="0" applyFill="1" applyBorder="1" applyAlignment="1">
      <alignment horizontal="center" wrapText="1"/>
    </xf>
    <xf numFmtId="0" fontId="0" fillId="3" borderId="5" xfId="0" applyFill="1" applyBorder="1" applyAlignment="1">
      <alignment horizontal="center"/>
    </xf>
    <xf numFmtId="0" fontId="0" fillId="8" borderId="7" xfId="0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0" fillId="5" borderId="7" xfId="0" applyFill="1" applyBorder="1" applyAlignment="1">
      <alignment horizontal="center" vertical="center"/>
    </xf>
    <xf numFmtId="0" fontId="0" fillId="9" borderId="8" xfId="0" applyFill="1" applyBorder="1"/>
    <xf numFmtId="44" fontId="1" fillId="9" borderId="9" xfId="1" applyFont="1" applyFill="1" applyBorder="1"/>
    <xf numFmtId="44" fontId="1" fillId="2" borderId="9" xfId="1" applyFont="1" applyFill="1" applyBorder="1"/>
    <xf numFmtId="0" fontId="0" fillId="2" borderId="9" xfId="0" applyFill="1" applyBorder="1"/>
    <xf numFmtId="0" fontId="0" fillId="6" borderId="9" xfId="0" applyFill="1" applyBorder="1" applyAlignment="1">
      <alignment horizontal="center"/>
    </xf>
    <xf numFmtId="9" fontId="1" fillId="6" borderId="9" xfId="2" applyFont="1" applyFill="1" applyBorder="1" applyAlignment="1">
      <alignment horizontal="center"/>
    </xf>
    <xf numFmtId="0" fontId="1" fillId="6" borderId="9" xfId="2" applyNumberFormat="1" applyFont="1" applyFill="1" applyBorder="1" applyAlignment="1">
      <alignment horizontal="center"/>
    </xf>
    <xf numFmtId="44" fontId="1" fillId="7" borderId="9" xfId="1" applyFont="1" applyFill="1" applyBorder="1" applyAlignment="1">
      <alignment horizontal="center"/>
    </xf>
    <xf numFmtId="9" fontId="1" fillId="7" borderId="9" xfId="2" applyFont="1" applyFill="1" applyBorder="1" applyAlignment="1">
      <alignment horizontal="center"/>
    </xf>
    <xf numFmtId="0" fontId="1" fillId="7" borderId="9" xfId="2" applyNumberFormat="1" applyFont="1" applyFill="1" applyBorder="1" applyAlignment="1">
      <alignment horizontal="center"/>
    </xf>
    <xf numFmtId="0" fontId="0" fillId="6" borderId="9" xfId="0" applyFill="1" applyBorder="1"/>
    <xf numFmtId="9" fontId="1" fillId="6" borderId="10" xfId="2" applyFont="1" applyFill="1" applyBorder="1"/>
    <xf numFmtId="44" fontId="1" fillId="7" borderId="10" xfId="1" applyFont="1" applyFill="1" applyBorder="1"/>
    <xf numFmtId="9" fontId="1" fillId="7" borderId="10" xfId="2" applyFont="1" applyFill="1" applyBorder="1" applyAlignment="1">
      <alignment horizontal="center" vertical="center"/>
    </xf>
    <xf numFmtId="0" fontId="1" fillId="7" borderId="10" xfId="2" applyNumberFormat="1" applyFont="1" applyFill="1" applyBorder="1" applyAlignment="1">
      <alignment horizontal="center" vertical="center"/>
    </xf>
    <xf numFmtId="44" fontId="1" fillId="3" borderId="10" xfId="1" applyFont="1" applyFill="1" applyBorder="1"/>
    <xf numFmtId="44" fontId="1" fillId="8" borderId="9" xfId="1" applyFont="1" applyFill="1" applyBorder="1" applyAlignment="1">
      <alignment horizontal="center"/>
    </xf>
    <xf numFmtId="0" fontId="1" fillId="8" borderId="9" xfId="1" applyNumberFormat="1" applyFont="1" applyFill="1" applyBorder="1" applyAlignment="1">
      <alignment horizontal="center"/>
    </xf>
    <xf numFmtId="44" fontId="1" fillId="5" borderId="9" xfId="1" applyFont="1" applyFill="1" applyBorder="1"/>
    <xf numFmtId="44" fontId="0" fillId="8" borderId="11" xfId="0" applyNumberFormat="1" applyFill="1" applyBorder="1"/>
    <xf numFmtId="0" fontId="0" fillId="9" borderId="12" xfId="0" applyFill="1" applyBorder="1"/>
    <xf numFmtId="44" fontId="1" fillId="9" borderId="4" xfId="1" applyFont="1" applyFill="1" applyBorder="1"/>
    <xf numFmtId="44" fontId="1" fillId="2" borderId="4" xfId="1" applyFont="1" applyFill="1" applyBorder="1"/>
    <xf numFmtId="0" fontId="0" fillId="2" borderId="4" xfId="0" applyFill="1" applyBorder="1"/>
    <xf numFmtId="0" fontId="0" fillId="6" borderId="4" xfId="0" applyFill="1" applyBorder="1"/>
    <xf numFmtId="0" fontId="0" fillId="6" borderId="4" xfId="0" applyNumberFormat="1" applyFill="1" applyBorder="1"/>
    <xf numFmtId="44" fontId="1" fillId="7" borderId="4" xfId="1" applyFont="1" applyFill="1" applyBorder="1"/>
    <xf numFmtId="0" fontId="0" fillId="7" borderId="4" xfId="0" applyNumberFormat="1" applyFill="1" applyBorder="1"/>
    <xf numFmtId="0" fontId="0" fillId="6" borderId="1" xfId="0" applyFill="1" applyBorder="1"/>
    <xf numFmtId="44" fontId="1" fillId="7" borderId="1" xfId="1" applyFont="1" applyFill="1" applyBorder="1"/>
    <xf numFmtId="0" fontId="0" fillId="7" borderId="1" xfId="0" applyFill="1" applyBorder="1"/>
    <xf numFmtId="0" fontId="0" fillId="7" borderId="1" xfId="0" applyNumberFormat="1" applyFill="1" applyBorder="1"/>
    <xf numFmtId="44" fontId="1" fillId="3" borderId="1" xfId="1" applyFont="1" applyFill="1" applyBorder="1"/>
    <xf numFmtId="44" fontId="1" fillId="8" borderId="4" xfId="1" applyFont="1" applyFill="1" applyBorder="1" applyAlignment="1">
      <alignment horizontal="center"/>
    </xf>
    <xf numFmtId="0" fontId="1" fillId="8" borderId="4" xfId="1" applyNumberFormat="1" applyFont="1" applyFill="1" applyBorder="1" applyAlignment="1">
      <alignment horizontal="center"/>
    </xf>
    <xf numFmtId="44" fontId="1" fillId="5" borderId="4" xfId="1" applyFont="1" applyFill="1" applyBorder="1"/>
    <xf numFmtId="0" fontId="0" fillId="5" borderId="13" xfId="0" applyFill="1" applyBorder="1"/>
    <xf numFmtId="0" fontId="0" fillId="9" borderId="14" xfId="0" applyFill="1" applyBorder="1"/>
    <xf numFmtId="44" fontId="1" fillId="9" borderId="7" xfId="1" applyFont="1" applyFill="1" applyBorder="1"/>
    <xf numFmtId="44" fontId="1" fillId="2" borderId="7" xfId="1" applyFont="1" applyFill="1" applyBorder="1"/>
    <xf numFmtId="0" fontId="0" fillId="2" borderId="7" xfId="0" applyFill="1" applyBorder="1"/>
    <xf numFmtId="0" fontId="0" fillId="6" borderId="7" xfId="0" applyFill="1" applyBorder="1"/>
    <xf numFmtId="0" fontId="0" fillId="6" borderId="7" xfId="0" applyNumberFormat="1" applyFill="1" applyBorder="1"/>
    <xf numFmtId="44" fontId="1" fillId="7" borderId="7" xfId="1" applyFont="1" applyFill="1" applyBorder="1"/>
    <xf numFmtId="0" fontId="0" fillId="9" borderId="15" xfId="0" applyFill="1" applyBorder="1"/>
    <xf numFmtId="44" fontId="1" fillId="9" borderId="16" xfId="1" applyFont="1" applyFill="1" applyBorder="1"/>
    <xf numFmtId="44" fontId="1" fillId="2" borderId="16" xfId="1" applyFont="1" applyFill="1" applyBorder="1"/>
    <xf numFmtId="0" fontId="0" fillId="2" borderId="16" xfId="0" applyFill="1" applyBorder="1"/>
    <xf numFmtId="0" fontId="0" fillId="6" borderId="16" xfId="0" applyFill="1" applyBorder="1"/>
    <xf numFmtId="0" fontId="0" fillId="6" borderId="16" xfId="0" applyNumberFormat="1" applyFill="1" applyBorder="1"/>
    <xf numFmtId="44" fontId="1" fillId="7" borderId="16" xfId="1" applyFont="1" applyFill="1" applyBorder="1"/>
    <xf numFmtId="0" fontId="0" fillId="7" borderId="16" xfId="0" applyNumberFormat="1" applyFill="1" applyBorder="1"/>
    <xf numFmtId="0" fontId="0" fillId="6" borderId="17" xfId="0" applyFill="1" applyBorder="1"/>
    <xf numFmtId="44" fontId="1" fillId="7" borderId="17" xfId="1" applyFont="1" applyFill="1" applyBorder="1"/>
    <xf numFmtId="0" fontId="0" fillId="7" borderId="17" xfId="0" applyFill="1" applyBorder="1"/>
    <xf numFmtId="0" fontId="0" fillId="7" borderId="17" xfId="0" applyNumberFormat="1" applyFill="1" applyBorder="1"/>
    <xf numFmtId="44" fontId="1" fillId="3" borderId="17" xfId="1" applyFont="1" applyFill="1" applyBorder="1"/>
    <xf numFmtId="44" fontId="1" fillId="8" borderId="16" xfId="1" applyFont="1" applyFill="1" applyBorder="1" applyAlignment="1">
      <alignment horizontal="center"/>
    </xf>
    <xf numFmtId="0" fontId="1" fillId="8" borderId="16" xfId="1" applyNumberFormat="1" applyFont="1" applyFill="1" applyBorder="1" applyAlignment="1">
      <alignment horizontal="center"/>
    </xf>
    <xf numFmtId="44" fontId="1" fillId="5" borderId="16" xfId="1" applyFont="1" applyFill="1" applyBorder="1"/>
    <xf numFmtId="0" fontId="0" fillId="5" borderId="18" xfId="0" applyFill="1" applyBorder="1"/>
    <xf numFmtId="0" fontId="0" fillId="9" borderId="19" xfId="0" applyFill="1" applyBorder="1"/>
    <xf numFmtId="0" fontId="0" fillId="2" borderId="19" xfId="0" applyFill="1" applyBorder="1"/>
    <xf numFmtId="0" fontId="0" fillId="2" borderId="20" xfId="0" applyFill="1" applyBorder="1"/>
    <xf numFmtId="44" fontId="0" fillId="3" borderId="20" xfId="0" applyNumberFormat="1" applyFill="1" applyBorder="1"/>
    <xf numFmtId="44" fontId="0" fillId="4" borderId="19" xfId="0" applyNumberFormat="1" applyFill="1" applyBorder="1"/>
    <xf numFmtId="44" fontId="0" fillId="5" borderId="19" xfId="0" applyNumberFormat="1" applyFill="1" applyBorder="1"/>
    <xf numFmtId="0" fontId="0" fillId="0" borderId="0" xfId="0" applyAlignment="1"/>
    <xf numFmtId="0" fontId="0" fillId="0" borderId="0" xfId="0" applyFont="1"/>
    <xf numFmtId="0" fontId="0" fillId="0" borderId="0" xfId="0" applyFont="1" applyFill="1"/>
    <xf numFmtId="0" fontId="2" fillId="4" borderId="20" xfId="0" applyFont="1" applyFill="1" applyBorder="1" applyAlignment="1">
      <alignment horizontal="center" vertical="center"/>
    </xf>
    <xf numFmtId="0" fontId="4" fillId="10" borderId="4" xfId="0" applyFont="1" applyFill="1" applyBorder="1" applyAlignment="1"/>
    <xf numFmtId="0" fontId="6" fillId="0" borderId="4" xfId="3" applyFont="1" applyBorder="1" applyAlignment="1">
      <alignment horizontal="center" vertical="center" wrapText="1"/>
    </xf>
    <xf numFmtId="0" fontId="6" fillId="9" borderId="4" xfId="3" applyFont="1" applyFill="1" applyBorder="1" applyAlignment="1">
      <alignment horizontal="center" vertical="center" wrapText="1"/>
    </xf>
    <xf numFmtId="0" fontId="6" fillId="4" borderId="4" xfId="3" applyFont="1" applyFill="1" applyBorder="1" applyAlignment="1">
      <alignment horizontal="center" vertical="center" wrapText="1"/>
    </xf>
    <xf numFmtId="0" fontId="6" fillId="11" borderId="4" xfId="3" applyFont="1" applyFill="1" applyBorder="1" applyAlignment="1">
      <alignment horizontal="center" vertical="center" wrapText="1"/>
    </xf>
    <xf numFmtId="0" fontId="6" fillId="10" borderId="4" xfId="3" applyFont="1" applyFill="1" applyBorder="1" applyAlignment="1">
      <alignment horizontal="center" vertical="center" wrapText="1"/>
    </xf>
    <xf numFmtId="0" fontId="6" fillId="6" borderId="4" xfId="3" applyFont="1" applyFill="1" applyBorder="1" applyAlignment="1">
      <alignment horizontal="center" vertical="center" wrapText="1"/>
    </xf>
    <xf numFmtId="0" fontId="6" fillId="0" borderId="4" xfId="3" applyFont="1" applyFill="1" applyBorder="1" applyAlignment="1">
      <alignment horizontal="center" vertical="center" wrapText="1"/>
    </xf>
    <xf numFmtId="0" fontId="6" fillId="0" borderId="4" xfId="3" applyFont="1" applyFill="1" applyBorder="1" applyAlignment="1">
      <alignment horizontal="left" vertical="center" wrapText="1"/>
    </xf>
    <xf numFmtId="0" fontId="6" fillId="9" borderId="4" xfId="3" applyFont="1" applyFill="1" applyBorder="1"/>
    <xf numFmtId="0" fontId="6" fillId="4" borderId="4" xfId="3" applyFont="1" applyFill="1" applyBorder="1"/>
    <xf numFmtId="0" fontId="7" fillId="4" borderId="4" xfId="3" applyFont="1" applyFill="1" applyBorder="1"/>
    <xf numFmtId="0" fontId="0" fillId="11" borderId="4" xfId="0" applyFont="1" applyFill="1" applyBorder="1"/>
    <xf numFmtId="0" fontId="7" fillId="10" borderId="4" xfId="3" applyFont="1" applyFill="1" applyBorder="1"/>
    <xf numFmtId="0" fontId="7" fillId="10" borderId="4" xfId="3" applyFont="1" applyFill="1" applyBorder="1" applyAlignment="1">
      <alignment horizontal="right"/>
    </xf>
    <xf numFmtId="10" fontId="6" fillId="6" borderId="4" xfId="3" applyNumberFormat="1" applyFont="1" applyFill="1" applyBorder="1"/>
    <xf numFmtId="0" fontId="6" fillId="0" borderId="4" xfId="3" applyFont="1" applyBorder="1"/>
    <xf numFmtId="9" fontId="6" fillId="0" borderId="4" xfId="2" applyFont="1" applyBorder="1" applyAlignment="1">
      <alignment horizontal="center" vertical="center"/>
    </xf>
    <xf numFmtId="0" fontId="6" fillId="0" borderId="4" xfId="3" applyFont="1" applyFill="1" applyBorder="1"/>
    <xf numFmtId="0" fontId="6" fillId="11" borderId="4" xfId="3" applyFont="1" applyFill="1" applyBorder="1"/>
    <xf numFmtId="0" fontId="6" fillId="6" borderId="4" xfId="3" applyFont="1" applyFill="1" applyBorder="1"/>
    <xf numFmtId="9" fontId="6" fillId="0" borderId="4" xfId="2" applyFont="1" applyBorder="1"/>
    <xf numFmtId="0" fontId="7" fillId="12" borderId="4" xfId="3" applyFont="1" applyFill="1" applyBorder="1"/>
    <xf numFmtId="10" fontId="7" fillId="12" borderId="4" xfId="3" applyNumberFormat="1" applyFont="1" applyFill="1" applyBorder="1"/>
    <xf numFmtId="9" fontId="7" fillId="12" borderId="4" xfId="2" applyFont="1" applyFill="1" applyBorder="1"/>
    <xf numFmtId="10" fontId="7" fillId="12" borderId="4" xfId="2" applyNumberFormat="1" applyFont="1" applyFill="1" applyBorder="1"/>
    <xf numFmtId="0" fontId="8" fillId="0" borderId="0" xfId="3" applyFont="1"/>
    <xf numFmtId="0" fontId="6" fillId="0" borderId="0" xfId="3" applyFont="1"/>
    <xf numFmtId="0" fontId="6" fillId="0" borderId="4" xfId="0" applyFont="1" applyFill="1" applyBorder="1"/>
    <xf numFmtId="0" fontId="0" fillId="0" borderId="4" xfId="0" applyFont="1" applyBorder="1"/>
    <xf numFmtId="0" fontId="0" fillId="0" borderId="4" xfId="0" applyFont="1" applyFill="1" applyBorder="1"/>
    <xf numFmtId="0" fontId="0" fillId="0" borderId="4" xfId="0" applyBorder="1"/>
    <xf numFmtId="0" fontId="0" fillId="0" borderId="3" xfId="0" applyFont="1" applyFill="1" applyBorder="1"/>
    <xf numFmtId="0" fontId="4" fillId="0" borderId="1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0" fontId="0" fillId="0" borderId="1" xfId="0" applyFont="1" applyFill="1" applyBorder="1"/>
    <xf numFmtId="0" fontId="0" fillId="0" borderId="1" xfId="0" applyFont="1" applyFill="1" applyBorder="1" applyAlignment="1">
      <alignment horizontal="center"/>
    </xf>
    <xf numFmtId="0" fontId="0" fillId="0" borderId="2" xfId="0" applyFont="1" applyFill="1" applyBorder="1" applyAlignment="1">
      <alignment horizontal="center"/>
    </xf>
    <xf numFmtId="0" fontId="0" fillId="0" borderId="3" xfId="0" applyFont="1" applyFill="1" applyBorder="1" applyAlignment="1">
      <alignment horizontal="center"/>
    </xf>
    <xf numFmtId="0" fontId="0" fillId="0" borderId="1" xfId="0" applyFont="1" applyFill="1" applyBorder="1" applyAlignment="1"/>
    <xf numFmtId="0" fontId="0" fillId="0" borderId="2" xfId="0" applyFont="1" applyFill="1" applyBorder="1" applyAlignment="1"/>
    <xf numFmtId="0" fontId="0" fillId="0" borderId="3" xfId="0" applyFont="1" applyFill="1" applyBorder="1" applyAlignment="1"/>
    <xf numFmtId="0" fontId="0" fillId="0" borderId="2" xfId="0" applyFont="1" applyFill="1" applyBorder="1"/>
    <xf numFmtId="0" fontId="0" fillId="10" borderId="0" xfId="0" applyFont="1" applyFill="1"/>
    <xf numFmtId="0" fontId="0" fillId="10" borderId="4" xfId="0" applyFont="1" applyFill="1" applyBorder="1"/>
    <xf numFmtId="0" fontId="0" fillId="10" borderId="0" xfId="0" applyFont="1" applyFill="1" applyBorder="1"/>
    <xf numFmtId="0" fontId="4" fillId="10" borderId="1" xfId="0" applyFont="1" applyFill="1" applyBorder="1" applyAlignment="1">
      <alignment horizontal="center"/>
    </xf>
    <xf numFmtId="0" fontId="7" fillId="10" borderId="3" xfId="0" applyFont="1" applyFill="1" applyBorder="1" applyAlignment="1">
      <alignment horizontal="center"/>
    </xf>
    <xf numFmtId="0" fontId="7" fillId="10" borderId="4" xfId="0" applyFont="1" applyFill="1" applyBorder="1" applyAlignment="1">
      <alignment horizontal="center"/>
    </xf>
    <xf numFmtId="0" fontId="4" fillId="10" borderId="4" xfId="0" applyFont="1" applyFill="1" applyBorder="1" applyAlignment="1">
      <alignment horizontal="center"/>
    </xf>
    <xf numFmtId="0" fontId="4" fillId="10" borderId="3" xfId="0" applyFont="1" applyFill="1" applyBorder="1" applyAlignment="1">
      <alignment horizontal="center"/>
    </xf>
    <xf numFmtId="0" fontId="4" fillId="10" borderId="3" xfId="0" applyFont="1" applyFill="1" applyBorder="1" applyAlignment="1">
      <alignment horizontal="center" vertical="center"/>
    </xf>
    <xf numFmtId="0" fontId="6" fillId="10" borderId="4" xfId="0" applyFont="1" applyFill="1" applyBorder="1"/>
    <xf numFmtId="0" fontId="0" fillId="10" borderId="1" xfId="0" applyNumberFormat="1" applyFont="1" applyFill="1" applyBorder="1"/>
    <xf numFmtId="0" fontId="0" fillId="10" borderId="3" xfId="0" applyFont="1" applyFill="1" applyBorder="1"/>
    <xf numFmtId="0" fontId="0" fillId="10" borderId="1" xfId="0" applyFont="1" applyFill="1" applyBorder="1" applyAlignment="1">
      <alignment horizontal="center"/>
    </xf>
    <xf numFmtId="0" fontId="0" fillId="10" borderId="2" xfId="0" applyFont="1" applyFill="1" applyBorder="1" applyAlignment="1">
      <alignment horizontal="center"/>
    </xf>
    <xf numFmtId="0" fontId="0" fillId="10" borderId="3" xfId="0" applyFont="1" applyFill="1" applyBorder="1" applyAlignment="1">
      <alignment horizontal="center"/>
    </xf>
    <xf numFmtId="0" fontId="0" fillId="10" borderId="1" xfId="0" applyFont="1" applyFill="1" applyBorder="1"/>
    <xf numFmtId="0" fontId="0" fillId="10" borderId="1" xfId="0" applyFont="1" applyFill="1" applyBorder="1" applyAlignment="1"/>
    <xf numFmtId="0" fontId="0" fillId="10" borderId="2" xfId="0" applyFont="1" applyFill="1" applyBorder="1" applyAlignment="1"/>
    <xf numFmtId="0" fontId="0" fillId="10" borderId="3" xfId="0" applyFont="1" applyFill="1" applyBorder="1" applyAlignment="1"/>
    <xf numFmtId="0" fontId="0" fillId="10" borderId="2" xfId="0" applyFont="1" applyFill="1" applyBorder="1"/>
    <xf numFmtId="0" fontId="4" fillId="0" borderId="4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0" fillId="0" borderId="1" xfId="0" applyBorder="1"/>
    <xf numFmtId="0" fontId="0" fillId="0" borderId="4" xfId="0" applyFill="1" applyBorder="1"/>
    <xf numFmtId="0" fontId="0" fillId="0" borderId="1" xfId="0" applyNumberFormat="1" applyBorder="1"/>
    <xf numFmtId="0" fontId="0" fillId="0" borderId="1" xfId="0" applyFill="1" applyBorder="1"/>
    <xf numFmtId="0" fontId="0" fillId="0" borderId="0" xfId="0" applyFont="1" applyBorder="1" applyAlignment="1"/>
    <xf numFmtId="0" fontId="6" fillId="0" borderId="4" xfId="0" applyFont="1" applyFill="1" applyBorder="1" applyAlignment="1" applyProtection="1">
      <alignment horizontal="center"/>
      <protection locked="0"/>
    </xf>
    <xf numFmtId="0" fontId="0" fillId="0" borderId="0" xfId="0"/>
    <xf numFmtId="0" fontId="0" fillId="0" borderId="0" xfId="0"/>
    <xf numFmtId="0" fontId="0" fillId="0" borderId="0" xfId="0"/>
    <xf numFmtId="0" fontId="0" fillId="0" borderId="19" xfId="0" applyFont="1" applyBorder="1" applyAlignment="1" applyProtection="1">
      <alignment horizontal="center"/>
      <protection locked="0"/>
    </xf>
    <xf numFmtId="0" fontId="6" fillId="0" borderId="3" xfId="0" applyNumberFormat="1" applyFont="1" applyFill="1" applyBorder="1" applyAlignment="1" applyProtection="1">
      <alignment horizontal="center"/>
      <protection locked="0"/>
    </xf>
    <xf numFmtId="14" fontId="6" fillId="0" borderId="4" xfId="0" applyNumberFormat="1" applyFont="1" applyFill="1" applyBorder="1" applyAlignment="1" applyProtection="1">
      <alignment horizontal="center"/>
      <protection locked="0"/>
    </xf>
    <xf numFmtId="0" fontId="0" fillId="0" borderId="4" xfId="0" applyFont="1" applyBorder="1" applyAlignment="1" applyProtection="1">
      <alignment horizontal="center"/>
      <protection locked="0"/>
    </xf>
    <xf numFmtId="0" fontId="6" fillId="0" borderId="3" xfId="0" applyFont="1" applyFill="1" applyBorder="1" applyAlignment="1" applyProtection="1">
      <alignment horizontal="center"/>
      <protection locked="0"/>
    </xf>
    <xf numFmtId="0" fontId="12" fillId="0" borderId="4" xfId="6" quotePrefix="1" applyNumberFormat="1" applyFont="1" applyFill="1" applyBorder="1" applyAlignment="1" applyProtection="1">
      <alignment horizontal="center" vertical="top"/>
      <protection locked="0"/>
    </xf>
    <xf numFmtId="0" fontId="6" fillId="0" borderId="4" xfId="0" applyFont="1" applyFill="1" applyBorder="1" applyAlignment="1" applyProtection="1">
      <alignment horizontal="center" vertical="top"/>
      <protection locked="0"/>
    </xf>
    <xf numFmtId="0" fontId="0" fillId="0" borderId="4" xfId="0" applyFont="1" applyFill="1" applyBorder="1" applyAlignment="1" applyProtection="1">
      <alignment horizontal="center"/>
      <protection locked="0"/>
    </xf>
    <xf numFmtId="165" fontId="6" fillId="0" borderId="3" xfId="6" applyNumberFormat="1" applyFont="1" applyFill="1" applyBorder="1" applyAlignment="1" applyProtection="1">
      <alignment horizontal="center" vertical="center"/>
      <protection locked="0"/>
    </xf>
    <xf numFmtId="49" fontId="1" fillId="0" borderId="3" xfId="0" applyNumberFormat="1" applyFont="1" applyFill="1" applyBorder="1" applyAlignment="1" applyProtection="1">
      <alignment horizontal="center"/>
      <protection locked="0"/>
    </xf>
    <xf numFmtId="0" fontId="0" fillId="0" borderId="3" xfId="0" applyFont="1" applyFill="1" applyBorder="1" applyAlignment="1" applyProtection="1">
      <alignment horizontal="center"/>
      <protection locked="0"/>
    </xf>
    <xf numFmtId="49" fontId="6" fillId="0" borderId="3" xfId="0" applyNumberFormat="1" applyFont="1" applyFill="1" applyBorder="1" applyAlignment="1" applyProtection="1">
      <alignment horizontal="center"/>
      <protection locked="0"/>
    </xf>
    <xf numFmtId="49" fontId="0" fillId="0" borderId="3" xfId="0" applyNumberFormat="1" applyFont="1" applyFill="1" applyBorder="1" applyAlignment="1" applyProtection="1">
      <alignment horizontal="center"/>
      <protection locked="0"/>
    </xf>
    <xf numFmtId="0" fontId="6" fillId="0" borderId="6" xfId="0" applyNumberFormat="1" applyFont="1" applyFill="1" applyBorder="1" applyAlignment="1" applyProtection="1">
      <alignment horizontal="center"/>
      <protection locked="0"/>
    </xf>
    <xf numFmtId="0" fontId="6" fillId="0" borderId="7" xfId="0" applyFont="1" applyFill="1" applyBorder="1" applyAlignment="1" applyProtection="1">
      <alignment horizontal="center"/>
      <protection locked="0"/>
    </xf>
    <xf numFmtId="14" fontId="6" fillId="0" borderId="7" xfId="0" applyNumberFormat="1" applyFont="1" applyFill="1" applyBorder="1" applyAlignment="1" applyProtection="1">
      <alignment horizontal="center"/>
      <protection locked="0"/>
    </xf>
    <xf numFmtId="0" fontId="0" fillId="0" borderId="3" xfId="0" applyFont="1" applyBorder="1" applyAlignment="1" applyProtection="1">
      <alignment horizontal="center"/>
      <protection locked="0"/>
    </xf>
    <xf numFmtId="0" fontId="0" fillId="0" borderId="7" xfId="0" applyFont="1" applyBorder="1" applyAlignment="1" applyProtection="1">
      <alignment horizontal="center"/>
      <protection locked="0"/>
    </xf>
    <xf numFmtId="0" fontId="0" fillId="0" borderId="6" xfId="0" applyFont="1" applyBorder="1" applyAlignment="1" applyProtection="1">
      <alignment horizontal="center"/>
      <protection locked="0"/>
    </xf>
    <xf numFmtId="0" fontId="6" fillId="0" borderId="4" xfId="0" applyFont="1" applyFill="1" applyBorder="1" applyAlignment="1" applyProtection="1">
      <alignment horizontal="center" vertical="center"/>
      <protection locked="0"/>
    </xf>
    <xf numFmtId="14" fontId="6" fillId="0" borderId="4" xfId="0" applyNumberFormat="1" applyFont="1" applyFill="1" applyBorder="1" applyAlignment="1" applyProtection="1">
      <alignment horizontal="center" vertical="center"/>
      <protection locked="0"/>
    </xf>
    <xf numFmtId="0" fontId="6" fillId="0" borderId="4" xfId="0" applyFont="1" applyFill="1" applyBorder="1" applyAlignment="1" applyProtection="1">
      <alignment horizontal="center" vertical="center"/>
    </xf>
    <xf numFmtId="0" fontId="6" fillId="0" borderId="4" xfId="0" applyNumberFormat="1" applyFont="1" applyFill="1" applyBorder="1" applyAlignment="1" applyProtection="1">
      <alignment horizontal="center" vertical="center"/>
      <protection locked="0"/>
    </xf>
    <xf numFmtId="0" fontId="0" fillId="0" borderId="19" xfId="0" applyFont="1" applyBorder="1" applyAlignment="1" applyProtection="1">
      <alignment horizontal="center" vertical="center"/>
      <protection locked="0"/>
    </xf>
    <xf numFmtId="0" fontId="13" fillId="0" borderId="19" xfId="0" applyFont="1" applyBorder="1" applyAlignment="1" applyProtection="1">
      <alignment horizontal="center" vertical="center"/>
      <protection locked="0"/>
    </xf>
    <xf numFmtId="0" fontId="0" fillId="0" borderId="4" xfId="0" applyFont="1" applyBorder="1" applyAlignment="1" applyProtection="1">
      <alignment horizontal="center" vertical="center"/>
      <protection locked="0"/>
    </xf>
    <xf numFmtId="0" fontId="13" fillId="0" borderId="4" xfId="0" applyFont="1" applyBorder="1" applyAlignment="1" applyProtection="1">
      <alignment horizontal="center" vertical="center"/>
      <protection locked="0"/>
    </xf>
    <xf numFmtId="0" fontId="0" fillId="0" borderId="4" xfId="0" applyFont="1" applyFill="1" applyBorder="1" applyAlignment="1" applyProtection="1">
      <alignment horizontal="center" vertical="center"/>
      <protection locked="0"/>
    </xf>
    <xf numFmtId="0" fontId="11" fillId="0" borderId="4" xfId="0" applyFont="1" applyFill="1" applyBorder="1" applyAlignment="1" applyProtection="1">
      <alignment horizontal="center" vertical="center"/>
      <protection locked="0"/>
    </xf>
    <xf numFmtId="0" fontId="13" fillId="0" borderId="4" xfId="0" applyFont="1" applyFill="1" applyBorder="1" applyAlignment="1" applyProtection="1">
      <alignment horizontal="center" vertical="center"/>
      <protection locked="0"/>
    </xf>
    <xf numFmtId="14" fontId="6" fillId="0" borderId="4" xfId="0" applyNumberFormat="1" applyFont="1" applyBorder="1" applyAlignment="1" applyProtection="1">
      <alignment horizontal="center" vertical="center"/>
      <protection locked="0"/>
    </xf>
    <xf numFmtId="14" fontId="6" fillId="0" borderId="7" xfId="0" applyNumberFormat="1" applyFont="1" applyFill="1" applyBorder="1" applyAlignment="1" applyProtection="1">
      <alignment horizontal="center" vertical="center"/>
      <protection locked="0"/>
    </xf>
    <xf numFmtId="0" fontId="6" fillId="0" borderId="7" xfId="0" applyFont="1" applyFill="1" applyBorder="1" applyAlignment="1" applyProtection="1">
      <alignment horizontal="center" vertical="center"/>
      <protection locked="0"/>
    </xf>
    <xf numFmtId="0" fontId="0" fillId="0" borderId="7" xfId="0" applyFont="1" applyFill="1" applyBorder="1" applyAlignment="1" applyProtection="1">
      <alignment horizontal="center" vertical="center"/>
      <protection locked="0"/>
    </xf>
    <xf numFmtId="14" fontId="0" fillId="0" borderId="4" xfId="0" applyNumberFormat="1" applyFont="1" applyBorder="1" applyAlignment="1" applyProtection="1">
      <alignment horizontal="center" vertical="center"/>
      <protection locked="0"/>
    </xf>
    <xf numFmtId="14" fontId="0" fillId="0" borderId="7" xfId="0" applyNumberFormat="1" applyFont="1" applyBorder="1" applyAlignment="1" applyProtection="1">
      <alignment horizontal="center" vertical="center"/>
      <protection locked="0"/>
    </xf>
    <xf numFmtId="0" fontId="0" fillId="0" borderId="7" xfId="0" applyFont="1" applyBorder="1" applyAlignment="1" applyProtection="1">
      <alignment horizontal="center" vertical="center"/>
      <protection locked="0"/>
    </xf>
    <xf numFmtId="0" fontId="13" fillId="0" borderId="7" xfId="0" applyFont="1" applyBorder="1" applyAlignment="1" applyProtection="1">
      <alignment horizontal="center" vertical="center"/>
      <protection locked="0"/>
    </xf>
    <xf numFmtId="166" fontId="6" fillId="0" borderId="4" xfId="0" applyNumberFormat="1" applyFont="1" applyFill="1" applyBorder="1" applyAlignment="1" applyProtection="1">
      <alignment horizontal="center" vertical="center"/>
      <protection locked="0"/>
    </xf>
    <xf numFmtId="166" fontId="0" fillId="0" borderId="4" xfId="0" applyNumberFormat="1" applyFont="1" applyFill="1" applyBorder="1" applyAlignment="1" applyProtection="1">
      <alignment horizontal="center" vertical="center"/>
      <protection locked="0"/>
    </xf>
    <xf numFmtId="166" fontId="11" fillId="0" borderId="4" xfId="0" applyNumberFormat="1" applyFont="1" applyFill="1" applyBorder="1" applyAlignment="1" applyProtection="1">
      <alignment horizontal="center" vertical="center"/>
      <protection locked="0"/>
    </xf>
    <xf numFmtId="166" fontId="0" fillId="0" borderId="7" xfId="0" applyNumberFormat="1" applyFont="1" applyFill="1" applyBorder="1" applyAlignment="1" applyProtection="1">
      <alignment horizontal="center" vertical="center"/>
      <protection locked="0"/>
    </xf>
    <xf numFmtId="166" fontId="0" fillId="0" borderId="4" xfId="0" applyNumberFormat="1" applyFont="1" applyBorder="1" applyAlignment="1" applyProtection="1">
      <alignment horizontal="center" vertical="center"/>
      <protection locked="0"/>
    </xf>
    <xf numFmtId="166" fontId="0" fillId="0" borderId="7" xfId="0" applyNumberFormat="1" applyFont="1" applyBorder="1" applyAlignment="1" applyProtection="1">
      <alignment horizontal="center" vertical="center"/>
      <protection locked="0"/>
    </xf>
    <xf numFmtId="167" fontId="6" fillId="0" borderId="4" xfId="7" applyNumberFormat="1" applyFont="1" applyFill="1" applyBorder="1" applyAlignment="1" applyProtection="1">
      <alignment horizontal="center" vertical="center"/>
      <protection locked="0"/>
    </xf>
    <xf numFmtId="167" fontId="0" fillId="0" borderId="4" xfId="7" applyNumberFormat="1" applyFont="1" applyFill="1" applyBorder="1" applyAlignment="1" applyProtection="1">
      <alignment horizontal="center" vertical="center"/>
      <protection locked="0"/>
    </xf>
    <xf numFmtId="167" fontId="11" fillId="0" borderId="4" xfId="7" applyNumberFormat="1" applyFont="1" applyFill="1" applyBorder="1" applyAlignment="1" applyProtection="1">
      <alignment horizontal="center" vertical="center"/>
      <protection locked="0"/>
    </xf>
    <xf numFmtId="167" fontId="0" fillId="0" borderId="7" xfId="7" applyNumberFormat="1" applyFont="1" applyFill="1" applyBorder="1" applyAlignment="1" applyProtection="1">
      <alignment horizontal="center" vertical="center"/>
      <protection locked="0"/>
    </xf>
    <xf numFmtId="167" fontId="0" fillId="0" borderId="4" xfId="7" applyNumberFormat="1" applyFont="1" applyBorder="1" applyAlignment="1" applyProtection="1">
      <alignment horizontal="center" vertical="center"/>
      <protection locked="0"/>
    </xf>
    <xf numFmtId="167" fontId="0" fillId="0" borderId="7" xfId="7" applyNumberFormat="1" applyFont="1" applyBorder="1" applyAlignment="1" applyProtection="1">
      <alignment horizontal="center" vertical="center"/>
      <protection locked="0"/>
    </xf>
    <xf numFmtId="167" fontId="6" fillId="0" borderId="4" xfId="7" applyNumberFormat="1" applyFont="1" applyFill="1" applyBorder="1" applyAlignment="1" applyProtection="1">
      <protection locked="0"/>
    </xf>
    <xf numFmtId="167" fontId="0" fillId="0" borderId="4" xfId="7" applyNumberFormat="1" applyFont="1" applyFill="1" applyBorder="1" applyAlignment="1" applyProtection="1">
      <protection locked="0"/>
    </xf>
    <xf numFmtId="167" fontId="11" fillId="0" borderId="4" xfId="7" applyNumberFormat="1" applyFont="1" applyFill="1" applyBorder="1" applyAlignment="1" applyProtection="1">
      <protection locked="0"/>
    </xf>
    <xf numFmtId="167" fontId="0" fillId="0" borderId="7" xfId="7" applyNumberFormat="1" applyFont="1" applyFill="1" applyBorder="1" applyAlignment="1" applyProtection="1">
      <protection locked="0"/>
    </xf>
    <xf numFmtId="167" fontId="0" fillId="0" borderId="4" xfId="7" applyNumberFormat="1" applyFont="1" applyBorder="1" applyAlignment="1" applyProtection="1">
      <protection locked="0"/>
    </xf>
    <xf numFmtId="167" fontId="0" fillId="0" borderId="7" xfId="7" applyNumberFormat="1" applyFont="1" applyBorder="1" applyAlignment="1" applyProtection="1">
      <protection locked="0"/>
    </xf>
    <xf numFmtId="167" fontId="6" fillId="0" borderId="4" xfId="7" applyNumberFormat="1" applyFont="1" applyFill="1" applyBorder="1" applyAlignment="1" applyProtection="1">
      <alignment horizontal="center" vertical="center"/>
    </xf>
    <xf numFmtId="0" fontId="9" fillId="13" borderId="4" xfId="3" applyFont="1" applyFill="1" applyBorder="1" applyAlignment="1" applyProtection="1">
      <alignment horizontal="center" vertical="center" wrapText="1"/>
    </xf>
    <xf numFmtId="0" fontId="9" fillId="14" borderId="4" xfId="3" applyFont="1" applyFill="1" applyBorder="1" applyAlignment="1" applyProtection="1">
      <alignment horizontal="center" vertical="center" wrapText="1"/>
    </xf>
    <xf numFmtId="0" fontId="9" fillId="14" borderId="21" xfId="3" applyFont="1" applyFill="1" applyBorder="1" applyAlignment="1" applyProtection="1">
      <alignment horizontal="center" vertical="center" wrapText="1"/>
    </xf>
    <xf numFmtId="0" fontId="9" fillId="13" borderId="4" xfId="4" applyFont="1" applyFill="1" applyBorder="1" applyAlignment="1" applyProtection="1">
      <alignment horizontal="center" vertical="center" wrapText="1"/>
    </xf>
    <xf numFmtId="0" fontId="9" fillId="13" borderId="4" xfId="3" applyNumberFormat="1" applyFont="1" applyFill="1" applyBorder="1" applyAlignment="1" applyProtection="1">
      <alignment horizontal="center" vertical="center" wrapText="1"/>
    </xf>
    <xf numFmtId="0" fontId="9" fillId="13" borderId="4" xfId="5" applyNumberFormat="1" applyFont="1" applyFill="1" applyBorder="1" applyAlignment="1" applyProtection="1">
      <alignment horizontal="center" vertical="center" wrapText="1"/>
    </xf>
    <xf numFmtId="164" fontId="9" fillId="13" borderId="4" xfId="3" applyNumberFormat="1" applyFont="1" applyFill="1" applyBorder="1" applyAlignment="1" applyProtection="1">
      <alignment horizontal="center" vertical="center" wrapText="1"/>
    </xf>
    <xf numFmtId="0" fontId="9" fillId="15" borderId="21" xfId="3" applyFont="1" applyFill="1" applyBorder="1" applyAlignment="1" applyProtection="1">
      <alignment horizontal="center" vertical="center" wrapText="1"/>
    </xf>
    <xf numFmtId="0" fontId="6" fillId="15" borderId="3" xfId="3" applyFont="1" applyFill="1" applyBorder="1" applyAlignment="1" applyProtection="1">
      <alignment horizontal="center" vertical="center" wrapText="1"/>
    </xf>
    <xf numFmtId="0" fontId="6" fillId="15" borderId="4" xfId="3" applyFont="1" applyFill="1" applyBorder="1" applyAlignment="1" applyProtection="1">
      <alignment horizontal="center" vertical="center" wrapText="1"/>
    </xf>
    <xf numFmtId="0" fontId="9" fillId="15" borderId="4" xfId="4" applyFont="1" applyFill="1" applyBorder="1" applyAlignment="1" applyProtection="1">
      <alignment horizontal="center" vertical="center" wrapText="1"/>
    </xf>
    <xf numFmtId="0" fontId="9" fillId="15" borderId="4" xfId="5" applyNumberFormat="1" applyFont="1" applyFill="1" applyBorder="1" applyAlignment="1" applyProtection="1">
      <alignment horizontal="center" vertical="center" wrapText="1"/>
    </xf>
    <xf numFmtId="0" fontId="0" fillId="0" borderId="0" xfId="0" applyFill="1"/>
    <xf numFmtId="0" fontId="0" fillId="16" borderId="4" xfId="0" applyFont="1" applyFill="1" applyBorder="1"/>
    <xf numFmtId="0" fontId="4" fillId="10" borderId="4" xfId="0" applyFont="1" applyFill="1" applyBorder="1" applyAlignment="1">
      <alignment horizontal="center"/>
    </xf>
    <xf numFmtId="0" fontId="0" fillId="0" borderId="0" xfId="0"/>
    <xf numFmtId="0" fontId="15" fillId="0" borderId="0" xfId="0" applyFont="1" applyFill="1" applyAlignment="1"/>
    <xf numFmtId="0" fontId="14" fillId="0" borderId="0" xfId="0" applyFont="1" applyFill="1" applyAlignment="1"/>
    <xf numFmtId="0" fontId="0" fillId="0" borderId="19" xfId="0" applyBorder="1"/>
    <xf numFmtId="0" fontId="0" fillId="0" borderId="21" xfId="0" applyFill="1" applyBorder="1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6" borderId="5" xfId="0" applyFill="1" applyBorder="1" applyAlignment="1">
      <alignment horizontal="center" wrapText="1"/>
    </xf>
    <xf numFmtId="0" fontId="0" fillId="6" borderId="6" xfId="0" applyFill="1" applyBorder="1" applyAlignment="1">
      <alignment horizontal="center" wrapText="1"/>
    </xf>
    <xf numFmtId="0" fontId="0" fillId="7" borderId="1" xfId="0" applyFill="1" applyBorder="1" applyAlignment="1">
      <alignment horizontal="center" wrapText="1"/>
    </xf>
    <xf numFmtId="0" fontId="0" fillId="7" borderId="2" xfId="0" applyFill="1" applyBorder="1" applyAlignment="1">
      <alignment horizontal="center" wrapText="1"/>
    </xf>
    <xf numFmtId="0" fontId="0" fillId="7" borderId="3" xfId="0" applyFill="1" applyBorder="1" applyAlignment="1">
      <alignment horizontal="center" wrapText="1"/>
    </xf>
    <xf numFmtId="0" fontId="0" fillId="6" borderId="4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7" borderId="2" xfId="0" applyFill="1" applyBorder="1" applyAlignment="1">
      <alignment horizontal="center"/>
    </xf>
    <xf numFmtId="0" fontId="0" fillId="7" borderId="3" xfId="0" applyFill="1" applyBorder="1" applyAlignment="1">
      <alignment horizontal="center"/>
    </xf>
    <xf numFmtId="0" fontId="2" fillId="6" borderId="2" xfId="0" applyFont="1" applyFill="1" applyBorder="1" applyAlignment="1">
      <alignment horizontal="center"/>
    </xf>
    <xf numFmtId="0" fontId="2" fillId="6" borderId="3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3" fillId="10" borderId="4" xfId="0" applyFont="1" applyFill="1" applyBorder="1" applyAlignment="1">
      <alignment horizontal="center"/>
    </xf>
    <xf numFmtId="0" fontId="2" fillId="9" borderId="4" xfId="0" applyFont="1" applyFill="1" applyBorder="1" applyAlignment="1">
      <alignment horizontal="center"/>
    </xf>
    <xf numFmtId="0" fontId="2" fillId="4" borderId="19" xfId="0" applyFont="1" applyFill="1" applyBorder="1" applyAlignment="1">
      <alignment horizontal="center"/>
    </xf>
    <xf numFmtId="0" fontId="2" fillId="11" borderId="4" xfId="0" applyFont="1" applyFill="1" applyBorder="1" applyAlignment="1">
      <alignment horizontal="center"/>
    </xf>
    <xf numFmtId="0" fontId="4" fillId="10" borderId="4" xfId="0" applyFont="1" applyFill="1" applyBorder="1" applyAlignment="1">
      <alignment horizontal="center"/>
    </xf>
    <xf numFmtId="16" fontId="4" fillId="10" borderId="4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7" xfId="0" applyFont="1" applyFill="1" applyBorder="1" applyAlignment="1">
      <alignment horizontal="center" vertical="center"/>
    </xf>
    <xf numFmtId="0" fontId="0" fillId="0" borderId="21" xfId="0" applyFont="1" applyFill="1" applyBorder="1" applyAlignment="1">
      <alignment horizontal="center" vertical="center"/>
    </xf>
    <xf numFmtId="0" fontId="0" fillId="0" borderId="19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/>
    </xf>
    <xf numFmtId="16" fontId="0" fillId="0" borderId="7" xfId="0" applyNumberFormat="1" applyFont="1" applyFill="1" applyBorder="1" applyAlignment="1">
      <alignment horizontal="center" vertical="center"/>
    </xf>
    <xf numFmtId="0" fontId="0" fillId="10" borderId="7" xfId="0" applyFont="1" applyFill="1" applyBorder="1" applyAlignment="1">
      <alignment horizontal="center" vertical="center"/>
    </xf>
    <xf numFmtId="0" fontId="0" fillId="0" borderId="0" xfId="0"/>
    <xf numFmtId="16" fontId="0" fillId="0" borderId="0" xfId="0" applyNumberFormat="1"/>
  </cellXfs>
  <cellStyles count="8">
    <cellStyle name="Monétaire" xfId="7" builtinId="4"/>
    <cellStyle name="Monétaire 2" xfId="1"/>
    <cellStyle name="Normal" xfId="0" builtinId="0"/>
    <cellStyle name="Normal 16" xfId="3"/>
    <cellStyle name="Normal 2" xfId="6"/>
    <cellStyle name="Normal 2 6" xfId="5"/>
    <cellStyle name="Normal 3" xfId="4"/>
    <cellStyle name="Pourcentage 2" xfId="2"/>
  </cellStyles>
  <dxfs count="578"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7" formatCode="_-* #,##0\ &quot;€&quot;_-;\-* #,##0\ &quot;€&quot;_-;_-* &quot;-&quot;??\ &quot;€&quot;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7" formatCode="_-* #,##0\ &quot;€&quot;_-;\-* #,##0\ &quot;€&quot;_-;_-* &quot;-&quot;??\ &quot;€&quot;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#,##0\ &quot;€&quot;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outline="0">
        <left style="thin">
          <color rgb="FF000000"/>
        </left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b val="0"/>
        <i/>
        <strike val="0"/>
        <color rgb="FFFF0000"/>
      </font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7" formatCode="_-* #,##0\ &quot;€&quot;_-;\-* #,##0\ &quot;€&quot;_-;_-* &quot;-&quot;??\ &quot;€&quot;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7" formatCode="_-* #,##0\ &quot;€&quot;_-;\-* #,##0\ &quot;€&quot;_-;_-* &quot;-&quot;??\ &quot;€&quot;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#,##0\ &quot;€&quot;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outline="0">
        <left style="thin">
          <color rgb="FF000000"/>
        </left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b val="0"/>
        <i/>
        <strike val="0"/>
        <color rgb="FFFF0000"/>
      </font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7" formatCode="_-* #,##0\ &quot;€&quot;_-;\-* #,##0\ &quot;€&quot;_-;_-* &quot;-&quot;??\ &quot;€&quot;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7" formatCode="_-* #,##0\ &quot;€&quot;_-;\-* #,##0\ &quot;€&quot;_-;_-* &quot;-&quot;??\ &quot;€&quot;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#,##0\ &quot;€&quot;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outline="0">
        <left style="thin">
          <color rgb="FF000000"/>
        </left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b val="0"/>
        <i/>
        <strike val="0"/>
        <color rgb="FFFF0000"/>
      </font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7" formatCode="_-* #,##0\ &quot;€&quot;_-;\-* #,##0\ &quot;€&quot;_-;_-* &quot;-&quot;??\ &quot;€&quot;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7" formatCode="_-* #,##0\ &quot;€&quot;_-;\-* #,##0\ &quot;€&quot;_-;_-* &quot;-&quot;??\ &quot;€&quot;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#,##0\ &quot;€&quot;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outline="0">
        <left style="thin">
          <color rgb="FF000000"/>
        </left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b val="0"/>
        <i/>
        <strike val="0"/>
        <color rgb="FFFF0000"/>
      </font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7" formatCode="_-* #,##0\ &quot;€&quot;_-;\-* #,##0\ &quot;€&quot;_-;_-* &quot;-&quot;??\ &quot;€&quot;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7" formatCode="_-* #,##0\ &quot;€&quot;_-;\-* #,##0\ &quot;€&quot;_-;_-* &quot;-&quot;??\ &quot;€&quot;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#,##0\ &quot;€&quot;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outline="0">
        <left style="thin">
          <color rgb="FF000000"/>
        </left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b val="0"/>
        <i/>
        <strike val="0"/>
        <color rgb="FFFF0000"/>
      </font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7" formatCode="_-* #,##0\ &quot;€&quot;_-;\-* #,##0\ &quot;€&quot;_-;_-* &quot;-&quot;??\ &quot;€&quot;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7" formatCode="_-* #,##0\ &quot;€&quot;_-;\-* #,##0\ &quot;€&quot;_-;_-* &quot;-&quot;??\ &quot;€&quot;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#,##0\ &quot;€&quot;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outline="0">
        <left style="thin">
          <color rgb="FF000000"/>
        </left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b val="0"/>
        <i/>
        <strike val="0"/>
        <color rgb="FFFF0000"/>
      </font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7" formatCode="_-* #,##0\ &quot;€&quot;_-;\-* #,##0\ &quot;€&quot;_-;_-* &quot;-&quot;??\ &quot;€&quot;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7" formatCode="_-* #,##0\ &quot;€&quot;_-;\-* #,##0\ &quot;€&quot;_-;_-* &quot;-&quot;??\ &quot;€&quot;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#,##0\ &quot;€&quot;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outline="0">
        <left style="thin">
          <color rgb="FF000000"/>
        </left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b val="0"/>
        <i/>
        <strike val="0"/>
        <color rgb="FFFF0000"/>
      </font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7" formatCode="_-* #,##0\ &quot;€&quot;_-;\-* #,##0\ &quot;€&quot;_-;_-* &quot;-&quot;??\ &quot;€&quot;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7" formatCode="_-* #,##0\ &quot;€&quot;_-;\-* #,##0\ &quot;€&quot;_-;_-* &quot;-&quot;??\ &quot;€&quot;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#,##0\ &quot;€&quot;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_-* #,##0\ &quot;€&quot;_-;\-* #,##0\ &quot;€&quot;_-;_-* &quot;-&quot;??\ &quot;€&quot;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outline="0">
        <left style="thin">
          <color indexed="64"/>
        </left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b val="0"/>
        <i/>
        <strike val="0"/>
        <color rgb="FFFF0000"/>
      </font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45B5ED"/>
      <color rgb="FF3AF6F6"/>
      <color rgb="FFFFD72D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809625</xdr:colOff>
      <xdr:row>16</xdr:row>
      <xdr:rowOff>66675</xdr:rowOff>
    </xdr:from>
    <xdr:to>
      <xdr:col>13</xdr:col>
      <xdr:colOff>2228850</xdr:colOff>
      <xdr:row>19</xdr:row>
      <xdr:rowOff>95250</xdr:rowOff>
    </xdr:to>
    <xdr:sp macro="[0]!OuvreFormulaire" textlink="">
      <xdr:nvSpPr>
        <xdr:cNvPr id="2" name="Rectangle à coins arrondis 1"/>
        <xdr:cNvSpPr/>
      </xdr:nvSpPr>
      <xdr:spPr>
        <a:xfrm>
          <a:off x="14068425" y="3114675"/>
          <a:ext cx="2295525" cy="6000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38100</xdr:colOff>
      <xdr:row>7</xdr:row>
      <xdr:rowOff>114300</xdr:rowOff>
    </xdr:from>
    <xdr:to>
      <xdr:col>6</xdr:col>
      <xdr:colOff>323850</xdr:colOff>
      <xdr:row>9</xdr:row>
      <xdr:rowOff>123826</xdr:rowOff>
    </xdr:to>
    <xdr:sp macro="[0]!Recherche_Modif" textlink="">
      <xdr:nvSpPr>
        <xdr:cNvPr id="2" name="ZoneTexte 1"/>
        <xdr:cNvSpPr txBox="1"/>
      </xdr:nvSpPr>
      <xdr:spPr>
        <a:xfrm>
          <a:off x="3086100" y="1447800"/>
          <a:ext cx="1809750" cy="390526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Recherche - Modification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141175</xdr:colOff>
      <xdr:row>0</xdr:row>
      <xdr:rowOff>0</xdr:rowOff>
    </xdr:from>
    <xdr:to>
      <xdr:col>2</xdr:col>
      <xdr:colOff>329331</xdr:colOff>
      <xdr:row>0</xdr:row>
      <xdr:rowOff>428625</xdr:rowOff>
    </xdr:to>
    <xdr:sp macro="[0]!Visa" textlink="">
      <xdr:nvSpPr>
        <xdr:cNvPr id="2" name="Rectangle avec coins arrondis du même côté 1"/>
        <xdr:cNvSpPr/>
      </xdr:nvSpPr>
      <xdr:spPr>
        <a:xfrm>
          <a:off x="1772331" y="0"/>
          <a:ext cx="1224000" cy="428625"/>
        </a:xfrm>
        <a:prstGeom prst="round2SameRect">
          <a:avLst/>
        </a:prstGeom>
        <a:solidFill>
          <a:srgbClr val="FFFF00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V</a:t>
          </a:r>
          <a:r>
            <a:rPr lang="fr-FR" sz="1100">
              <a:solidFill>
                <a:sysClr val="windowText" lastClr="000000"/>
              </a:solidFill>
            </a:rPr>
            <a:t>isa</a:t>
          </a:r>
        </a:p>
      </xdr:txBody>
    </xdr:sp>
    <xdr:clientData/>
  </xdr:twoCellAnchor>
  <xdr:twoCellAnchor>
    <xdr:from>
      <xdr:col>0</xdr:col>
      <xdr:colOff>35719</xdr:colOff>
      <xdr:row>0</xdr:row>
      <xdr:rowOff>0</xdr:rowOff>
    </xdr:from>
    <xdr:to>
      <xdr:col>1</xdr:col>
      <xdr:colOff>11906</xdr:colOff>
      <xdr:row>1</xdr:row>
      <xdr:rowOff>0</xdr:rowOff>
    </xdr:to>
    <xdr:sp macro="[0]!Afficher_tout" textlink="">
      <xdr:nvSpPr>
        <xdr:cNvPr id="4" name="Rectangle avec coins arrondis du même côté 3"/>
        <xdr:cNvSpPr/>
      </xdr:nvSpPr>
      <xdr:spPr>
        <a:xfrm>
          <a:off x="35719" y="0"/>
          <a:ext cx="1607343" cy="440531"/>
        </a:xfrm>
        <a:prstGeom prst="round2SameRect">
          <a:avLst/>
        </a:prstGeom>
        <a:solidFill>
          <a:schemeClr val="accent4">
            <a:lumMod val="40000"/>
            <a:lumOff val="60000"/>
          </a:schemeClr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aseline="0">
              <a:solidFill>
                <a:sysClr val="windowText" lastClr="000000"/>
              </a:solidFill>
            </a:rPr>
            <a:t>Afficher </a:t>
          </a:r>
          <a:r>
            <a:rPr lang="fr-FR" sz="1100" baseline="0">
              <a:solidFill>
                <a:srgbClr val="FF0000"/>
              </a:solidFill>
            </a:rPr>
            <a:t>T</a:t>
          </a:r>
          <a:r>
            <a:rPr lang="fr-FR" sz="1100" baseline="0">
              <a:solidFill>
                <a:sysClr val="windowText" lastClr="000000"/>
              </a:solidFill>
            </a:rPr>
            <a:t>out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428625</xdr:colOff>
      <xdr:row>0</xdr:row>
      <xdr:rowOff>0</xdr:rowOff>
    </xdr:from>
    <xdr:to>
      <xdr:col>2</xdr:col>
      <xdr:colOff>2095500</xdr:colOff>
      <xdr:row>1</xdr:row>
      <xdr:rowOff>0</xdr:rowOff>
    </xdr:to>
    <xdr:sp macro="[0]!Données_chiffrées" textlink="">
      <xdr:nvSpPr>
        <xdr:cNvPr id="5" name="Rectangle avec coins arrondis du même côté 4"/>
        <xdr:cNvSpPr/>
      </xdr:nvSpPr>
      <xdr:spPr>
        <a:xfrm>
          <a:off x="3095625" y="0"/>
          <a:ext cx="1666875" cy="440531"/>
        </a:xfrm>
        <a:prstGeom prst="round2SameRect">
          <a:avLst/>
        </a:prstGeom>
        <a:solidFill>
          <a:srgbClr val="45B5ED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D</a:t>
          </a:r>
          <a:r>
            <a:rPr lang="fr-FR" sz="1100">
              <a:solidFill>
                <a:sysClr val="windowText" lastClr="000000"/>
              </a:solidFill>
            </a:rPr>
            <a:t>onnées</a:t>
          </a:r>
          <a:r>
            <a:rPr lang="fr-FR" sz="1100" baseline="0">
              <a:solidFill>
                <a:sysClr val="windowText" lastClr="000000"/>
              </a:solidFill>
            </a:rPr>
            <a:t> chiffrées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56</xdr:col>
      <xdr:colOff>0</xdr:colOff>
      <xdr:row>0</xdr:row>
      <xdr:rowOff>0</xdr:rowOff>
    </xdr:from>
    <xdr:to>
      <xdr:col>59</xdr:col>
      <xdr:colOff>291353</xdr:colOff>
      <xdr:row>1</xdr:row>
      <xdr:rowOff>0</xdr:rowOff>
    </xdr:to>
    <xdr:sp macro="[0]!Afficher_tout" textlink="">
      <xdr:nvSpPr>
        <xdr:cNvPr id="6" name="Rectangle avec coins arrondis du même côté 5"/>
        <xdr:cNvSpPr/>
      </xdr:nvSpPr>
      <xdr:spPr>
        <a:xfrm>
          <a:off x="64904471" y="0"/>
          <a:ext cx="3877235" cy="437029"/>
        </a:xfrm>
        <a:prstGeom prst="round2SameRect">
          <a:avLst/>
        </a:prstGeom>
        <a:solidFill>
          <a:srgbClr val="3AF6F6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Retour</a:t>
          </a:r>
          <a:r>
            <a:rPr lang="fr-FR" sz="1100" baseline="0">
              <a:solidFill>
                <a:srgbClr val="FF0000"/>
              </a:solidFill>
            </a:rPr>
            <a:t> au début de la ligne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55</xdr:col>
      <xdr:colOff>336176</xdr:colOff>
      <xdr:row>0</xdr:row>
      <xdr:rowOff>0</xdr:rowOff>
    </xdr:from>
    <xdr:to>
      <xdr:col>55</xdr:col>
      <xdr:colOff>1937216</xdr:colOff>
      <xdr:row>1</xdr:row>
      <xdr:rowOff>0</xdr:rowOff>
    </xdr:to>
    <xdr:sp macro="[0]!Afficher_tout" textlink="">
      <xdr:nvSpPr>
        <xdr:cNvPr id="9" name="Rectangle avec coins arrondis du même côté 8"/>
        <xdr:cNvSpPr/>
      </xdr:nvSpPr>
      <xdr:spPr>
        <a:xfrm>
          <a:off x="13704794" y="0"/>
          <a:ext cx="1601040" cy="437029"/>
        </a:xfrm>
        <a:prstGeom prst="round2SameRect">
          <a:avLst/>
        </a:prstGeom>
        <a:solidFill>
          <a:schemeClr val="accent4">
            <a:lumMod val="40000"/>
            <a:lumOff val="60000"/>
          </a:schemeClr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aseline="0">
              <a:solidFill>
                <a:sysClr val="windowText" lastClr="000000"/>
              </a:solidFill>
            </a:rPr>
            <a:t>Afficher </a:t>
          </a:r>
          <a:r>
            <a:rPr lang="fr-FR" sz="1100" baseline="0">
              <a:solidFill>
                <a:srgbClr val="FF0000"/>
              </a:solidFill>
            </a:rPr>
            <a:t>T</a:t>
          </a:r>
          <a:r>
            <a:rPr lang="fr-FR" sz="1100" baseline="0">
              <a:solidFill>
                <a:sysClr val="windowText" lastClr="000000"/>
              </a:solidFill>
            </a:rPr>
            <a:t>out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56</xdr:col>
      <xdr:colOff>369795</xdr:colOff>
      <xdr:row>0</xdr:row>
      <xdr:rowOff>112058</xdr:rowOff>
    </xdr:from>
    <xdr:to>
      <xdr:col>56</xdr:col>
      <xdr:colOff>1143001</xdr:colOff>
      <xdr:row>0</xdr:row>
      <xdr:rowOff>347382</xdr:rowOff>
    </xdr:to>
    <xdr:sp macro="[0]!Afficher_tout" textlink="">
      <xdr:nvSpPr>
        <xdr:cNvPr id="3" name="Flèche gauche 2"/>
        <xdr:cNvSpPr/>
      </xdr:nvSpPr>
      <xdr:spPr>
        <a:xfrm>
          <a:off x="65285471" y="112058"/>
          <a:ext cx="773206" cy="235324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56029</xdr:colOff>
      <xdr:row>0</xdr:row>
      <xdr:rowOff>0</xdr:rowOff>
    </xdr:from>
    <xdr:to>
      <xdr:col>4</xdr:col>
      <xdr:colOff>1299882</xdr:colOff>
      <xdr:row>1</xdr:row>
      <xdr:rowOff>0</xdr:rowOff>
    </xdr:to>
    <xdr:sp macro="[0]!Suivi_RSA" textlink="">
      <xdr:nvSpPr>
        <xdr:cNvPr id="10" name="Rectangle avec coins arrondis du même côté 9"/>
        <xdr:cNvSpPr/>
      </xdr:nvSpPr>
      <xdr:spPr>
        <a:xfrm>
          <a:off x="6241676" y="0"/>
          <a:ext cx="1243853" cy="437029"/>
        </a:xfrm>
        <a:prstGeom prst="round2SameRect">
          <a:avLst/>
        </a:prstGeom>
        <a:solidFill>
          <a:srgbClr val="3AF6F6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Suivi</a:t>
          </a:r>
          <a:r>
            <a:rPr lang="fr-FR" sz="1100" baseline="0">
              <a:solidFill>
                <a:sysClr val="windowText" lastClr="000000"/>
              </a:solidFill>
            </a:rPr>
            <a:t> </a:t>
          </a:r>
          <a:r>
            <a:rPr lang="fr-FR" sz="1100" baseline="0">
              <a:solidFill>
                <a:srgbClr val="FF0000"/>
              </a:solidFill>
            </a:rPr>
            <a:t>R</a:t>
          </a:r>
          <a:r>
            <a:rPr lang="fr-FR" sz="1100" baseline="0">
              <a:solidFill>
                <a:sysClr val="windowText" lastClr="000000"/>
              </a:solidFill>
            </a:rPr>
            <a:t>SA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4</xdr:col>
      <xdr:colOff>963706</xdr:colOff>
      <xdr:row>0</xdr:row>
      <xdr:rowOff>112061</xdr:rowOff>
    </xdr:from>
    <xdr:to>
      <xdr:col>4</xdr:col>
      <xdr:colOff>1221440</xdr:colOff>
      <xdr:row>0</xdr:row>
      <xdr:rowOff>324971</xdr:rowOff>
    </xdr:to>
    <xdr:sp macro="[0]!Suivi_RSA" textlink="">
      <xdr:nvSpPr>
        <xdr:cNvPr id="11" name="Flèche droite 10"/>
        <xdr:cNvSpPr/>
      </xdr:nvSpPr>
      <xdr:spPr>
        <a:xfrm>
          <a:off x="7138147" y="112061"/>
          <a:ext cx="257734" cy="21291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22412</xdr:colOff>
      <xdr:row>0</xdr:row>
      <xdr:rowOff>0</xdr:rowOff>
    </xdr:from>
    <xdr:to>
      <xdr:col>6</xdr:col>
      <xdr:colOff>8862</xdr:colOff>
      <xdr:row>0</xdr:row>
      <xdr:rowOff>428625</xdr:rowOff>
    </xdr:to>
    <xdr:sp macro="[0]!Effacer_filtre" textlink="">
      <xdr:nvSpPr>
        <xdr:cNvPr id="12" name="Rectangle avec coins arrondis du même côté 11"/>
        <xdr:cNvSpPr/>
      </xdr:nvSpPr>
      <xdr:spPr>
        <a:xfrm>
          <a:off x="7530353" y="0"/>
          <a:ext cx="1230303" cy="428625"/>
        </a:xfrm>
        <a:prstGeom prst="round2SameRect">
          <a:avLst/>
        </a:prstGeom>
        <a:solidFill>
          <a:srgbClr val="FFD72D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E</a:t>
          </a:r>
          <a:r>
            <a:rPr lang="fr-FR" sz="1100">
              <a:solidFill>
                <a:sysClr val="windowText" lastClr="000000"/>
              </a:solidFill>
            </a:rPr>
            <a:t>ffacer</a:t>
          </a:r>
          <a:r>
            <a:rPr lang="fr-FR" sz="1100" baseline="0">
              <a:solidFill>
                <a:sysClr val="windowText" lastClr="000000"/>
              </a:solidFill>
            </a:rPr>
            <a:t> les Filtres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2117912</xdr:colOff>
      <xdr:row>0</xdr:row>
      <xdr:rowOff>0</xdr:rowOff>
    </xdr:from>
    <xdr:to>
      <xdr:col>4</xdr:col>
      <xdr:colOff>33618</xdr:colOff>
      <xdr:row>1</xdr:row>
      <xdr:rowOff>0</xdr:rowOff>
    </xdr:to>
    <xdr:sp macro="[0]!Suivi_développement" textlink="">
      <xdr:nvSpPr>
        <xdr:cNvPr id="16" name="Rectangle avec coins arrondis du même côté 15"/>
        <xdr:cNvSpPr/>
      </xdr:nvSpPr>
      <xdr:spPr>
        <a:xfrm>
          <a:off x="4784912" y="0"/>
          <a:ext cx="1434353" cy="437029"/>
        </a:xfrm>
        <a:prstGeom prst="round2SameRect">
          <a:avLst/>
        </a:prstGeom>
        <a:solidFill>
          <a:schemeClr val="accent2">
            <a:lumMod val="60000"/>
            <a:lumOff val="40000"/>
          </a:schemeClr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100">
              <a:solidFill>
                <a:srgbClr val="FF0000"/>
              </a:solidFill>
            </a:rPr>
            <a:t>S</a:t>
          </a:r>
          <a:r>
            <a:rPr lang="fr-FR" sz="1100">
              <a:solidFill>
                <a:sysClr val="windowText" lastClr="000000"/>
              </a:solidFill>
            </a:rPr>
            <a:t>uivi</a:t>
          </a:r>
          <a:r>
            <a:rPr lang="fr-FR" sz="1100" baseline="0">
              <a:solidFill>
                <a:sysClr val="windowText" lastClr="000000"/>
              </a:solidFill>
            </a:rPr>
            <a:t> déploiement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</xdr:col>
      <xdr:colOff>1030941</xdr:colOff>
      <xdr:row>0</xdr:row>
      <xdr:rowOff>134470</xdr:rowOff>
    </xdr:from>
    <xdr:to>
      <xdr:col>3</xdr:col>
      <xdr:colOff>1266264</xdr:colOff>
      <xdr:row>0</xdr:row>
      <xdr:rowOff>313764</xdr:rowOff>
    </xdr:to>
    <xdr:sp macro="[0]!Suivi_développement" textlink="">
      <xdr:nvSpPr>
        <xdr:cNvPr id="17" name="Flèche droite 16"/>
        <xdr:cNvSpPr/>
      </xdr:nvSpPr>
      <xdr:spPr>
        <a:xfrm>
          <a:off x="5950323" y="134470"/>
          <a:ext cx="235323" cy="179294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59</xdr:col>
      <xdr:colOff>302559</xdr:colOff>
      <xdr:row>0</xdr:row>
      <xdr:rowOff>0</xdr:rowOff>
    </xdr:from>
    <xdr:to>
      <xdr:col>60</xdr:col>
      <xdr:colOff>759656</xdr:colOff>
      <xdr:row>0</xdr:row>
      <xdr:rowOff>428625</xdr:rowOff>
    </xdr:to>
    <xdr:sp macro="[0]!Visa" textlink="">
      <xdr:nvSpPr>
        <xdr:cNvPr id="21" name="Rectangle avec coins arrondis du même côté 20"/>
        <xdr:cNvSpPr/>
      </xdr:nvSpPr>
      <xdr:spPr>
        <a:xfrm>
          <a:off x="68792912" y="0"/>
          <a:ext cx="1219097" cy="428625"/>
        </a:xfrm>
        <a:prstGeom prst="round2SameRect">
          <a:avLst/>
        </a:prstGeom>
        <a:solidFill>
          <a:srgbClr val="FFFF00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V</a:t>
          </a:r>
          <a:r>
            <a:rPr lang="fr-FR" sz="1100">
              <a:solidFill>
                <a:sysClr val="windowText" lastClr="000000"/>
              </a:solidFill>
            </a:rPr>
            <a:t>isa</a:t>
          </a:r>
        </a:p>
      </xdr:txBody>
    </xdr:sp>
    <xdr:clientData/>
  </xdr:twoCellAnchor>
  <xdr:twoCellAnchor>
    <xdr:from>
      <xdr:col>59</xdr:col>
      <xdr:colOff>392206</xdr:colOff>
      <xdr:row>0</xdr:row>
      <xdr:rowOff>100853</xdr:rowOff>
    </xdr:from>
    <xdr:to>
      <xdr:col>59</xdr:col>
      <xdr:colOff>717176</xdr:colOff>
      <xdr:row>0</xdr:row>
      <xdr:rowOff>336176</xdr:rowOff>
    </xdr:to>
    <xdr:sp macro="[0]!Visa" textlink="">
      <xdr:nvSpPr>
        <xdr:cNvPr id="22" name="Flèche gauche 21"/>
        <xdr:cNvSpPr/>
      </xdr:nvSpPr>
      <xdr:spPr>
        <a:xfrm>
          <a:off x="68882559" y="100853"/>
          <a:ext cx="324970" cy="235323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134471</xdr:colOff>
      <xdr:row>0</xdr:row>
      <xdr:rowOff>78441</xdr:rowOff>
    </xdr:from>
    <xdr:to>
      <xdr:col>6</xdr:col>
      <xdr:colOff>1277471</xdr:colOff>
      <xdr:row>0</xdr:row>
      <xdr:rowOff>392206</xdr:rowOff>
    </xdr:to>
    <xdr:sp macro="[0]!OuvreFormulaire" textlink="">
      <xdr:nvSpPr>
        <xdr:cNvPr id="7" name="Rectangle à coins arrondis 6"/>
        <xdr:cNvSpPr/>
      </xdr:nvSpPr>
      <xdr:spPr>
        <a:xfrm>
          <a:off x="8875059" y="78441"/>
          <a:ext cx="1143000" cy="31376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Saisie Visa test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141175</xdr:colOff>
      <xdr:row>0</xdr:row>
      <xdr:rowOff>0</xdr:rowOff>
    </xdr:from>
    <xdr:to>
      <xdr:col>2</xdr:col>
      <xdr:colOff>329331</xdr:colOff>
      <xdr:row>0</xdr:row>
      <xdr:rowOff>428625</xdr:rowOff>
    </xdr:to>
    <xdr:sp macro="[0]!Visa" textlink="">
      <xdr:nvSpPr>
        <xdr:cNvPr id="2" name="Rectangle avec coins arrondis du même côté 1"/>
        <xdr:cNvSpPr/>
      </xdr:nvSpPr>
      <xdr:spPr>
        <a:xfrm>
          <a:off x="1769950" y="0"/>
          <a:ext cx="1216856" cy="428625"/>
        </a:xfrm>
        <a:prstGeom prst="round2SameRect">
          <a:avLst/>
        </a:prstGeom>
        <a:solidFill>
          <a:srgbClr val="FFFF00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V</a:t>
          </a:r>
          <a:r>
            <a:rPr lang="fr-FR" sz="1100">
              <a:solidFill>
                <a:sysClr val="windowText" lastClr="000000"/>
              </a:solidFill>
            </a:rPr>
            <a:t>isa</a:t>
          </a:r>
        </a:p>
      </xdr:txBody>
    </xdr:sp>
    <xdr:clientData/>
  </xdr:twoCellAnchor>
  <xdr:twoCellAnchor>
    <xdr:from>
      <xdr:col>0</xdr:col>
      <xdr:colOff>35719</xdr:colOff>
      <xdr:row>0</xdr:row>
      <xdr:rowOff>0</xdr:rowOff>
    </xdr:from>
    <xdr:to>
      <xdr:col>1</xdr:col>
      <xdr:colOff>11906</xdr:colOff>
      <xdr:row>1</xdr:row>
      <xdr:rowOff>0</xdr:rowOff>
    </xdr:to>
    <xdr:sp macro="[0]!Afficher_tout" textlink="">
      <xdr:nvSpPr>
        <xdr:cNvPr id="3" name="Rectangle avec coins arrondis du même côté 2"/>
        <xdr:cNvSpPr/>
      </xdr:nvSpPr>
      <xdr:spPr>
        <a:xfrm>
          <a:off x="35719" y="0"/>
          <a:ext cx="1604962" cy="438150"/>
        </a:xfrm>
        <a:prstGeom prst="round2SameRect">
          <a:avLst/>
        </a:prstGeom>
        <a:solidFill>
          <a:schemeClr val="accent4">
            <a:lumMod val="40000"/>
            <a:lumOff val="60000"/>
          </a:schemeClr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aseline="0">
              <a:solidFill>
                <a:sysClr val="windowText" lastClr="000000"/>
              </a:solidFill>
            </a:rPr>
            <a:t>Afficher </a:t>
          </a:r>
          <a:r>
            <a:rPr lang="fr-FR" sz="1100" baseline="0">
              <a:solidFill>
                <a:srgbClr val="FF0000"/>
              </a:solidFill>
            </a:rPr>
            <a:t>T</a:t>
          </a:r>
          <a:r>
            <a:rPr lang="fr-FR" sz="1100" baseline="0">
              <a:solidFill>
                <a:sysClr val="windowText" lastClr="000000"/>
              </a:solidFill>
            </a:rPr>
            <a:t>out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428625</xdr:colOff>
      <xdr:row>0</xdr:row>
      <xdr:rowOff>0</xdr:rowOff>
    </xdr:from>
    <xdr:to>
      <xdr:col>2</xdr:col>
      <xdr:colOff>2095500</xdr:colOff>
      <xdr:row>1</xdr:row>
      <xdr:rowOff>0</xdr:rowOff>
    </xdr:to>
    <xdr:sp macro="[0]!Données_chiffrées" textlink="">
      <xdr:nvSpPr>
        <xdr:cNvPr id="4" name="Rectangle avec coins arrondis du même côté 3"/>
        <xdr:cNvSpPr/>
      </xdr:nvSpPr>
      <xdr:spPr>
        <a:xfrm>
          <a:off x="3086100" y="0"/>
          <a:ext cx="1666875" cy="438150"/>
        </a:xfrm>
        <a:prstGeom prst="round2SameRect">
          <a:avLst/>
        </a:prstGeom>
        <a:solidFill>
          <a:srgbClr val="45B5ED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D</a:t>
          </a:r>
          <a:r>
            <a:rPr lang="fr-FR" sz="1100">
              <a:solidFill>
                <a:sysClr val="windowText" lastClr="000000"/>
              </a:solidFill>
            </a:rPr>
            <a:t>onnées</a:t>
          </a:r>
          <a:r>
            <a:rPr lang="fr-FR" sz="1100" baseline="0">
              <a:solidFill>
                <a:sysClr val="windowText" lastClr="000000"/>
              </a:solidFill>
            </a:rPr>
            <a:t> chiffrées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56</xdr:col>
      <xdr:colOff>0</xdr:colOff>
      <xdr:row>0</xdr:row>
      <xdr:rowOff>0</xdr:rowOff>
    </xdr:from>
    <xdr:to>
      <xdr:col>59</xdr:col>
      <xdr:colOff>291353</xdr:colOff>
      <xdr:row>1</xdr:row>
      <xdr:rowOff>0</xdr:rowOff>
    </xdr:to>
    <xdr:sp macro="[0]!Afficher_tout" textlink="">
      <xdr:nvSpPr>
        <xdr:cNvPr id="5" name="Rectangle avec coins arrondis du même côté 4"/>
        <xdr:cNvSpPr/>
      </xdr:nvSpPr>
      <xdr:spPr>
        <a:xfrm>
          <a:off x="64903350" y="0"/>
          <a:ext cx="3872753" cy="438150"/>
        </a:xfrm>
        <a:prstGeom prst="round2SameRect">
          <a:avLst/>
        </a:prstGeom>
        <a:solidFill>
          <a:srgbClr val="3AF6F6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Retour</a:t>
          </a:r>
          <a:r>
            <a:rPr lang="fr-FR" sz="1100" baseline="0">
              <a:solidFill>
                <a:srgbClr val="FF0000"/>
              </a:solidFill>
            </a:rPr>
            <a:t> au début de la ligne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55</xdr:col>
      <xdr:colOff>336176</xdr:colOff>
      <xdr:row>0</xdr:row>
      <xdr:rowOff>0</xdr:rowOff>
    </xdr:from>
    <xdr:to>
      <xdr:col>55</xdr:col>
      <xdr:colOff>1937216</xdr:colOff>
      <xdr:row>1</xdr:row>
      <xdr:rowOff>0</xdr:rowOff>
    </xdr:to>
    <xdr:sp macro="[0]!Afficher_tout" textlink="">
      <xdr:nvSpPr>
        <xdr:cNvPr id="6" name="Rectangle avec coins arrondis du même côté 5"/>
        <xdr:cNvSpPr/>
      </xdr:nvSpPr>
      <xdr:spPr>
        <a:xfrm>
          <a:off x="63267851" y="0"/>
          <a:ext cx="1601040" cy="438150"/>
        </a:xfrm>
        <a:prstGeom prst="round2SameRect">
          <a:avLst/>
        </a:prstGeom>
        <a:solidFill>
          <a:schemeClr val="accent4">
            <a:lumMod val="40000"/>
            <a:lumOff val="60000"/>
          </a:schemeClr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aseline="0">
              <a:solidFill>
                <a:sysClr val="windowText" lastClr="000000"/>
              </a:solidFill>
            </a:rPr>
            <a:t>Afficher </a:t>
          </a:r>
          <a:r>
            <a:rPr lang="fr-FR" sz="1100" baseline="0">
              <a:solidFill>
                <a:srgbClr val="FF0000"/>
              </a:solidFill>
            </a:rPr>
            <a:t>T</a:t>
          </a:r>
          <a:r>
            <a:rPr lang="fr-FR" sz="1100" baseline="0">
              <a:solidFill>
                <a:sysClr val="windowText" lastClr="000000"/>
              </a:solidFill>
            </a:rPr>
            <a:t>out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56</xdr:col>
      <xdr:colOff>369795</xdr:colOff>
      <xdr:row>0</xdr:row>
      <xdr:rowOff>112058</xdr:rowOff>
    </xdr:from>
    <xdr:to>
      <xdr:col>56</xdr:col>
      <xdr:colOff>1143001</xdr:colOff>
      <xdr:row>0</xdr:row>
      <xdr:rowOff>347382</xdr:rowOff>
    </xdr:to>
    <xdr:sp macro="[0]!Afficher_tout" textlink="">
      <xdr:nvSpPr>
        <xdr:cNvPr id="7" name="Flèche gauche 6"/>
        <xdr:cNvSpPr/>
      </xdr:nvSpPr>
      <xdr:spPr>
        <a:xfrm>
          <a:off x="65273145" y="112058"/>
          <a:ext cx="773206" cy="235324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56029</xdr:colOff>
      <xdr:row>0</xdr:row>
      <xdr:rowOff>0</xdr:rowOff>
    </xdr:from>
    <xdr:to>
      <xdr:col>4</xdr:col>
      <xdr:colOff>1299882</xdr:colOff>
      <xdr:row>1</xdr:row>
      <xdr:rowOff>0</xdr:rowOff>
    </xdr:to>
    <xdr:sp macro="[0]!Suivi_RSA" textlink="">
      <xdr:nvSpPr>
        <xdr:cNvPr id="8" name="Rectangle avec coins arrondis du même côté 7"/>
        <xdr:cNvSpPr/>
      </xdr:nvSpPr>
      <xdr:spPr>
        <a:xfrm>
          <a:off x="6228229" y="0"/>
          <a:ext cx="1243853" cy="438150"/>
        </a:xfrm>
        <a:prstGeom prst="round2SameRect">
          <a:avLst/>
        </a:prstGeom>
        <a:solidFill>
          <a:srgbClr val="3AF6F6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Suivi</a:t>
          </a:r>
          <a:r>
            <a:rPr lang="fr-FR" sz="1100" baseline="0">
              <a:solidFill>
                <a:sysClr val="windowText" lastClr="000000"/>
              </a:solidFill>
            </a:rPr>
            <a:t> </a:t>
          </a:r>
          <a:r>
            <a:rPr lang="fr-FR" sz="1100" baseline="0">
              <a:solidFill>
                <a:srgbClr val="FF0000"/>
              </a:solidFill>
            </a:rPr>
            <a:t>R</a:t>
          </a:r>
          <a:r>
            <a:rPr lang="fr-FR" sz="1100" baseline="0">
              <a:solidFill>
                <a:sysClr val="windowText" lastClr="000000"/>
              </a:solidFill>
            </a:rPr>
            <a:t>SA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4</xdr:col>
      <xdr:colOff>963706</xdr:colOff>
      <xdr:row>0</xdr:row>
      <xdr:rowOff>112061</xdr:rowOff>
    </xdr:from>
    <xdr:to>
      <xdr:col>4</xdr:col>
      <xdr:colOff>1221440</xdr:colOff>
      <xdr:row>0</xdr:row>
      <xdr:rowOff>324971</xdr:rowOff>
    </xdr:to>
    <xdr:sp macro="[0]!Suivi_RSA" textlink="">
      <xdr:nvSpPr>
        <xdr:cNvPr id="9" name="Flèche droite 8"/>
        <xdr:cNvSpPr/>
      </xdr:nvSpPr>
      <xdr:spPr>
        <a:xfrm>
          <a:off x="7135906" y="112061"/>
          <a:ext cx="257734" cy="21291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22412</xdr:colOff>
      <xdr:row>0</xdr:row>
      <xdr:rowOff>0</xdr:rowOff>
    </xdr:from>
    <xdr:to>
      <xdr:col>6</xdr:col>
      <xdr:colOff>8862</xdr:colOff>
      <xdr:row>0</xdr:row>
      <xdr:rowOff>428625</xdr:rowOff>
    </xdr:to>
    <xdr:sp macro="[0]!Effacer_filtre" textlink="">
      <xdr:nvSpPr>
        <xdr:cNvPr id="10" name="Rectangle avec coins arrondis du même côté 9"/>
        <xdr:cNvSpPr/>
      </xdr:nvSpPr>
      <xdr:spPr>
        <a:xfrm>
          <a:off x="7518587" y="0"/>
          <a:ext cx="1224700" cy="428625"/>
        </a:xfrm>
        <a:prstGeom prst="round2SameRect">
          <a:avLst/>
        </a:prstGeom>
        <a:solidFill>
          <a:srgbClr val="FFD72D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E</a:t>
          </a:r>
          <a:r>
            <a:rPr lang="fr-FR" sz="1100">
              <a:solidFill>
                <a:sysClr val="windowText" lastClr="000000"/>
              </a:solidFill>
            </a:rPr>
            <a:t>ffacer</a:t>
          </a:r>
          <a:r>
            <a:rPr lang="fr-FR" sz="1100" baseline="0">
              <a:solidFill>
                <a:sysClr val="windowText" lastClr="000000"/>
              </a:solidFill>
            </a:rPr>
            <a:t> les Filtres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2117912</xdr:colOff>
      <xdr:row>0</xdr:row>
      <xdr:rowOff>0</xdr:rowOff>
    </xdr:from>
    <xdr:to>
      <xdr:col>4</xdr:col>
      <xdr:colOff>33618</xdr:colOff>
      <xdr:row>1</xdr:row>
      <xdr:rowOff>0</xdr:rowOff>
    </xdr:to>
    <xdr:sp macro="[0]!Suivi_développement" textlink="">
      <xdr:nvSpPr>
        <xdr:cNvPr id="11" name="Rectangle avec coins arrondis du même côté 10"/>
        <xdr:cNvSpPr/>
      </xdr:nvSpPr>
      <xdr:spPr>
        <a:xfrm>
          <a:off x="4775387" y="0"/>
          <a:ext cx="1430431" cy="438150"/>
        </a:xfrm>
        <a:prstGeom prst="round2SameRect">
          <a:avLst/>
        </a:prstGeom>
        <a:solidFill>
          <a:schemeClr val="accent2">
            <a:lumMod val="60000"/>
            <a:lumOff val="40000"/>
          </a:schemeClr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100">
              <a:solidFill>
                <a:srgbClr val="FF0000"/>
              </a:solidFill>
            </a:rPr>
            <a:t>S</a:t>
          </a:r>
          <a:r>
            <a:rPr lang="fr-FR" sz="1100">
              <a:solidFill>
                <a:sysClr val="windowText" lastClr="000000"/>
              </a:solidFill>
            </a:rPr>
            <a:t>uivi</a:t>
          </a:r>
          <a:r>
            <a:rPr lang="fr-FR" sz="1100" baseline="0">
              <a:solidFill>
                <a:sysClr val="windowText" lastClr="000000"/>
              </a:solidFill>
            </a:rPr>
            <a:t> déploiement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</xdr:col>
      <xdr:colOff>1030941</xdr:colOff>
      <xdr:row>0</xdr:row>
      <xdr:rowOff>134470</xdr:rowOff>
    </xdr:from>
    <xdr:to>
      <xdr:col>3</xdr:col>
      <xdr:colOff>1266264</xdr:colOff>
      <xdr:row>0</xdr:row>
      <xdr:rowOff>313764</xdr:rowOff>
    </xdr:to>
    <xdr:sp macro="[0]!Suivi_développement" textlink="">
      <xdr:nvSpPr>
        <xdr:cNvPr id="12" name="Flèche droite 11"/>
        <xdr:cNvSpPr/>
      </xdr:nvSpPr>
      <xdr:spPr>
        <a:xfrm>
          <a:off x="5936316" y="134470"/>
          <a:ext cx="235323" cy="179294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59</xdr:col>
      <xdr:colOff>302559</xdr:colOff>
      <xdr:row>0</xdr:row>
      <xdr:rowOff>0</xdr:rowOff>
    </xdr:from>
    <xdr:to>
      <xdr:col>60</xdr:col>
      <xdr:colOff>759656</xdr:colOff>
      <xdr:row>0</xdr:row>
      <xdr:rowOff>428625</xdr:rowOff>
    </xdr:to>
    <xdr:sp macro="[0]!Visa" textlink="">
      <xdr:nvSpPr>
        <xdr:cNvPr id="13" name="Rectangle avec coins arrondis du même côté 12"/>
        <xdr:cNvSpPr/>
      </xdr:nvSpPr>
      <xdr:spPr>
        <a:xfrm>
          <a:off x="68787309" y="0"/>
          <a:ext cx="1219097" cy="428625"/>
        </a:xfrm>
        <a:prstGeom prst="round2SameRect">
          <a:avLst/>
        </a:prstGeom>
        <a:solidFill>
          <a:srgbClr val="FFFF00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V</a:t>
          </a:r>
          <a:r>
            <a:rPr lang="fr-FR" sz="1100">
              <a:solidFill>
                <a:sysClr val="windowText" lastClr="000000"/>
              </a:solidFill>
            </a:rPr>
            <a:t>isa</a:t>
          </a:r>
        </a:p>
      </xdr:txBody>
    </xdr:sp>
    <xdr:clientData/>
  </xdr:twoCellAnchor>
  <xdr:twoCellAnchor>
    <xdr:from>
      <xdr:col>59</xdr:col>
      <xdr:colOff>392206</xdr:colOff>
      <xdr:row>0</xdr:row>
      <xdr:rowOff>100853</xdr:rowOff>
    </xdr:from>
    <xdr:to>
      <xdr:col>59</xdr:col>
      <xdr:colOff>717176</xdr:colOff>
      <xdr:row>0</xdr:row>
      <xdr:rowOff>336176</xdr:rowOff>
    </xdr:to>
    <xdr:sp macro="[0]!Visa" textlink="">
      <xdr:nvSpPr>
        <xdr:cNvPr id="14" name="Flèche gauche 13"/>
        <xdr:cNvSpPr/>
      </xdr:nvSpPr>
      <xdr:spPr>
        <a:xfrm>
          <a:off x="68876956" y="100853"/>
          <a:ext cx="324970" cy="235323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141175</xdr:colOff>
      <xdr:row>0</xdr:row>
      <xdr:rowOff>0</xdr:rowOff>
    </xdr:from>
    <xdr:to>
      <xdr:col>2</xdr:col>
      <xdr:colOff>329331</xdr:colOff>
      <xdr:row>0</xdr:row>
      <xdr:rowOff>428625</xdr:rowOff>
    </xdr:to>
    <xdr:sp macro="[0]!Visa" textlink="">
      <xdr:nvSpPr>
        <xdr:cNvPr id="2" name="Rectangle avec coins arrondis du même côté 1"/>
        <xdr:cNvSpPr/>
      </xdr:nvSpPr>
      <xdr:spPr>
        <a:xfrm>
          <a:off x="1769950" y="0"/>
          <a:ext cx="1216856" cy="428625"/>
        </a:xfrm>
        <a:prstGeom prst="round2SameRect">
          <a:avLst/>
        </a:prstGeom>
        <a:solidFill>
          <a:srgbClr val="FFFF00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V</a:t>
          </a:r>
          <a:r>
            <a:rPr lang="fr-FR" sz="1100">
              <a:solidFill>
                <a:sysClr val="windowText" lastClr="000000"/>
              </a:solidFill>
            </a:rPr>
            <a:t>isa</a:t>
          </a:r>
        </a:p>
      </xdr:txBody>
    </xdr:sp>
    <xdr:clientData/>
  </xdr:twoCellAnchor>
  <xdr:twoCellAnchor>
    <xdr:from>
      <xdr:col>0</xdr:col>
      <xdr:colOff>35719</xdr:colOff>
      <xdr:row>0</xdr:row>
      <xdr:rowOff>0</xdr:rowOff>
    </xdr:from>
    <xdr:to>
      <xdr:col>1</xdr:col>
      <xdr:colOff>11906</xdr:colOff>
      <xdr:row>1</xdr:row>
      <xdr:rowOff>0</xdr:rowOff>
    </xdr:to>
    <xdr:sp macro="[0]!Afficher_tout" textlink="">
      <xdr:nvSpPr>
        <xdr:cNvPr id="3" name="Rectangle avec coins arrondis du même côté 2"/>
        <xdr:cNvSpPr/>
      </xdr:nvSpPr>
      <xdr:spPr>
        <a:xfrm>
          <a:off x="35719" y="0"/>
          <a:ext cx="1604962" cy="438150"/>
        </a:xfrm>
        <a:prstGeom prst="round2SameRect">
          <a:avLst/>
        </a:prstGeom>
        <a:solidFill>
          <a:schemeClr val="accent4">
            <a:lumMod val="40000"/>
            <a:lumOff val="60000"/>
          </a:schemeClr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aseline="0">
              <a:solidFill>
                <a:sysClr val="windowText" lastClr="000000"/>
              </a:solidFill>
            </a:rPr>
            <a:t>Afficher </a:t>
          </a:r>
          <a:r>
            <a:rPr lang="fr-FR" sz="1100" baseline="0">
              <a:solidFill>
                <a:srgbClr val="FF0000"/>
              </a:solidFill>
            </a:rPr>
            <a:t>T</a:t>
          </a:r>
          <a:r>
            <a:rPr lang="fr-FR" sz="1100" baseline="0">
              <a:solidFill>
                <a:sysClr val="windowText" lastClr="000000"/>
              </a:solidFill>
            </a:rPr>
            <a:t>out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428625</xdr:colOff>
      <xdr:row>0</xdr:row>
      <xdr:rowOff>0</xdr:rowOff>
    </xdr:from>
    <xdr:to>
      <xdr:col>2</xdr:col>
      <xdr:colOff>2095500</xdr:colOff>
      <xdr:row>1</xdr:row>
      <xdr:rowOff>0</xdr:rowOff>
    </xdr:to>
    <xdr:sp macro="[0]!Données_chiffrées" textlink="">
      <xdr:nvSpPr>
        <xdr:cNvPr id="4" name="Rectangle avec coins arrondis du même côté 3"/>
        <xdr:cNvSpPr/>
      </xdr:nvSpPr>
      <xdr:spPr>
        <a:xfrm>
          <a:off x="3086100" y="0"/>
          <a:ext cx="1666875" cy="438150"/>
        </a:xfrm>
        <a:prstGeom prst="round2SameRect">
          <a:avLst/>
        </a:prstGeom>
        <a:solidFill>
          <a:srgbClr val="45B5ED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D</a:t>
          </a:r>
          <a:r>
            <a:rPr lang="fr-FR" sz="1100">
              <a:solidFill>
                <a:sysClr val="windowText" lastClr="000000"/>
              </a:solidFill>
            </a:rPr>
            <a:t>onnées</a:t>
          </a:r>
          <a:r>
            <a:rPr lang="fr-FR" sz="1100" baseline="0">
              <a:solidFill>
                <a:sysClr val="windowText" lastClr="000000"/>
              </a:solidFill>
            </a:rPr>
            <a:t> chiffrées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56</xdr:col>
      <xdr:colOff>0</xdr:colOff>
      <xdr:row>0</xdr:row>
      <xdr:rowOff>0</xdr:rowOff>
    </xdr:from>
    <xdr:to>
      <xdr:col>59</xdr:col>
      <xdr:colOff>291353</xdr:colOff>
      <xdr:row>1</xdr:row>
      <xdr:rowOff>0</xdr:rowOff>
    </xdr:to>
    <xdr:sp macro="[0]!Afficher_tout" textlink="">
      <xdr:nvSpPr>
        <xdr:cNvPr id="5" name="Rectangle avec coins arrondis du même côté 4"/>
        <xdr:cNvSpPr/>
      </xdr:nvSpPr>
      <xdr:spPr>
        <a:xfrm>
          <a:off x="64903350" y="0"/>
          <a:ext cx="3872753" cy="438150"/>
        </a:xfrm>
        <a:prstGeom prst="round2SameRect">
          <a:avLst/>
        </a:prstGeom>
        <a:solidFill>
          <a:srgbClr val="3AF6F6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Retour</a:t>
          </a:r>
          <a:r>
            <a:rPr lang="fr-FR" sz="1100" baseline="0">
              <a:solidFill>
                <a:srgbClr val="FF0000"/>
              </a:solidFill>
            </a:rPr>
            <a:t> au début de la ligne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55</xdr:col>
      <xdr:colOff>336176</xdr:colOff>
      <xdr:row>0</xdr:row>
      <xdr:rowOff>0</xdr:rowOff>
    </xdr:from>
    <xdr:to>
      <xdr:col>55</xdr:col>
      <xdr:colOff>1937216</xdr:colOff>
      <xdr:row>1</xdr:row>
      <xdr:rowOff>0</xdr:rowOff>
    </xdr:to>
    <xdr:sp macro="[0]!Afficher_tout" textlink="">
      <xdr:nvSpPr>
        <xdr:cNvPr id="6" name="Rectangle avec coins arrondis du même côté 5"/>
        <xdr:cNvSpPr/>
      </xdr:nvSpPr>
      <xdr:spPr>
        <a:xfrm>
          <a:off x="63267851" y="0"/>
          <a:ext cx="1601040" cy="438150"/>
        </a:xfrm>
        <a:prstGeom prst="round2SameRect">
          <a:avLst/>
        </a:prstGeom>
        <a:solidFill>
          <a:schemeClr val="accent4">
            <a:lumMod val="40000"/>
            <a:lumOff val="60000"/>
          </a:schemeClr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aseline="0">
              <a:solidFill>
                <a:sysClr val="windowText" lastClr="000000"/>
              </a:solidFill>
            </a:rPr>
            <a:t>Afficher </a:t>
          </a:r>
          <a:r>
            <a:rPr lang="fr-FR" sz="1100" baseline="0">
              <a:solidFill>
                <a:srgbClr val="FF0000"/>
              </a:solidFill>
            </a:rPr>
            <a:t>T</a:t>
          </a:r>
          <a:r>
            <a:rPr lang="fr-FR" sz="1100" baseline="0">
              <a:solidFill>
                <a:sysClr val="windowText" lastClr="000000"/>
              </a:solidFill>
            </a:rPr>
            <a:t>out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56</xdr:col>
      <xdr:colOff>369795</xdr:colOff>
      <xdr:row>0</xdr:row>
      <xdr:rowOff>112058</xdr:rowOff>
    </xdr:from>
    <xdr:to>
      <xdr:col>56</xdr:col>
      <xdr:colOff>1143001</xdr:colOff>
      <xdr:row>0</xdr:row>
      <xdr:rowOff>347382</xdr:rowOff>
    </xdr:to>
    <xdr:sp macro="[0]!Afficher_tout" textlink="">
      <xdr:nvSpPr>
        <xdr:cNvPr id="7" name="Flèche gauche 6"/>
        <xdr:cNvSpPr/>
      </xdr:nvSpPr>
      <xdr:spPr>
        <a:xfrm>
          <a:off x="65273145" y="112058"/>
          <a:ext cx="773206" cy="235324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56029</xdr:colOff>
      <xdr:row>0</xdr:row>
      <xdr:rowOff>0</xdr:rowOff>
    </xdr:from>
    <xdr:to>
      <xdr:col>4</xdr:col>
      <xdr:colOff>1299882</xdr:colOff>
      <xdr:row>1</xdr:row>
      <xdr:rowOff>0</xdr:rowOff>
    </xdr:to>
    <xdr:sp macro="[0]!Suivi_RSA" textlink="">
      <xdr:nvSpPr>
        <xdr:cNvPr id="8" name="Rectangle avec coins arrondis du même côté 7"/>
        <xdr:cNvSpPr/>
      </xdr:nvSpPr>
      <xdr:spPr>
        <a:xfrm>
          <a:off x="6228229" y="0"/>
          <a:ext cx="1243853" cy="438150"/>
        </a:xfrm>
        <a:prstGeom prst="round2SameRect">
          <a:avLst/>
        </a:prstGeom>
        <a:solidFill>
          <a:srgbClr val="3AF6F6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Suivi</a:t>
          </a:r>
          <a:r>
            <a:rPr lang="fr-FR" sz="1100" baseline="0">
              <a:solidFill>
                <a:sysClr val="windowText" lastClr="000000"/>
              </a:solidFill>
            </a:rPr>
            <a:t> </a:t>
          </a:r>
          <a:r>
            <a:rPr lang="fr-FR" sz="1100" baseline="0">
              <a:solidFill>
                <a:srgbClr val="FF0000"/>
              </a:solidFill>
            </a:rPr>
            <a:t>R</a:t>
          </a:r>
          <a:r>
            <a:rPr lang="fr-FR" sz="1100" baseline="0">
              <a:solidFill>
                <a:sysClr val="windowText" lastClr="000000"/>
              </a:solidFill>
            </a:rPr>
            <a:t>SA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4</xdr:col>
      <xdr:colOff>963706</xdr:colOff>
      <xdr:row>0</xdr:row>
      <xdr:rowOff>112061</xdr:rowOff>
    </xdr:from>
    <xdr:to>
      <xdr:col>4</xdr:col>
      <xdr:colOff>1221440</xdr:colOff>
      <xdr:row>0</xdr:row>
      <xdr:rowOff>324971</xdr:rowOff>
    </xdr:to>
    <xdr:sp macro="[0]!Suivi_RSA" textlink="">
      <xdr:nvSpPr>
        <xdr:cNvPr id="9" name="Flèche droite 8"/>
        <xdr:cNvSpPr/>
      </xdr:nvSpPr>
      <xdr:spPr>
        <a:xfrm>
          <a:off x="7135906" y="112061"/>
          <a:ext cx="257734" cy="21291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22412</xdr:colOff>
      <xdr:row>0</xdr:row>
      <xdr:rowOff>0</xdr:rowOff>
    </xdr:from>
    <xdr:to>
      <xdr:col>6</xdr:col>
      <xdr:colOff>8862</xdr:colOff>
      <xdr:row>0</xdr:row>
      <xdr:rowOff>428625</xdr:rowOff>
    </xdr:to>
    <xdr:sp macro="[0]!Effacer_filtre" textlink="">
      <xdr:nvSpPr>
        <xdr:cNvPr id="10" name="Rectangle avec coins arrondis du même côté 9"/>
        <xdr:cNvSpPr/>
      </xdr:nvSpPr>
      <xdr:spPr>
        <a:xfrm>
          <a:off x="7518587" y="0"/>
          <a:ext cx="1224700" cy="428625"/>
        </a:xfrm>
        <a:prstGeom prst="round2SameRect">
          <a:avLst/>
        </a:prstGeom>
        <a:solidFill>
          <a:srgbClr val="FFD72D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E</a:t>
          </a:r>
          <a:r>
            <a:rPr lang="fr-FR" sz="1100">
              <a:solidFill>
                <a:sysClr val="windowText" lastClr="000000"/>
              </a:solidFill>
            </a:rPr>
            <a:t>ffacer</a:t>
          </a:r>
          <a:r>
            <a:rPr lang="fr-FR" sz="1100" baseline="0">
              <a:solidFill>
                <a:sysClr val="windowText" lastClr="000000"/>
              </a:solidFill>
            </a:rPr>
            <a:t> les Filtres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2117912</xdr:colOff>
      <xdr:row>0</xdr:row>
      <xdr:rowOff>0</xdr:rowOff>
    </xdr:from>
    <xdr:to>
      <xdr:col>4</xdr:col>
      <xdr:colOff>33618</xdr:colOff>
      <xdr:row>1</xdr:row>
      <xdr:rowOff>0</xdr:rowOff>
    </xdr:to>
    <xdr:sp macro="[0]!Suivi_développement" textlink="">
      <xdr:nvSpPr>
        <xdr:cNvPr id="11" name="Rectangle avec coins arrondis du même côté 10"/>
        <xdr:cNvSpPr/>
      </xdr:nvSpPr>
      <xdr:spPr>
        <a:xfrm>
          <a:off x="4775387" y="0"/>
          <a:ext cx="1430431" cy="438150"/>
        </a:xfrm>
        <a:prstGeom prst="round2SameRect">
          <a:avLst/>
        </a:prstGeom>
        <a:solidFill>
          <a:schemeClr val="accent2">
            <a:lumMod val="60000"/>
            <a:lumOff val="40000"/>
          </a:schemeClr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100">
              <a:solidFill>
                <a:srgbClr val="FF0000"/>
              </a:solidFill>
            </a:rPr>
            <a:t>S</a:t>
          </a:r>
          <a:r>
            <a:rPr lang="fr-FR" sz="1100">
              <a:solidFill>
                <a:sysClr val="windowText" lastClr="000000"/>
              </a:solidFill>
            </a:rPr>
            <a:t>uivi</a:t>
          </a:r>
          <a:r>
            <a:rPr lang="fr-FR" sz="1100" baseline="0">
              <a:solidFill>
                <a:sysClr val="windowText" lastClr="000000"/>
              </a:solidFill>
            </a:rPr>
            <a:t> déploiement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</xdr:col>
      <xdr:colOff>1030941</xdr:colOff>
      <xdr:row>0</xdr:row>
      <xdr:rowOff>134470</xdr:rowOff>
    </xdr:from>
    <xdr:to>
      <xdr:col>3</xdr:col>
      <xdr:colOff>1266264</xdr:colOff>
      <xdr:row>0</xdr:row>
      <xdr:rowOff>313764</xdr:rowOff>
    </xdr:to>
    <xdr:sp macro="[0]!Suivi_développement" textlink="">
      <xdr:nvSpPr>
        <xdr:cNvPr id="12" name="Flèche droite 11"/>
        <xdr:cNvSpPr/>
      </xdr:nvSpPr>
      <xdr:spPr>
        <a:xfrm>
          <a:off x="5936316" y="134470"/>
          <a:ext cx="235323" cy="179294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59</xdr:col>
      <xdr:colOff>302559</xdr:colOff>
      <xdr:row>0</xdr:row>
      <xdr:rowOff>0</xdr:rowOff>
    </xdr:from>
    <xdr:to>
      <xdr:col>60</xdr:col>
      <xdr:colOff>759656</xdr:colOff>
      <xdr:row>0</xdr:row>
      <xdr:rowOff>428625</xdr:rowOff>
    </xdr:to>
    <xdr:sp macro="[0]!Visa" textlink="">
      <xdr:nvSpPr>
        <xdr:cNvPr id="13" name="Rectangle avec coins arrondis du même côté 12"/>
        <xdr:cNvSpPr/>
      </xdr:nvSpPr>
      <xdr:spPr>
        <a:xfrm>
          <a:off x="68787309" y="0"/>
          <a:ext cx="1219097" cy="428625"/>
        </a:xfrm>
        <a:prstGeom prst="round2SameRect">
          <a:avLst/>
        </a:prstGeom>
        <a:solidFill>
          <a:srgbClr val="FFFF00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V</a:t>
          </a:r>
          <a:r>
            <a:rPr lang="fr-FR" sz="1100">
              <a:solidFill>
                <a:sysClr val="windowText" lastClr="000000"/>
              </a:solidFill>
            </a:rPr>
            <a:t>isa</a:t>
          </a:r>
        </a:p>
      </xdr:txBody>
    </xdr:sp>
    <xdr:clientData/>
  </xdr:twoCellAnchor>
  <xdr:twoCellAnchor>
    <xdr:from>
      <xdr:col>59</xdr:col>
      <xdr:colOff>392206</xdr:colOff>
      <xdr:row>0</xdr:row>
      <xdr:rowOff>100853</xdr:rowOff>
    </xdr:from>
    <xdr:to>
      <xdr:col>59</xdr:col>
      <xdr:colOff>717176</xdr:colOff>
      <xdr:row>0</xdr:row>
      <xdr:rowOff>336176</xdr:rowOff>
    </xdr:to>
    <xdr:sp macro="[0]!Visa" textlink="">
      <xdr:nvSpPr>
        <xdr:cNvPr id="14" name="Flèche gauche 13"/>
        <xdr:cNvSpPr/>
      </xdr:nvSpPr>
      <xdr:spPr>
        <a:xfrm>
          <a:off x="68876956" y="100853"/>
          <a:ext cx="324970" cy="235323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141175</xdr:colOff>
      <xdr:row>0</xdr:row>
      <xdr:rowOff>0</xdr:rowOff>
    </xdr:from>
    <xdr:to>
      <xdr:col>2</xdr:col>
      <xdr:colOff>329331</xdr:colOff>
      <xdr:row>0</xdr:row>
      <xdr:rowOff>428625</xdr:rowOff>
    </xdr:to>
    <xdr:sp macro="[0]!Visa" textlink="">
      <xdr:nvSpPr>
        <xdr:cNvPr id="2" name="Rectangle avec coins arrondis du même côté 1"/>
        <xdr:cNvSpPr/>
      </xdr:nvSpPr>
      <xdr:spPr>
        <a:xfrm>
          <a:off x="1769950" y="0"/>
          <a:ext cx="1216856" cy="428625"/>
        </a:xfrm>
        <a:prstGeom prst="round2SameRect">
          <a:avLst/>
        </a:prstGeom>
        <a:solidFill>
          <a:srgbClr val="FFFF00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V</a:t>
          </a:r>
          <a:r>
            <a:rPr lang="fr-FR" sz="1100">
              <a:solidFill>
                <a:sysClr val="windowText" lastClr="000000"/>
              </a:solidFill>
            </a:rPr>
            <a:t>isa</a:t>
          </a:r>
        </a:p>
      </xdr:txBody>
    </xdr:sp>
    <xdr:clientData/>
  </xdr:twoCellAnchor>
  <xdr:twoCellAnchor>
    <xdr:from>
      <xdr:col>0</xdr:col>
      <xdr:colOff>35719</xdr:colOff>
      <xdr:row>0</xdr:row>
      <xdr:rowOff>0</xdr:rowOff>
    </xdr:from>
    <xdr:to>
      <xdr:col>1</xdr:col>
      <xdr:colOff>11906</xdr:colOff>
      <xdr:row>1</xdr:row>
      <xdr:rowOff>0</xdr:rowOff>
    </xdr:to>
    <xdr:sp macro="[0]!Afficher_tout" textlink="">
      <xdr:nvSpPr>
        <xdr:cNvPr id="3" name="Rectangle avec coins arrondis du même côté 2"/>
        <xdr:cNvSpPr/>
      </xdr:nvSpPr>
      <xdr:spPr>
        <a:xfrm>
          <a:off x="35719" y="0"/>
          <a:ext cx="1604962" cy="438150"/>
        </a:xfrm>
        <a:prstGeom prst="round2SameRect">
          <a:avLst/>
        </a:prstGeom>
        <a:solidFill>
          <a:schemeClr val="accent4">
            <a:lumMod val="40000"/>
            <a:lumOff val="60000"/>
          </a:schemeClr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aseline="0">
              <a:solidFill>
                <a:sysClr val="windowText" lastClr="000000"/>
              </a:solidFill>
            </a:rPr>
            <a:t>Afficher </a:t>
          </a:r>
          <a:r>
            <a:rPr lang="fr-FR" sz="1100" baseline="0">
              <a:solidFill>
                <a:srgbClr val="FF0000"/>
              </a:solidFill>
            </a:rPr>
            <a:t>T</a:t>
          </a:r>
          <a:r>
            <a:rPr lang="fr-FR" sz="1100" baseline="0">
              <a:solidFill>
                <a:sysClr val="windowText" lastClr="000000"/>
              </a:solidFill>
            </a:rPr>
            <a:t>out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428625</xdr:colOff>
      <xdr:row>0</xdr:row>
      <xdr:rowOff>0</xdr:rowOff>
    </xdr:from>
    <xdr:to>
      <xdr:col>2</xdr:col>
      <xdr:colOff>2095500</xdr:colOff>
      <xdr:row>1</xdr:row>
      <xdr:rowOff>0</xdr:rowOff>
    </xdr:to>
    <xdr:sp macro="[0]!Données_chiffrées" textlink="">
      <xdr:nvSpPr>
        <xdr:cNvPr id="4" name="Rectangle avec coins arrondis du même côté 3"/>
        <xdr:cNvSpPr/>
      </xdr:nvSpPr>
      <xdr:spPr>
        <a:xfrm>
          <a:off x="3086100" y="0"/>
          <a:ext cx="1666875" cy="438150"/>
        </a:xfrm>
        <a:prstGeom prst="round2SameRect">
          <a:avLst/>
        </a:prstGeom>
        <a:solidFill>
          <a:srgbClr val="45B5ED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D</a:t>
          </a:r>
          <a:r>
            <a:rPr lang="fr-FR" sz="1100">
              <a:solidFill>
                <a:sysClr val="windowText" lastClr="000000"/>
              </a:solidFill>
            </a:rPr>
            <a:t>onnées</a:t>
          </a:r>
          <a:r>
            <a:rPr lang="fr-FR" sz="1100" baseline="0">
              <a:solidFill>
                <a:sysClr val="windowText" lastClr="000000"/>
              </a:solidFill>
            </a:rPr>
            <a:t> chiffrées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56</xdr:col>
      <xdr:colOff>0</xdr:colOff>
      <xdr:row>0</xdr:row>
      <xdr:rowOff>0</xdr:rowOff>
    </xdr:from>
    <xdr:to>
      <xdr:col>59</xdr:col>
      <xdr:colOff>291353</xdr:colOff>
      <xdr:row>1</xdr:row>
      <xdr:rowOff>0</xdr:rowOff>
    </xdr:to>
    <xdr:sp macro="[0]!Afficher_tout" textlink="">
      <xdr:nvSpPr>
        <xdr:cNvPr id="5" name="Rectangle avec coins arrondis du même côté 4"/>
        <xdr:cNvSpPr/>
      </xdr:nvSpPr>
      <xdr:spPr>
        <a:xfrm>
          <a:off x="64903350" y="0"/>
          <a:ext cx="3872753" cy="438150"/>
        </a:xfrm>
        <a:prstGeom prst="round2SameRect">
          <a:avLst/>
        </a:prstGeom>
        <a:solidFill>
          <a:srgbClr val="3AF6F6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Retour</a:t>
          </a:r>
          <a:r>
            <a:rPr lang="fr-FR" sz="1100" baseline="0">
              <a:solidFill>
                <a:srgbClr val="FF0000"/>
              </a:solidFill>
            </a:rPr>
            <a:t> au début de la ligne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55</xdr:col>
      <xdr:colOff>336176</xdr:colOff>
      <xdr:row>0</xdr:row>
      <xdr:rowOff>0</xdr:rowOff>
    </xdr:from>
    <xdr:to>
      <xdr:col>55</xdr:col>
      <xdr:colOff>1937216</xdr:colOff>
      <xdr:row>1</xdr:row>
      <xdr:rowOff>0</xdr:rowOff>
    </xdr:to>
    <xdr:sp macro="[0]!Afficher_tout" textlink="">
      <xdr:nvSpPr>
        <xdr:cNvPr id="6" name="Rectangle avec coins arrondis du même côté 5"/>
        <xdr:cNvSpPr/>
      </xdr:nvSpPr>
      <xdr:spPr>
        <a:xfrm>
          <a:off x="63267851" y="0"/>
          <a:ext cx="1601040" cy="438150"/>
        </a:xfrm>
        <a:prstGeom prst="round2SameRect">
          <a:avLst/>
        </a:prstGeom>
        <a:solidFill>
          <a:schemeClr val="accent4">
            <a:lumMod val="40000"/>
            <a:lumOff val="60000"/>
          </a:schemeClr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aseline="0">
              <a:solidFill>
                <a:sysClr val="windowText" lastClr="000000"/>
              </a:solidFill>
            </a:rPr>
            <a:t>Afficher </a:t>
          </a:r>
          <a:r>
            <a:rPr lang="fr-FR" sz="1100" baseline="0">
              <a:solidFill>
                <a:srgbClr val="FF0000"/>
              </a:solidFill>
            </a:rPr>
            <a:t>T</a:t>
          </a:r>
          <a:r>
            <a:rPr lang="fr-FR" sz="1100" baseline="0">
              <a:solidFill>
                <a:sysClr val="windowText" lastClr="000000"/>
              </a:solidFill>
            </a:rPr>
            <a:t>out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56</xdr:col>
      <xdr:colOff>369795</xdr:colOff>
      <xdr:row>0</xdr:row>
      <xdr:rowOff>112058</xdr:rowOff>
    </xdr:from>
    <xdr:to>
      <xdr:col>56</xdr:col>
      <xdr:colOff>1143001</xdr:colOff>
      <xdr:row>0</xdr:row>
      <xdr:rowOff>347382</xdr:rowOff>
    </xdr:to>
    <xdr:sp macro="[0]!Afficher_tout" textlink="">
      <xdr:nvSpPr>
        <xdr:cNvPr id="7" name="Flèche gauche 6"/>
        <xdr:cNvSpPr/>
      </xdr:nvSpPr>
      <xdr:spPr>
        <a:xfrm>
          <a:off x="65273145" y="112058"/>
          <a:ext cx="773206" cy="235324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56029</xdr:colOff>
      <xdr:row>0</xdr:row>
      <xdr:rowOff>0</xdr:rowOff>
    </xdr:from>
    <xdr:to>
      <xdr:col>4</xdr:col>
      <xdr:colOff>1299882</xdr:colOff>
      <xdr:row>1</xdr:row>
      <xdr:rowOff>0</xdr:rowOff>
    </xdr:to>
    <xdr:sp macro="[0]!Suivi_RSA" textlink="">
      <xdr:nvSpPr>
        <xdr:cNvPr id="8" name="Rectangle avec coins arrondis du même côté 7"/>
        <xdr:cNvSpPr/>
      </xdr:nvSpPr>
      <xdr:spPr>
        <a:xfrm>
          <a:off x="6228229" y="0"/>
          <a:ext cx="1243853" cy="438150"/>
        </a:xfrm>
        <a:prstGeom prst="round2SameRect">
          <a:avLst/>
        </a:prstGeom>
        <a:solidFill>
          <a:srgbClr val="3AF6F6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Suivi</a:t>
          </a:r>
          <a:r>
            <a:rPr lang="fr-FR" sz="1100" baseline="0">
              <a:solidFill>
                <a:sysClr val="windowText" lastClr="000000"/>
              </a:solidFill>
            </a:rPr>
            <a:t> </a:t>
          </a:r>
          <a:r>
            <a:rPr lang="fr-FR" sz="1100" baseline="0">
              <a:solidFill>
                <a:srgbClr val="FF0000"/>
              </a:solidFill>
            </a:rPr>
            <a:t>R</a:t>
          </a:r>
          <a:r>
            <a:rPr lang="fr-FR" sz="1100" baseline="0">
              <a:solidFill>
                <a:sysClr val="windowText" lastClr="000000"/>
              </a:solidFill>
            </a:rPr>
            <a:t>SA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4</xdr:col>
      <xdr:colOff>963706</xdr:colOff>
      <xdr:row>0</xdr:row>
      <xdr:rowOff>112061</xdr:rowOff>
    </xdr:from>
    <xdr:to>
      <xdr:col>4</xdr:col>
      <xdr:colOff>1221440</xdr:colOff>
      <xdr:row>0</xdr:row>
      <xdr:rowOff>324971</xdr:rowOff>
    </xdr:to>
    <xdr:sp macro="[0]!Suivi_RSA" textlink="">
      <xdr:nvSpPr>
        <xdr:cNvPr id="9" name="Flèche droite 8"/>
        <xdr:cNvSpPr/>
      </xdr:nvSpPr>
      <xdr:spPr>
        <a:xfrm>
          <a:off x="7135906" y="112061"/>
          <a:ext cx="257734" cy="21291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22412</xdr:colOff>
      <xdr:row>0</xdr:row>
      <xdr:rowOff>0</xdr:rowOff>
    </xdr:from>
    <xdr:to>
      <xdr:col>6</xdr:col>
      <xdr:colOff>8862</xdr:colOff>
      <xdr:row>0</xdr:row>
      <xdr:rowOff>428625</xdr:rowOff>
    </xdr:to>
    <xdr:sp macro="[0]!Effacer_filtre" textlink="">
      <xdr:nvSpPr>
        <xdr:cNvPr id="10" name="Rectangle avec coins arrondis du même côté 9"/>
        <xdr:cNvSpPr/>
      </xdr:nvSpPr>
      <xdr:spPr>
        <a:xfrm>
          <a:off x="7518587" y="0"/>
          <a:ext cx="1224700" cy="428625"/>
        </a:xfrm>
        <a:prstGeom prst="round2SameRect">
          <a:avLst/>
        </a:prstGeom>
        <a:solidFill>
          <a:srgbClr val="FFD72D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E</a:t>
          </a:r>
          <a:r>
            <a:rPr lang="fr-FR" sz="1100">
              <a:solidFill>
                <a:sysClr val="windowText" lastClr="000000"/>
              </a:solidFill>
            </a:rPr>
            <a:t>ffacer</a:t>
          </a:r>
          <a:r>
            <a:rPr lang="fr-FR" sz="1100" baseline="0">
              <a:solidFill>
                <a:sysClr val="windowText" lastClr="000000"/>
              </a:solidFill>
            </a:rPr>
            <a:t> les Filtres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2117912</xdr:colOff>
      <xdr:row>0</xdr:row>
      <xdr:rowOff>0</xdr:rowOff>
    </xdr:from>
    <xdr:to>
      <xdr:col>4</xdr:col>
      <xdr:colOff>33618</xdr:colOff>
      <xdr:row>1</xdr:row>
      <xdr:rowOff>0</xdr:rowOff>
    </xdr:to>
    <xdr:sp macro="[0]!Suivi_développement" textlink="">
      <xdr:nvSpPr>
        <xdr:cNvPr id="11" name="Rectangle avec coins arrondis du même côté 10"/>
        <xdr:cNvSpPr/>
      </xdr:nvSpPr>
      <xdr:spPr>
        <a:xfrm>
          <a:off x="4775387" y="0"/>
          <a:ext cx="1430431" cy="438150"/>
        </a:xfrm>
        <a:prstGeom prst="round2SameRect">
          <a:avLst/>
        </a:prstGeom>
        <a:solidFill>
          <a:schemeClr val="accent2">
            <a:lumMod val="60000"/>
            <a:lumOff val="40000"/>
          </a:schemeClr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100">
              <a:solidFill>
                <a:srgbClr val="FF0000"/>
              </a:solidFill>
            </a:rPr>
            <a:t>S</a:t>
          </a:r>
          <a:r>
            <a:rPr lang="fr-FR" sz="1100">
              <a:solidFill>
                <a:sysClr val="windowText" lastClr="000000"/>
              </a:solidFill>
            </a:rPr>
            <a:t>uivi</a:t>
          </a:r>
          <a:r>
            <a:rPr lang="fr-FR" sz="1100" baseline="0">
              <a:solidFill>
                <a:sysClr val="windowText" lastClr="000000"/>
              </a:solidFill>
            </a:rPr>
            <a:t> déploiement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</xdr:col>
      <xdr:colOff>1030941</xdr:colOff>
      <xdr:row>0</xdr:row>
      <xdr:rowOff>134470</xdr:rowOff>
    </xdr:from>
    <xdr:to>
      <xdr:col>3</xdr:col>
      <xdr:colOff>1266264</xdr:colOff>
      <xdr:row>0</xdr:row>
      <xdr:rowOff>313764</xdr:rowOff>
    </xdr:to>
    <xdr:sp macro="[0]!Suivi_développement" textlink="">
      <xdr:nvSpPr>
        <xdr:cNvPr id="12" name="Flèche droite 11"/>
        <xdr:cNvSpPr/>
      </xdr:nvSpPr>
      <xdr:spPr>
        <a:xfrm>
          <a:off x="5936316" y="134470"/>
          <a:ext cx="235323" cy="179294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59</xdr:col>
      <xdr:colOff>302559</xdr:colOff>
      <xdr:row>0</xdr:row>
      <xdr:rowOff>0</xdr:rowOff>
    </xdr:from>
    <xdr:to>
      <xdr:col>60</xdr:col>
      <xdr:colOff>759656</xdr:colOff>
      <xdr:row>0</xdr:row>
      <xdr:rowOff>428625</xdr:rowOff>
    </xdr:to>
    <xdr:sp macro="[0]!Visa" textlink="">
      <xdr:nvSpPr>
        <xdr:cNvPr id="13" name="Rectangle avec coins arrondis du même côté 12"/>
        <xdr:cNvSpPr/>
      </xdr:nvSpPr>
      <xdr:spPr>
        <a:xfrm>
          <a:off x="68787309" y="0"/>
          <a:ext cx="1219097" cy="428625"/>
        </a:xfrm>
        <a:prstGeom prst="round2SameRect">
          <a:avLst/>
        </a:prstGeom>
        <a:solidFill>
          <a:srgbClr val="FFFF00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V</a:t>
          </a:r>
          <a:r>
            <a:rPr lang="fr-FR" sz="1100">
              <a:solidFill>
                <a:sysClr val="windowText" lastClr="000000"/>
              </a:solidFill>
            </a:rPr>
            <a:t>isa</a:t>
          </a:r>
        </a:p>
      </xdr:txBody>
    </xdr:sp>
    <xdr:clientData/>
  </xdr:twoCellAnchor>
  <xdr:twoCellAnchor>
    <xdr:from>
      <xdr:col>59</xdr:col>
      <xdr:colOff>392206</xdr:colOff>
      <xdr:row>0</xdr:row>
      <xdr:rowOff>100853</xdr:rowOff>
    </xdr:from>
    <xdr:to>
      <xdr:col>59</xdr:col>
      <xdr:colOff>717176</xdr:colOff>
      <xdr:row>0</xdr:row>
      <xdr:rowOff>336176</xdr:rowOff>
    </xdr:to>
    <xdr:sp macro="[0]!Visa" textlink="">
      <xdr:nvSpPr>
        <xdr:cNvPr id="14" name="Flèche gauche 13"/>
        <xdr:cNvSpPr/>
      </xdr:nvSpPr>
      <xdr:spPr>
        <a:xfrm>
          <a:off x="68876956" y="100853"/>
          <a:ext cx="324970" cy="235323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141175</xdr:colOff>
      <xdr:row>0</xdr:row>
      <xdr:rowOff>0</xdr:rowOff>
    </xdr:from>
    <xdr:to>
      <xdr:col>2</xdr:col>
      <xdr:colOff>329331</xdr:colOff>
      <xdr:row>0</xdr:row>
      <xdr:rowOff>428625</xdr:rowOff>
    </xdr:to>
    <xdr:sp macro="[0]!Visa" textlink="">
      <xdr:nvSpPr>
        <xdr:cNvPr id="2" name="Rectangle avec coins arrondis du même côté 1"/>
        <xdr:cNvSpPr/>
      </xdr:nvSpPr>
      <xdr:spPr>
        <a:xfrm>
          <a:off x="1769950" y="0"/>
          <a:ext cx="1216856" cy="428625"/>
        </a:xfrm>
        <a:prstGeom prst="round2SameRect">
          <a:avLst/>
        </a:prstGeom>
        <a:solidFill>
          <a:srgbClr val="FFFF00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V</a:t>
          </a:r>
          <a:r>
            <a:rPr lang="fr-FR" sz="1100">
              <a:solidFill>
                <a:sysClr val="windowText" lastClr="000000"/>
              </a:solidFill>
            </a:rPr>
            <a:t>isa</a:t>
          </a:r>
        </a:p>
      </xdr:txBody>
    </xdr:sp>
    <xdr:clientData/>
  </xdr:twoCellAnchor>
  <xdr:twoCellAnchor>
    <xdr:from>
      <xdr:col>0</xdr:col>
      <xdr:colOff>35719</xdr:colOff>
      <xdr:row>0</xdr:row>
      <xdr:rowOff>0</xdr:rowOff>
    </xdr:from>
    <xdr:to>
      <xdr:col>1</xdr:col>
      <xdr:colOff>11906</xdr:colOff>
      <xdr:row>1</xdr:row>
      <xdr:rowOff>0</xdr:rowOff>
    </xdr:to>
    <xdr:sp macro="[0]!Afficher_tout" textlink="">
      <xdr:nvSpPr>
        <xdr:cNvPr id="3" name="Rectangle avec coins arrondis du même côté 2"/>
        <xdr:cNvSpPr/>
      </xdr:nvSpPr>
      <xdr:spPr>
        <a:xfrm>
          <a:off x="35719" y="0"/>
          <a:ext cx="1604962" cy="438150"/>
        </a:xfrm>
        <a:prstGeom prst="round2SameRect">
          <a:avLst/>
        </a:prstGeom>
        <a:solidFill>
          <a:schemeClr val="accent4">
            <a:lumMod val="40000"/>
            <a:lumOff val="60000"/>
          </a:schemeClr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aseline="0">
              <a:solidFill>
                <a:sysClr val="windowText" lastClr="000000"/>
              </a:solidFill>
            </a:rPr>
            <a:t>Afficher </a:t>
          </a:r>
          <a:r>
            <a:rPr lang="fr-FR" sz="1100" baseline="0">
              <a:solidFill>
                <a:srgbClr val="FF0000"/>
              </a:solidFill>
            </a:rPr>
            <a:t>T</a:t>
          </a:r>
          <a:r>
            <a:rPr lang="fr-FR" sz="1100" baseline="0">
              <a:solidFill>
                <a:sysClr val="windowText" lastClr="000000"/>
              </a:solidFill>
            </a:rPr>
            <a:t>out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428625</xdr:colOff>
      <xdr:row>0</xdr:row>
      <xdr:rowOff>0</xdr:rowOff>
    </xdr:from>
    <xdr:to>
      <xdr:col>2</xdr:col>
      <xdr:colOff>2095500</xdr:colOff>
      <xdr:row>1</xdr:row>
      <xdr:rowOff>0</xdr:rowOff>
    </xdr:to>
    <xdr:sp macro="[0]!Données_chiffrées" textlink="">
      <xdr:nvSpPr>
        <xdr:cNvPr id="4" name="Rectangle avec coins arrondis du même côté 3"/>
        <xdr:cNvSpPr/>
      </xdr:nvSpPr>
      <xdr:spPr>
        <a:xfrm>
          <a:off x="3086100" y="0"/>
          <a:ext cx="1666875" cy="438150"/>
        </a:xfrm>
        <a:prstGeom prst="round2SameRect">
          <a:avLst/>
        </a:prstGeom>
        <a:solidFill>
          <a:srgbClr val="45B5ED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D</a:t>
          </a:r>
          <a:r>
            <a:rPr lang="fr-FR" sz="1100">
              <a:solidFill>
                <a:sysClr val="windowText" lastClr="000000"/>
              </a:solidFill>
            </a:rPr>
            <a:t>onnées</a:t>
          </a:r>
          <a:r>
            <a:rPr lang="fr-FR" sz="1100" baseline="0">
              <a:solidFill>
                <a:sysClr val="windowText" lastClr="000000"/>
              </a:solidFill>
            </a:rPr>
            <a:t> chiffrées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56</xdr:col>
      <xdr:colOff>0</xdr:colOff>
      <xdr:row>0</xdr:row>
      <xdr:rowOff>0</xdr:rowOff>
    </xdr:from>
    <xdr:to>
      <xdr:col>59</xdr:col>
      <xdr:colOff>291353</xdr:colOff>
      <xdr:row>1</xdr:row>
      <xdr:rowOff>0</xdr:rowOff>
    </xdr:to>
    <xdr:sp macro="[0]!Afficher_tout" textlink="">
      <xdr:nvSpPr>
        <xdr:cNvPr id="5" name="Rectangle avec coins arrondis du même côté 4"/>
        <xdr:cNvSpPr/>
      </xdr:nvSpPr>
      <xdr:spPr>
        <a:xfrm>
          <a:off x="64903350" y="0"/>
          <a:ext cx="3872753" cy="438150"/>
        </a:xfrm>
        <a:prstGeom prst="round2SameRect">
          <a:avLst/>
        </a:prstGeom>
        <a:solidFill>
          <a:srgbClr val="3AF6F6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Retour</a:t>
          </a:r>
          <a:r>
            <a:rPr lang="fr-FR" sz="1100" baseline="0">
              <a:solidFill>
                <a:srgbClr val="FF0000"/>
              </a:solidFill>
            </a:rPr>
            <a:t> au début de la ligne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55</xdr:col>
      <xdr:colOff>336176</xdr:colOff>
      <xdr:row>0</xdr:row>
      <xdr:rowOff>0</xdr:rowOff>
    </xdr:from>
    <xdr:to>
      <xdr:col>55</xdr:col>
      <xdr:colOff>1937216</xdr:colOff>
      <xdr:row>1</xdr:row>
      <xdr:rowOff>0</xdr:rowOff>
    </xdr:to>
    <xdr:sp macro="[0]!Afficher_tout" textlink="">
      <xdr:nvSpPr>
        <xdr:cNvPr id="6" name="Rectangle avec coins arrondis du même côté 5"/>
        <xdr:cNvSpPr/>
      </xdr:nvSpPr>
      <xdr:spPr>
        <a:xfrm>
          <a:off x="63267851" y="0"/>
          <a:ext cx="1601040" cy="438150"/>
        </a:xfrm>
        <a:prstGeom prst="round2SameRect">
          <a:avLst/>
        </a:prstGeom>
        <a:solidFill>
          <a:schemeClr val="accent4">
            <a:lumMod val="40000"/>
            <a:lumOff val="60000"/>
          </a:schemeClr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aseline="0">
              <a:solidFill>
                <a:sysClr val="windowText" lastClr="000000"/>
              </a:solidFill>
            </a:rPr>
            <a:t>Afficher </a:t>
          </a:r>
          <a:r>
            <a:rPr lang="fr-FR" sz="1100" baseline="0">
              <a:solidFill>
                <a:srgbClr val="FF0000"/>
              </a:solidFill>
            </a:rPr>
            <a:t>T</a:t>
          </a:r>
          <a:r>
            <a:rPr lang="fr-FR" sz="1100" baseline="0">
              <a:solidFill>
                <a:sysClr val="windowText" lastClr="000000"/>
              </a:solidFill>
            </a:rPr>
            <a:t>out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56</xdr:col>
      <xdr:colOff>369795</xdr:colOff>
      <xdr:row>0</xdr:row>
      <xdr:rowOff>112058</xdr:rowOff>
    </xdr:from>
    <xdr:to>
      <xdr:col>56</xdr:col>
      <xdr:colOff>1143001</xdr:colOff>
      <xdr:row>0</xdr:row>
      <xdr:rowOff>347382</xdr:rowOff>
    </xdr:to>
    <xdr:sp macro="[0]!Afficher_tout" textlink="">
      <xdr:nvSpPr>
        <xdr:cNvPr id="7" name="Flèche gauche 6"/>
        <xdr:cNvSpPr/>
      </xdr:nvSpPr>
      <xdr:spPr>
        <a:xfrm>
          <a:off x="65273145" y="112058"/>
          <a:ext cx="773206" cy="235324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56029</xdr:colOff>
      <xdr:row>0</xdr:row>
      <xdr:rowOff>0</xdr:rowOff>
    </xdr:from>
    <xdr:to>
      <xdr:col>4</xdr:col>
      <xdr:colOff>1299882</xdr:colOff>
      <xdr:row>1</xdr:row>
      <xdr:rowOff>0</xdr:rowOff>
    </xdr:to>
    <xdr:sp macro="[0]!Suivi_RSA" textlink="">
      <xdr:nvSpPr>
        <xdr:cNvPr id="8" name="Rectangle avec coins arrondis du même côté 7"/>
        <xdr:cNvSpPr/>
      </xdr:nvSpPr>
      <xdr:spPr>
        <a:xfrm>
          <a:off x="6228229" y="0"/>
          <a:ext cx="1243853" cy="438150"/>
        </a:xfrm>
        <a:prstGeom prst="round2SameRect">
          <a:avLst/>
        </a:prstGeom>
        <a:solidFill>
          <a:srgbClr val="3AF6F6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Suivi</a:t>
          </a:r>
          <a:r>
            <a:rPr lang="fr-FR" sz="1100" baseline="0">
              <a:solidFill>
                <a:sysClr val="windowText" lastClr="000000"/>
              </a:solidFill>
            </a:rPr>
            <a:t> </a:t>
          </a:r>
          <a:r>
            <a:rPr lang="fr-FR" sz="1100" baseline="0">
              <a:solidFill>
                <a:srgbClr val="FF0000"/>
              </a:solidFill>
            </a:rPr>
            <a:t>R</a:t>
          </a:r>
          <a:r>
            <a:rPr lang="fr-FR" sz="1100" baseline="0">
              <a:solidFill>
                <a:sysClr val="windowText" lastClr="000000"/>
              </a:solidFill>
            </a:rPr>
            <a:t>SA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4</xdr:col>
      <xdr:colOff>963706</xdr:colOff>
      <xdr:row>0</xdr:row>
      <xdr:rowOff>112061</xdr:rowOff>
    </xdr:from>
    <xdr:to>
      <xdr:col>4</xdr:col>
      <xdr:colOff>1221440</xdr:colOff>
      <xdr:row>0</xdr:row>
      <xdr:rowOff>324971</xdr:rowOff>
    </xdr:to>
    <xdr:sp macro="[0]!Suivi_RSA" textlink="">
      <xdr:nvSpPr>
        <xdr:cNvPr id="9" name="Flèche droite 8"/>
        <xdr:cNvSpPr/>
      </xdr:nvSpPr>
      <xdr:spPr>
        <a:xfrm>
          <a:off x="7135906" y="112061"/>
          <a:ext cx="257734" cy="21291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22412</xdr:colOff>
      <xdr:row>0</xdr:row>
      <xdr:rowOff>0</xdr:rowOff>
    </xdr:from>
    <xdr:to>
      <xdr:col>6</xdr:col>
      <xdr:colOff>8862</xdr:colOff>
      <xdr:row>0</xdr:row>
      <xdr:rowOff>428625</xdr:rowOff>
    </xdr:to>
    <xdr:sp macro="[0]!Effacer_filtre" textlink="">
      <xdr:nvSpPr>
        <xdr:cNvPr id="10" name="Rectangle avec coins arrondis du même côté 9"/>
        <xdr:cNvSpPr/>
      </xdr:nvSpPr>
      <xdr:spPr>
        <a:xfrm>
          <a:off x="7518587" y="0"/>
          <a:ext cx="1224700" cy="428625"/>
        </a:xfrm>
        <a:prstGeom prst="round2SameRect">
          <a:avLst/>
        </a:prstGeom>
        <a:solidFill>
          <a:srgbClr val="FFD72D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E</a:t>
          </a:r>
          <a:r>
            <a:rPr lang="fr-FR" sz="1100">
              <a:solidFill>
                <a:sysClr val="windowText" lastClr="000000"/>
              </a:solidFill>
            </a:rPr>
            <a:t>ffacer</a:t>
          </a:r>
          <a:r>
            <a:rPr lang="fr-FR" sz="1100" baseline="0">
              <a:solidFill>
                <a:sysClr val="windowText" lastClr="000000"/>
              </a:solidFill>
            </a:rPr>
            <a:t> les Filtres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2117912</xdr:colOff>
      <xdr:row>0</xdr:row>
      <xdr:rowOff>0</xdr:rowOff>
    </xdr:from>
    <xdr:to>
      <xdr:col>4</xdr:col>
      <xdr:colOff>33618</xdr:colOff>
      <xdr:row>1</xdr:row>
      <xdr:rowOff>0</xdr:rowOff>
    </xdr:to>
    <xdr:sp macro="[0]!Suivi_développement" textlink="">
      <xdr:nvSpPr>
        <xdr:cNvPr id="11" name="Rectangle avec coins arrondis du même côté 10"/>
        <xdr:cNvSpPr/>
      </xdr:nvSpPr>
      <xdr:spPr>
        <a:xfrm>
          <a:off x="4775387" y="0"/>
          <a:ext cx="1430431" cy="438150"/>
        </a:xfrm>
        <a:prstGeom prst="round2SameRect">
          <a:avLst/>
        </a:prstGeom>
        <a:solidFill>
          <a:schemeClr val="accent2">
            <a:lumMod val="60000"/>
            <a:lumOff val="40000"/>
          </a:schemeClr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100">
              <a:solidFill>
                <a:srgbClr val="FF0000"/>
              </a:solidFill>
            </a:rPr>
            <a:t>S</a:t>
          </a:r>
          <a:r>
            <a:rPr lang="fr-FR" sz="1100">
              <a:solidFill>
                <a:sysClr val="windowText" lastClr="000000"/>
              </a:solidFill>
            </a:rPr>
            <a:t>uivi</a:t>
          </a:r>
          <a:r>
            <a:rPr lang="fr-FR" sz="1100" baseline="0">
              <a:solidFill>
                <a:sysClr val="windowText" lastClr="000000"/>
              </a:solidFill>
            </a:rPr>
            <a:t> déploiement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</xdr:col>
      <xdr:colOff>1030941</xdr:colOff>
      <xdr:row>0</xdr:row>
      <xdr:rowOff>134470</xdr:rowOff>
    </xdr:from>
    <xdr:to>
      <xdr:col>3</xdr:col>
      <xdr:colOff>1266264</xdr:colOff>
      <xdr:row>0</xdr:row>
      <xdr:rowOff>313764</xdr:rowOff>
    </xdr:to>
    <xdr:sp macro="[0]!Suivi_développement" textlink="">
      <xdr:nvSpPr>
        <xdr:cNvPr id="12" name="Flèche droite 11"/>
        <xdr:cNvSpPr/>
      </xdr:nvSpPr>
      <xdr:spPr>
        <a:xfrm>
          <a:off x="5936316" y="134470"/>
          <a:ext cx="235323" cy="179294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59</xdr:col>
      <xdr:colOff>302559</xdr:colOff>
      <xdr:row>0</xdr:row>
      <xdr:rowOff>0</xdr:rowOff>
    </xdr:from>
    <xdr:to>
      <xdr:col>60</xdr:col>
      <xdr:colOff>759656</xdr:colOff>
      <xdr:row>0</xdr:row>
      <xdr:rowOff>428625</xdr:rowOff>
    </xdr:to>
    <xdr:sp macro="[0]!Visa" textlink="">
      <xdr:nvSpPr>
        <xdr:cNvPr id="13" name="Rectangle avec coins arrondis du même côté 12"/>
        <xdr:cNvSpPr/>
      </xdr:nvSpPr>
      <xdr:spPr>
        <a:xfrm>
          <a:off x="68787309" y="0"/>
          <a:ext cx="1219097" cy="428625"/>
        </a:xfrm>
        <a:prstGeom prst="round2SameRect">
          <a:avLst/>
        </a:prstGeom>
        <a:solidFill>
          <a:srgbClr val="FFFF00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V</a:t>
          </a:r>
          <a:r>
            <a:rPr lang="fr-FR" sz="1100">
              <a:solidFill>
                <a:sysClr val="windowText" lastClr="000000"/>
              </a:solidFill>
            </a:rPr>
            <a:t>isa</a:t>
          </a:r>
        </a:p>
      </xdr:txBody>
    </xdr:sp>
    <xdr:clientData/>
  </xdr:twoCellAnchor>
  <xdr:twoCellAnchor>
    <xdr:from>
      <xdr:col>59</xdr:col>
      <xdr:colOff>392206</xdr:colOff>
      <xdr:row>0</xdr:row>
      <xdr:rowOff>100853</xdr:rowOff>
    </xdr:from>
    <xdr:to>
      <xdr:col>59</xdr:col>
      <xdr:colOff>717176</xdr:colOff>
      <xdr:row>0</xdr:row>
      <xdr:rowOff>336176</xdr:rowOff>
    </xdr:to>
    <xdr:sp macro="[0]!Visa" textlink="">
      <xdr:nvSpPr>
        <xdr:cNvPr id="14" name="Flèche gauche 13"/>
        <xdr:cNvSpPr/>
      </xdr:nvSpPr>
      <xdr:spPr>
        <a:xfrm>
          <a:off x="68876956" y="100853"/>
          <a:ext cx="324970" cy="235323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141175</xdr:colOff>
      <xdr:row>0</xdr:row>
      <xdr:rowOff>0</xdr:rowOff>
    </xdr:from>
    <xdr:to>
      <xdr:col>2</xdr:col>
      <xdr:colOff>329331</xdr:colOff>
      <xdr:row>0</xdr:row>
      <xdr:rowOff>428625</xdr:rowOff>
    </xdr:to>
    <xdr:sp macro="[0]!Visa" textlink="">
      <xdr:nvSpPr>
        <xdr:cNvPr id="2" name="Rectangle avec coins arrondis du même côté 1"/>
        <xdr:cNvSpPr/>
      </xdr:nvSpPr>
      <xdr:spPr>
        <a:xfrm>
          <a:off x="1769950" y="0"/>
          <a:ext cx="1216856" cy="428625"/>
        </a:xfrm>
        <a:prstGeom prst="round2SameRect">
          <a:avLst/>
        </a:prstGeom>
        <a:solidFill>
          <a:srgbClr val="FFFF00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V</a:t>
          </a:r>
          <a:r>
            <a:rPr lang="fr-FR" sz="1100">
              <a:solidFill>
                <a:sysClr val="windowText" lastClr="000000"/>
              </a:solidFill>
            </a:rPr>
            <a:t>isa</a:t>
          </a:r>
        </a:p>
      </xdr:txBody>
    </xdr:sp>
    <xdr:clientData/>
  </xdr:twoCellAnchor>
  <xdr:twoCellAnchor>
    <xdr:from>
      <xdr:col>0</xdr:col>
      <xdr:colOff>35719</xdr:colOff>
      <xdr:row>0</xdr:row>
      <xdr:rowOff>0</xdr:rowOff>
    </xdr:from>
    <xdr:to>
      <xdr:col>1</xdr:col>
      <xdr:colOff>11906</xdr:colOff>
      <xdr:row>1</xdr:row>
      <xdr:rowOff>0</xdr:rowOff>
    </xdr:to>
    <xdr:sp macro="[0]!Afficher_tout" textlink="">
      <xdr:nvSpPr>
        <xdr:cNvPr id="3" name="Rectangle avec coins arrondis du même côté 2"/>
        <xdr:cNvSpPr/>
      </xdr:nvSpPr>
      <xdr:spPr>
        <a:xfrm>
          <a:off x="35719" y="0"/>
          <a:ext cx="1604962" cy="438150"/>
        </a:xfrm>
        <a:prstGeom prst="round2SameRect">
          <a:avLst/>
        </a:prstGeom>
        <a:solidFill>
          <a:schemeClr val="accent4">
            <a:lumMod val="40000"/>
            <a:lumOff val="60000"/>
          </a:schemeClr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aseline="0">
              <a:solidFill>
                <a:sysClr val="windowText" lastClr="000000"/>
              </a:solidFill>
            </a:rPr>
            <a:t>Afficher </a:t>
          </a:r>
          <a:r>
            <a:rPr lang="fr-FR" sz="1100" baseline="0">
              <a:solidFill>
                <a:srgbClr val="FF0000"/>
              </a:solidFill>
            </a:rPr>
            <a:t>T</a:t>
          </a:r>
          <a:r>
            <a:rPr lang="fr-FR" sz="1100" baseline="0">
              <a:solidFill>
                <a:sysClr val="windowText" lastClr="000000"/>
              </a:solidFill>
            </a:rPr>
            <a:t>out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428625</xdr:colOff>
      <xdr:row>0</xdr:row>
      <xdr:rowOff>0</xdr:rowOff>
    </xdr:from>
    <xdr:to>
      <xdr:col>2</xdr:col>
      <xdr:colOff>2095500</xdr:colOff>
      <xdr:row>1</xdr:row>
      <xdr:rowOff>0</xdr:rowOff>
    </xdr:to>
    <xdr:sp macro="[0]!Données_chiffrées" textlink="">
      <xdr:nvSpPr>
        <xdr:cNvPr id="4" name="Rectangle avec coins arrondis du même côté 3"/>
        <xdr:cNvSpPr/>
      </xdr:nvSpPr>
      <xdr:spPr>
        <a:xfrm>
          <a:off x="3086100" y="0"/>
          <a:ext cx="1666875" cy="438150"/>
        </a:xfrm>
        <a:prstGeom prst="round2SameRect">
          <a:avLst/>
        </a:prstGeom>
        <a:solidFill>
          <a:srgbClr val="45B5ED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D</a:t>
          </a:r>
          <a:r>
            <a:rPr lang="fr-FR" sz="1100">
              <a:solidFill>
                <a:sysClr val="windowText" lastClr="000000"/>
              </a:solidFill>
            </a:rPr>
            <a:t>onnées</a:t>
          </a:r>
          <a:r>
            <a:rPr lang="fr-FR" sz="1100" baseline="0">
              <a:solidFill>
                <a:sysClr val="windowText" lastClr="000000"/>
              </a:solidFill>
            </a:rPr>
            <a:t> chiffrées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56</xdr:col>
      <xdr:colOff>0</xdr:colOff>
      <xdr:row>0</xdr:row>
      <xdr:rowOff>0</xdr:rowOff>
    </xdr:from>
    <xdr:to>
      <xdr:col>59</xdr:col>
      <xdr:colOff>291353</xdr:colOff>
      <xdr:row>1</xdr:row>
      <xdr:rowOff>0</xdr:rowOff>
    </xdr:to>
    <xdr:sp macro="[0]!Afficher_tout" textlink="">
      <xdr:nvSpPr>
        <xdr:cNvPr id="5" name="Rectangle avec coins arrondis du même côté 4"/>
        <xdr:cNvSpPr/>
      </xdr:nvSpPr>
      <xdr:spPr>
        <a:xfrm>
          <a:off x="64903350" y="0"/>
          <a:ext cx="3872753" cy="438150"/>
        </a:xfrm>
        <a:prstGeom prst="round2SameRect">
          <a:avLst/>
        </a:prstGeom>
        <a:solidFill>
          <a:srgbClr val="3AF6F6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Retour</a:t>
          </a:r>
          <a:r>
            <a:rPr lang="fr-FR" sz="1100" baseline="0">
              <a:solidFill>
                <a:srgbClr val="FF0000"/>
              </a:solidFill>
            </a:rPr>
            <a:t> au début de la ligne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55</xdr:col>
      <xdr:colOff>336176</xdr:colOff>
      <xdr:row>0</xdr:row>
      <xdr:rowOff>0</xdr:rowOff>
    </xdr:from>
    <xdr:to>
      <xdr:col>55</xdr:col>
      <xdr:colOff>1937216</xdr:colOff>
      <xdr:row>1</xdr:row>
      <xdr:rowOff>0</xdr:rowOff>
    </xdr:to>
    <xdr:sp macro="[0]!Afficher_tout" textlink="">
      <xdr:nvSpPr>
        <xdr:cNvPr id="6" name="Rectangle avec coins arrondis du même côté 5"/>
        <xdr:cNvSpPr/>
      </xdr:nvSpPr>
      <xdr:spPr>
        <a:xfrm>
          <a:off x="63267851" y="0"/>
          <a:ext cx="1601040" cy="438150"/>
        </a:xfrm>
        <a:prstGeom prst="round2SameRect">
          <a:avLst/>
        </a:prstGeom>
        <a:solidFill>
          <a:schemeClr val="accent4">
            <a:lumMod val="40000"/>
            <a:lumOff val="60000"/>
          </a:schemeClr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aseline="0">
              <a:solidFill>
                <a:sysClr val="windowText" lastClr="000000"/>
              </a:solidFill>
            </a:rPr>
            <a:t>Afficher </a:t>
          </a:r>
          <a:r>
            <a:rPr lang="fr-FR" sz="1100" baseline="0">
              <a:solidFill>
                <a:srgbClr val="FF0000"/>
              </a:solidFill>
            </a:rPr>
            <a:t>T</a:t>
          </a:r>
          <a:r>
            <a:rPr lang="fr-FR" sz="1100" baseline="0">
              <a:solidFill>
                <a:sysClr val="windowText" lastClr="000000"/>
              </a:solidFill>
            </a:rPr>
            <a:t>out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56</xdr:col>
      <xdr:colOff>369795</xdr:colOff>
      <xdr:row>0</xdr:row>
      <xdr:rowOff>112058</xdr:rowOff>
    </xdr:from>
    <xdr:to>
      <xdr:col>56</xdr:col>
      <xdr:colOff>1143001</xdr:colOff>
      <xdr:row>0</xdr:row>
      <xdr:rowOff>347382</xdr:rowOff>
    </xdr:to>
    <xdr:sp macro="[0]!Afficher_tout" textlink="">
      <xdr:nvSpPr>
        <xdr:cNvPr id="7" name="Flèche gauche 6"/>
        <xdr:cNvSpPr/>
      </xdr:nvSpPr>
      <xdr:spPr>
        <a:xfrm>
          <a:off x="65273145" y="112058"/>
          <a:ext cx="773206" cy="235324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56029</xdr:colOff>
      <xdr:row>0</xdr:row>
      <xdr:rowOff>0</xdr:rowOff>
    </xdr:from>
    <xdr:to>
      <xdr:col>4</xdr:col>
      <xdr:colOff>1299882</xdr:colOff>
      <xdr:row>1</xdr:row>
      <xdr:rowOff>0</xdr:rowOff>
    </xdr:to>
    <xdr:sp macro="[0]!Suivi_RSA" textlink="">
      <xdr:nvSpPr>
        <xdr:cNvPr id="8" name="Rectangle avec coins arrondis du même côté 7"/>
        <xdr:cNvSpPr/>
      </xdr:nvSpPr>
      <xdr:spPr>
        <a:xfrm>
          <a:off x="6228229" y="0"/>
          <a:ext cx="1243853" cy="438150"/>
        </a:xfrm>
        <a:prstGeom prst="round2SameRect">
          <a:avLst/>
        </a:prstGeom>
        <a:solidFill>
          <a:srgbClr val="3AF6F6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Suivi</a:t>
          </a:r>
          <a:r>
            <a:rPr lang="fr-FR" sz="1100" baseline="0">
              <a:solidFill>
                <a:sysClr val="windowText" lastClr="000000"/>
              </a:solidFill>
            </a:rPr>
            <a:t> </a:t>
          </a:r>
          <a:r>
            <a:rPr lang="fr-FR" sz="1100" baseline="0">
              <a:solidFill>
                <a:srgbClr val="FF0000"/>
              </a:solidFill>
            </a:rPr>
            <a:t>R</a:t>
          </a:r>
          <a:r>
            <a:rPr lang="fr-FR" sz="1100" baseline="0">
              <a:solidFill>
                <a:sysClr val="windowText" lastClr="000000"/>
              </a:solidFill>
            </a:rPr>
            <a:t>SA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4</xdr:col>
      <xdr:colOff>963706</xdr:colOff>
      <xdr:row>0</xdr:row>
      <xdr:rowOff>112061</xdr:rowOff>
    </xdr:from>
    <xdr:to>
      <xdr:col>4</xdr:col>
      <xdr:colOff>1221440</xdr:colOff>
      <xdr:row>0</xdr:row>
      <xdr:rowOff>324971</xdr:rowOff>
    </xdr:to>
    <xdr:sp macro="[0]!Suivi_RSA" textlink="">
      <xdr:nvSpPr>
        <xdr:cNvPr id="9" name="Flèche droite 8"/>
        <xdr:cNvSpPr/>
      </xdr:nvSpPr>
      <xdr:spPr>
        <a:xfrm>
          <a:off x="7135906" y="112061"/>
          <a:ext cx="257734" cy="21291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22412</xdr:colOff>
      <xdr:row>0</xdr:row>
      <xdr:rowOff>0</xdr:rowOff>
    </xdr:from>
    <xdr:to>
      <xdr:col>6</xdr:col>
      <xdr:colOff>8862</xdr:colOff>
      <xdr:row>0</xdr:row>
      <xdr:rowOff>428625</xdr:rowOff>
    </xdr:to>
    <xdr:sp macro="[0]!Effacer_filtre" textlink="">
      <xdr:nvSpPr>
        <xdr:cNvPr id="10" name="Rectangle avec coins arrondis du même côté 9"/>
        <xdr:cNvSpPr/>
      </xdr:nvSpPr>
      <xdr:spPr>
        <a:xfrm>
          <a:off x="7518587" y="0"/>
          <a:ext cx="1224700" cy="428625"/>
        </a:xfrm>
        <a:prstGeom prst="round2SameRect">
          <a:avLst/>
        </a:prstGeom>
        <a:solidFill>
          <a:srgbClr val="FFD72D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E</a:t>
          </a:r>
          <a:r>
            <a:rPr lang="fr-FR" sz="1100">
              <a:solidFill>
                <a:sysClr val="windowText" lastClr="000000"/>
              </a:solidFill>
            </a:rPr>
            <a:t>ffacer</a:t>
          </a:r>
          <a:r>
            <a:rPr lang="fr-FR" sz="1100" baseline="0">
              <a:solidFill>
                <a:sysClr val="windowText" lastClr="000000"/>
              </a:solidFill>
            </a:rPr>
            <a:t> les Filtres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2117912</xdr:colOff>
      <xdr:row>0</xdr:row>
      <xdr:rowOff>0</xdr:rowOff>
    </xdr:from>
    <xdr:to>
      <xdr:col>4</xdr:col>
      <xdr:colOff>33618</xdr:colOff>
      <xdr:row>1</xdr:row>
      <xdr:rowOff>0</xdr:rowOff>
    </xdr:to>
    <xdr:sp macro="[0]!Suivi_développement" textlink="">
      <xdr:nvSpPr>
        <xdr:cNvPr id="11" name="Rectangle avec coins arrondis du même côté 10"/>
        <xdr:cNvSpPr/>
      </xdr:nvSpPr>
      <xdr:spPr>
        <a:xfrm>
          <a:off x="4775387" y="0"/>
          <a:ext cx="1430431" cy="438150"/>
        </a:xfrm>
        <a:prstGeom prst="round2SameRect">
          <a:avLst/>
        </a:prstGeom>
        <a:solidFill>
          <a:schemeClr val="accent2">
            <a:lumMod val="60000"/>
            <a:lumOff val="40000"/>
          </a:schemeClr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100">
              <a:solidFill>
                <a:srgbClr val="FF0000"/>
              </a:solidFill>
            </a:rPr>
            <a:t>S</a:t>
          </a:r>
          <a:r>
            <a:rPr lang="fr-FR" sz="1100">
              <a:solidFill>
                <a:sysClr val="windowText" lastClr="000000"/>
              </a:solidFill>
            </a:rPr>
            <a:t>uivi</a:t>
          </a:r>
          <a:r>
            <a:rPr lang="fr-FR" sz="1100" baseline="0">
              <a:solidFill>
                <a:sysClr val="windowText" lastClr="000000"/>
              </a:solidFill>
            </a:rPr>
            <a:t> déploiement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</xdr:col>
      <xdr:colOff>1030941</xdr:colOff>
      <xdr:row>0</xdr:row>
      <xdr:rowOff>134470</xdr:rowOff>
    </xdr:from>
    <xdr:to>
      <xdr:col>3</xdr:col>
      <xdr:colOff>1266264</xdr:colOff>
      <xdr:row>0</xdr:row>
      <xdr:rowOff>313764</xdr:rowOff>
    </xdr:to>
    <xdr:sp macro="[0]!Suivi_développement" textlink="">
      <xdr:nvSpPr>
        <xdr:cNvPr id="12" name="Flèche droite 11"/>
        <xdr:cNvSpPr/>
      </xdr:nvSpPr>
      <xdr:spPr>
        <a:xfrm>
          <a:off x="5936316" y="134470"/>
          <a:ext cx="235323" cy="179294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59</xdr:col>
      <xdr:colOff>302559</xdr:colOff>
      <xdr:row>0</xdr:row>
      <xdr:rowOff>0</xdr:rowOff>
    </xdr:from>
    <xdr:to>
      <xdr:col>60</xdr:col>
      <xdr:colOff>759656</xdr:colOff>
      <xdr:row>0</xdr:row>
      <xdr:rowOff>428625</xdr:rowOff>
    </xdr:to>
    <xdr:sp macro="[0]!Visa" textlink="">
      <xdr:nvSpPr>
        <xdr:cNvPr id="13" name="Rectangle avec coins arrondis du même côté 12"/>
        <xdr:cNvSpPr/>
      </xdr:nvSpPr>
      <xdr:spPr>
        <a:xfrm>
          <a:off x="68787309" y="0"/>
          <a:ext cx="1219097" cy="428625"/>
        </a:xfrm>
        <a:prstGeom prst="round2SameRect">
          <a:avLst/>
        </a:prstGeom>
        <a:solidFill>
          <a:srgbClr val="FFFF00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V</a:t>
          </a:r>
          <a:r>
            <a:rPr lang="fr-FR" sz="1100">
              <a:solidFill>
                <a:sysClr val="windowText" lastClr="000000"/>
              </a:solidFill>
            </a:rPr>
            <a:t>isa</a:t>
          </a:r>
        </a:p>
      </xdr:txBody>
    </xdr:sp>
    <xdr:clientData/>
  </xdr:twoCellAnchor>
  <xdr:twoCellAnchor>
    <xdr:from>
      <xdr:col>59</xdr:col>
      <xdr:colOff>392206</xdr:colOff>
      <xdr:row>0</xdr:row>
      <xdr:rowOff>100853</xdr:rowOff>
    </xdr:from>
    <xdr:to>
      <xdr:col>59</xdr:col>
      <xdr:colOff>717176</xdr:colOff>
      <xdr:row>0</xdr:row>
      <xdr:rowOff>336176</xdr:rowOff>
    </xdr:to>
    <xdr:sp macro="[0]!Visa" textlink="">
      <xdr:nvSpPr>
        <xdr:cNvPr id="14" name="Flèche gauche 13"/>
        <xdr:cNvSpPr/>
      </xdr:nvSpPr>
      <xdr:spPr>
        <a:xfrm>
          <a:off x="68876956" y="100853"/>
          <a:ext cx="324970" cy="235323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141175</xdr:colOff>
      <xdr:row>0</xdr:row>
      <xdr:rowOff>0</xdr:rowOff>
    </xdr:from>
    <xdr:to>
      <xdr:col>2</xdr:col>
      <xdr:colOff>329331</xdr:colOff>
      <xdr:row>0</xdr:row>
      <xdr:rowOff>428625</xdr:rowOff>
    </xdr:to>
    <xdr:sp macro="[0]!Visa" textlink="">
      <xdr:nvSpPr>
        <xdr:cNvPr id="2" name="Rectangle avec coins arrondis du même côté 1"/>
        <xdr:cNvSpPr/>
      </xdr:nvSpPr>
      <xdr:spPr>
        <a:xfrm>
          <a:off x="1769950" y="0"/>
          <a:ext cx="1216856" cy="428625"/>
        </a:xfrm>
        <a:prstGeom prst="round2SameRect">
          <a:avLst/>
        </a:prstGeom>
        <a:solidFill>
          <a:srgbClr val="FFFF00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V</a:t>
          </a:r>
          <a:r>
            <a:rPr lang="fr-FR" sz="1100">
              <a:solidFill>
                <a:sysClr val="windowText" lastClr="000000"/>
              </a:solidFill>
            </a:rPr>
            <a:t>isa</a:t>
          </a:r>
        </a:p>
      </xdr:txBody>
    </xdr:sp>
    <xdr:clientData/>
  </xdr:twoCellAnchor>
  <xdr:twoCellAnchor>
    <xdr:from>
      <xdr:col>0</xdr:col>
      <xdr:colOff>35719</xdr:colOff>
      <xdr:row>0</xdr:row>
      <xdr:rowOff>0</xdr:rowOff>
    </xdr:from>
    <xdr:to>
      <xdr:col>1</xdr:col>
      <xdr:colOff>11906</xdr:colOff>
      <xdr:row>1</xdr:row>
      <xdr:rowOff>0</xdr:rowOff>
    </xdr:to>
    <xdr:sp macro="[0]!Afficher_tout" textlink="">
      <xdr:nvSpPr>
        <xdr:cNvPr id="3" name="Rectangle avec coins arrondis du même côté 2"/>
        <xdr:cNvSpPr/>
      </xdr:nvSpPr>
      <xdr:spPr>
        <a:xfrm>
          <a:off x="35719" y="0"/>
          <a:ext cx="1604962" cy="438150"/>
        </a:xfrm>
        <a:prstGeom prst="round2SameRect">
          <a:avLst/>
        </a:prstGeom>
        <a:solidFill>
          <a:schemeClr val="accent4">
            <a:lumMod val="40000"/>
            <a:lumOff val="60000"/>
          </a:schemeClr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aseline="0">
              <a:solidFill>
                <a:sysClr val="windowText" lastClr="000000"/>
              </a:solidFill>
            </a:rPr>
            <a:t>Afficher </a:t>
          </a:r>
          <a:r>
            <a:rPr lang="fr-FR" sz="1100" baseline="0">
              <a:solidFill>
                <a:srgbClr val="FF0000"/>
              </a:solidFill>
            </a:rPr>
            <a:t>T</a:t>
          </a:r>
          <a:r>
            <a:rPr lang="fr-FR" sz="1100" baseline="0">
              <a:solidFill>
                <a:sysClr val="windowText" lastClr="000000"/>
              </a:solidFill>
            </a:rPr>
            <a:t>out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428625</xdr:colOff>
      <xdr:row>0</xdr:row>
      <xdr:rowOff>0</xdr:rowOff>
    </xdr:from>
    <xdr:to>
      <xdr:col>2</xdr:col>
      <xdr:colOff>2095500</xdr:colOff>
      <xdr:row>1</xdr:row>
      <xdr:rowOff>0</xdr:rowOff>
    </xdr:to>
    <xdr:sp macro="[0]!Données_chiffrées" textlink="">
      <xdr:nvSpPr>
        <xdr:cNvPr id="4" name="Rectangle avec coins arrondis du même côté 3"/>
        <xdr:cNvSpPr/>
      </xdr:nvSpPr>
      <xdr:spPr>
        <a:xfrm>
          <a:off x="3086100" y="0"/>
          <a:ext cx="1666875" cy="438150"/>
        </a:xfrm>
        <a:prstGeom prst="round2SameRect">
          <a:avLst/>
        </a:prstGeom>
        <a:solidFill>
          <a:srgbClr val="45B5ED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D</a:t>
          </a:r>
          <a:r>
            <a:rPr lang="fr-FR" sz="1100">
              <a:solidFill>
                <a:sysClr val="windowText" lastClr="000000"/>
              </a:solidFill>
            </a:rPr>
            <a:t>onnées</a:t>
          </a:r>
          <a:r>
            <a:rPr lang="fr-FR" sz="1100" baseline="0">
              <a:solidFill>
                <a:sysClr val="windowText" lastClr="000000"/>
              </a:solidFill>
            </a:rPr>
            <a:t> chiffrées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56</xdr:col>
      <xdr:colOff>0</xdr:colOff>
      <xdr:row>0</xdr:row>
      <xdr:rowOff>0</xdr:rowOff>
    </xdr:from>
    <xdr:to>
      <xdr:col>59</xdr:col>
      <xdr:colOff>291353</xdr:colOff>
      <xdr:row>1</xdr:row>
      <xdr:rowOff>0</xdr:rowOff>
    </xdr:to>
    <xdr:sp macro="[0]!Afficher_tout" textlink="">
      <xdr:nvSpPr>
        <xdr:cNvPr id="5" name="Rectangle avec coins arrondis du même côté 4"/>
        <xdr:cNvSpPr/>
      </xdr:nvSpPr>
      <xdr:spPr>
        <a:xfrm>
          <a:off x="64903350" y="0"/>
          <a:ext cx="3872753" cy="438150"/>
        </a:xfrm>
        <a:prstGeom prst="round2SameRect">
          <a:avLst/>
        </a:prstGeom>
        <a:solidFill>
          <a:srgbClr val="3AF6F6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Retour</a:t>
          </a:r>
          <a:r>
            <a:rPr lang="fr-FR" sz="1100" baseline="0">
              <a:solidFill>
                <a:srgbClr val="FF0000"/>
              </a:solidFill>
            </a:rPr>
            <a:t> au début de la ligne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55</xdr:col>
      <xdr:colOff>336176</xdr:colOff>
      <xdr:row>0</xdr:row>
      <xdr:rowOff>0</xdr:rowOff>
    </xdr:from>
    <xdr:to>
      <xdr:col>55</xdr:col>
      <xdr:colOff>1937216</xdr:colOff>
      <xdr:row>1</xdr:row>
      <xdr:rowOff>0</xdr:rowOff>
    </xdr:to>
    <xdr:sp macro="[0]!Afficher_tout" textlink="">
      <xdr:nvSpPr>
        <xdr:cNvPr id="6" name="Rectangle avec coins arrondis du même côté 5"/>
        <xdr:cNvSpPr/>
      </xdr:nvSpPr>
      <xdr:spPr>
        <a:xfrm>
          <a:off x="63267851" y="0"/>
          <a:ext cx="1601040" cy="438150"/>
        </a:xfrm>
        <a:prstGeom prst="round2SameRect">
          <a:avLst/>
        </a:prstGeom>
        <a:solidFill>
          <a:schemeClr val="accent4">
            <a:lumMod val="40000"/>
            <a:lumOff val="60000"/>
          </a:schemeClr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aseline="0">
              <a:solidFill>
                <a:sysClr val="windowText" lastClr="000000"/>
              </a:solidFill>
            </a:rPr>
            <a:t>Afficher </a:t>
          </a:r>
          <a:r>
            <a:rPr lang="fr-FR" sz="1100" baseline="0">
              <a:solidFill>
                <a:srgbClr val="FF0000"/>
              </a:solidFill>
            </a:rPr>
            <a:t>T</a:t>
          </a:r>
          <a:r>
            <a:rPr lang="fr-FR" sz="1100" baseline="0">
              <a:solidFill>
                <a:sysClr val="windowText" lastClr="000000"/>
              </a:solidFill>
            </a:rPr>
            <a:t>out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56</xdr:col>
      <xdr:colOff>369795</xdr:colOff>
      <xdr:row>0</xdr:row>
      <xdr:rowOff>112058</xdr:rowOff>
    </xdr:from>
    <xdr:to>
      <xdr:col>56</xdr:col>
      <xdr:colOff>1143001</xdr:colOff>
      <xdr:row>0</xdr:row>
      <xdr:rowOff>347382</xdr:rowOff>
    </xdr:to>
    <xdr:sp macro="[0]!Afficher_tout" textlink="">
      <xdr:nvSpPr>
        <xdr:cNvPr id="7" name="Flèche gauche 6"/>
        <xdr:cNvSpPr/>
      </xdr:nvSpPr>
      <xdr:spPr>
        <a:xfrm>
          <a:off x="65273145" y="112058"/>
          <a:ext cx="773206" cy="235324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56029</xdr:colOff>
      <xdr:row>0</xdr:row>
      <xdr:rowOff>0</xdr:rowOff>
    </xdr:from>
    <xdr:to>
      <xdr:col>4</xdr:col>
      <xdr:colOff>1299882</xdr:colOff>
      <xdr:row>1</xdr:row>
      <xdr:rowOff>0</xdr:rowOff>
    </xdr:to>
    <xdr:sp macro="[0]!Suivi_RSA" textlink="">
      <xdr:nvSpPr>
        <xdr:cNvPr id="8" name="Rectangle avec coins arrondis du même côté 7"/>
        <xdr:cNvSpPr/>
      </xdr:nvSpPr>
      <xdr:spPr>
        <a:xfrm>
          <a:off x="6228229" y="0"/>
          <a:ext cx="1243853" cy="438150"/>
        </a:xfrm>
        <a:prstGeom prst="round2SameRect">
          <a:avLst/>
        </a:prstGeom>
        <a:solidFill>
          <a:srgbClr val="3AF6F6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Suivi</a:t>
          </a:r>
          <a:r>
            <a:rPr lang="fr-FR" sz="1100" baseline="0">
              <a:solidFill>
                <a:sysClr val="windowText" lastClr="000000"/>
              </a:solidFill>
            </a:rPr>
            <a:t> </a:t>
          </a:r>
          <a:r>
            <a:rPr lang="fr-FR" sz="1100" baseline="0">
              <a:solidFill>
                <a:srgbClr val="FF0000"/>
              </a:solidFill>
            </a:rPr>
            <a:t>R</a:t>
          </a:r>
          <a:r>
            <a:rPr lang="fr-FR" sz="1100" baseline="0">
              <a:solidFill>
                <a:sysClr val="windowText" lastClr="000000"/>
              </a:solidFill>
            </a:rPr>
            <a:t>SA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4</xdr:col>
      <xdr:colOff>963706</xdr:colOff>
      <xdr:row>0</xdr:row>
      <xdr:rowOff>112061</xdr:rowOff>
    </xdr:from>
    <xdr:to>
      <xdr:col>4</xdr:col>
      <xdr:colOff>1221440</xdr:colOff>
      <xdr:row>0</xdr:row>
      <xdr:rowOff>324971</xdr:rowOff>
    </xdr:to>
    <xdr:sp macro="[0]!Suivi_RSA" textlink="">
      <xdr:nvSpPr>
        <xdr:cNvPr id="9" name="Flèche droite 8"/>
        <xdr:cNvSpPr/>
      </xdr:nvSpPr>
      <xdr:spPr>
        <a:xfrm>
          <a:off x="7135906" y="112061"/>
          <a:ext cx="257734" cy="21291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22412</xdr:colOff>
      <xdr:row>0</xdr:row>
      <xdr:rowOff>0</xdr:rowOff>
    </xdr:from>
    <xdr:to>
      <xdr:col>6</xdr:col>
      <xdr:colOff>8862</xdr:colOff>
      <xdr:row>0</xdr:row>
      <xdr:rowOff>428625</xdr:rowOff>
    </xdr:to>
    <xdr:sp macro="[0]!Effacer_filtre" textlink="">
      <xdr:nvSpPr>
        <xdr:cNvPr id="10" name="Rectangle avec coins arrondis du même côté 9"/>
        <xdr:cNvSpPr/>
      </xdr:nvSpPr>
      <xdr:spPr>
        <a:xfrm>
          <a:off x="7518587" y="0"/>
          <a:ext cx="1224700" cy="428625"/>
        </a:xfrm>
        <a:prstGeom prst="round2SameRect">
          <a:avLst/>
        </a:prstGeom>
        <a:solidFill>
          <a:srgbClr val="FFD72D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E</a:t>
          </a:r>
          <a:r>
            <a:rPr lang="fr-FR" sz="1100">
              <a:solidFill>
                <a:sysClr val="windowText" lastClr="000000"/>
              </a:solidFill>
            </a:rPr>
            <a:t>ffacer</a:t>
          </a:r>
          <a:r>
            <a:rPr lang="fr-FR" sz="1100" baseline="0">
              <a:solidFill>
                <a:sysClr val="windowText" lastClr="000000"/>
              </a:solidFill>
            </a:rPr>
            <a:t> les Filtres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2117912</xdr:colOff>
      <xdr:row>0</xdr:row>
      <xdr:rowOff>0</xdr:rowOff>
    </xdr:from>
    <xdr:to>
      <xdr:col>4</xdr:col>
      <xdr:colOff>33618</xdr:colOff>
      <xdr:row>1</xdr:row>
      <xdr:rowOff>0</xdr:rowOff>
    </xdr:to>
    <xdr:sp macro="[0]!Suivi_développement" textlink="">
      <xdr:nvSpPr>
        <xdr:cNvPr id="11" name="Rectangle avec coins arrondis du même côté 10"/>
        <xdr:cNvSpPr/>
      </xdr:nvSpPr>
      <xdr:spPr>
        <a:xfrm>
          <a:off x="4775387" y="0"/>
          <a:ext cx="1430431" cy="438150"/>
        </a:xfrm>
        <a:prstGeom prst="round2SameRect">
          <a:avLst/>
        </a:prstGeom>
        <a:solidFill>
          <a:schemeClr val="accent2">
            <a:lumMod val="60000"/>
            <a:lumOff val="40000"/>
          </a:schemeClr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100">
              <a:solidFill>
                <a:srgbClr val="FF0000"/>
              </a:solidFill>
            </a:rPr>
            <a:t>S</a:t>
          </a:r>
          <a:r>
            <a:rPr lang="fr-FR" sz="1100">
              <a:solidFill>
                <a:sysClr val="windowText" lastClr="000000"/>
              </a:solidFill>
            </a:rPr>
            <a:t>uivi</a:t>
          </a:r>
          <a:r>
            <a:rPr lang="fr-FR" sz="1100" baseline="0">
              <a:solidFill>
                <a:sysClr val="windowText" lastClr="000000"/>
              </a:solidFill>
            </a:rPr>
            <a:t> déploiement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</xdr:col>
      <xdr:colOff>1030941</xdr:colOff>
      <xdr:row>0</xdr:row>
      <xdr:rowOff>134470</xdr:rowOff>
    </xdr:from>
    <xdr:to>
      <xdr:col>3</xdr:col>
      <xdr:colOff>1266264</xdr:colOff>
      <xdr:row>0</xdr:row>
      <xdr:rowOff>313764</xdr:rowOff>
    </xdr:to>
    <xdr:sp macro="[0]!Suivi_développement" textlink="">
      <xdr:nvSpPr>
        <xdr:cNvPr id="12" name="Flèche droite 11"/>
        <xdr:cNvSpPr/>
      </xdr:nvSpPr>
      <xdr:spPr>
        <a:xfrm>
          <a:off x="5936316" y="134470"/>
          <a:ext cx="235323" cy="179294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59</xdr:col>
      <xdr:colOff>302559</xdr:colOff>
      <xdr:row>0</xdr:row>
      <xdr:rowOff>0</xdr:rowOff>
    </xdr:from>
    <xdr:to>
      <xdr:col>60</xdr:col>
      <xdr:colOff>759656</xdr:colOff>
      <xdr:row>0</xdr:row>
      <xdr:rowOff>428625</xdr:rowOff>
    </xdr:to>
    <xdr:sp macro="[0]!Visa" textlink="">
      <xdr:nvSpPr>
        <xdr:cNvPr id="13" name="Rectangle avec coins arrondis du même côté 12"/>
        <xdr:cNvSpPr/>
      </xdr:nvSpPr>
      <xdr:spPr>
        <a:xfrm>
          <a:off x="68787309" y="0"/>
          <a:ext cx="1219097" cy="428625"/>
        </a:xfrm>
        <a:prstGeom prst="round2SameRect">
          <a:avLst/>
        </a:prstGeom>
        <a:solidFill>
          <a:srgbClr val="FFFF00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V</a:t>
          </a:r>
          <a:r>
            <a:rPr lang="fr-FR" sz="1100">
              <a:solidFill>
                <a:sysClr val="windowText" lastClr="000000"/>
              </a:solidFill>
            </a:rPr>
            <a:t>isa</a:t>
          </a:r>
        </a:p>
      </xdr:txBody>
    </xdr:sp>
    <xdr:clientData/>
  </xdr:twoCellAnchor>
  <xdr:twoCellAnchor>
    <xdr:from>
      <xdr:col>59</xdr:col>
      <xdr:colOff>392206</xdr:colOff>
      <xdr:row>0</xdr:row>
      <xdr:rowOff>100853</xdr:rowOff>
    </xdr:from>
    <xdr:to>
      <xdr:col>59</xdr:col>
      <xdr:colOff>717176</xdr:colOff>
      <xdr:row>0</xdr:row>
      <xdr:rowOff>336176</xdr:rowOff>
    </xdr:to>
    <xdr:sp macro="[0]!Visa" textlink="">
      <xdr:nvSpPr>
        <xdr:cNvPr id="14" name="Flèche gauche 13"/>
        <xdr:cNvSpPr/>
      </xdr:nvSpPr>
      <xdr:spPr>
        <a:xfrm>
          <a:off x="68876956" y="100853"/>
          <a:ext cx="324970" cy="235323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141175</xdr:colOff>
      <xdr:row>0</xdr:row>
      <xdr:rowOff>0</xdr:rowOff>
    </xdr:from>
    <xdr:to>
      <xdr:col>2</xdr:col>
      <xdr:colOff>329331</xdr:colOff>
      <xdr:row>0</xdr:row>
      <xdr:rowOff>428625</xdr:rowOff>
    </xdr:to>
    <xdr:sp macro="[0]!Visa" textlink="">
      <xdr:nvSpPr>
        <xdr:cNvPr id="2" name="Rectangle avec coins arrondis du même côté 1"/>
        <xdr:cNvSpPr/>
      </xdr:nvSpPr>
      <xdr:spPr>
        <a:xfrm>
          <a:off x="1769950" y="0"/>
          <a:ext cx="1216856" cy="428625"/>
        </a:xfrm>
        <a:prstGeom prst="round2SameRect">
          <a:avLst/>
        </a:prstGeom>
        <a:solidFill>
          <a:srgbClr val="FFFF00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V</a:t>
          </a:r>
          <a:r>
            <a:rPr lang="fr-FR" sz="1100">
              <a:solidFill>
                <a:sysClr val="windowText" lastClr="000000"/>
              </a:solidFill>
            </a:rPr>
            <a:t>isa</a:t>
          </a:r>
        </a:p>
      </xdr:txBody>
    </xdr:sp>
    <xdr:clientData/>
  </xdr:twoCellAnchor>
  <xdr:twoCellAnchor>
    <xdr:from>
      <xdr:col>0</xdr:col>
      <xdr:colOff>35719</xdr:colOff>
      <xdr:row>0</xdr:row>
      <xdr:rowOff>0</xdr:rowOff>
    </xdr:from>
    <xdr:to>
      <xdr:col>1</xdr:col>
      <xdr:colOff>11906</xdr:colOff>
      <xdr:row>1</xdr:row>
      <xdr:rowOff>0</xdr:rowOff>
    </xdr:to>
    <xdr:sp macro="[0]!Afficher_tout" textlink="">
      <xdr:nvSpPr>
        <xdr:cNvPr id="3" name="Rectangle avec coins arrondis du même côté 2"/>
        <xdr:cNvSpPr/>
      </xdr:nvSpPr>
      <xdr:spPr>
        <a:xfrm>
          <a:off x="35719" y="0"/>
          <a:ext cx="1604962" cy="438150"/>
        </a:xfrm>
        <a:prstGeom prst="round2SameRect">
          <a:avLst/>
        </a:prstGeom>
        <a:solidFill>
          <a:schemeClr val="accent4">
            <a:lumMod val="40000"/>
            <a:lumOff val="60000"/>
          </a:schemeClr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aseline="0">
              <a:solidFill>
                <a:sysClr val="windowText" lastClr="000000"/>
              </a:solidFill>
            </a:rPr>
            <a:t>Afficher </a:t>
          </a:r>
          <a:r>
            <a:rPr lang="fr-FR" sz="1100" baseline="0">
              <a:solidFill>
                <a:srgbClr val="FF0000"/>
              </a:solidFill>
            </a:rPr>
            <a:t>T</a:t>
          </a:r>
          <a:r>
            <a:rPr lang="fr-FR" sz="1100" baseline="0">
              <a:solidFill>
                <a:sysClr val="windowText" lastClr="000000"/>
              </a:solidFill>
            </a:rPr>
            <a:t>out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428625</xdr:colOff>
      <xdr:row>0</xdr:row>
      <xdr:rowOff>0</xdr:rowOff>
    </xdr:from>
    <xdr:to>
      <xdr:col>2</xdr:col>
      <xdr:colOff>2095500</xdr:colOff>
      <xdr:row>1</xdr:row>
      <xdr:rowOff>0</xdr:rowOff>
    </xdr:to>
    <xdr:sp macro="[0]!Données_chiffrées" textlink="">
      <xdr:nvSpPr>
        <xdr:cNvPr id="4" name="Rectangle avec coins arrondis du même côté 3"/>
        <xdr:cNvSpPr/>
      </xdr:nvSpPr>
      <xdr:spPr>
        <a:xfrm>
          <a:off x="3086100" y="0"/>
          <a:ext cx="1666875" cy="438150"/>
        </a:xfrm>
        <a:prstGeom prst="round2SameRect">
          <a:avLst/>
        </a:prstGeom>
        <a:solidFill>
          <a:srgbClr val="45B5ED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D</a:t>
          </a:r>
          <a:r>
            <a:rPr lang="fr-FR" sz="1100">
              <a:solidFill>
                <a:sysClr val="windowText" lastClr="000000"/>
              </a:solidFill>
            </a:rPr>
            <a:t>onnées</a:t>
          </a:r>
          <a:r>
            <a:rPr lang="fr-FR" sz="1100" baseline="0">
              <a:solidFill>
                <a:sysClr val="windowText" lastClr="000000"/>
              </a:solidFill>
            </a:rPr>
            <a:t> chiffrées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56</xdr:col>
      <xdr:colOff>0</xdr:colOff>
      <xdr:row>0</xdr:row>
      <xdr:rowOff>0</xdr:rowOff>
    </xdr:from>
    <xdr:to>
      <xdr:col>59</xdr:col>
      <xdr:colOff>291353</xdr:colOff>
      <xdr:row>1</xdr:row>
      <xdr:rowOff>0</xdr:rowOff>
    </xdr:to>
    <xdr:sp macro="[0]!Afficher_tout" textlink="">
      <xdr:nvSpPr>
        <xdr:cNvPr id="5" name="Rectangle avec coins arrondis du même côté 4"/>
        <xdr:cNvSpPr/>
      </xdr:nvSpPr>
      <xdr:spPr>
        <a:xfrm>
          <a:off x="64903350" y="0"/>
          <a:ext cx="3872753" cy="438150"/>
        </a:xfrm>
        <a:prstGeom prst="round2SameRect">
          <a:avLst/>
        </a:prstGeom>
        <a:solidFill>
          <a:srgbClr val="3AF6F6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Retour</a:t>
          </a:r>
          <a:r>
            <a:rPr lang="fr-FR" sz="1100" baseline="0">
              <a:solidFill>
                <a:srgbClr val="FF0000"/>
              </a:solidFill>
            </a:rPr>
            <a:t> au début de la ligne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55</xdr:col>
      <xdr:colOff>336176</xdr:colOff>
      <xdr:row>0</xdr:row>
      <xdr:rowOff>0</xdr:rowOff>
    </xdr:from>
    <xdr:to>
      <xdr:col>55</xdr:col>
      <xdr:colOff>1937216</xdr:colOff>
      <xdr:row>1</xdr:row>
      <xdr:rowOff>0</xdr:rowOff>
    </xdr:to>
    <xdr:sp macro="[0]!Afficher_tout" textlink="">
      <xdr:nvSpPr>
        <xdr:cNvPr id="6" name="Rectangle avec coins arrondis du même côté 5"/>
        <xdr:cNvSpPr/>
      </xdr:nvSpPr>
      <xdr:spPr>
        <a:xfrm>
          <a:off x="63267851" y="0"/>
          <a:ext cx="1601040" cy="438150"/>
        </a:xfrm>
        <a:prstGeom prst="round2SameRect">
          <a:avLst/>
        </a:prstGeom>
        <a:solidFill>
          <a:schemeClr val="accent4">
            <a:lumMod val="40000"/>
            <a:lumOff val="60000"/>
          </a:schemeClr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aseline="0">
              <a:solidFill>
                <a:sysClr val="windowText" lastClr="000000"/>
              </a:solidFill>
            </a:rPr>
            <a:t>Afficher </a:t>
          </a:r>
          <a:r>
            <a:rPr lang="fr-FR" sz="1100" baseline="0">
              <a:solidFill>
                <a:srgbClr val="FF0000"/>
              </a:solidFill>
            </a:rPr>
            <a:t>T</a:t>
          </a:r>
          <a:r>
            <a:rPr lang="fr-FR" sz="1100" baseline="0">
              <a:solidFill>
                <a:sysClr val="windowText" lastClr="000000"/>
              </a:solidFill>
            </a:rPr>
            <a:t>out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56</xdr:col>
      <xdr:colOff>369795</xdr:colOff>
      <xdr:row>0</xdr:row>
      <xdr:rowOff>112058</xdr:rowOff>
    </xdr:from>
    <xdr:to>
      <xdr:col>56</xdr:col>
      <xdr:colOff>1143001</xdr:colOff>
      <xdr:row>0</xdr:row>
      <xdr:rowOff>347382</xdr:rowOff>
    </xdr:to>
    <xdr:sp macro="[0]!Afficher_tout" textlink="">
      <xdr:nvSpPr>
        <xdr:cNvPr id="7" name="Flèche gauche 6"/>
        <xdr:cNvSpPr/>
      </xdr:nvSpPr>
      <xdr:spPr>
        <a:xfrm>
          <a:off x="65273145" y="112058"/>
          <a:ext cx="773206" cy="235324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56029</xdr:colOff>
      <xdr:row>0</xdr:row>
      <xdr:rowOff>0</xdr:rowOff>
    </xdr:from>
    <xdr:to>
      <xdr:col>4</xdr:col>
      <xdr:colOff>1299882</xdr:colOff>
      <xdr:row>1</xdr:row>
      <xdr:rowOff>0</xdr:rowOff>
    </xdr:to>
    <xdr:sp macro="[0]!Suivi_RSA" textlink="">
      <xdr:nvSpPr>
        <xdr:cNvPr id="8" name="Rectangle avec coins arrondis du même côté 7"/>
        <xdr:cNvSpPr/>
      </xdr:nvSpPr>
      <xdr:spPr>
        <a:xfrm>
          <a:off x="6228229" y="0"/>
          <a:ext cx="1243853" cy="438150"/>
        </a:xfrm>
        <a:prstGeom prst="round2SameRect">
          <a:avLst/>
        </a:prstGeom>
        <a:solidFill>
          <a:srgbClr val="3AF6F6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Suivi</a:t>
          </a:r>
          <a:r>
            <a:rPr lang="fr-FR" sz="1100" baseline="0">
              <a:solidFill>
                <a:sysClr val="windowText" lastClr="000000"/>
              </a:solidFill>
            </a:rPr>
            <a:t> </a:t>
          </a:r>
          <a:r>
            <a:rPr lang="fr-FR" sz="1100" baseline="0">
              <a:solidFill>
                <a:srgbClr val="FF0000"/>
              </a:solidFill>
            </a:rPr>
            <a:t>R</a:t>
          </a:r>
          <a:r>
            <a:rPr lang="fr-FR" sz="1100" baseline="0">
              <a:solidFill>
                <a:sysClr val="windowText" lastClr="000000"/>
              </a:solidFill>
            </a:rPr>
            <a:t>SA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4</xdr:col>
      <xdr:colOff>963706</xdr:colOff>
      <xdr:row>0</xdr:row>
      <xdr:rowOff>112061</xdr:rowOff>
    </xdr:from>
    <xdr:to>
      <xdr:col>4</xdr:col>
      <xdr:colOff>1221440</xdr:colOff>
      <xdr:row>0</xdr:row>
      <xdr:rowOff>324971</xdr:rowOff>
    </xdr:to>
    <xdr:sp macro="[0]!Suivi_RSA" textlink="">
      <xdr:nvSpPr>
        <xdr:cNvPr id="9" name="Flèche droite 8"/>
        <xdr:cNvSpPr/>
      </xdr:nvSpPr>
      <xdr:spPr>
        <a:xfrm>
          <a:off x="7135906" y="112061"/>
          <a:ext cx="257734" cy="21291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22412</xdr:colOff>
      <xdr:row>0</xdr:row>
      <xdr:rowOff>0</xdr:rowOff>
    </xdr:from>
    <xdr:to>
      <xdr:col>6</xdr:col>
      <xdr:colOff>8862</xdr:colOff>
      <xdr:row>0</xdr:row>
      <xdr:rowOff>428625</xdr:rowOff>
    </xdr:to>
    <xdr:sp macro="[0]!Effacer_filtre" textlink="">
      <xdr:nvSpPr>
        <xdr:cNvPr id="10" name="Rectangle avec coins arrondis du même côté 9"/>
        <xdr:cNvSpPr/>
      </xdr:nvSpPr>
      <xdr:spPr>
        <a:xfrm>
          <a:off x="7518587" y="0"/>
          <a:ext cx="1224700" cy="428625"/>
        </a:xfrm>
        <a:prstGeom prst="round2SameRect">
          <a:avLst/>
        </a:prstGeom>
        <a:solidFill>
          <a:srgbClr val="FFD72D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E</a:t>
          </a:r>
          <a:r>
            <a:rPr lang="fr-FR" sz="1100">
              <a:solidFill>
                <a:sysClr val="windowText" lastClr="000000"/>
              </a:solidFill>
            </a:rPr>
            <a:t>ffacer</a:t>
          </a:r>
          <a:r>
            <a:rPr lang="fr-FR" sz="1100" baseline="0">
              <a:solidFill>
                <a:sysClr val="windowText" lastClr="000000"/>
              </a:solidFill>
            </a:rPr>
            <a:t> les Filtres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2117912</xdr:colOff>
      <xdr:row>0</xdr:row>
      <xdr:rowOff>0</xdr:rowOff>
    </xdr:from>
    <xdr:to>
      <xdr:col>4</xdr:col>
      <xdr:colOff>33618</xdr:colOff>
      <xdr:row>1</xdr:row>
      <xdr:rowOff>0</xdr:rowOff>
    </xdr:to>
    <xdr:sp macro="[0]!Suivi_développement" textlink="">
      <xdr:nvSpPr>
        <xdr:cNvPr id="11" name="Rectangle avec coins arrondis du même côté 10"/>
        <xdr:cNvSpPr/>
      </xdr:nvSpPr>
      <xdr:spPr>
        <a:xfrm>
          <a:off x="4775387" y="0"/>
          <a:ext cx="1430431" cy="438150"/>
        </a:xfrm>
        <a:prstGeom prst="round2SameRect">
          <a:avLst/>
        </a:prstGeom>
        <a:solidFill>
          <a:schemeClr val="accent2">
            <a:lumMod val="60000"/>
            <a:lumOff val="40000"/>
          </a:schemeClr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100">
              <a:solidFill>
                <a:srgbClr val="FF0000"/>
              </a:solidFill>
            </a:rPr>
            <a:t>S</a:t>
          </a:r>
          <a:r>
            <a:rPr lang="fr-FR" sz="1100">
              <a:solidFill>
                <a:sysClr val="windowText" lastClr="000000"/>
              </a:solidFill>
            </a:rPr>
            <a:t>uivi</a:t>
          </a:r>
          <a:r>
            <a:rPr lang="fr-FR" sz="1100" baseline="0">
              <a:solidFill>
                <a:sysClr val="windowText" lastClr="000000"/>
              </a:solidFill>
            </a:rPr>
            <a:t> déploiement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</xdr:col>
      <xdr:colOff>1030941</xdr:colOff>
      <xdr:row>0</xdr:row>
      <xdr:rowOff>134470</xdr:rowOff>
    </xdr:from>
    <xdr:to>
      <xdr:col>3</xdr:col>
      <xdr:colOff>1266264</xdr:colOff>
      <xdr:row>0</xdr:row>
      <xdr:rowOff>313764</xdr:rowOff>
    </xdr:to>
    <xdr:sp macro="[0]!Suivi_développement" textlink="">
      <xdr:nvSpPr>
        <xdr:cNvPr id="12" name="Flèche droite 11"/>
        <xdr:cNvSpPr/>
      </xdr:nvSpPr>
      <xdr:spPr>
        <a:xfrm>
          <a:off x="5936316" y="134470"/>
          <a:ext cx="235323" cy="179294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59</xdr:col>
      <xdr:colOff>302559</xdr:colOff>
      <xdr:row>0</xdr:row>
      <xdr:rowOff>0</xdr:rowOff>
    </xdr:from>
    <xdr:to>
      <xdr:col>60</xdr:col>
      <xdr:colOff>759656</xdr:colOff>
      <xdr:row>0</xdr:row>
      <xdr:rowOff>428625</xdr:rowOff>
    </xdr:to>
    <xdr:sp macro="[0]!Visa" textlink="">
      <xdr:nvSpPr>
        <xdr:cNvPr id="13" name="Rectangle avec coins arrondis du même côté 12"/>
        <xdr:cNvSpPr/>
      </xdr:nvSpPr>
      <xdr:spPr>
        <a:xfrm>
          <a:off x="68787309" y="0"/>
          <a:ext cx="1219097" cy="428625"/>
        </a:xfrm>
        <a:prstGeom prst="round2SameRect">
          <a:avLst/>
        </a:prstGeom>
        <a:solidFill>
          <a:srgbClr val="FFFF00"/>
        </a:solidFill>
        <a:ln w="381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V</a:t>
          </a:r>
          <a:r>
            <a:rPr lang="fr-FR" sz="1100">
              <a:solidFill>
                <a:sysClr val="windowText" lastClr="000000"/>
              </a:solidFill>
            </a:rPr>
            <a:t>isa</a:t>
          </a:r>
        </a:p>
      </xdr:txBody>
    </xdr:sp>
    <xdr:clientData/>
  </xdr:twoCellAnchor>
  <xdr:twoCellAnchor>
    <xdr:from>
      <xdr:col>59</xdr:col>
      <xdr:colOff>392206</xdr:colOff>
      <xdr:row>0</xdr:row>
      <xdr:rowOff>100853</xdr:rowOff>
    </xdr:from>
    <xdr:to>
      <xdr:col>59</xdr:col>
      <xdr:colOff>717176</xdr:colOff>
      <xdr:row>0</xdr:row>
      <xdr:rowOff>336176</xdr:rowOff>
    </xdr:to>
    <xdr:sp macro="[0]!Visa" textlink="">
      <xdr:nvSpPr>
        <xdr:cNvPr id="14" name="Flèche gauche 13"/>
        <xdr:cNvSpPr/>
      </xdr:nvSpPr>
      <xdr:spPr>
        <a:xfrm>
          <a:off x="68876956" y="100853"/>
          <a:ext cx="324970" cy="235323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PORTEFEUILLE_DELPHINE" displayName="PORTEFEUILLE_DELPHINE" ref="A2:BI60" totalsRowShown="0" headerRowDxfId="569" dataDxfId="568" tableBorderDxfId="567" headerRowCellStyle="Normal 16">
  <autoFilter ref="A2:BI60"/>
  <tableColumns count="61">
    <tableColumn id="48" name="PRENOM DU COMPTABLE" dataDxfId="566"/>
    <tableColumn id="1" name="N° DOSSIER" dataDxfId="565"/>
    <tableColumn id="2" name="NOM DOSSIER" dataDxfId="564"/>
    <tableColumn id="3" name="TYPE DE MARCHE" dataDxfId="563"/>
    <tableColumn id="4" name="DATE DE CLOTURE" dataDxfId="562"/>
    <tableColumn id="5" name="REGIME JURIDIQUE" dataDxfId="561"/>
    <tableColumn id="6" name="REGIME IMPOSITION" dataDxfId="560"/>
    <tableColumn id="56" name="DECLARATION DE TVA" dataDxfId="559"/>
    <tableColumn id="7" name="DATE_x000a_DE DEPOT" dataDxfId="558"/>
    <tableColumn id="8" name="DATE SIGNATURE" dataDxfId="557"/>
    <tableColumn id="9" name="MOIS" dataDxfId="556">
      <calculatedColumnFormula>IF(I3="","",MONTH(I3))</calculatedColumnFormula>
    </tableColumn>
    <tableColumn id="10" name="DELAI" dataDxfId="555">
      <calculatedColumnFormula>IF(I3="","",DAYS360(E3,I3))</calculatedColumnFormula>
    </tableColumn>
    <tableColumn id="11" name="PCR" dataDxfId="554"/>
    <tableColumn id="12" name="RA NOS" dataDxfId="553"/>
    <tableColumn id="13" name="QUI " dataDxfId="552"/>
    <tableColumn id="14" name="CR" dataDxfId="551"/>
    <tableColumn id="15" name="CR FAIT PAR LE COMPTABLE" dataDxfId="550"/>
    <tableColumn id="16" name="AG_x000a_SIGNEE" dataDxfId="549"/>
    <tableColumn id="17" name="PCR COMPTABLE €" dataDxfId="548" dataCellStyle="Monétaire"/>
    <tableColumn id="18" name="PCR CONSEILLER €" dataDxfId="547"/>
    <tableColumn id="19" name="RA FAIT PAR LE_x000a_COMPTABLE €" dataDxfId="546" dataCellStyle="Monétaire"/>
    <tableColumn id="41" name="RA FAITE PAR LE CONSEILLER €" dataDxfId="545" dataCellStyle="Monétaire"/>
    <tableColumn id="21" name="POINT DE PILOTAGE €" dataDxfId="544" dataCellStyle="Monétaire"/>
    <tableColumn id="20" name="AGOA COMPTABLE €" dataDxfId="543" dataCellStyle="Monétaire"/>
    <tableColumn id="59" name="AGOA CONSEILLER €" dataDxfId="542" dataCellStyle="Monétaire"/>
    <tableColumn id="60" name="VISA JURIDIQUE €" dataDxfId="541" dataCellStyle="Monétaire"/>
    <tableColumn id="38" name="SAISIE PAR UNE AAC €" dataDxfId="540" dataCellStyle="Monétaire"/>
    <tableColumn id="43" name="SAISIE PAR LE COMPTABLE €" dataDxfId="539" dataCellStyle="Monétaire"/>
    <tableColumn id="39" name="TRAVAUX _x000a_DE REVISION €" dataDxfId="538" dataCellStyle="Monétaire"/>
    <tableColumn id="42" name="DECLARATION TVA AAC €" dataDxfId="537" dataCellStyle="Monétaire"/>
    <tableColumn id="45" name="DECLARATION TVA COMPTABLE €" dataDxfId="536" dataCellStyle="Monétaire"/>
    <tableColumn id="40" name="MONTANT_x000a_RESPONSABLE RELATION CLIENT €" dataDxfId="535" dataCellStyle="Monétaire"/>
    <tableColumn id="33" name="MONTANT TOTAL LETTRE DE MISION €" dataDxfId="534" dataCellStyle="Monétaire">
      <calculatedColumnFormula>SUM(PORTEFEUILLE_DELPHINE[[#This Row],[PCR COMPTABLE €]:[MONTANT
RESPONSABLE RELATION CLIENT €]])</calculatedColumnFormula>
    </tableColumn>
    <tableColumn id="34" name="ECART DE SAISE avec LETTRE DE MISSION €" dataDxfId="533" dataCellStyle="Monétaire">
      <calculatedColumnFormula>SUM(PORTEFEUILLE_DELPHINE[[#This Row],[PCR COMPTABLE €]:[MONTANT
RESPONSABLE RELATION CLIENT €]])-PORTEFEUILLE_DELPHINE[[#This Row],[MONTANT TOTAL LETTRE DE MISION €]]</calculatedColumnFormula>
    </tableColumn>
    <tableColumn id="22" name="Prénom_x000a_AAC" dataDxfId="532"/>
    <tableColumn id="36" name="PRENOM CONSEILLER" dataDxfId="531"/>
    <tableColumn id="57" name="PRENOM REALISATION TVA" dataDxfId="530"/>
    <tableColumn id="54" name="ABONNE COURT _x000a_ABONNE LONG" dataDxfId="529"/>
    <tableColumn id="55" name="RECONDUCTION AUTOMATIQUE OS" dataDxfId="528"/>
    <tableColumn id="23" name="TPS PASSE_x000a_COMPTABLE H_x000a_" dataDxfId="527"/>
    <tableColumn id="37" name="TPS PASSE _x000a_AAC H" dataDxfId="526"/>
    <tableColumn id="47" name="BONI AAC" dataDxfId="525" dataCellStyle="Monétaire">
      <calculatedColumnFormula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calculatedColumnFormula>
    </tableColumn>
    <tableColumn id="46" name="MALI AAC" dataDxfId="524" dataCellStyle="Monétaire">
      <calculatedColumnFormula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calculatedColumnFormula>
    </tableColumn>
    <tableColumn id="44" name="NOMBRE DOSSIER BONI AAC" dataDxfId="523">
      <calculatedColumnFormula>IF(PORTEFEUILLE_DELPHINE[[#This Row],[BONI AAC]]&lt;&gt;0,1,"")</calculatedColumnFormula>
    </tableColumn>
    <tableColumn id="35" name="NBRE DOSSIER MALI AAC" dataDxfId="522">
      <calculatedColumnFormula>IF(PORTEFEUILLE_DELPHINE[[#This Row],[MALI AAC]]&lt;&gt;0,1,"")</calculatedColumnFormula>
    </tableColumn>
    <tableColumn id="24" name="BONI COMPTABLE" dataDxfId="521" dataCellStyle="Monétaire">
      <calculatedColumnFormula>IF(AN3&lt;&gt;"",IF((AN3*Paramètres!$H$4)-PORTEFEUILLE_DELPHINE[[#This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€]]-(DELPHINE!AN3*Paramètres!$H$4),0),0)</calculatedColumnFormula>
    </tableColumn>
    <tableColumn id="25" name="MALI COMPTABLE" dataDxfId="520" dataCellStyle="Monétaire">
      <calculatedColumnFormula>IF(AN3&lt;&gt;"",IF(((AN3*Paramètres!$H$4)-PORTEFEUILLE_DELPHINE[[#This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€]])&gt;0,(AN3*Paramètres!$H$4)-PORTEFEUILLE_DELPHINE[[#This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calculatedColumnFormula>
    </tableColumn>
    <tableColumn id="53" name="NOMBRE DOSSIER BONI COMPTABLE" dataDxfId="519">
      <calculatedColumnFormula>IF(PORTEFEUILLE_DELPHINE[[#This Row],[BONI COMPTABLE]]&lt;&gt;0,1,"")</calculatedColumnFormula>
    </tableColumn>
    <tableColumn id="52" name="NOMBRE DE DOSSIER MALI COMPTABLE" dataDxfId="518">
      <calculatedColumnFormula>IF(PORTEFEUILLE_DELPHINE[[#This Row],[MALI COMPTABLE]]&lt;&gt;0,1,"")</calculatedColumnFormula>
    </tableColumn>
    <tableColumn id="26" name="GRILLE ENJEUX" dataDxfId="517"/>
    <tableColumn id="27" name="Visa_x000a_Validé_x000a_enjeu 4 ou attestation enjeu" dataDxfId="516"/>
    <tableColumn id="28" name="VISA VCOMPTA" dataDxfId="515"/>
    <tableColumn id="29" name="REFUS" dataDxfId="514"/>
    <tableColumn id="30" name="MOTIF" dataDxfId="513"/>
    <tableColumn id="31" name="COMMENTAIRES" dataDxfId="512"/>
    <tableColumn id="32" name="DIVERS" dataDxfId="511"/>
    <tableColumn id="49" name="MISE EN PLACE SCAN BY CERFRANCE" dataDxfId="510"/>
    <tableColumn id="50" name="PRENOM PERSONNE AYANT DEPLOYEE SCAN BY CERFRANCE" dataDxfId="509"/>
    <tableColumn id="51" name="PICKING" dataDxfId="508"/>
    <tableColumn id="58" name="EDI" dataDxfId="507"/>
    <tableColumn id="62" name="Colonne1" dataDxfId="50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9" name="PORTEFEUILLE_FREDERIQUE" displayName="PORTEFEUILLE_FREDERIQUE" ref="A2:BI60" totalsRowShown="0" headerRowDxfId="499" dataDxfId="498" tableBorderDxfId="497" headerRowCellStyle="Normal 16">
  <autoFilter ref="A2:BI60"/>
  <tableColumns count="61">
    <tableColumn id="48" name="PRENOM DU COMPTABLE" dataDxfId="496"/>
    <tableColumn id="1" name="N° DOSSIER" dataDxfId="495"/>
    <tableColumn id="2" name="NOM DOSSIER" dataDxfId="494"/>
    <tableColumn id="3" name="TYPE DE MARCHE" dataDxfId="493"/>
    <tableColumn id="4" name="DATE DE CLOTURE" dataDxfId="492"/>
    <tableColumn id="5" name="REGIME JURIDIQUE" dataDxfId="491"/>
    <tableColumn id="6" name="REGIME IMPOSITION" dataDxfId="490"/>
    <tableColumn id="56" name="DECLARATION DE TVA" dataDxfId="489"/>
    <tableColumn id="7" name="DATE_x000a_DE DEPOT" dataDxfId="488"/>
    <tableColumn id="8" name="DATE SIGNATURE" dataDxfId="487"/>
    <tableColumn id="9" name="MOIS" dataDxfId="486">
      <calculatedColumnFormula>IF(I3="","",MONTH(I3))</calculatedColumnFormula>
    </tableColumn>
    <tableColumn id="10" name="DELAI" dataDxfId="485">
      <calculatedColumnFormula>IF(I3="","",DAYS360(E3,I3))</calculatedColumnFormula>
    </tableColumn>
    <tableColumn id="11" name="PCR" dataDxfId="484"/>
    <tableColumn id="12" name="RA NOS" dataDxfId="483"/>
    <tableColumn id="13" name="QUI " dataDxfId="482"/>
    <tableColumn id="14" name="CR" dataDxfId="481"/>
    <tableColumn id="15" name="CR FAIT PAR LE COMPTABLE" dataDxfId="480"/>
    <tableColumn id="16" name="AG_x000a_SIGNEE" dataDxfId="479"/>
    <tableColumn id="17" name="PCR COMPTABLE €" dataDxfId="478" dataCellStyle="Monétaire"/>
    <tableColumn id="18" name="PCR CONSEILLER €" dataDxfId="477"/>
    <tableColumn id="19" name="RA FAIT PAR LE_x000a_COMPTABLE €" dataDxfId="476" dataCellStyle="Monétaire"/>
    <tableColumn id="41" name="RA FAITE PAR LE CONSEILLER €" dataDxfId="475" dataCellStyle="Monétaire"/>
    <tableColumn id="21" name="POINT DE PILOTAGE €" dataDxfId="474" dataCellStyle="Monétaire"/>
    <tableColumn id="20" name="AGOA COMPTABLE €" dataDxfId="473" dataCellStyle="Monétaire"/>
    <tableColumn id="59" name="AGOA CONSEILLER €" dataDxfId="472" dataCellStyle="Monétaire"/>
    <tableColumn id="60" name="VISA JURIDIQUE €" dataDxfId="471" dataCellStyle="Monétaire"/>
    <tableColumn id="38" name="SAISIE PAR UNE AAC €" dataDxfId="470" dataCellStyle="Monétaire"/>
    <tableColumn id="43" name="SAISIE PAR LE COMPTABLE €" dataDxfId="469" dataCellStyle="Monétaire"/>
    <tableColumn id="39" name="TRAVAUX _x000a_DE REVISION €" dataDxfId="468" dataCellStyle="Monétaire"/>
    <tableColumn id="42" name="DECLARATION TVA AAC €" dataDxfId="467" dataCellStyle="Monétaire"/>
    <tableColumn id="45" name="DECLARATION TVA COMPTABLE €" dataDxfId="466" dataCellStyle="Monétaire"/>
    <tableColumn id="40" name="MONTANT_x000a_RESPONSABLE RELATION CLIENT €" dataDxfId="465" dataCellStyle="Monétaire"/>
    <tableColumn id="33" name="MONTANT TOTAL LETTRE DE MISION €" dataDxfId="464" dataCellStyle="Monétaire">
      <calculatedColumnFormula>SUM(PORTEFEUILLE_FREDERIQUE[[#This Row],[PCR COMPTABLE €]:[MONTANT
RESPONSABLE RELATION CLIENT €]])</calculatedColumnFormula>
    </tableColumn>
    <tableColumn id="34" name="ECART DE SAISE avec LETTRE DE MISSION €" dataDxfId="463" dataCellStyle="Monétaire">
      <calculatedColumnFormula>SUM(PORTEFEUILLE_FREDERIQUE[[#This Row],[PCR COMPTABLE €]:[MONTANT
RESPONSABLE RELATION CLIENT €]])-PORTEFEUILLE_FREDERIQUE[[#This Row],[MONTANT TOTAL LETTRE DE MISION €]]</calculatedColumnFormula>
    </tableColumn>
    <tableColumn id="22" name="Prénom_x000a_AAC" dataDxfId="462"/>
    <tableColumn id="36" name="PRENOM CONSEILLER" dataDxfId="461"/>
    <tableColumn id="57" name="PRENOM REALISATION TVA" dataDxfId="460"/>
    <tableColumn id="54" name="ABONNE COURT _x000a_ABONNE LONG" dataDxfId="459"/>
    <tableColumn id="55" name="RECONDUCTION AUTOMATIQUE OS" dataDxfId="458"/>
    <tableColumn id="23" name="TPS PASSE_x000a_COMPTABLE H_x000a_" dataDxfId="457"/>
    <tableColumn id="37" name="TPS PASSE _x000a_AAC H" dataDxfId="456"/>
    <tableColumn id="47" name="BONI AAC" dataDxfId="455" dataCellStyle="Monétaire">
      <calculatedColumnFormula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calculatedColumnFormula>
    </tableColumn>
    <tableColumn id="46" name="MALI AAC" dataDxfId="454" dataCellStyle="Monétaire">
      <calculatedColumnFormula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calculatedColumnFormula>
    </tableColumn>
    <tableColumn id="44" name="NOMBRE DOSSIER BONI AAC" dataDxfId="453">
      <calculatedColumnFormula>IF(PORTEFEUILLE_FREDERIQUE[[#This Row],[BONI AAC]]&lt;&gt;0,1,"")</calculatedColumnFormula>
    </tableColumn>
    <tableColumn id="35" name="NBRE DOSSIER MALI AAC" dataDxfId="452">
      <calculatedColumnFormula>IF(PORTEFEUILLE_FREDERIQUE[[#This Row],[MALI AAC]]&lt;&gt;0,1,"")</calculatedColumnFormula>
    </tableColumn>
    <tableColumn id="24" name="BONI COMPTABLE" dataDxfId="451" dataCellStyle="Monétaire">
      <calculatedColumnFormula>IF(AN3&lt;&gt;"",IF((AN3*Paramètres!$H$4)-PORTEFEUILLE_FREDERIQUE[[#This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€]]-(DELPHINE!AN3*Paramètres!$H$4),0),0)</calculatedColumnFormula>
    </tableColumn>
    <tableColumn id="25" name="MALI COMPTABLE" dataDxfId="450" dataCellStyle="Monétaire">
      <calculatedColumnFormula>IF(AN3&lt;&gt;"",IF(((AN3*Paramètres!$H$4)-PORTEFEUILLE_FREDERIQUE[[#This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€]])&gt;0,(AN3*Paramètres!$H$4)-PORTEFEUILLE_FREDERIQUE[[#This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calculatedColumnFormula>
    </tableColumn>
    <tableColumn id="53" name="NOMBRE DOSSIER BONI COMPTABLE" dataDxfId="449">
      <calculatedColumnFormula>IF(PORTEFEUILLE_FREDERIQUE[[#This Row],[BONI COMPTABLE]]&lt;&gt;0,1,"")</calculatedColumnFormula>
    </tableColumn>
    <tableColumn id="52" name="NOMBRE DE DOSSIER MALI COMPTABLE" dataDxfId="448">
      <calculatedColumnFormula>IF(PORTEFEUILLE_FREDERIQUE[[#This Row],[MALI COMPTABLE]]&lt;&gt;0,1,"")</calculatedColumnFormula>
    </tableColumn>
    <tableColumn id="26" name="GRILLE ENJEUX" dataDxfId="447"/>
    <tableColumn id="27" name="Visa_x000a_Validé_x000a_enjeu 4 ou attestation enjeu" dataDxfId="446"/>
    <tableColumn id="28" name="VISA VCOMPTA" dataDxfId="445"/>
    <tableColumn id="29" name="REFUS" dataDxfId="444"/>
    <tableColumn id="30" name="MOTIF" dataDxfId="443"/>
    <tableColumn id="31" name="COMMENTAIRES" dataDxfId="442"/>
    <tableColumn id="32" name="Attestation_x000a_à faire signer par l'EC" dataDxfId="441"/>
    <tableColumn id="49" name="MISE EN PLACE SCAN BY CERFRANCE" dataDxfId="440"/>
    <tableColumn id="50" name="PRENOM PERSONNE AYANT DEPLOYEE SCAN BY CERFRANCE" dataDxfId="439"/>
    <tableColumn id="51" name="PICKING" dataDxfId="438"/>
    <tableColumn id="58" name="EDI" dataDxfId="437"/>
    <tableColumn id="62" name="Colonne1" dataDxfId="43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0" name="PORTEFEUILLE_AURELIE_T" displayName="PORTEFEUILLE_AURELIE_T" ref="A2:BI60" totalsRowShown="0" headerRowDxfId="429" dataDxfId="428" tableBorderDxfId="427" headerRowCellStyle="Normal 16">
  <autoFilter ref="A2:BI60"/>
  <tableColumns count="61">
    <tableColumn id="48" name="PRENOM DU COMPTABLE" dataDxfId="426"/>
    <tableColumn id="1" name="N° DOSSIER" dataDxfId="425"/>
    <tableColumn id="2" name="NOM DOSSIER" dataDxfId="424"/>
    <tableColumn id="3" name="TYPE DE MARCHE" dataDxfId="423"/>
    <tableColumn id="4" name="DATE DE CLOTURE" dataDxfId="422"/>
    <tableColumn id="5" name="REGIME JURIDIQUE" dataDxfId="421"/>
    <tableColumn id="6" name="REGIME IMPOSITION" dataDxfId="420"/>
    <tableColumn id="56" name="DECLARATION DE TVA" dataDxfId="419"/>
    <tableColumn id="7" name="DATE_x000a_DE DEPOT" dataDxfId="418"/>
    <tableColumn id="8" name="DATE SIGNATURE" dataDxfId="417"/>
    <tableColumn id="9" name="MOIS" dataDxfId="416">
      <calculatedColumnFormula>IF(I3="","",MONTH(I3))</calculatedColumnFormula>
    </tableColumn>
    <tableColumn id="10" name="DELAI" dataDxfId="415">
      <calculatedColumnFormula>IF(I3="","",DAYS360(E3,I3))</calculatedColumnFormula>
    </tableColumn>
    <tableColumn id="11" name="PCR" dataDxfId="414"/>
    <tableColumn id="12" name="RA NOS" dataDxfId="413"/>
    <tableColumn id="13" name="QUI " dataDxfId="412"/>
    <tableColumn id="14" name="CR" dataDxfId="411"/>
    <tableColumn id="15" name="CR FAIT PAR LE COMPTABLE" dataDxfId="410"/>
    <tableColumn id="16" name="AG_x000a_SIGNEE" dataDxfId="409"/>
    <tableColumn id="17" name="PCR COMPTABLE €" dataDxfId="408" dataCellStyle="Monétaire"/>
    <tableColumn id="18" name="PCR CONSEILLER €" dataDxfId="407"/>
    <tableColumn id="19" name="RA FAIT PAR LE_x000a_COMPTABLE €" dataDxfId="406" dataCellStyle="Monétaire"/>
    <tableColumn id="41" name="RA FAITE PAR LE CONSEILLER €" dataDxfId="405" dataCellStyle="Monétaire"/>
    <tableColumn id="21" name="POINT DE PILOTAGE €" dataDxfId="404" dataCellStyle="Monétaire"/>
    <tableColumn id="20" name="AGOA COMPTABLE €" dataDxfId="403" dataCellStyle="Monétaire"/>
    <tableColumn id="59" name="AGOA CONSEILLER €" dataDxfId="402" dataCellStyle="Monétaire"/>
    <tableColumn id="60" name="VISA JURIDIQUE €" dataDxfId="401" dataCellStyle="Monétaire"/>
    <tableColumn id="38" name="SAISIE PAR UNE AAC €" dataDxfId="400" dataCellStyle="Monétaire"/>
    <tableColumn id="43" name="SAISIE PAR LE COMPTABLE €" dataDxfId="399" dataCellStyle="Monétaire"/>
    <tableColumn id="39" name="TRAVAUX _x000a_DE REVISION €" dataDxfId="398" dataCellStyle="Monétaire"/>
    <tableColumn id="42" name="DECLARATION TVA AAC €" dataDxfId="397" dataCellStyle="Monétaire"/>
    <tableColumn id="45" name="DECLARATION TVA COMPTABLE €" dataDxfId="396" dataCellStyle="Monétaire"/>
    <tableColumn id="40" name="MONTANT_x000a_RESPONSABLE RELATION CLIENT €" dataDxfId="395" dataCellStyle="Monétaire"/>
    <tableColumn id="33" name="MONTANT TOTAL LETTRE DE MISION €" dataDxfId="394" dataCellStyle="Monétaire">
      <calculatedColumnFormula>SUM(PORTEFEUILLE_AURELIE_T[[#This Row],[PCR COMPTABLE €]:[MONTANT
RESPONSABLE RELATION CLIENT €]])</calculatedColumnFormula>
    </tableColumn>
    <tableColumn id="34" name="ECART DE SAISE avec LETTRE DE MISSION €" dataDxfId="393" dataCellStyle="Monétaire">
      <calculatedColumnFormula>SUM(PORTEFEUILLE_AURELIE_T[[#This Row],[PCR COMPTABLE €]:[MONTANT
RESPONSABLE RELATION CLIENT €]])-PORTEFEUILLE_AURELIE_T[[#This Row],[MONTANT TOTAL LETTRE DE MISION €]]</calculatedColumnFormula>
    </tableColumn>
    <tableColumn id="22" name="Prénom_x000a_AAC" dataDxfId="392"/>
    <tableColumn id="36" name="PRENOM CONSEILLER" dataDxfId="391"/>
    <tableColumn id="57" name="PRENOM REALISATION TVA" dataDxfId="390"/>
    <tableColumn id="54" name="ABONNE COURT _x000a_ABONNE LONG" dataDxfId="389"/>
    <tableColumn id="55" name="RECONDUCTION AUTOMATIQUE OS" dataDxfId="388"/>
    <tableColumn id="23" name="TPS PASSE_x000a_COMPTABLE H_x000a_" dataDxfId="387"/>
    <tableColumn id="37" name="TPS PASSE _x000a_AAC H" dataDxfId="386"/>
    <tableColumn id="47" name="BONI AAC" dataDxfId="385" dataCellStyle="Monétaire">
      <calculatedColumnFormula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calculatedColumnFormula>
    </tableColumn>
    <tableColumn id="46" name="MALI AAC" dataDxfId="384" dataCellStyle="Monétaire">
      <calculatedColumnFormula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calculatedColumnFormula>
    </tableColumn>
    <tableColumn id="44" name="NOMBRE DOSSIER BONI AAC" dataDxfId="383">
      <calculatedColumnFormula>IF(PORTEFEUILLE_AURELIE_T[[#This Row],[BONI AAC]]&lt;&gt;0,1,"")</calculatedColumnFormula>
    </tableColumn>
    <tableColumn id="35" name="NBRE DOSSIER MALI AAC" dataDxfId="382">
      <calculatedColumnFormula>IF(PORTEFEUILLE_AURELIE_T[[#This Row],[MALI AAC]]&lt;&gt;0,1,"")</calculatedColumnFormula>
    </tableColumn>
    <tableColumn id="24" name="BONI COMPTABLE" dataDxfId="381" dataCellStyle="Monétaire">
      <calculatedColumnFormula>IF(AN3&lt;&gt;"",IF((AN3*Paramètres!$H$4)-PORTEFEUILLE_AURELIE_T[[#This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€]]-(DELPHINE!AN3*Paramètres!$H$4),0),0)</calculatedColumnFormula>
    </tableColumn>
    <tableColumn id="25" name="MALI COMPTABLE" dataDxfId="380" dataCellStyle="Monétaire">
      <calculatedColumnFormula>IF(AN3&lt;&gt;"",IF(((AN3*Paramètres!$H$4)-PORTEFEUILLE_AURELIE_T[[#This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€]])&gt;0,(AN3*Paramètres!$H$4)-PORTEFEUILLE_AURELIE_T[[#This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calculatedColumnFormula>
    </tableColumn>
    <tableColumn id="53" name="NOMBRE DOSSIER BONI COMPTABLE" dataDxfId="379">
      <calculatedColumnFormula>IF(PORTEFEUILLE_AURELIE_T[[#This Row],[BONI COMPTABLE]]&lt;&gt;0,1,"")</calculatedColumnFormula>
    </tableColumn>
    <tableColumn id="52" name="NOMBRE DE DOSSIER MALI COMPTABLE" dataDxfId="378">
      <calculatedColumnFormula>IF(PORTEFEUILLE_AURELIE_T[[#This Row],[MALI COMPTABLE]]&lt;&gt;0,1,"")</calculatedColumnFormula>
    </tableColumn>
    <tableColumn id="26" name="GRILLE ENJEUX" dataDxfId="377"/>
    <tableColumn id="27" name="Visa_x000a_Validé_x000a_enjeu 4 ou attestation enjeu" dataDxfId="376"/>
    <tableColumn id="28" name="VISA VCOMPTA" dataDxfId="375"/>
    <tableColumn id="29" name="REFUS" dataDxfId="374"/>
    <tableColumn id="30" name="MOTIF" dataDxfId="373"/>
    <tableColumn id="31" name="COMMENTAIRES" dataDxfId="372"/>
    <tableColumn id="32" name="Attestation_x000a_à faire signer par l'EC" dataDxfId="371"/>
    <tableColumn id="49" name="MISE EN PLACE SCAN BY CERFRANCE" dataDxfId="370"/>
    <tableColumn id="50" name="PRENOM PERSONNE AYANT DEPLOYEE SCAN BY CERFRANCE" dataDxfId="369"/>
    <tableColumn id="51" name="PICKING" dataDxfId="368"/>
    <tableColumn id="58" name="EDI" dataDxfId="367"/>
    <tableColumn id="62" name="Colonne1" dataDxfId="366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12" name="PORTEFEUILLE_ERIC" displayName="PORTEFEUILLE_ERIC" ref="A2:BI60" totalsRowShown="0" headerRowDxfId="289" dataDxfId="288" tableBorderDxfId="287" headerRowCellStyle="Normal 16">
  <autoFilter ref="A2:BI60"/>
  <tableColumns count="61">
    <tableColumn id="48" name="PRENOM DU COMPTABLE" dataDxfId="286"/>
    <tableColumn id="1" name="N° DOSSIER" dataDxfId="285"/>
    <tableColumn id="2" name="NOM DOSSIER" dataDxfId="284"/>
    <tableColumn id="3" name="TYPE DE MARCHE" dataDxfId="283"/>
    <tableColumn id="4" name="DATE DE CLOTURE" dataDxfId="282"/>
    <tableColumn id="5" name="REGIME JURIDIQUE" dataDxfId="281"/>
    <tableColumn id="6" name="REGIME IMPOSITION" dataDxfId="280"/>
    <tableColumn id="56" name="DECLARATION DE TVA" dataDxfId="279"/>
    <tableColumn id="7" name="DATE_x000a_DE DEPOT" dataDxfId="278"/>
    <tableColumn id="8" name="DATE SIGNATURE" dataDxfId="277"/>
    <tableColumn id="9" name="MOIS" dataDxfId="276">
      <calculatedColumnFormula>IF(I3="","",MONTH(I3))</calculatedColumnFormula>
    </tableColumn>
    <tableColumn id="10" name="DELAI" dataDxfId="275">
      <calculatedColumnFormula>IF(I3="","",DAYS360(E3,I3))</calculatedColumnFormula>
    </tableColumn>
    <tableColumn id="11" name="PCR" dataDxfId="274"/>
    <tableColumn id="12" name="RA NOS" dataDxfId="273"/>
    <tableColumn id="13" name="QUI " dataDxfId="272"/>
    <tableColumn id="14" name="CR" dataDxfId="271"/>
    <tableColumn id="15" name="CR FAIT PAR LE COMPTABLE" dataDxfId="270"/>
    <tableColumn id="16" name="AG_x000a_SIGNEE" dataDxfId="269"/>
    <tableColumn id="17" name="PCR COMPTABLE €" dataDxfId="268" dataCellStyle="Monétaire"/>
    <tableColumn id="18" name="PCR CONSEILLER €" dataDxfId="267"/>
    <tableColumn id="19" name="RA FAIT PAR LE_x000a_COMPTABLE €" dataDxfId="266" dataCellStyle="Monétaire"/>
    <tableColumn id="41" name="RA FAITE PAR LE CONSEILLER €" dataDxfId="265" dataCellStyle="Monétaire"/>
    <tableColumn id="21" name="POINT DE PILOTAGE €" dataDxfId="264" dataCellStyle="Monétaire"/>
    <tableColumn id="20" name="AGOA COMPTABLE €" dataDxfId="263" dataCellStyle="Monétaire"/>
    <tableColumn id="59" name="AGOA CONSEILLER €" dataDxfId="262" dataCellStyle="Monétaire"/>
    <tableColumn id="60" name="VISA JURIDIQUE €" dataDxfId="261" dataCellStyle="Monétaire"/>
    <tableColumn id="38" name="SAISIE PAR UNE AAC €" dataDxfId="260" dataCellStyle="Monétaire"/>
    <tableColumn id="43" name="SAISIE PAR LE COMPTABLE €" dataDxfId="259" dataCellStyle="Monétaire"/>
    <tableColumn id="39" name="TRAVAUX _x000a_DE REVISION €" dataDxfId="258" dataCellStyle="Monétaire"/>
    <tableColumn id="42" name="DECLARATION TVA AAC €" dataDxfId="257" dataCellStyle="Monétaire"/>
    <tableColumn id="45" name="DECLARATION TVA COMPTABLE €" dataDxfId="256" dataCellStyle="Monétaire"/>
    <tableColumn id="40" name="MONTANT_x000a_RESPONSABLE RELATION CLIENT €" dataDxfId="255" dataCellStyle="Monétaire"/>
    <tableColumn id="33" name="MONTANT TOTAL LETTRE DE MISION €" dataDxfId="254" dataCellStyle="Monétaire">
      <calculatedColumnFormula>SUM(PORTEFEUILLE_ERIC[[#This Row],[PCR COMPTABLE €]:[MONTANT
RESPONSABLE RELATION CLIENT €]])</calculatedColumnFormula>
    </tableColumn>
    <tableColumn id="34" name="ECART DE SAISE avec LETTRE DE MISSION €" dataDxfId="253" dataCellStyle="Monétaire">
      <calculatedColumnFormula>SUM(PORTEFEUILLE_ERIC[[#This Row],[PCR COMPTABLE €]:[MONTANT
RESPONSABLE RELATION CLIENT €]])-PORTEFEUILLE_ERIC[[#This Row],[MONTANT TOTAL LETTRE DE MISION €]]</calculatedColumnFormula>
    </tableColumn>
    <tableColumn id="22" name="Prénom_x000a_AAC" dataDxfId="252"/>
    <tableColumn id="36" name="PRENOM CONSEILLER" dataDxfId="251"/>
    <tableColumn id="57" name="PRENOM REALISATION TVA" dataDxfId="250"/>
    <tableColumn id="54" name="ABONNE COURT _x000a_ABONNE LONG" dataDxfId="249"/>
    <tableColumn id="55" name="RECONDUCTION AUTOMATIQUE OS" dataDxfId="248"/>
    <tableColumn id="23" name="TPS PASSE_x000a_COMPTABLE H_x000a_" dataDxfId="247"/>
    <tableColumn id="37" name="TPS PASSE _x000a_AAC H" dataDxfId="246"/>
    <tableColumn id="47" name="BONI AAC" dataDxfId="245" dataCellStyle="Monétaire">
      <calculatedColumnFormula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calculatedColumnFormula>
    </tableColumn>
    <tableColumn id="46" name="MALI AAC" dataDxfId="244" dataCellStyle="Monétaire">
      <calculatedColumnFormula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calculatedColumnFormula>
    </tableColumn>
    <tableColumn id="44" name="NOMBRE DOSSIER BONI AAC" dataDxfId="243">
      <calculatedColumnFormula>IF(PORTEFEUILLE_ERIC[[#This Row],[BONI AAC]]&lt;&gt;0,1,"")</calculatedColumnFormula>
    </tableColumn>
    <tableColumn id="35" name="NBRE DOSSIER MALI AAC" dataDxfId="242">
      <calculatedColumnFormula>IF(PORTEFEUILLE_ERIC[[#This Row],[MALI AAC]]&lt;&gt;0,1,"")</calculatedColumnFormula>
    </tableColumn>
    <tableColumn id="24" name="BONI COMPTABLE" dataDxfId="241" dataCellStyle="Monétaire">
      <calculatedColumnFormula>IF(AN3&lt;&gt;"",IF((AN3*Paramètres!$H$4)-PORTEFEUILLE_ERIC[[#This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€]]-(DELPHINE!AN3*Paramètres!$H$4),0),0)</calculatedColumnFormula>
    </tableColumn>
    <tableColumn id="25" name="MALI COMPTABLE" dataDxfId="240" dataCellStyle="Monétaire">
      <calculatedColumnFormula>IF(AN3&lt;&gt;"",IF(((AN3*Paramètres!$H$4)-PORTEFEUILLE_ERIC[[#This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€]])&gt;0,(AN3*Paramètres!$H$4)-PORTEFEUILLE_ERIC[[#This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calculatedColumnFormula>
    </tableColumn>
    <tableColumn id="53" name="NOMBRE DOSSIER BONI COMPTABLE" dataDxfId="239">
      <calculatedColumnFormula>IF(PORTEFEUILLE_ERIC[[#This Row],[BONI COMPTABLE]]&lt;&gt;0,1,"")</calculatedColumnFormula>
    </tableColumn>
    <tableColumn id="52" name="NOMBRE DE DOSSIER MALI COMPTABLE" dataDxfId="238">
      <calculatedColumnFormula>IF(PORTEFEUILLE_ERIC[[#This Row],[MALI COMPTABLE]]&lt;&gt;0,1,"")</calculatedColumnFormula>
    </tableColumn>
    <tableColumn id="26" name="GRILLE ENJEUX" dataDxfId="237"/>
    <tableColumn id="27" name="Visa_x000a_Validé_x000a_enjeu 4 ou attestation enjeu" dataDxfId="236"/>
    <tableColumn id="28" name="VISA VCOMPTA" dataDxfId="235"/>
    <tableColumn id="29" name="REFUS" dataDxfId="234"/>
    <tableColumn id="30" name="MOTIF" dataDxfId="233"/>
    <tableColumn id="31" name="COMMENTAIRES" dataDxfId="232"/>
    <tableColumn id="32" name="Attestation_x000a_à faire signer par l'EC" dataDxfId="231"/>
    <tableColumn id="49" name="MISE EN PLACE SCAN BY CERFRANCE" dataDxfId="230"/>
    <tableColumn id="50" name="PRENOM PERSONNE AYANT DEPLOYEE SCAN BY CERFRANCE" dataDxfId="229"/>
    <tableColumn id="51" name="PICKING" dataDxfId="228"/>
    <tableColumn id="58" name="EDI" dataDxfId="227"/>
    <tableColumn id="62" name="Colonne1" dataDxfId="226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11" name="PORTEFEUILLE_MARIE_PIERRE" displayName="PORTEFEUILLE_MARIE_PIERRE" ref="A2:BI60" totalsRowShown="0" headerRowDxfId="359" dataDxfId="358" tableBorderDxfId="357" headerRowCellStyle="Normal 16">
  <autoFilter ref="A2:BI60"/>
  <tableColumns count="61">
    <tableColumn id="48" name="PRENOM DU COMPTABLE" dataDxfId="356"/>
    <tableColumn id="1" name="N° DOSSIER" dataDxfId="355"/>
    <tableColumn id="2" name="NOM DOSSIER" dataDxfId="354"/>
    <tableColumn id="3" name="TYPE DE MARCHE" dataDxfId="353"/>
    <tableColumn id="4" name="DATE DE CLOTURE" dataDxfId="352"/>
    <tableColumn id="5" name="REGIME JURIDIQUE" dataDxfId="351"/>
    <tableColumn id="6" name="REGIME IMPOSITION" dataDxfId="350"/>
    <tableColumn id="56" name="DECLARATION DE TVA" dataDxfId="349"/>
    <tableColumn id="7" name="DATE_x000a_DE DEPOT" dataDxfId="348"/>
    <tableColumn id="8" name="DATE SIGNATURE" dataDxfId="347"/>
    <tableColumn id="9" name="MOIS" dataDxfId="346">
      <calculatedColumnFormula>IF(I3="","",MONTH(I3))</calculatedColumnFormula>
    </tableColumn>
    <tableColumn id="10" name="DELAI" dataDxfId="345">
      <calculatedColumnFormula>IF(I3="","",DAYS360(E3,I3))</calculatedColumnFormula>
    </tableColumn>
    <tableColumn id="11" name="PCR" dataDxfId="344"/>
    <tableColumn id="12" name="RA NOS" dataDxfId="343"/>
    <tableColumn id="13" name="QUI " dataDxfId="342"/>
    <tableColumn id="14" name="CR" dataDxfId="341"/>
    <tableColumn id="15" name="CR FAIT PAR LE COMPTABLE" dataDxfId="340"/>
    <tableColumn id="16" name="AG_x000a_SIGNEE" dataDxfId="339"/>
    <tableColumn id="17" name="PCR COMPTABLE €" dataDxfId="338" dataCellStyle="Monétaire"/>
    <tableColumn id="18" name="PCR CONSEILLER €" dataDxfId="337"/>
    <tableColumn id="19" name="RA FAIT PAR LE_x000a_COMPTABLE €" dataDxfId="336" dataCellStyle="Monétaire"/>
    <tableColumn id="41" name="RA FAITE PAR LE CONSEILLER €" dataDxfId="335" dataCellStyle="Monétaire"/>
    <tableColumn id="21" name="POINT DE PILOTAGE €" dataDxfId="334" dataCellStyle="Monétaire"/>
    <tableColumn id="20" name="AGOA COMPTABLE €" dataDxfId="333" dataCellStyle="Monétaire"/>
    <tableColumn id="59" name="AGOA CONSEILLER €" dataDxfId="332" dataCellStyle="Monétaire"/>
    <tableColumn id="60" name="VISA JURIDIQUE €" dataDxfId="331" dataCellStyle="Monétaire"/>
    <tableColumn id="38" name="SAISIE PAR UNE AAC €" dataDxfId="330" dataCellStyle="Monétaire"/>
    <tableColumn id="43" name="SAISIE PAR LE COMPTABLE €" dataDxfId="329" dataCellStyle="Monétaire"/>
    <tableColumn id="39" name="TRAVAUX _x000a_DE REVISION €" dataDxfId="328" dataCellStyle="Monétaire"/>
    <tableColumn id="42" name="DECLARATION TVA AAC €" dataDxfId="327" dataCellStyle="Monétaire"/>
    <tableColumn id="45" name="DECLARATION TVA COMPTABLE €" dataDxfId="326" dataCellStyle="Monétaire"/>
    <tableColumn id="40" name="MONTANT_x000a_RESPONSABLE RELATION CLIENT €" dataDxfId="325" dataCellStyle="Monétaire"/>
    <tableColumn id="33" name="MONTANT TOTAL LETTRE DE MISION €" dataDxfId="324" dataCellStyle="Monétaire">
      <calculatedColumnFormula>SUM(PORTEFEUILLE_MARIE_PIERRE[[#This Row],[PCR COMPTABLE €]:[MONTANT
RESPONSABLE RELATION CLIENT €]])</calculatedColumnFormula>
    </tableColumn>
    <tableColumn id="34" name="ECART DE SAISE avec LETTRE DE MISSION €" dataDxfId="323" dataCellStyle="Monétaire">
      <calculatedColumnFormula>SUM(PORTEFEUILLE_MARIE_PIERRE[[#This Row],[PCR COMPTABLE €]:[MONTANT
RESPONSABLE RELATION CLIENT €]])-PORTEFEUILLE_MARIE_PIERRE[[#This Row],[MONTANT TOTAL LETTRE DE MISION €]]</calculatedColumnFormula>
    </tableColumn>
    <tableColumn id="22" name="Prénom_x000a_AAC" dataDxfId="322"/>
    <tableColumn id="36" name="PRENOM CONSEILLER" dataDxfId="321"/>
    <tableColumn id="57" name="PRENOM REALISATION TVA" dataDxfId="320"/>
    <tableColumn id="54" name="ABONNE COURT _x000a_ABONNE LONG" dataDxfId="319"/>
    <tableColumn id="55" name="RECONDUCTION AUTOMATIQUE OS" dataDxfId="318"/>
    <tableColumn id="23" name="TPS PASSE_x000a_COMPTABLE H_x000a_" dataDxfId="317"/>
    <tableColumn id="37" name="TPS PASSE _x000a_AAC H" dataDxfId="316"/>
    <tableColumn id="47" name="BONI AAC" dataDxfId="315" dataCellStyle="Monétaire">
      <calculatedColumnFormula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calculatedColumnFormula>
    </tableColumn>
    <tableColumn id="46" name="MALI AAC" dataDxfId="314" dataCellStyle="Monétaire">
      <calculatedColumnFormula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calculatedColumnFormula>
    </tableColumn>
    <tableColumn id="44" name="NOMBRE DOSSIER BONI AAC" dataDxfId="313">
      <calculatedColumnFormula>IF(PORTEFEUILLE_MARIE_PIERRE[[#This Row],[BONI AAC]]&lt;&gt;0,1,"")</calculatedColumnFormula>
    </tableColumn>
    <tableColumn id="35" name="NBRE DOSSIER MALI AAC" dataDxfId="312">
      <calculatedColumnFormula>IF(PORTEFEUILLE_MARIE_PIERRE[[#This Row],[MALI AAC]]&lt;&gt;0,1,"")</calculatedColumnFormula>
    </tableColumn>
    <tableColumn id="24" name="BONI COMPTABLE" dataDxfId="311" dataCellStyle="Monétaire">
      <calculatedColumnFormula>IF(AN3&lt;&gt;"",IF((AN3*Paramètres!$H$4)-PORTEFEUILLE_MARIE_PIERRE[[#This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€]]-(DELPHINE!AN3*Paramètres!$H$4),0),0)</calculatedColumnFormula>
    </tableColumn>
    <tableColumn id="25" name="MALI COMPTABLE" dataDxfId="310" dataCellStyle="Monétaire">
      <calculatedColumnFormula>IF(AN3&lt;&gt;"",IF(((AN3*Paramètres!$H$4)-PORTEFEUILLE_MARIE_PIERRE[[#This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€]])&gt;0,(AN3*Paramètres!$H$4)-PORTEFEUILLE_MARIE_PIERRE[[#This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calculatedColumnFormula>
    </tableColumn>
    <tableColumn id="53" name="NOMBRE DOSSIER BONI COMPTABLE" dataDxfId="309">
      <calculatedColumnFormula>IF(PORTEFEUILLE_MARIE_PIERRE[[#This Row],[BONI COMPTABLE]]&lt;&gt;0,1,"")</calculatedColumnFormula>
    </tableColumn>
    <tableColumn id="52" name="NOMBRE DE DOSSIER MALI COMPTABLE" dataDxfId="308">
      <calculatedColumnFormula>IF(PORTEFEUILLE_MARIE_PIERRE[[#This Row],[MALI COMPTABLE]]&lt;&gt;0,1,"")</calculatedColumnFormula>
    </tableColumn>
    <tableColumn id="26" name="GRILLE ENJEUX" dataDxfId="307"/>
    <tableColumn id="27" name="Visa_x000a_Validé_x000a_enjeu 4 ou attestation enjeu" dataDxfId="306"/>
    <tableColumn id="28" name="VISA VCOMPTA" dataDxfId="305"/>
    <tableColumn id="29" name="REFUS" dataDxfId="304"/>
    <tableColumn id="30" name="MOTIF" dataDxfId="303"/>
    <tableColumn id="31" name="COMMENTAIRES" dataDxfId="302"/>
    <tableColumn id="32" name="Attestation_x000a_à faire signer par l'EC" dataDxfId="301"/>
    <tableColumn id="49" name="MISE EN PLACE SCAN BY CERFRANCE" dataDxfId="300"/>
    <tableColumn id="50" name="PRENOM PERSONNE AYANT DEPLOYEE SCAN BY CERFRANCE" dataDxfId="299"/>
    <tableColumn id="51" name="PICKING" dataDxfId="298"/>
    <tableColumn id="58" name="EDI" dataDxfId="297"/>
    <tableColumn id="62" name="Colonne1" dataDxfId="296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13" name="PORTEFEUILLE_GUILLAUME" displayName="PORTEFEUILLE_GUILLAUME" ref="A2:BI60" totalsRowShown="0" headerRowDxfId="219" dataDxfId="218" tableBorderDxfId="217" headerRowCellStyle="Normal 16">
  <autoFilter ref="A2:BI60"/>
  <tableColumns count="61">
    <tableColumn id="48" name="PRENOM DU COMPTABLE" dataDxfId="216"/>
    <tableColumn id="1" name="N° DOSSIER" dataDxfId="215"/>
    <tableColumn id="2" name="NOM DOSSIER" dataDxfId="214"/>
    <tableColumn id="3" name="TYPE DE MARCHE" dataDxfId="213"/>
    <tableColumn id="4" name="DATE DE CLOTURE" dataDxfId="212"/>
    <tableColumn id="5" name="REGIME JURIDIQUE" dataDxfId="211"/>
    <tableColumn id="6" name="REGIME IMPOSITION" dataDxfId="210"/>
    <tableColumn id="56" name="DECLARATION DE TVA" dataDxfId="209"/>
    <tableColumn id="7" name="DATE_x000a_DE DEPOT" dataDxfId="208"/>
    <tableColumn id="8" name="DATE SIGNATURE" dataDxfId="207"/>
    <tableColumn id="9" name="MOIS" dataDxfId="206">
      <calculatedColumnFormula>IF(I3="","",MONTH(I3))</calculatedColumnFormula>
    </tableColumn>
    <tableColumn id="10" name="DELAI" dataDxfId="205">
      <calculatedColumnFormula>IF(I3="","",DAYS360(E3,I3))</calculatedColumnFormula>
    </tableColumn>
    <tableColumn id="11" name="PCR" dataDxfId="204"/>
    <tableColumn id="12" name="RA NOS" dataDxfId="203"/>
    <tableColumn id="13" name="QUI " dataDxfId="202"/>
    <tableColumn id="14" name="CR" dataDxfId="201"/>
    <tableColumn id="15" name="CR FAIT PAR LE COMPTABLE" dataDxfId="200"/>
    <tableColumn id="16" name="AG_x000a_SIGNEE" dataDxfId="199"/>
    <tableColumn id="17" name="PCR COMPTABLE €" dataDxfId="198" dataCellStyle="Monétaire"/>
    <tableColumn id="18" name="PCR CONSEILLER €" dataDxfId="197"/>
    <tableColumn id="19" name="RA FAIT PAR LE_x000a_COMPTABLE €" dataDxfId="196" dataCellStyle="Monétaire"/>
    <tableColumn id="41" name="RA FAITE PAR LE CONSEILLER €" dataDxfId="195" dataCellStyle="Monétaire"/>
    <tableColumn id="21" name="POINT DE PILOTAGE €" dataDxfId="194" dataCellStyle="Monétaire"/>
    <tableColumn id="20" name="AGOA COMPTABLE €" dataDxfId="193" dataCellStyle="Monétaire"/>
    <tableColumn id="59" name="AGOA CONSEILLER €" dataDxfId="192" dataCellStyle="Monétaire"/>
    <tableColumn id="60" name="VISA JURIDIQUE €" dataDxfId="191" dataCellStyle="Monétaire"/>
    <tableColumn id="38" name="SAISIE PAR UNE AAC €" dataDxfId="190" dataCellStyle="Monétaire"/>
    <tableColumn id="43" name="SAISIE PAR LE COMPTABLE €" dataDxfId="189" dataCellStyle="Monétaire"/>
    <tableColumn id="39" name="TRAVAUX _x000a_DE REVISION €" dataDxfId="188" dataCellStyle="Monétaire"/>
    <tableColumn id="42" name="DECLARATION TVA AAC €" dataDxfId="187" dataCellStyle="Monétaire"/>
    <tableColumn id="45" name="DECLARATION TVA COMPTABLE €" dataDxfId="186" dataCellStyle="Monétaire"/>
    <tableColumn id="40" name="MONTANT_x000a_RESPONSABLE RELATION CLIENT €" dataDxfId="185" dataCellStyle="Monétaire"/>
    <tableColumn id="33" name="MONTANT TOTAL LETTRE DE MISION €" dataDxfId="184" dataCellStyle="Monétaire">
      <calculatedColumnFormula>SUM(PORTEFEUILLE_GUILLAUME[[#This Row],[PCR COMPTABLE €]:[MONTANT
RESPONSABLE RELATION CLIENT €]])</calculatedColumnFormula>
    </tableColumn>
    <tableColumn id="34" name="ECART DE SAISE avec LETTRE DE MISSION €" dataDxfId="183" dataCellStyle="Monétaire">
      <calculatedColumnFormula>SUM(PORTEFEUILLE_GUILLAUME[[#This Row],[PCR COMPTABLE €]:[MONTANT
RESPONSABLE RELATION CLIENT €]])-PORTEFEUILLE_GUILLAUME[[#This Row],[MONTANT TOTAL LETTRE DE MISION €]]</calculatedColumnFormula>
    </tableColumn>
    <tableColumn id="22" name="Prénom_x000a_AAC" dataDxfId="182"/>
    <tableColumn id="36" name="PRENOM CONSEILLER" dataDxfId="181"/>
    <tableColumn id="57" name="PRENOM REALISATION TVA" dataDxfId="180"/>
    <tableColumn id="54" name="ABONNE COURT _x000a_ABONNE LONG" dataDxfId="179"/>
    <tableColumn id="55" name="RECONDUCTION AUTOMATIQUE OS" dataDxfId="178"/>
    <tableColumn id="23" name="TPS PASSE_x000a_COMPTABLE H_x000a_" dataDxfId="177"/>
    <tableColumn id="37" name="TPS PASSE _x000a_AAC H" dataDxfId="176"/>
    <tableColumn id="47" name="BONI AAC" dataDxfId="175" dataCellStyle="Monétaire">
      <calculatedColumnFormula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calculatedColumnFormula>
    </tableColumn>
    <tableColumn id="46" name="MALI AAC" dataDxfId="174" dataCellStyle="Monétaire">
      <calculatedColumnFormula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calculatedColumnFormula>
    </tableColumn>
    <tableColumn id="44" name="NOMBRE DOSSIER BONI AAC" dataDxfId="173">
      <calculatedColumnFormula>IF(PORTEFEUILLE_GUILLAUME[[#This Row],[BONI AAC]]&lt;&gt;0,1,"")</calculatedColumnFormula>
    </tableColumn>
    <tableColumn id="35" name="NBRE DOSSIER MALI AAC" dataDxfId="172">
      <calculatedColumnFormula>IF(PORTEFEUILLE_GUILLAUME[[#This Row],[MALI AAC]]&lt;&gt;0,1,"")</calculatedColumnFormula>
    </tableColumn>
    <tableColumn id="24" name="BONI COMPTABLE" dataDxfId="171" dataCellStyle="Monétaire">
      <calculatedColumnFormula>IF(AN3&lt;&gt;"",IF((AN3*Paramètres!$H$4)-PORTEFEUILLE_GUILLAUME[[#This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€]]-(DELPHINE!AN3*Paramètres!$H$4),0),0)</calculatedColumnFormula>
    </tableColumn>
    <tableColumn id="25" name="MALI COMPTABLE" dataDxfId="170" dataCellStyle="Monétaire">
      <calculatedColumnFormula>IF(AN3&lt;&gt;"",IF(((AN3*Paramètres!$H$4)-PORTEFEUILLE_GUILLAUME[[#This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€]])&gt;0,(AN3*Paramètres!$H$4)-PORTEFEUILLE_GUILLAUME[[#This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calculatedColumnFormula>
    </tableColumn>
    <tableColumn id="53" name="NOMBRE DOSSIER BONI COMPTABLE" dataDxfId="169">
      <calculatedColumnFormula>IF(PORTEFEUILLE_GUILLAUME[[#This Row],[BONI COMPTABLE]]&lt;&gt;0,1,"")</calculatedColumnFormula>
    </tableColumn>
    <tableColumn id="52" name="NOMBRE DE DOSSIER MALI COMPTABLE" dataDxfId="168">
      <calculatedColumnFormula>IF(PORTEFEUILLE_GUILLAUME[[#This Row],[MALI COMPTABLE]]&lt;&gt;0,1,"")</calculatedColumnFormula>
    </tableColumn>
    <tableColumn id="26" name="GRILLE ENJEUX" dataDxfId="167"/>
    <tableColumn id="27" name="Visa_x000a_Validé_x000a_enjeu 4 ou attestation enjeu" dataDxfId="166"/>
    <tableColumn id="28" name="VISA VCOMPTA" dataDxfId="165"/>
    <tableColumn id="29" name="REFUS" dataDxfId="164"/>
    <tableColumn id="30" name="MOTIF" dataDxfId="163"/>
    <tableColumn id="31" name="COMMENTAIRES" dataDxfId="162"/>
    <tableColumn id="32" name="Attestation_x000a_à faire signer par l'EC" dataDxfId="161"/>
    <tableColumn id="49" name="MISE EN PLACE SCAN BY CERFRANCE" dataDxfId="160"/>
    <tableColumn id="50" name="PRENOM PERSONNE AYANT DEPLOYEE SCAN BY CERFRANCE" dataDxfId="159"/>
    <tableColumn id="51" name="PICKING" dataDxfId="158"/>
    <tableColumn id="58" name="EDI" dataDxfId="157"/>
    <tableColumn id="62" name="Colonne1" dataDxfId="156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14" name="PORTEFEUILLE_SEBASTIEN" displayName="PORTEFEUILLE_SEBASTIEN" ref="A2:BI60" totalsRowShown="0" headerRowDxfId="149" dataDxfId="148" tableBorderDxfId="147" headerRowCellStyle="Normal 16">
  <autoFilter ref="A2:BI60"/>
  <tableColumns count="61">
    <tableColumn id="48" name="PRENOM DU COMPTABLE" dataDxfId="146"/>
    <tableColumn id="1" name="N° DOSSIER" dataDxfId="145"/>
    <tableColumn id="2" name="NOM DOSSIER" dataDxfId="144"/>
    <tableColumn id="3" name="TYPE DE MARCHE" dataDxfId="143"/>
    <tableColumn id="4" name="DATE DE CLOTURE" dataDxfId="142"/>
    <tableColumn id="5" name="REGIME JURIDIQUE" dataDxfId="141"/>
    <tableColumn id="6" name="REGIME IMPOSITION" dataDxfId="140"/>
    <tableColumn id="56" name="DECLARATION DE TVA" dataDxfId="139"/>
    <tableColumn id="7" name="DATE_x000a_DE DEPOT" dataDxfId="138"/>
    <tableColumn id="8" name="DATE SIGNATURE" dataDxfId="137"/>
    <tableColumn id="9" name="MOIS" dataDxfId="136">
      <calculatedColumnFormula>IF(I3="","",MONTH(I3))</calculatedColumnFormula>
    </tableColumn>
    <tableColumn id="10" name="DELAI" dataDxfId="135">
      <calculatedColumnFormula>IF(I3="","",DAYS360(E3,I3))</calculatedColumnFormula>
    </tableColumn>
    <tableColumn id="11" name="PCR" dataDxfId="134"/>
    <tableColumn id="12" name="RA NOS" dataDxfId="133"/>
    <tableColumn id="13" name="QUI " dataDxfId="132"/>
    <tableColumn id="14" name="CR" dataDxfId="131"/>
    <tableColumn id="15" name="CR FAIT PAR LE COMPTABLE" dataDxfId="130"/>
    <tableColumn id="16" name="AG_x000a_SIGNEE" dataDxfId="129"/>
    <tableColumn id="17" name="PCR COMPTABLE €" dataDxfId="128" dataCellStyle="Monétaire"/>
    <tableColumn id="18" name="PCR CONSEILLER €" dataDxfId="127"/>
    <tableColumn id="19" name="RA FAIT PAR LE_x000a_COMPTABLE €" dataDxfId="126" dataCellStyle="Monétaire"/>
    <tableColumn id="41" name="RA FAITE PAR LE CONSEILLER €" dataDxfId="125" dataCellStyle="Monétaire"/>
    <tableColumn id="21" name="POINT DE PILOTAGE €" dataDxfId="124" dataCellStyle="Monétaire"/>
    <tableColumn id="20" name="AGOA COMPTABLE €" dataDxfId="123" dataCellStyle="Monétaire"/>
    <tableColumn id="59" name="AGOA CONSEILLER €" dataDxfId="122" dataCellStyle="Monétaire"/>
    <tableColumn id="60" name="VISA JURIDIQUE €" dataDxfId="121" dataCellStyle="Monétaire"/>
    <tableColumn id="38" name="SAISIE PAR UNE AAC €" dataDxfId="120" dataCellStyle="Monétaire"/>
    <tableColumn id="43" name="SAISIE PAR LE COMPTABLE €" dataDxfId="119" dataCellStyle="Monétaire"/>
    <tableColumn id="39" name="TRAVAUX _x000a_DE REVISION €" dataDxfId="118" dataCellStyle="Monétaire"/>
    <tableColumn id="42" name="DECLARATION TVA AAC €" dataDxfId="117" dataCellStyle="Monétaire"/>
    <tableColumn id="45" name="DECLARATION TVA COMPTABLE €" dataDxfId="116" dataCellStyle="Monétaire"/>
    <tableColumn id="40" name="MONTANT_x000a_RESPONSABLE RELATION CLIENT €" dataDxfId="115" dataCellStyle="Monétaire"/>
    <tableColumn id="33" name="MONTANT TOTAL LETTRE DE MISION €" dataDxfId="114" dataCellStyle="Monétaire">
      <calculatedColumnFormula>SUM(PORTEFEUILLE_SEBASTIEN[[#This Row],[PCR COMPTABLE €]:[MONTANT
RESPONSABLE RELATION CLIENT €]])</calculatedColumnFormula>
    </tableColumn>
    <tableColumn id="34" name="ECART DE SAISE avec LETTRE DE MISSION €" dataDxfId="113" dataCellStyle="Monétaire">
      <calculatedColumnFormula>SUM(PORTEFEUILLE_SEBASTIEN[[#This Row],[PCR COMPTABLE €]:[MONTANT
RESPONSABLE RELATION CLIENT €]])-PORTEFEUILLE_SEBASTIEN[[#This Row],[MONTANT TOTAL LETTRE DE MISION €]]</calculatedColumnFormula>
    </tableColumn>
    <tableColumn id="22" name="Prénom_x000a_AAC" dataDxfId="112"/>
    <tableColumn id="36" name="PRENOM CONSEILLER" dataDxfId="111"/>
    <tableColumn id="57" name="PRENOM REALISATION TVA" dataDxfId="110"/>
    <tableColumn id="54" name="ABONNE COURT _x000a_ABONNE LONG" dataDxfId="109"/>
    <tableColumn id="55" name="RECONDUCTION AUTOMATIQUE OS" dataDxfId="108"/>
    <tableColumn id="23" name="TPS PASSE_x000a_COMPTABLE H_x000a_" dataDxfId="107"/>
    <tableColumn id="37" name="TPS PASSE _x000a_AAC H" dataDxfId="106"/>
    <tableColumn id="47" name="BONI AAC" dataDxfId="105" dataCellStyle="Monétaire">
      <calculatedColumnFormula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calculatedColumnFormula>
    </tableColumn>
    <tableColumn id="46" name="MALI AAC" dataDxfId="104" dataCellStyle="Monétaire">
      <calculatedColumnFormula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calculatedColumnFormula>
    </tableColumn>
    <tableColumn id="44" name="NOMBRE DOSSIER BONI AAC" dataDxfId="103">
      <calculatedColumnFormula>IF(PORTEFEUILLE_SEBASTIEN[[#This Row],[BONI AAC]]&lt;&gt;0,1,"")</calculatedColumnFormula>
    </tableColumn>
    <tableColumn id="35" name="NBRE DOSSIER MALI AAC" dataDxfId="102">
      <calculatedColumnFormula>IF(PORTEFEUILLE_SEBASTIEN[[#This Row],[MALI AAC]]&lt;&gt;0,1,"")</calculatedColumnFormula>
    </tableColumn>
    <tableColumn id="24" name="BONI COMPTABLE" dataDxfId="101" dataCellStyle="Monétaire">
      <calculatedColumnFormula>IF(AN3&lt;&gt;"",IF((AN3*Paramètres!$H$4)-PORTEFEUILLE_SEBASTIEN[[#This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€]]-(DELPHINE!AN3*Paramètres!$H$4),0),0)</calculatedColumnFormula>
    </tableColumn>
    <tableColumn id="25" name="MALI COMPTABLE" dataDxfId="100" dataCellStyle="Monétaire">
      <calculatedColumnFormula>IF(AN3&lt;&gt;"",IF(((AN3*Paramètres!$H$4)-PORTEFEUILLE_SEBASTIEN[[#This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€]])&gt;0,(AN3*Paramètres!$H$4)-PORTEFEUILLE_SEBASTIEN[[#This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calculatedColumnFormula>
    </tableColumn>
    <tableColumn id="53" name="NOMBRE DOSSIER BONI COMPTABLE" dataDxfId="99">
      <calculatedColumnFormula>IF(PORTEFEUILLE_SEBASTIEN[[#This Row],[BONI COMPTABLE]]&lt;&gt;0,1,"")</calculatedColumnFormula>
    </tableColumn>
    <tableColumn id="52" name="NOMBRE DE DOSSIER MALI COMPTABLE" dataDxfId="98">
      <calculatedColumnFormula>IF(PORTEFEUILLE_SEBASTIEN[[#This Row],[MALI COMPTABLE]]&lt;&gt;0,1,"")</calculatedColumnFormula>
    </tableColumn>
    <tableColumn id="26" name="GRILLE ENJEUX" dataDxfId="97"/>
    <tableColumn id="27" name="Visa_x000a_Validé_x000a_enjeu 4 ou attestation enjeu" dataDxfId="96"/>
    <tableColumn id="28" name="VISA VCOMPTA" dataDxfId="95"/>
    <tableColumn id="29" name="REFUS" dataDxfId="94"/>
    <tableColumn id="30" name="MOTIF" dataDxfId="93"/>
    <tableColumn id="31" name="COMMENTAIRES" dataDxfId="92"/>
    <tableColumn id="32" name="Attestation_x000a_à faire signer par l'EC" dataDxfId="91"/>
    <tableColumn id="49" name="MISE EN PLACE SCAN BY CERFRANCE" dataDxfId="90"/>
    <tableColumn id="50" name="PRENOM PERSONNE AYANT DEPLOYEE SCAN BY CERFRANCE" dataDxfId="89"/>
    <tableColumn id="51" name="PICKING" dataDxfId="88"/>
    <tableColumn id="58" name="EDI" dataDxfId="87"/>
    <tableColumn id="62" name="Colonne1" dataDxfId="86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15" name="PORTEFEUILLE_AUTRE_COMPTABLE" displayName="PORTEFEUILLE_AUTRE_COMPTABLE" ref="A2:BI60" totalsRowShown="0" headerRowDxfId="79" dataDxfId="78" tableBorderDxfId="77" headerRowCellStyle="Normal 16">
  <autoFilter ref="A2:BI60"/>
  <tableColumns count="61">
    <tableColumn id="48" name="PRENOM DU COMPTABLE" dataDxfId="76"/>
    <tableColumn id="1" name="N° DOSSIER" dataDxfId="75"/>
    <tableColumn id="2" name="NOM DOSSIER" dataDxfId="74"/>
    <tableColumn id="3" name="TYPE DE MARCHE" dataDxfId="73"/>
    <tableColumn id="4" name="DATE DE CLOTURE" dataDxfId="72"/>
    <tableColumn id="5" name="REGIME JURIDIQUE" dataDxfId="71"/>
    <tableColumn id="6" name="REGIME IMPOSITION" dataDxfId="70"/>
    <tableColumn id="56" name="DECLARATION DE TVA" dataDxfId="69"/>
    <tableColumn id="7" name="DATE_x000a_DE DEPOT" dataDxfId="68"/>
    <tableColumn id="8" name="DATE SIGNATURE" dataDxfId="67"/>
    <tableColumn id="9" name="MOIS" dataDxfId="66">
      <calculatedColumnFormula>IF(I3="","",MONTH(I3))</calculatedColumnFormula>
    </tableColumn>
    <tableColumn id="10" name="DELAI" dataDxfId="65">
      <calculatedColumnFormula>IF(I3="","",DAYS360(E3,I3))</calculatedColumnFormula>
    </tableColumn>
    <tableColumn id="11" name="PCR" dataDxfId="64"/>
    <tableColumn id="12" name="RA NOS" dataDxfId="63"/>
    <tableColumn id="13" name="QUI " dataDxfId="62"/>
    <tableColumn id="14" name="CR" dataDxfId="61"/>
    <tableColumn id="15" name="CR FAIT PAR LE COMPTABLE" dataDxfId="60"/>
    <tableColumn id="16" name="AG_x000a_SIGNEE" dataDxfId="59"/>
    <tableColumn id="17" name="PCR COMPTABLE €" dataDxfId="58" dataCellStyle="Monétaire"/>
    <tableColumn id="18" name="PCR CONSEILLER €" dataDxfId="57"/>
    <tableColumn id="19" name="RA FAIT PAR LE_x000a_COMPTABLE €" dataDxfId="56" dataCellStyle="Monétaire"/>
    <tableColumn id="41" name="RA FAITE PAR LE CONSEILLER €" dataDxfId="55" dataCellStyle="Monétaire"/>
    <tableColumn id="21" name="POINT DE PILOTAGE €" dataDxfId="54" dataCellStyle="Monétaire"/>
    <tableColumn id="20" name="AGOA COMPTABLE €" dataDxfId="53" dataCellStyle="Monétaire"/>
    <tableColumn id="59" name="AGOA CONSEILLER €" dataDxfId="52" dataCellStyle="Monétaire"/>
    <tableColumn id="60" name="VISA JURIDIQUE €" dataDxfId="51" dataCellStyle="Monétaire"/>
    <tableColumn id="38" name="SAISIE PAR UNE AAC €" dataDxfId="50" dataCellStyle="Monétaire"/>
    <tableColumn id="43" name="SAISIE PAR LE COMPTABLE €" dataDxfId="49" dataCellStyle="Monétaire"/>
    <tableColumn id="39" name="TRAVAUX _x000a_DE REVISION €" dataDxfId="48" dataCellStyle="Monétaire"/>
    <tableColumn id="42" name="DECLARATION TVA AAC €" dataDxfId="47" dataCellStyle="Monétaire"/>
    <tableColumn id="45" name="DECLARATION TVA COMPTABLE €" dataDxfId="46" dataCellStyle="Monétaire"/>
    <tableColumn id="40" name="MONTANT_x000a_RESPONSABLE RELATION CLIENT €" dataDxfId="45" dataCellStyle="Monétaire"/>
    <tableColumn id="33" name="MONTANT TOTAL LETTRE DE MISION €" dataDxfId="44" dataCellStyle="Monétaire">
      <calculatedColumnFormula>SUM(PORTEFEUILLE_AUTRE_COMPTABLE[[#This Row],[PCR COMPTABLE €]:[MONTANT
RESPONSABLE RELATION CLIENT €]])</calculatedColumnFormula>
    </tableColumn>
    <tableColumn id="34" name="ECART DE SAISE avec LETTRE DE MISSION €" dataDxfId="43" dataCellStyle="Monétaire">
      <calculatedColumnFormula>SUM(PORTEFEUILLE_AUTRE_COMPTABLE[[#This Row],[PCR COMPTABLE €]:[MONTANT
RESPONSABLE RELATION CLIENT €]])-PORTEFEUILLE_AUTRE_COMPTABLE[[#This Row],[MONTANT TOTAL LETTRE DE MISION €]]</calculatedColumnFormula>
    </tableColumn>
    <tableColumn id="22" name="Prénom_x000a_AAC" dataDxfId="42"/>
    <tableColumn id="36" name="PRENOM CONSEILLER" dataDxfId="41"/>
    <tableColumn id="57" name="PRENOM REALISATION TVA" dataDxfId="40"/>
    <tableColumn id="54" name="ABONNE COURT _x000a_ABONNE LONG" dataDxfId="39"/>
    <tableColumn id="55" name="RECONDUCTION AUTOMATIQUE OS" dataDxfId="38"/>
    <tableColumn id="23" name="TPS PASSE_x000a_COMPTABLE H_x000a_" dataDxfId="37"/>
    <tableColumn id="37" name="TPS PASSE _x000a_AAC H" dataDxfId="36"/>
    <tableColumn id="47" name="BONI AAC" dataDxfId="35" dataCellStyle="Monétaire">
      <calculatedColumnFormula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calculatedColumnFormula>
    </tableColumn>
    <tableColumn id="46" name="MALI AAC" dataDxfId="34" dataCellStyle="Monétaire">
      <calculatedColumnFormula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calculatedColumnFormula>
    </tableColumn>
    <tableColumn id="44" name="NOMBRE DOSSIER BONI AAC" dataDxfId="33">
      <calculatedColumnFormula>IF(PORTEFEUILLE_AUTRE_COMPTABLE[[#This Row],[BONI AAC]]&lt;&gt;0,1,"")</calculatedColumnFormula>
    </tableColumn>
    <tableColumn id="35" name="NBRE DOSSIER MALI AAC" dataDxfId="32">
      <calculatedColumnFormula>IF(PORTEFEUILLE_AUTRE_COMPTABLE[[#This Row],[MALI AAC]]&lt;&gt;0,1,"")</calculatedColumnFormula>
    </tableColumn>
    <tableColumn id="24" name="BONI COMPTABLE" dataDxfId="31" dataCellStyle="Monétaire">
      <calculatedColumnFormula>IF(AN3&lt;&gt;"",IF((AN3*Paramètres!$H$4)-PORTEFEUILLE_AUTRE_COMPTABLE[[#This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€]]-(DELPHINE!AN3*Paramètres!$H$4),0),0)</calculatedColumnFormula>
    </tableColumn>
    <tableColumn id="25" name="MALI COMPTABLE" dataDxfId="30" dataCellStyle="Monétaire">
      <calculatedColumnFormula>IF(AN3&lt;&gt;"",IF(((AN3*Paramètres!$H$4)-PORTEFEUILLE_AUTRE_COMPTABLE[[#This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€]])&gt;0,(AN3*Paramètres!$H$4)-PORTEFEUILLE_AUTRE_COMPTABLE[[#This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calculatedColumnFormula>
    </tableColumn>
    <tableColumn id="53" name="NOMBRE DOSSIER BONI COMPTABLE" dataDxfId="29">
      <calculatedColumnFormula>IF(PORTEFEUILLE_AUTRE_COMPTABLE[[#This Row],[BONI COMPTABLE]]&lt;&gt;0,1,"")</calculatedColumnFormula>
    </tableColumn>
    <tableColumn id="52" name="NOMBRE DE DOSSIER MALI COMPTABLE" dataDxfId="28">
      <calculatedColumnFormula>IF(PORTEFEUILLE_AUTRE_COMPTABLE[[#This Row],[MALI COMPTABLE]]&lt;&gt;0,1,"")</calculatedColumnFormula>
    </tableColumn>
    <tableColumn id="26" name="GRILLE ENJEUX" dataDxfId="27"/>
    <tableColumn id="27" name="Visa_x000a_Validé_x000a_enjeu 4 ou attestation enjeu" dataDxfId="26"/>
    <tableColumn id="28" name="VISA VCOMPTA" dataDxfId="25"/>
    <tableColumn id="29" name="REFUS" dataDxfId="24"/>
    <tableColumn id="30" name="MOTIF" dataDxfId="23"/>
    <tableColumn id="31" name="COMMENTAIRES" dataDxfId="22"/>
    <tableColumn id="32" name="Attestation_x000a_à faire signer par l'EC" dataDxfId="21"/>
    <tableColumn id="49" name="MISE EN PLACE SCAN BY CERFRANCE" dataDxfId="20"/>
    <tableColumn id="50" name="PRENOM PERSONNE AYANT DEPLOYEE SCAN BY CERFRANCE" dataDxfId="19"/>
    <tableColumn id="51" name="PICKING" dataDxfId="18"/>
    <tableColumn id="58" name="EDI" dataDxfId="17"/>
    <tableColumn id="62" name="Colonne1" dataDxfId="1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4:AD20"/>
  <sheetViews>
    <sheetView zoomScale="115" zoomScaleNormal="115" workbookViewId="0">
      <pane xSplit="1" ySplit="6" topLeftCell="B7" activePane="bottomRight" state="frozen"/>
      <selection pane="topRight" activeCell="C1" sqref="C1"/>
      <selection pane="bottomLeft" activeCell="A7" sqref="A7"/>
      <selection pane="bottomRight" activeCell="D12" sqref="D12"/>
    </sheetView>
  </sheetViews>
  <sheetFormatPr baseColWidth="10" defaultRowHeight="15" x14ac:dyDescent="0.25"/>
  <cols>
    <col min="2" max="2" width="14" bestFit="1" customWidth="1"/>
    <col min="3" max="3" width="13.140625" customWidth="1"/>
    <col min="4" max="4" width="14.85546875" customWidth="1"/>
    <col min="6" max="6" width="15.140625" bestFit="1" customWidth="1"/>
    <col min="7" max="7" width="19.28515625" bestFit="1" customWidth="1"/>
    <col min="8" max="8" width="8.28515625" bestFit="1" customWidth="1"/>
    <col min="9" max="9" width="4.85546875" bestFit="1" customWidth="1"/>
    <col min="10" max="10" width="13.28515625" customWidth="1"/>
    <col min="11" max="11" width="9.7109375" customWidth="1"/>
    <col min="12" max="12" width="11.85546875" customWidth="1"/>
    <col min="13" max="13" width="12.5703125" bestFit="1" customWidth="1"/>
    <col min="14" max="14" width="19.28515625" bestFit="1" customWidth="1"/>
    <col min="15" max="15" width="8.28515625" bestFit="1" customWidth="1"/>
    <col min="16" max="16" width="4.85546875" bestFit="1" customWidth="1"/>
    <col min="17" max="17" width="12" customWidth="1"/>
    <col min="18" max="18" width="8.28515625" customWidth="1"/>
    <col min="19" max="19" width="11.140625" customWidth="1"/>
    <col min="20" max="21" width="11.7109375" bestFit="1" customWidth="1"/>
    <col min="22" max="22" width="17.28515625" bestFit="1" customWidth="1"/>
    <col min="23" max="23" width="17.28515625" customWidth="1"/>
    <col min="24" max="24" width="13.7109375" bestFit="1" customWidth="1"/>
    <col min="25" max="25" width="25.140625" bestFit="1" customWidth="1"/>
    <col min="26" max="26" width="15.140625" bestFit="1" customWidth="1"/>
    <col min="27" max="27" width="21" bestFit="1" customWidth="1"/>
    <col min="258" max="258" width="14" bestFit="1" customWidth="1"/>
    <col min="259" max="259" width="13.140625" customWidth="1"/>
    <col min="260" max="260" width="14.85546875" customWidth="1"/>
    <col min="262" max="262" width="15.140625" bestFit="1" customWidth="1"/>
    <col min="263" max="263" width="19.28515625" bestFit="1" customWidth="1"/>
    <col min="264" max="264" width="8.28515625" bestFit="1" customWidth="1"/>
    <col min="265" max="265" width="4.85546875" bestFit="1" customWidth="1"/>
    <col min="266" max="266" width="13.28515625" customWidth="1"/>
    <col min="267" max="267" width="9.7109375" customWidth="1"/>
    <col min="268" max="268" width="11.85546875" customWidth="1"/>
    <col min="269" max="269" width="12.5703125" bestFit="1" customWidth="1"/>
    <col min="270" max="270" width="19.28515625" bestFit="1" customWidth="1"/>
    <col min="271" max="271" width="8.28515625" bestFit="1" customWidth="1"/>
    <col min="272" max="272" width="4.85546875" bestFit="1" customWidth="1"/>
    <col min="273" max="273" width="12" customWidth="1"/>
    <col min="274" max="274" width="8.28515625" customWidth="1"/>
    <col min="275" max="275" width="11.140625" customWidth="1"/>
    <col min="276" max="277" width="11.7109375" bestFit="1" customWidth="1"/>
    <col min="278" max="278" width="17.28515625" bestFit="1" customWidth="1"/>
    <col min="279" max="279" width="17.28515625" customWidth="1"/>
    <col min="280" max="280" width="13.7109375" bestFit="1" customWidth="1"/>
    <col min="281" max="281" width="25.140625" bestFit="1" customWidth="1"/>
    <col min="282" max="282" width="15.140625" bestFit="1" customWidth="1"/>
    <col min="283" max="283" width="21" bestFit="1" customWidth="1"/>
    <col min="514" max="514" width="14" bestFit="1" customWidth="1"/>
    <col min="515" max="515" width="13.140625" customWidth="1"/>
    <col min="516" max="516" width="14.85546875" customWidth="1"/>
    <col min="518" max="518" width="15.140625" bestFit="1" customWidth="1"/>
    <col min="519" max="519" width="19.28515625" bestFit="1" customWidth="1"/>
    <col min="520" max="520" width="8.28515625" bestFit="1" customWidth="1"/>
    <col min="521" max="521" width="4.85546875" bestFit="1" customWidth="1"/>
    <col min="522" max="522" width="13.28515625" customWidth="1"/>
    <col min="523" max="523" width="9.7109375" customWidth="1"/>
    <col min="524" max="524" width="11.85546875" customWidth="1"/>
    <col min="525" max="525" width="12.5703125" bestFit="1" customWidth="1"/>
    <col min="526" max="526" width="19.28515625" bestFit="1" customWidth="1"/>
    <col min="527" max="527" width="8.28515625" bestFit="1" customWidth="1"/>
    <col min="528" max="528" width="4.85546875" bestFit="1" customWidth="1"/>
    <col min="529" max="529" width="12" customWidth="1"/>
    <col min="530" max="530" width="8.28515625" customWidth="1"/>
    <col min="531" max="531" width="11.140625" customWidth="1"/>
    <col min="532" max="533" width="11.7109375" bestFit="1" customWidth="1"/>
    <col min="534" max="534" width="17.28515625" bestFit="1" customWidth="1"/>
    <col min="535" max="535" width="17.28515625" customWidth="1"/>
    <col min="536" max="536" width="13.7109375" bestFit="1" customWidth="1"/>
    <col min="537" max="537" width="25.140625" bestFit="1" customWidth="1"/>
    <col min="538" max="538" width="15.140625" bestFit="1" customWidth="1"/>
    <col min="539" max="539" width="21" bestFit="1" customWidth="1"/>
    <col min="770" max="770" width="14" bestFit="1" customWidth="1"/>
    <col min="771" max="771" width="13.140625" customWidth="1"/>
    <col min="772" max="772" width="14.85546875" customWidth="1"/>
    <col min="774" max="774" width="15.140625" bestFit="1" customWidth="1"/>
    <col min="775" max="775" width="19.28515625" bestFit="1" customWidth="1"/>
    <col min="776" max="776" width="8.28515625" bestFit="1" customWidth="1"/>
    <col min="777" max="777" width="4.85546875" bestFit="1" customWidth="1"/>
    <col min="778" max="778" width="13.28515625" customWidth="1"/>
    <col min="779" max="779" width="9.7109375" customWidth="1"/>
    <col min="780" max="780" width="11.85546875" customWidth="1"/>
    <col min="781" max="781" width="12.5703125" bestFit="1" customWidth="1"/>
    <col min="782" max="782" width="19.28515625" bestFit="1" customWidth="1"/>
    <col min="783" max="783" width="8.28515625" bestFit="1" customWidth="1"/>
    <col min="784" max="784" width="4.85546875" bestFit="1" customWidth="1"/>
    <col min="785" max="785" width="12" customWidth="1"/>
    <col min="786" max="786" width="8.28515625" customWidth="1"/>
    <col min="787" max="787" width="11.140625" customWidth="1"/>
    <col min="788" max="789" width="11.7109375" bestFit="1" customWidth="1"/>
    <col min="790" max="790" width="17.28515625" bestFit="1" customWidth="1"/>
    <col min="791" max="791" width="17.28515625" customWidth="1"/>
    <col min="792" max="792" width="13.7109375" bestFit="1" customWidth="1"/>
    <col min="793" max="793" width="25.140625" bestFit="1" customWidth="1"/>
    <col min="794" max="794" width="15.140625" bestFit="1" customWidth="1"/>
    <col min="795" max="795" width="21" bestFit="1" customWidth="1"/>
    <col min="1026" max="1026" width="14" bestFit="1" customWidth="1"/>
    <col min="1027" max="1027" width="13.140625" customWidth="1"/>
    <col min="1028" max="1028" width="14.85546875" customWidth="1"/>
    <col min="1030" max="1030" width="15.140625" bestFit="1" customWidth="1"/>
    <col min="1031" max="1031" width="19.28515625" bestFit="1" customWidth="1"/>
    <col min="1032" max="1032" width="8.28515625" bestFit="1" customWidth="1"/>
    <col min="1033" max="1033" width="4.85546875" bestFit="1" customWidth="1"/>
    <col min="1034" max="1034" width="13.28515625" customWidth="1"/>
    <col min="1035" max="1035" width="9.7109375" customWidth="1"/>
    <col min="1036" max="1036" width="11.85546875" customWidth="1"/>
    <col min="1037" max="1037" width="12.5703125" bestFit="1" customWidth="1"/>
    <col min="1038" max="1038" width="19.28515625" bestFit="1" customWidth="1"/>
    <col min="1039" max="1039" width="8.28515625" bestFit="1" customWidth="1"/>
    <col min="1040" max="1040" width="4.85546875" bestFit="1" customWidth="1"/>
    <col min="1041" max="1041" width="12" customWidth="1"/>
    <col min="1042" max="1042" width="8.28515625" customWidth="1"/>
    <col min="1043" max="1043" width="11.140625" customWidth="1"/>
    <col min="1044" max="1045" width="11.7109375" bestFit="1" customWidth="1"/>
    <col min="1046" max="1046" width="17.28515625" bestFit="1" customWidth="1"/>
    <col min="1047" max="1047" width="17.28515625" customWidth="1"/>
    <col min="1048" max="1048" width="13.7109375" bestFit="1" customWidth="1"/>
    <col min="1049" max="1049" width="25.140625" bestFit="1" customWidth="1"/>
    <col min="1050" max="1050" width="15.140625" bestFit="1" customWidth="1"/>
    <col min="1051" max="1051" width="21" bestFit="1" customWidth="1"/>
    <col min="1282" max="1282" width="14" bestFit="1" customWidth="1"/>
    <col min="1283" max="1283" width="13.140625" customWidth="1"/>
    <col min="1284" max="1284" width="14.85546875" customWidth="1"/>
    <col min="1286" max="1286" width="15.140625" bestFit="1" customWidth="1"/>
    <col min="1287" max="1287" width="19.28515625" bestFit="1" customWidth="1"/>
    <col min="1288" max="1288" width="8.28515625" bestFit="1" customWidth="1"/>
    <col min="1289" max="1289" width="4.85546875" bestFit="1" customWidth="1"/>
    <col min="1290" max="1290" width="13.28515625" customWidth="1"/>
    <col min="1291" max="1291" width="9.7109375" customWidth="1"/>
    <col min="1292" max="1292" width="11.85546875" customWidth="1"/>
    <col min="1293" max="1293" width="12.5703125" bestFit="1" customWidth="1"/>
    <col min="1294" max="1294" width="19.28515625" bestFit="1" customWidth="1"/>
    <col min="1295" max="1295" width="8.28515625" bestFit="1" customWidth="1"/>
    <col min="1296" max="1296" width="4.85546875" bestFit="1" customWidth="1"/>
    <col min="1297" max="1297" width="12" customWidth="1"/>
    <col min="1298" max="1298" width="8.28515625" customWidth="1"/>
    <col min="1299" max="1299" width="11.140625" customWidth="1"/>
    <col min="1300" max="1301" width="11.7109375" bestFit="1" customWidth="1"/>
    <col min="1302" max="1302" width="17.28515625" bestFit="1" customWidth="1"/>
    <col min="1303" max="1303" width="17.28515625" customWidth="1"/>
    <col min="1304" max="1304" width="13.7109375" bestFit="1" customWidth="1"/>
    <col min="1305" max="1305" width="25.140625" bestFit="1" customWidth="1"/>
    <col min="1306" max="1306" width="15.140625" bestFit="1" customWidth="1"/>
    <col min="1307" max="1307" width="21" bestFit="1" customWidth="1"/>
    <col min="1538" max="1538" width="14" bestFit="1" customWidth="1"/>
    <col min="1539" max="1539" width="13.140625" customWidth="1"/>
    <col min="1540" max="1540" width="14.85546875" customWidth="1"/>
    <col min="1542" max="1542" width="15.140625" bestFit="1" customWidth="1"/>
    <col min="1543" max="1543" width="19.28515625" bestFit="1" customWidth="1"/>
    <col min="1544" max="1544" width="8.28515625" bestFit="1" customWidth="1"/>
    <col min="1545" max="1545" width="4.85546875" bestFit="1" customWidth="1"/>
    <col min="1546" max="1546" width="13.28515625" customWidth="1"/>
    <col min="1547" max="1547" width="9.7109375" customWidth="1"/>
    <col min="1548" max="1548" width="11.85546875" customWidth="1"/>
    <col min="1549" max="1549" width="12.5703125" bestFit="1" customWidth="1"/>
    <col min="1550" max="1550" width="19.28515625" bestFit="1" customWidth="1"/>
    <col min="1551" max="1551" width="8.28515625" bestFit="1" customWidth="1"/>
    <col min="1552" max="1552" width="4.85546875" bestFit="1" customWidth="1"/>
    <col min="1553" max="1553" width="12" customWidth="1"/>
    <col min="1554" max="1554" width="8.28515625" customWidth="1"/>
    <col min="1555" max="1555" width="11.140625" customWidth="1"/>
    <col min="1556" max="1557" width="11.7109375" bestFit="1" customWidth="1"/>
    <col min="1558" max="1558" width="17.28515625" bestFit="1" customWidth="1"/>
    <col min="1559" max="1559" width="17.28515625" customWidth="1"/>
    <col min="1560" max="1560" width="13.7109375" bestFit="1" customWidth="1"/>
    <col min="1561" max="1561" width="25.140625" bestFit="1" customWidth="1"/>
    <col min="1562" max="1562" width="15.140625" bestFit="1" customWidth="1"/>
    <col min="1563" max="1563" width="21" bestFit="1" customWidth="1"/>
    <col min="1794" max="1794" width="14" bestFit="1" customWidth="1"/>
    <col min="1795" max="1795" width="13.140625" customWidth="1"/>
    <col min="1796" max="1796" width="14.85546875" customWidth="1"/>
    <col min="1798" max="1798" width="15.140625" bestFit="1" customWidth="1"/>
    <col min="1799" max="1799" width="19.28515625" bestFit="1" customWidth="1"/>
    <col min="1800" max="1800" width="8.28515625" bestFit="1" customWidth="1"/>
    <col min="1801" max="1801" width="4.85546875" bestFit="1" customWidth="1"/>
    <col min="1802" max="1802" width="13.28515625" customWidth="1"/>
    <col min="1803" max="1803" width="9.7109375" customWidth="1"/>
    <col min="1804" max="1804" width="11.85546875" customWidth="1"/>
    <col min="1805" max="1805" width="12.5703125" bestFit="1" customWidth="1"/>
    <col min="1806" max="1806" width="19.28515625" bestFit="1" customWidth="1"/>
    <col min="1807" max="1807" width="8.28515625" bestFit="1" customWidth="1"/>
    <col min="1808" max="1808" width="4.85546875" bestFit="1" customWidth="1"/>
    <col min="1809" max="1809" width="12" customWidth="1"/>
    <col min="1810" max="1810" width="8.28515625" customWidth="1"/>
    <col min="1811" max="1811" width="11.140625" customWidth="1"/>
    <col min="1812" max="1813" width="11.7109375" bestFit="1" customWidth="1"/>
    <col min="1814" max="1814" width="17.28515625" bestFit="1" customWidth="1"/>
    <col min="1815" max="1815" width="17.28515625" customWidth="1"/>
    <col min="1816" max="1816" width="13.7109375" bestFit="1" customWidth="1"/>
    <col min="1817" max="1817" width="25.140625" bestFit="1" customWidth="1"/>
    <col min="1818" max="1818" width="15.140625" bestFit="1" customWidth="1"/>
    <col min="1819" max="1819" width="21" bestFit="1" customWidth="1"/>
    <col min="2050" max="2050" width="14" bestFit="1" customWidth="1"/>
    <col min="2051" max="2051" width="13.140625" customWidth="1"/>
    <col min="2052" max="2052" width="14.85546875" customWidth="1"/>
    <col min="2054" max="2054" width="15.140625" bestFit="1" customWidth="1"/>
    <col min="2055" max="2055" width="19.28515625" bestFit="1" customWidth="1"/>
    <col min="2056" max="2056" width="8.28515625" bestFit="1" customWidth="1"/>
    <col min="2057" max="2057" width="4.85546875" bestFit="1" customWidth="1"/>
    <col min="2058" max="2058" width="13.28515625" customWidth="1"/>
    <col min="2059" max="2059" width="9.7109375" customWidth="1"/>
    <col min="2060" max="2060" width="11.85546875" customWidth="1"/>
    <col min="2061" max="2061" width="12.5703125" bestFit="1" customWidth="1"/>
    <col min="2062" max="2062" width="19.28515625" bestFit="1" customWidth="1"/>
    <col min="2063" max="2063" width="8.28515625" bestFit="1" customWidth="1"/>
    <col min="2064" max="2064" width="4.85546875" bestFit="1" customWidth="1"/>
    <col min="2065" max="2065" width="12" customWidth="1"/>
    <col min="2066" max="2066" width="8.28515625" customWidth="1"/>
    <col min="2067" max="2067" width="11.140625" customWidth="1"/>
    <col min="2068" max="2069" width="11.7109375" bestFit="1" customWidth="1"/>
    <col min="2070" max="2070" width="17.28515625" bestFit="1" customWidth="1"/>
    <col min="2071" max="2071" width="17.28515625" customWidth="1"/>
    <col min="2072" max="2072" width="13.7109375" bestFit="1" customWidth="1"/>
    <col min="2073" max="2073" width="25.140625" bestFit="1" customWidth="1"/>
    <col min="2074" max="2074" width="15.140625" bestFit="1" customWidth="1"/>
    <col min="2075" max="2075" width="21" bestFit="1" customWidth="1"/>
    <col min="2306" max="2306" width="14" bestFit="1" customWidth="1"/>
    <col min="2307" max="2307" width="13.140625" customWidth="1"/>
    <col min="2308" max="2308" width="14.85546875" customWidth="1"/>
    <col min="2310" max="2310" width="15.140625" bestFit="1" customWidth="1"/>
    <col min="2311" max="2311" width="19.28515625" bestFit="1" customWidth="1"/>
    <col min="2312" max="2312" width="8.28515625" bestFit="1" customWidth="1"/>
    <col min="2313" max="2313" width="4.85546875" bestFit="1" customWidth="1"/>
    <col min="2314" max="2314" width="13.28515625" customWidth="1"/>
    <col min="2315" max="2315" width="9.7109375" customWidth="1"/>
    <col min="2316" max="2316" width="11.85546875" customWidth="1"/>
    <col min="2317" max="2317" width="12.5703125" bestFit="1" customWidth="1"/>
    <col min="2318" max="2318" width="19.28515625" bestFit="1" customWidth="1"/>
    <col min="2319" max="2319" width="8.28515625" bestFit="1" customWidth="1"/>
    <col min="2320" max="2320" width="4.85546875" bestFit="1" customWidth="1"/>
    <col min="2321" max="2321" width="12" customWidth="1"/>
    <col min="2322" max="2322" width="8.28515625" customWidth="1"/>
    <col min="2323" max="2323" width="11.140625" customWidth="1"/>
    <col min="2324" max="2325" width="11.7109375" bestFit="1" customWidth="1"/>
    <col min="2326" max="2326" width="17.28515625" bestFit="1" customWidth="1"/>
    <col min="2327" max="2327" width="17.28515625" customWidth="1"/>
    <col min="2328" max="2328" width="13.7109375" bestFit="1" customWidth="1"/>
    <col min="2329" max="2329" width="25.140625" bestFit="1" customWidth="1"/>
    <col min="2330" max="2330" width="15.140625" bestFit="1" customWidth="1"/>
    <col min="2331" max="2331" width="21" bestFit="1" customWidth="1"/>
    <col min="2562" max="2562" width="14" bestFit="1" customWidth="1"/>
    <col min="2563" max="2563" width="13.140625" customWidth="1"/>
    <col min="2564" max="2564" width="14.85546875" customWidth="1"/>
    <col min="2566" max="2566" width="15.140625" bestFit="1" customWidth="1"/>
    <col min="2567" max="2567" width="19.28515625" bestFit="1" customWidth="1"/>
    <col min="2568" max="2568" width="8.28515625" bestFit="1" customWidth="1"/>
    <col min="2569" max="2569" width="4.85546875" bestFit="1" customWidth="1"/>
    <col min="2570" max="2570" width="13.28515625" customWidth="1"/>
    <col min="2571" max="2571" width="9.7109375" customWidth="1"/>
    <col min="2572" max="2572" width="11.85546875" customWidth="1"/>
    <col min="2573" max="2573" width="12.5703125" bestFit="1" customWidth="1"/>
    <col min="2574" max="2574" width="19.28515625" bestFit="1" customWidth="1"/>
    <col min="2575" max="2575" width="8.28515625" bestFit="1" customWidth="1"/>
    <col min="2576" max="2576" width="4.85546875" bestFit="1" customWidth="1"/>
    <col min="2577" max="2577" width="12" customWidth="1"/>
    <col min="2578" max="2578" width="8.28515625" customWidth="1"/>
    <col min="2579" max="2579" width="11.140625" customWidth="1"/>
    <col min="2580" max="2581" width="11.7109375" bestFit="1" customWidth="1"/>
    <col min="2582" max="2582" width="17.28515625" bestFit="1" customWidth="1"/>
    <col min="2583" max="2583" width="17.28515625" customWidth="1"/>
    <col min="2584" max="2584" width="13.7109375" bestFit="1" customWidth="1"/>
    <col min="2585" max="2585" width="25.140625" bestFit="1" customWidth="1"/>
    <col min="2586" max="2586" width="15.140625" bestFit="1" customWidth="1"/>
    <col min="2587" max="2587" width="21" bestFit="1" customWidth="1"/>
    <col min="2818" max="2818" width="14" bestFit="1" customWidth="1"/>
    <col min="2819" max="2819" width="13.140625" customWidth="1"/>
    <col min="2820" max="2820" width="14.85546875" customWidth="1"/>
    <col min="2822" max="2822" width="15.140625" bestFit="1" customWidth="1"/>
    <col min="2823" max="2823" width="19.28515625" bestFit="1" customWidth="1"/>
    <col min="2824" max="2824" width="8.28515625" bestFit="1" customWidth="1"/>
    <col min="2825" max="2825" width="4.85546875" bestFit="1" customWidth="1"/>
    <col min="2826" max="2826" width="13.28515625" customWidth="1"/>
    <col min="2827" max="2827" width="9.7109375" customWidth="1"/>
    <col min="2828" max="2828" width="11.85546875" customWidth="1"/>
    <col min="2829" max="2829" width="12.5703125" bestFit="1" customWidth="1"/>
    <col min="2830" max="2830" width="19.28515625" bestFit="1" customWidth="1"/>
    <col min="2831" max="2831" width="8.28515625" bestFit="1" customWidth="1"/>
    <col min="2832" max="2832" width="4.85546875" bestFit="1" customWidth="1"/>
    <col min="2833" max="2833" width="12" customWidth="1"/>
    <col min="2834" max="2834" width="8.28515625" customWidth="1"/>
    <col min="2835" max="2835" width="11.140625" customWidth="1"/>
    <col min="2836" max="2837" width="11.7109375" bestFit="1" customWidth="1"/>
    <col min="2838" max="2838" width="17.28515625" bestFit="1" customWidth="1"/>
    <col min="2839" max="2839" width="17.28515625" customWidth="1"/>
    <col min="2840" max="2840" width="13.7109375" bestFit="1" customWidth="1"/>
    <col min="2841" max="2841" width="25.140625" bestFit="1" customWidth="1"/>
    <col min="2842" max="2842" width="15.140625" bestFit="1" customWidth="1"/>
    <col min="2843" max="2843" width="21" bestFit="1" customWidth="1"/>
    <col min="3074" max="3074" width="14" bestFit="1" customWidth="1"/>
    <col min="3075" max="3075" width="13.140625" customWidth="1"/>
    <col min="3076" max="3076" width="14.85546875" customWidth="1"/>
    <col min="3078" max="3078" width="15.140625" bestFit="1" customWidth="1"/>
    <col min="3079" max="3079" width="19.28515625" bestFit="1" customWidth="1"/>
    <col min="3080" max="3080" width="8.28515625" bestFit="1" customWidth="1"/>
    <col min="3081" max="3081" width="4.85546875" bestFit="1" customWidth="1"/>
    <col min="3082" max="3082" width="13.28515625" customWidth="1"/>
    <col min="3083" max="3083" width="9.7109375" customWidth="1"/>
    <col min="3084" max="3084" width="11.85546875" customWidth="1"/>
    <col min="3085" max="3085" width="12.5703125" bestFit="1" customWidth="1"/>
    <col min="3086" max="3086" width="19.28515625" bestFit="1" customWidth="1"/>
    <col min="3087" max="3087" width="8.28515625" bestFit="1" customWidth="1"/>
    <col min="3088" max="3088" width="4.85546875" bestFit="1" customWidth="1"/>
    <col min="3089" max="3089" width="12" customWidth="1"/>
    <col min="3090" max="3090" width="8.28515625" customWidth="1"/>
    <col min="3091" max="3091" width="11.140625" customWidth="1"/>
    <col min="3092" max="3093" width="11.7109375" bestFit="1" customWidth="1"/>
    <col min="3094" max="3094" width="17.28515625" bestFit="1" customWidth="1"/>
    <col min="3095" max="3095" width="17.28515625" customWidth="1"/>
    <col min="3096" max="3096" width="13.7109375" bestFit="1" customWidth="1"/>
    <col min="3097" max="3097" width="25.140625" bestFit="1" customWidth="1"/>
    <col min="3098" max="3098" width="15.140625" bestFit="1" customWidth="1"/>
    <col min="3099" max="3099" width="21" bestFit="1" customWidth="1"/>
    <col min="3330" max="3330" width="14" bestFit="1" customWidth="1"/>
    <col min="3331" max="3331" width="13.140625" customWidth="1"/>
    <col min="3332" max="3332" width="14.85546875" customWidth="1"/>
    <col min="3334" max="3334" width="15.140625" bestFit="1" customWidth="1"/>
    <col min="3335" max="3335" width="19.28515625" bestFit="1" customWidth="1"/>
    <col min="3336" max="3336" width="8.28515625" bestFit="1" customWidth="1"/>
    <col min="3337" max="3337" width="4.85546875" bestFit="1" customWidth="1"/>
    <col min="3338" max="3338" width="13.28515625" customWidth="1"/>
    <col min="3339" max="3339" width="9.7109375" customWidth="1"/>
    <col min="3340" max="3340" width="11.85546875" customWidth="1"/>
    <col min="3341" max="3341" width="12.5703125" bestFit="1" customWidth="1"/>
    <col min="3342" max="3342" width="19.28515625" bestFit="1" customWidth="1"/>
    <col min="3343" max="3343" width="8.28515625" bestFit="1" customWidth="1"/>
    <col min="3344" max="3344" width="4.85546875" bestFit="1" customWidth="1"/>
    <col min="3345" max="3345" width="12" customWidth="1"/>
    <col min="3346" max="3346" width="8.28515625" customWidth="1"/>
    <col min="3347" max="3347" width="11.140625" customWidth="1"/>
    <col min="3348" max="3349" width="11.7109375" bestFit="1" customWidth="1"/>
    <col min="3350" max="3350" width="17.28515625" bestFit="1" customWidth="1"/>
    <col min="3351" max="3351" width="17.28515625" customWidth="1"/>
    <col min="3352" max="3352" width="13.7109375" bestFit="1" customWidth="1"/>
    <col min="3353" max="3353" width="25.140625" bestFit="1" customWidth="1"/>
    <col min="3354" max="3354" width="15.140625" bestFit="1" customWidth="1"/>
    <col min="3355" max="3355" width="21" bestFit="1" customWidth="1"/>
    <col min="3586" max="3586" width="14" bestFit="1" customWidth="1"/>
    <col min="3587" max="3587" width="13.140625" customWidth="1"/>
    <col min="3588" max="3588" width="14.85546875" customWidth="1"/>
    <col min="3590" max="3590" width="15.140625" bestFit="1" customWidth="1"/>
    <col min="3591" max="3591" width="19.28515625" bestFit="1" customWidth="1"/>
    <col min="3592" max="3592" width="8.28515625" bestFit="1" customWidth="1"/>
    <col min="3593" max="3593" width="4.85546875" bestFit="1" customWidth="1"/>
    <col min="3594" max="3594" width="13.28515625" customWidth="1"/>
    <col min="3595" max="3595" width="9.7109375" customWidth="1"/>
    <col min="3596" max="3596" width="11.85546875" customWidth="1"/>
    <col min="3597" max="3597" width="12.5703125" bestFit="1" customWidth="1"/>
    <col min="3598" max="3598" width="19.28515625" bestFit="1" customWidth="1"/>
    <col min="3599" max="3599" width="8.28515625" bestFit="1" customWidth="1"/>
    <col min="3600" max="3600" width="4.85546875" bestFit="1" customWidth="1"/>
    <col min="3601" max="3601" width="12" customWidth="1"/>
    <col min="3602" max="3602" width="8.28515625" customWidth="1"/>
    <col min="3603" max="3603" width="11.140625" customWidth="1"/>
    <col min="3604" max="3605" width="11.7109375" bestFit="1" customWidth="1"/>
    <col min="3606" max="3606" width="17.28515625" bestFit="1" customWidth="1"/>
    <col min="3607" max="3607" width="17.28515625" customWidth="1"/>
    <col min="3608" max="3608" width="13.7109375" bestFit="1" customWidth="1"/>
    <col min="3609" max="3609" width="25.140625" bestFit="1" customWidth="1"/>
    <col min="3610" max="3610" width="15.140625" bestFit="1" customWidth="1"/>
    <col min="3611" max="3611" width="21" bestFit="1" customWidth="1"/>
    <col min="3842" max="3842" width="14" bestFit="1" customWidth="1"/>
    <col min="3843" max="3843" width="13.140625" customWidth="1"/>
    <col min="3844" max="3844" width="14.85546875" customWidth="1"/>
    <col min="3846" max="3846" width="15.140625" bestFit="1" customWidth="1"/>
    <col min="3847" max="3847" width="19.28515625" bestFit="1" customWidth="1"/>
    <col min="3848" max="3848" width="8.28515625" bestFit="1" customWidth="1"/>
    <col min="3849" max="3849" width="4.85546875" bestFit="1" customWidth="1"/>
    <col min="3850" max="3850" width="13.28515625" customWidth="1"/>
    <col min="3851" max="3851" width="9.7109375" customWidth="1"/>
    <col min="3852" max="3852" width="11.85546875" customWidth="1"/>
    <col min="3853" max="3853" width="12.5703125" bestFit="1" customWidth="1"/>
    <col min="3854" max="3854" width="19.28515625" bestFit="1" customWidth="1"/>
    <col min="3855" max="3855" width="8.28515625" bestFit="1" customWidth="1"/>
    <col min="3856" max="3856" width="4.85546875" bestFit="1" customWidth="1"/>
    <col min="3857" max="3857" width="12" customWidth="1"/>
    <col min="3858" max="3858" width="8.28515625" customWidth="1"/>
    <col min="3859" max="3859" width="11.140625" customWidth="1"/>
    <col min="3860" max="3861" width="11.7109375" bestFit="1" customWidth="1"/>
    <col min="3862" max="3862" width="17.28515625" bestFit="1" customWidth="1"/>
    <col min="3863" max="3863" width="17.28515625" customWidth="1"/>
    <col min="3864" max="3864" width="13.7109375" bestFit="1" customWidth="1"/>
    <col min="3865" max="3865" width="25.140625" bestFit="1" customWidth="1"/>
    <col min="3866" max="3866" width="15.140625" bestFit="1" customWidth="1"/>
    <col min="3867" max="3867" width="21" bestFit="1" customWidth="1"/>
    <col min="4098" max="4098" width="14" bestFit="1" customWidth="1"/>
    <col min="4099" max="4099" width="13.140625" customWidth="1"/>
    <col min="4100" max="4100" width="14.85546875" customWidth="1"/>
    <col min="4102" max="4102" width="15.140625" bestFit="1" customWidth="1"/>
    <col min="4103" max="4103" width="19.28515625" bestFit="1" customWidth="1"/>
    <col min="4104" max="4104" width="8.28515625" bestFit="1" customWidth="1"/>
    <col min="4105" max="4105" width="4.85546875" bestFit="1" customWidth="1"/>
    <col min="4106" max="4106" width="13.28515625" customWidth="1"/>
    <col min="4107" max="4107" width="9.7109375" customWidth="1"/>
    <col min="4108" max="4108" width="11.85546875" customWidth="1"/>
    <col min="4109" max="4109" width="12.5703125" bestFit="1" customWidth="1"/>
    <col min="4110" max="4110" width="19.28515625" bestFit="1" customWidth="1"/>
    <col min="4111" max="4111" width="8.28515625" bestFit="1" customWidth="1"/>
    <col min="4112" max="4112" width="4.85546875" bestFit="1" customWidth="1"/>
    <col min="4113" max="4113" width="12" customWidth="1"/>
    <col min="4114" max="4114" width="8.28515625" customWidth="1"/>
    <col min="4115" max="4115" width="11.140625" customWidth="1"/>
    <col min="4116" max="4117" width="11.7109375" bestFit="1" customWidth="1"/>
    <col min="4118" max="4118" width="17.28515625" bestFit="1" customWidth="1"/>
    <col min="4119" max="4119" width="17.28515625" customWidth="1"/>
    <col min="4120" max="4120" width="13.7109375" bestFit="1" customWidth="1"/>
    <col min="4121" max="4121" width="25.140625" bestFit="1" customWidth="1"/>
    <col min="4122" max="4122" width="15.140625" bestFit="1" customWidth="1"/>
    <col min="4123" max="4123" width="21" bestFit="1" customWidth="1"/>
    <col min="4354" max="4354" width="14" bestFit="1" customWidth="1"/>
    <col min="4355" max="4355" width="13.140625" customWidth="1"/>
    <col min="4356" max="4356" width="14.85546875" customWidth="1"/>
    <col min="4358" max="4358" width="15.140625" bestFit="1" customWidth="1"/>
    <col min="4359" max="4359" width="19.28515625" bestFit="1" customWidth="1"/>
    <col min="4360" max="4360" width="8.28515625" bestFit="1" customWidth="1"/>
    <col min="4361" max="4361" width="4.85546875" bestFit="1" customWidth="1"/>
    <col min="4362" max="4362" width="13.28515625" customWidth="1"/>
    <col min="4363" max="4363" width="9.7109375" customWidth="1"/>
    <col min="4364" max="4364" width="11.85546875" customWidth="1"/>
    <col min="4365" max="4365" width="12.5703125" bestFit="1" customWidth="1"/>
    <col min="4366" max="4366" width="19.28515625" bestFit="1" customWidth="1"/>
    <col min="4367" max="4367" width="8.28515625" bestFit="1" customWidth="1"/>
    <col min="4368" max="4368" width="4.85546875" bestFit="1" customWidth="1"/>
    <col min="4369" max="4369" width="12" customWidth="1"/>
    <col min="4370" max="4370" width="8.28515625" customWidth="1"/>
    <col min="4371" max="4371" width="11.140625" customWidth="1"/>
    <col min="4372" max="4373" width="11.7109375" bestFit="1" customWidth="1"/>
    <col min="4374" max="4374" width="17.28515625" bestFit="1" customWidth="1"/>
    <col min="4375" max="4375" width="17.28515625" customWidth="1"/>
    <col min="4376" max="4376" width="13.7109375" bestFit="1" customWidth="1"/>
    <col min="4377" max="4377" width="25.140625" bestFit="1" customWidth="1"/>
    <col min="4378" max="4378" width="15.140625" bestFit="1" customWidth="1"/>
    <col min="4379" max="4379" width="21" bestFit="1" customWidth="1"/>
    <col min="4610" max="4610" width="14" bestFit="1" customWidth="1"/>
    <col min="4611" max="4611" width="13.140625" customWidth="1"/>
    <col min="4612" max="4612" width="14.85546875" customWidth="1"/>
    <col min="4614" max="4614" width="15.140625" bestFit="1" customWidth="1"/>
    <col min="4615" max="4615" width="19.28515625" bestFit="1" customWidth="1"/>
    <col min="4616" max="4616" width="8.28515625" bestFit="1" customWidth="1"/>
    <col min="4617" max="4617" width="4.85546875" bestFit="1" customWidth="1"/>
    <col min="4618" max="4618" width="13.28515625" customWidth="1"/>
    <col min="4619" max="4619" width="9.7109375" customWidth="1"/>
    <col min="4620" max="4620" width="11.85546875" customWidth="1"/>
    <col min="4621" max="4621" width="12.5703125" bestFit="1" customWidth="1"/>
    <col min="4622" max="4622" width="19.28515625" bestFit="1" customWidth="1"/>
    <col min="4623" max="4623" width="8.28515625" bestFit="1" customWidth="1"/>
    <col min="4624" max="4624" width="4.85546875" bestFit="1" customWidth="1"/>
    <col min="4625" max="4625" width="12" customWidth="1"/>
    <col min="4626" max="4626" width="8.28515625" customWidth="1"/>
    <col min="4627" max="4627" width="11.140625" customWidth="1"/>
    <col min="4628" max="4629" width="11.7109375" bestFit="1" customWidth="1"/>
    <col min="4630" max="4630" width="17.28515625" bestFit="1" customWidth="1"/>
    <col min="4631" max="4631" width="17.28515625" customWidth="1"/>
    <col min="4632" max="4632" width="13.7109375" bestFit="1" customWidth="1"/>
    <col min="4633" max="4633" width="25.140625" bestFit="1" customWidth="1"/>
    <col min="4634" max="4634" width="15.140625" bestFit="1" customWidth="1"/>
    <col min="4635" max="4635" width="21" bestFit="1" customWidth="1"/>
    <col min="4866" max="4866" width="14" bestFit="1" customWidth="1"/>
    <col min="4867" max="4867" width="13.140625" customWidth="1"/>
    <col min="4868" max="4868" width="14.85546875" customWidth="1"/>
    <col min="4870" max="4870" width="15.140625" bestFit="1" customWidth="1"/>
    <col min="4871" max="4871" width="19.28515625" bestFit="1" customWidth="1"/>
    <col min="4872" max="4872" width="8.28515625" bestFit="1" customWidth="1"/>
    <col min="4873" max="4873" width="4.85546875" bestFit="1" customWidth="1"/>
    <col min="4874" max="4874" width="13.28515625" customWidth="1"/>
    <col min="4875" max="4875" width="9.7109375" customWidth="1"/>
    <col min="4876" max="4876" width="11.85546875" customWidth="1"/>
    <col min="4877" max="4877" width="12.5703125" bestFit="1" customWidth="1"/>
    <col min="4878" max="4878" width="19.28515625" bestFit="1" customWidth="1"/>
    <col min="4879" max="4879" width="8.28515625" bestFit="1" customWidth="1"/>
    <col min="4880" max="4880" width="4.85546875" bestFit="1" customWidth="1"/>
    <col min="4881" max="4881" width="12" customWidth="1"/>
    <col min="4882" max="4882" width="8.28515625" customWidth="1"/>
    <col min="4883" max="4883" width="11.140625" customWidth="1"/>
    <col min="4884" max="4885" width="11.7109375" bestFit="1" customWidth="1"/>
    <col min="4886" max="4886" width="17.28515625" bestFit="1" customWidth="1"/>
    <col min="4887" max="4887" width="17.28515625" customWidth="1"/>
    <col min="4888" max="4888" width="13.7109375" bestFit="1" customWidth="1"/>
    <col min="4889" max="4889" width="25.140625" bestFit="1" customWidth="1"/>
    <col min="4890" max="4890" width="15.140625" bestFit="1" customWidth="1"/>
    <col min="4891" max="4891" width="21" bestFit="1" customWidth="1"/>
    <col min="5122" max="5122" width="14" bestFit="1" customWidth="1"/>
    <col min="5123" max="5123" width="13.140625" customWidth="1"/>
    <col min="5124" max="5124" width="14.85546875" customWidth="1"/>
    <col min="5126" max="5126" width="15.140625" bestFit="1" customWidth="1"/>
    <col min="5127" max="5127" width="19.28515625" bestFit="1" customWidth="1"/>
    <col min="5128" max="5128" width="8.28515625" bestFit="1" customWidth="1"/>
    <col min="5129" max="5129" width="4.85546875" bestFit="1" customWidth="1"/>
    <col min="5130" max="5130" width="13.28515625" customWidth="1"/>
    <col min="5131" max="5131" width="9.7109375" customWidth="1"/>
    <col min="5132" max="5132" width="11.85546875" customWidth="1"/>
    <col min="5133" max="5133" width="12.5703125" bestFit="1" customWidth="1"/>
    <col min="5134" max="5134" width="19.28515625" bestFit="1" customWidth="1"/>
    <col min="5135" max="5135" width="8.28515625" bestFit="1" customWidth="1"/>
    <col min="5136" max="5136" width="4.85546875" bestFit="1" customWidth="1"/>
    <col min="5137" max="5137" width="12" customWidth="1"/>
    <col min="5138" max="5138" width="8.28515625" customWidth="1"/>
    <col min="5139" max="5139" width="11.140625" customWidth="1"/>
    <col min="5140" max="5141" width="11.7109375" bestFit="1" customWidth="1"/>
    <col min="5142" max="5142" width="17.28515625" bestFit="1" customWidth="1"/>
    <col min="5143" max="5143" width="17.28515625" customWidth="1"/>
    <col min="5144" max="5144" width="13.7109375" bestFit="1" customWidth="1"/>
    <col min="5145" max="5145" width="25.140625" bestFit="1" customWidth="1"/>
    <col min="5146" max="5146" width="15.140625" bestFit="1" customWidth="1"/>
    <col min="5147" max="5147" width="21" bestFit="1" customWidth="1"/>
    <col min="5378" max="5378" width="14" bestFit="1" customWidth="1"/>
    <col min="5379" max="5379" width="13.140625" customWidth="1"/>
    <col min="5380" max="5380" width="14.85546875" customWidth="1"/>
    <col min="5382" max="5382" width="15.140625" bestFit="1" customWidth="1"/>
    <col min="5383" max="5383" width="19.28515625" bestFit="1" customWidth="1"/>
    <col min="5384" max="5384" width="8.28515625" bestFit="1" customWidth="1"/>
    <col min="5385" max="5385" width="4.85546875" bestFit="1" customWidth="1"/>
    <col min="5386" max="5386" width="13.28515625" customWidth="1"/>
    <col min="5387" max="5387" width="9.7109375" customWidth="1"/>
    <col min="5388" max="5388" width="11.85546875" customWidth="1"/>
    <col min="5389" max="5389" width="12.5703125" bestFit="1" customWidth="1"/>
    <col min="5390" max="5390" width="19.28515625" bestFit="1" customWidth="1"/>
    <col min="5391" max="5391" width="8.28515625" bestFit="1" customWidth="1"/>
    <col min="5392" max="5392" width="4.85546875" bestFit="1" customWidth="1"/>
    <col min="5393" max="5393" width="12" customWidth="1"/>
    <col min="5394" max="5394" width="8.28515625" customWidth="1"/>
    <col min="5395" max="5395" width="11.140625" customWidth="1"/>
    <col min="5396" max="5397" width="11.7109375" bestFit="1" customWidth="1"/>
    <col min="5398" max="5398" width="17.28515625" bestFit="1" customWidth="1"/>
    <col min="5399" max="5399" width="17.28515625" customWidth="1"/>
    <col min="5400" max="5400" width="13.7109375" bestFit="1" customWidth="1"/>
    <col min="5401" max="5401" width="25.140625" bestFit="1" customWidth="1"/>
    <col min="5402" max="5402" width="15.140625" bestFit="1" customWidth="1"/>
    <col min="5403" max="5403" width="21" bestFit="1" customWidth="1"/>
    <col min="5634" max="5634" width="14" bestFit="1" customWidth="1"/>
    <col min="5635" max="5635" width="13.140625" customWidth="1"/>
    <col min="5636" max="5636" width="14.85546875" customWidth="1"/>
    <col min="5638" max="5638" width="15.140625" bestFit="1" customWidth="1"/>
    <col min="5639" max="5639" width="19.28515625" bestFit="1" customWidth="1"/>
    <col min="5640" max="5640" width="8.28515625" bestFit="1" customWidth="1"/>
    <col min="5641" max="5641" width="4.85546875" bestFit="1" customWidth="1"/>
    <col min="5642" max="5642" width="13.28515625" customWidth="1"/>
    <col min="5643" max="5643" width="9.7109375" customWidth="1"/>
    <col min="5644" max="5644" width="11.85546875" customWidth="1"/>
    <col min="5645" max="5645" width="12.5703125" bestFit="1" customWidth="1"/>
    <col min="5646" max="5646" width="19.28515625" bestFit="1" customWidth="1"/>
    <col min="5647" max="5647" width="8.28515625" bestFit="1" customWidth="1"/>
    <col min="5648" max="5648" width="4.85546875" bestFit="1" customWidth="1"/>
    <col min="5649" max="5649" width="12" customWidth="1"/>
    <col min="5650" max="5650" width="8.28515625" customWidth="1"/>
    <col min="5651" max="5651" width="11.140625" customWidth="1"/>
    <col min="5652" max="5653" width="11.7109375" bestFit="1" customWidth="1"/>
    <col min="5654" max="5654" width="17.28515625" bestFit="1" customWidth="1"/>
    <col min="5655" max="5655" width="17.28515625" customWidth="1"/>
    <col min="5656" max="5656" width="13.7109375" bestFit="1" customWidth="1"/>
    <col min="5657" max="5657" width="25.140625" bestFit="1" customWidth="1"/>
    <col min="5658" max="5658" width="15.140625" bestFit="1" customWidth="1"/>
    <col min="5659" max="5659" width="21" bestFit="1" customWidth="1"/>
    <col min="5890" max="5890" width="14" bestFit="1" customWidth="1"/>
    <col min="5891" max="5891" width="13.140625" customWidth="1"/>
    <col min="5892" max="5892" width="14.85546875" customWidth="1"/>
    <col min="5894" max="5894" width="15.140625" bestFit="1" customWidth="1"/>
    <col min="5895" max="5895" width="19.28515625" bestFit="1" customWidth="1"/>
    <col min="5896" max="5896" width="8.28515625" bestFit="1" customWidth="1"/>
    <col min="5897" max="5897" width="4.85546875" bestFit="1" customWidth="1"/>
    <col min="5898" max="5898" width="13.28515625" customWidth="1"/>
    <col min="5899" max="5899" width="9.7109375" customWidth="1"/>
    <col min="5900" max="5900" width="11.85546875" customWidth="1"/>
    <col min="5901" max="5901" width="12.5703125" bestFit="1" customWidth="1"/>
    <col min="5902" max="5902" width="19.28515625" bestFit="1" customWidth="1"/>
    <col min="5903" max="5903" width="8.28515625" bestFit="1" customWidth="1"/>
    <col min="5904" max="5904" width="4.85546875" bestFit="1" customWidth="1"/>
    <col min="5905" max="5905" width="12" customWidth="1"/>
    <col min="5906" max="5906" width="8.28515625" customWidth="1"/>
    <col min="5907" max="5907" width="11.140625" customWidth="1"/>
    <col min="5908" max="5909" width="11.7109375" bestFit="1" customWidth="1"/>
    <col min="5910" max="5910" width="17.28515625" bestFit="1" customWidth="1"/>
    <col min="5911" max="5911" width="17.28515625" customWidth="1"/>
    <col min="5912" max="5912" width="13.7109375" bestFit="1" customWidth="1"/>
    <col min="5913" max="5913" width="25.140625" bestFit="1" customWidth="1"/>
    <col min="5914" max="5914" width="15.140625" bestFit="1" customWidth="1"/>
    <col min="5915" max="5915" width="21" bestFit="1" customWidth="1"/>
    <col min="6146" max="6146" width="14" bestFit="1" customWidth="1"/>
    <col min="6147" max="6147" width="13.140625" customWidth="1"/>
    <col min="6148" max="6148" width="14.85546875" customWidth="1"/>
    <col min="6150" max="6150" width="15.140625" bestFit="1" customWidth="1"/>
    <col min="6151" max="6151" width="19.28515625" bestFit="1" customWidth="1"/>
    <col min="6152" max="6152" width="8.28515625" bestFit="1" customWidth="1"/>
    <col min="6153" max="6153" width="4.85546875" bestFit="1" customWidth="1"/>
    <col min="6154" max="6154" width="13.28515625" customWidth="1"/>
    <col min="6155" max="6155" width="9.7109375" customWidth="1"/>
    <col min="6156" max="6156" width="11.85546875" customWidth="1"/>
    <col min="6157" max="6157" width="12.5703125" bestFit="1" customWidth="1"/>
    <col min="6158" max="6158" width="19.28515625" bestFit="1" customWidth="1"/>
    <col min="6159" max="6159" width="8.28515625" bestFit="1" customWidth="1"/>
    <col min="6160" max="6160" width="4.85546875" bestFit="1" customWidth="1"/>
    <col min="6161" max="6161" width="12" customWidth="1"/>
    <col min="6162" max="6162" width="8.28515625" customWidth="1"/>
    <col min="6163" max="6163" width="11.140625" customWidth="1"/>
    <col min="6164" max="6165" width="11.7109375" bestFit="1" customWidth="1"/>
    <col min="6166" max="6166" width="17.28515625" bestFit="1" customWidth="1"/>
    <col min="6167" max="6167" width="17.28515625" customWidth="1"/>
    <col min="6168" max="6168" width="13.7109375" bestFit="1" customWidth="1"/>
    <col min="6169" max="6169" width="25.140625" bestFit="1" customWidth="1"/>
    <col min="6170" max="6170" width="15.140625" bestFit="1" customWidth="1"/>
    <col min="6171" max="6171" width="21" bestFit="1" customWidth="1"/>
    <col min="6402" max="6402" width="14" bestFit="1" customWidth="1"/>
    <col min="6403" max="6403" width="13.140625" customWidth="1"/>
    <col min="6404" max="6404" width="14.85546875" customWidth="1"/>
    <col min="6406" max="6406" width="15.140625" bestFit="1" customWidth="1"/>
    <col min="6407" max="6407" width="19.28515625" bestFit="1" customWidth="1"/>
    <col min="6408" max="6408" width="8.28515625" bestFit="1" customWidth="1"/>
    <col min="6409" max="6409" width="4.85546875" bestFit="1" customWidth="1"/>
    <col min="6410" max="6410" width="13.28515625" customWidth="1"/>
    <col min="6411" max="6411" width="9.7109375" customWidth="1"/>
    <col min="6412" max="6412" width="11.85546875" customWidth="1"/>
    <col min="6413" max="6413" width="12.5703125" bestFit="1" customWidth="1"/>
    <col min="6414" max="6414" width="19.28515625" bestFit="1" customWidth="1"/>
    <col min="6415" max="6415" width="8.28515625" bestFit="1" customWidth="1"/>
    <col min="6416" max="6416" width="4.85546875" bestFit="1" customWidth="1"/>
    <col min="6417" max="6417" width="12" customWidth="1"/>
    <col min="6418" max="6418" width="8.28515625" customWidth="1"/>
    <col min="6419" max="6419" width="11.140625" customWidth="1"/>
    <col min="6420" max="6421" width="11.7109375" bestFit="1" customWidth="1"/>
    <col min="6422" max="6422" width="17.28515625" bestFit="1" customWidth="1"/>
    <col min="6423" max="6423" width="17.28515625" customWidth="1"/>
    <col min="6424" max="6424" width="13.7109375" bestFit="1" customWidth="1"/>
    <col min="6425" max="6425" width="25.140625" bestFit="1" customWidth="1"/>
    <col min="6426" max="6426" width="15.140625" bestFit="1" customWidth="1"/>
    <col min="6427" max="6427" width="21" bestFit="1" customWidth="1"/>
    <col min="6658" max="6658" width="14" bestFit="1" customWidth="1"/>
    <col min="6659" max="6659" width="13.140625" customWidth="1"/>
    <col min="6660" max="6660" width="14.85546875" customWidth="1"/>
    <col min="6662" max="6662" width="15.140625" bestFit="1" customWidth="1"/>
    <col min="6663" max="6663" width="19.28515625" bestFit="1" customWidth="1"/>
    <col min="6664" max="6664" width="8.28515625" bestFit="1" customWidth="1"/>
    <col min="6665" max="6665" width="4.85546875" bestFit="1" customWidth="1"/>
    <col min="6666" max="6666" width="13.28515625" customWidth="1"/>
    <col min="6667" max="6667" width="9.7109375" customWidth="1"/>
    <col min="6668" max="6668" width="11.85546875" customWidth="1"/>
    <col min="6669" max="6669" width="12.5703125" bestFit="1" customWidth="1"/>
    <col min="6670" max="6670" width="19.28515625" bestFit="1" customWidth="1"/>
    <col min="6671" max="6671" width="8.28515625" bestFit="1" customWidth="1"/>
    <col min="6672" max="6672" width="4.85546875" bestFit="1" customWidth="1"/>
    <col min="6673" max="6673" width="12" customWidth="1"/>
    <col min="6674" max="6674" width="8.28515625" customWidth="1"/>
    <col min="6675" max="6675" width="11.140625" customWidth="1"/>
    <col min="6676" max="6677" width="11.7109375" bestFit="1" customWidth="1"/>
    <col min="6678" max="6678" width="17.28515625" bestFit="1" customWidth="1"/>
    <col min="6679" max="6679" width="17.28515625" customWidth="1"/>
    <col min="6680" max="6680" width="13.7109375" bestFit="1" customWidth="1"/>
    <col min="6681" max="6681" width="25.140625" bestFit="1" customWidth="1"/>
    <col min="6682" max="6682" width="15.140625" bestFit="1" customWidth="1"/>
    <col min="6683" max="6683" width="21" bestFit="1" customWidth="1"/>
    <col min="6914" max="6914" width="14" bestFit="1" customWidth="1"/>
    <col min="6915" max="6915" width="13.140625" customWidth="1"/>
    <col min="6916" max="6916" width="14.85546875" customWidth="1"/>
    <col min="6918" max="6918" width="15.140625" bestFit="1" customWidth="1"/>
    <col min="6919" max="6919" width="19.28515625" bestFit="1" customWidth="1"/>
    <col min="6920" max="6920" width="8.28515625" bestFit="1" customWidth="1"/>
    <col min="6921" max="6921" width="4.85546875" bestFit="1" customWidth="1"/>
    <col min="6922" max="6922" width="13.28515625" customWidth="1"/>
    <col min="6923" max="6923" width="9.7109375" customWidth="1"/>
    <col min="6924" max="6924" width="11.85546875" customWidth="1"/>
    <col min="6925" max="6925" width="12.5703125" bestFit="1" customWidth="1"/>
    <col min="6926" max="6926" width="19.28515625" bestFit="1" customWidth="1"/>
    <col min="6927" max="6927" width="8.28515625" bestFit="1" customWidth="1"/>
    <col min="6928" max="6928" width="4.85546875" bestFit="1" customWidth="1"/>
    <col min="6929" max="6929" width="12" customWidth="1"/>
    <col min="6930" max="6930" width="8.28515625" customWidth="1"/>
    <col min="6931" max="6931" width="11.140625" customWidth="1"/>
    <col min="6932" max="6933" width="11.7109375" bestFit="1" customWidth="1"/>
    <col min="6934" max="6934" width="17.28515625" bestFit="1" customWidth="1"/>
    <col min="6935" max="6935" width="17.28515625" customWidth="1"/>
    <col min="6936" max="6936" width="13.7109375" bestFit="1" customWidth="1"/>
    <col min="6937" max="6937" width="25.140625" bestFit="1" customWidth="1"/>
    <col min="6938" max="6938" width="15.140625" bestFit="1" customWidth="1"/>
    <col min="6939" max="6939" width="21" bestFit="1" customWidth="1"/>
    <col min="7170" max="7170" width="14" bestFit="1" customWidth="1"/>
    <col min="7171" max="7171" width="13.140625" customWidth="1"/>
    <col min="7172" max="7172" width="14.85546875" customWidth="1"/>
    <col min="7174" max="7174" width="15.140625" bestFit="1" customWidth="1"/>
    <col min="7175" max="7175" width="19.28515625" bestFit="1" customWidth="1"/>
    <col min="7176" max="7176" width="8.28515625" bestFit="1" customWidth="1"/>
    <col min="7177" max="7177" width="4.85546875" bestFit="1" customWidth="1"/>
    <col min="7178" max="7178" width="13.28515625" customWidth="1"/>
    <col min="7179" max="7179" width="9.7109375" customWidth="1"/>
    <col min="7180" max="7180" width="11.85546875" customWidth="1"/>
    <col min="7181" max="7181" width="12.5703125" bestFit="1" customWidth="1"/>
    <col min="7182" max="7182" width="19.28515625" bestFit="1" customWidth="1"/>
    <col min="7183" max="7183" width="8.28515625" bestFit="1" customWidth="1"/>
    <col min="7184" max="7184" width="4.85546875" bestFit="1" customWidth="1"/>
    <col min="7185" max="7185" width="12" customWidth="1"/>
    <col min="7186" max="7186" width="8.28515625" customWidth="1"/>
    <col min="7187" max="7187" width="11.140625" customWidth="1"/>
    <col min="7188" max="7189" width="11.7109375" bestFit="1" customWidth="1"/>
    <col min="7190" max="7190" width="17.28515625" bestFit="1" customWidth="1"/>
    <col min="7191" max="7191" width="17.28515625" customWidth="1"/>
    <col min="7192" max="7192" width="13.7109375" bestFit="1" customWidth="1"/>
    <col min="7193" max="7193" width="25.140625" bestFit="1" customWidth="1"/>
    <col min="7194" max="7194" width="15.140625" bestFit="1" customWidth="1"/>
    <col min="7195" max="7195" width="21" bestFit="1" customWidth="1"/>
    <col min="7426" max="7426" width="14" bestFit="1" customWidth="1"/>
    <col min="7427" max="7427" width="13.140625" customWidth="1"/>
    <col min="7428" max="7428" width="14.85546875" customWidth="1"/>
    <col min="7430" max="7430" width="15.140625" bestFit="1" customWidth="1"/>
    <col min="7431" max="7431" width="19.28515625" bestFit="1" customWidth="1"/>
    <col min="7432" max="7432" width="8.28515625" bestFit="1" customWidth="1"/>
    <col min="7433" max="7433" width="4.85546875" bestFit="1" customWidth="1"/>
    <col min="7434" max="7434" width="13.28515625" customWidth="1"/>
    <col min="7435" max="7435" width="9.7109375" customWidth="1"/>
    <col min="7436" max="7436" width="11.85546875" customWidth="1"/>
    <col min="7437" max="7437" width="12.5703125" bestFit="1" customWidth="1"/>
    <col min="7438" max="7438" width="19.28515625" bestFit="1" customWidth="1"/>
    <col min="7439" max="7439" width="8.28515625" bestFit="1" customWidth="1"/>
    <col min="7440" max="7440" width="4.85546875" bestFit="1" customWidth="1"/>
    <col min="7441" max="7441" width="12" customWidth="1"/>
    <col min="7442" max="7442" width="8.28515625" customWidth="1"/>
    <col min="7443" max="7443" width="11.140625" customWidth="1"/>
    <col min="7444" max="7445" width="11.7109375" bestFit="1" customWidth="1"/>
    <col min="7446" max="7446" width="17.28515625" bestFit="1" customWidth="1"/>
    <col min="7447" max="7447" width="17.28515625" customWidth="1"/>
    <col min="7448" max="7448" width="13.7109375" bestFit="1" customWidth="1"/>
    <col min="7449" max="7449" width="25.140625" bestFit="1" customWidth="1"/>
    <col min="7450" max="7450" width="15.140625" bestFit="1" customWidth="1"/>
    <col min="7451" max="7451" width="21" bestFit="1" customWidth="1"/>
    <col min="7682" max="7682" width="14" bestFit="1" customWidth="1"/>
    <col min="7683" max="7683" width="13.140625" customWidth="1"/>
    <col min="7684" max="7684" width="14.85546875" customWidth="1"/>
    <col min="7686" max="7686" width="15.140625" bestFit="1" customWidth="1"/>
    <col min="7687" max="7687" width="19.28515625" bestFit="1" customWidth="1"/>
    <col min="7688" max="7688" width="8.28515625" bestFit="1" customWidth="1"/>
    <col min="7689" max="7689" width="4.85546875" bestFit="1" customWidth="1"/>
    <col min="7690" max="7690" width="13.28515625" customWidth="1"/>
    <col min="7691" max="7691" width="9.7109375" customWidth="1"/>
    <col min="7692" max="7692" width="11.85546875" customWidth="1"/>
    <col min="7693" max="7693" width="12.5703125" bestFit="1" customWidth="1"/>
    <col min="7694" max="7694" width="19.28515625" bestFit="1" customWidth="1"/>
    <col min="7695" max="7695" width="8.28515625" bestFit="1" customWidth="1"/>
    <col min="7696" max="7696" width="4.85546875" bestFit="1" customWidth="1"/>
    <col min="7697" max="7697" width="12" customWidth="1"/>
    <col min="7698" max="7698" width="8.28515625" customWidth="1"/>
    <col min="7699" max="7699" width="11.140625" customWidth="1"/>
    <col min="7700" max="7701" width="11.7109375" bestFit="1" customWidth="1"/>
    <col min="7702" max="7702" width="17.28515625" bestFit="1" customWidth="1"/>
    <col min="7703" max="7703" width="17.28515625" customWidth="1"/>
    <col min="7704" max="7704" width="13.7109375" bestFit="1" customWidth="1"/>
    <col min="7705" max="7705" width="25.140625" bestFit="1" customWidth="1"/>
    <col min="7706" max="7706" width="15.140625" bestFit="1" customWidth="1"/>
    <col min="7707" max="7707" width="21" bestFit="1" customWidth="1"/>
    <col min="7938" max="7938" width="14" bestFit="1" customWidth="1"/>
    <col min="7939" max="7939" width="13.140625" customWidth="1"/>
    <col min="7940" max="7940" width="14.85546875" customWidth="1"/>
    <col min="7942" max="7942" width="15.140625" bestFit="1" customWidth="1"/>
    <col min="7943" max="7943" width="19.28515625" bestFit="1" customWidth="1"/>
    <col min="7944" max="7944" width="8.28515625" bestFit="1" customWidth="1"/>
    <col min="7945" max="7945" width="4.85546875" bestFit="1" customWidth="1"/>
    <col min="7946" max="7946" width="13.28515625" customWidth="1"/>
    <col min="7947" max="7947" width="9.7109375" customWidth="1"/>
    <col min="7948" max="7948" width="11.85546875" customWidth="1"/>
    <col min="7949" max="7949" width="12.5703125" bestFit="1" customWidth="1"/>
    <col min="7950" max="7950" width="19.28515625" bestFit="1" customWidth="1"/>
    <col min="7951" max="7951" width="8.28515625" bestFit="1" customWidth="1"/>
    <col min="7952" max="7952" width="4.85546875" bestFit="1" customWidth="1"/>
    <col min="7953" max="7953" width="12" customWidth="1"/>
    <col min="7954" max="7954" width="8.28515625" customWidth="1"/>
    <col min="7955" max="7955" width="11.140625" customWidth="1"/>
    <col min="7956" max="7957" width="11.7109375" bestFit="1" customWidth="1"/>
    <col min="7958" max="7958" width="17.28515625" bestFit="1" customWidth="1"/>
    <col min="7959" max="7959" width="17.28515625" customWidth="1"/>
    <col min="7960" max="7960" width="13.7109375" bestFit="1" customWidth="1"/>
    <col min="7961" max="7961" width="25.140625" bestFit="1" customWidth="1"/>
    <col min="7962" max="7962" width="15.140625" bestFit="1" customWidth="1"/>
    <col min="7963" max="7963" width="21" bestFit="1" customWidth="1"/>
    <col min="8194" max="8194" width="14" bestFit="1" customWidth="1"/>
    <col min="8195" max="8195" width="13.140625" customWidth="1"/>
    <col min="8196" max="8196" width="14.85546875" customWidth="1"/>
    <col min="8198" max="8198" width="15.140625" bestFit="1" customWidth="1"/>
    <col min="8199" max="8199" width="19.28515625" bestFit="1" customWidth="1"/>
    <col min="8200" max="8200" width="8.28515625" bestFit="1" customWidth="1"/>
    <col min="8201" max="8201" width="4.85546875" bestFit="1" customWidth="1"/>
    <col min="8202" max="8202" width="13.28515625" customWidth="1"/>
    <col min="8203" max="8203" width="9.7109375" customWidth="1"/>
    <col min="8204" max="8204" width="11.85546875" customWidth="1"/>
    <col min="8205" max="8205" width="12.5703125" bestFit="1" customWidth="1"/>
    <col min="8206" max="8206" width="19.28515625" bestFit="1" customWidth="1"/>
    <col min="8207" max="8207" width="8.28515625" bestFit="1" customWidth="1"/>
    <col min="8208" max="8208" width="4.85546875" bestFit="1" customWidth="1"/>
    <col min="8209" max="8209" width="12" customWidth="1"/>
    <col min="8210" max="8210" width="8.28515625" customWidth="1"/>
    <col min="8211" max="8211" width="11.140625" customWidth="1"/>
    <col min="8212" max="8213" width="11.7109375" bestFit="1" customWidth="1"/>
    <col min="8214" max="8214" width="17.28515625" bestFit="1" customWidth="1"/>
    <col min="8215" max="8215" width="17.28515625" customWidth="1"/>
    <col min="8216" max="8216" width="13.7109375" bestFit="1" customWidth="1"/>
    <col min="8217" max="8217" width="25.140625" bestFit="1" customWidth="1"/>
    <col min="8218" max="8218" width="15.140625" bestFit="1" customWidth="1"/>
    <col min="8219" max="8219" width="21" bestFit="1" customWidth="1"/>
    <col min="8450" max="8450" width="14" bestFit="1" customWidth="1"/>
    <col min="8451" max="8451" width="13.140625" customWidth="1"/>
    <col min="8452" max="8452" width="14.85546875" customWidth="1"/>
    <col min="8454" max="8454" width="15.140625" bestFit="1" customWidth="1"/>
    <col min="8455" max="8455" width="19.28515625" bestFit="1" customWidth="1"/>
    <col min="8456" max="8456" width="8.28515625" bestFit="1" customWidth="1"/>
    <col min="8457" max="8457" width="4.85546875" bestFit="1" customWidth="1"/>
    <col min="8458" max="8458" width="13.28515625" customWidth="1"/>
    <col min="8459" max="8459" width="9.7109375" customWidth="1"/>
    <col min="8460" max="8460" width="11.85546875" customWidth="1"/>
    <col min="8461" max="8461" width="12.5703125" bestFit="1" customWidth="1"/>
    <col min="8462" max="8462" width="19.28515625" bestFit="1" customWidth="1"/>
    <col min="8463" max="8463" width="8.28515625" bestFit="1" customWidth="1"/>
    <col min="8464" max="8464" width="4.85546875" bestFit="1" customWidth="1"/>
    <col min="8465" max="8465" width="12" customWidth="1"/>
    <col min="8466" max="8466" width="8.28515625" customWidth="1"/>
    <col min="8467" max="8467" width="11.140625" customWidth="1"/>
    <col min="8468" max="8469" width="11.7109375" bestFit="1" customWidth="1"/>
    <col min="8470" max="8470" width="17.28515625" bestFit="1" customWidth="1"/>
    <col min="8471" max="8471" width="17.28515625" customWidth="1"/>
    <col min="8472" max="8472" width="13.7109375" bestFit="1" customWidth="1"/>
    <col min="8473" max="8473" width="25.140625" bestFit="1" customWidth="1"/>
    <col min="8474" max="8474" width="15.140625" bestFit="1" customWidth="1"/>
    <col min="8475" max="8475" width="21" bestFit="1" customWidth="1"/>
    <col min="8706" max="8706" width="14" bestFit="1" customWidth="1"/>
    <col min="8707" max="8707" width="13.140625" customWidth="1"/>
    <col min="8708" max="8708" width="14.85546875" customWidth="1"/>
    <col min="8710" max="8710" width="15.140625" bestFit="1" customWidth="1"/>
    <col min="8711" max="8711" width="19.28515625" bestFit="1" customWidth="1"/>
    <col min="8712" max="8712" width="8.28515625" bestFit="1" customWidth="1"/>
    <col min="8713" max="8713" width="4.85546875" bestFit="1" customWidth="1"/>
    <col min="8714" max="8714" width="13.28515625" customWidth="1"/>
    <col min="8715" max="8715" width="9.7109375" customWidth="1"/>
    <col min="8716" max="8716" width="11.85546875" customWidth="1"/>
    <col min="8717" max="8717" width="12.5703125" bestFit="1" customWidth="1"/>
    <col min="8718" max="8718" width="19.28515625" bestFit="1" customWidth="1"/>
    <col min="8719" max="8719" width="8.28515625" bestFit="1" customWidth="1"/>
    <col min="8720" max="8720" width="4.85546875" bestFit="1" customWidth="1"/>
    <col min="8721" max="8721" width="12" customWidth="1"/>
    <col min="8722" max="8722" width="8.28515625" customWidth="1"/>
    <col min="8723" max="8723" width="11.140625" customWidth="1"/>
    <col min="8724" max="8725" width="11.7109375" bestFit="1" customWidth="1"/>
    <col min="8726" max="8726" width="17.28515625" bestFit="1" customWidth="1"/>
    <col min="8727" max="8727" width="17.28515625" customWidth="1"/>
    <col min="8728" max="8728" width="13.7109375" bestFit="1" customWidth="1"/>
    <col min="8729" max="8729" width="25.140625" bestFit="1" customWidth="1"/>
    <col min="8730" max="8730" width="15.140625" bestFit="1" customWidth="1"/>
    <col min="8731" max="8731" width="21" bestFit="1" customWidth="1"/>
    <col min="8962" max="8962" width="14" bestFit="1" customWidth="1"/>
    <col min="8963" max="8963" width="13.140625" customWidth="1"/>
    <col min="8964" max="8964" width="14.85546875" customWidth="1"/>
    <col min="8966" max="8966" width="15.140625" bestFit="1" customWidth="1"/>
    <col min="8967" max="8967" width="19.28515625" bestFit="1" customWidth="1"/>
    <col min="8968" max="8968" width="8.28515625" bestFit="1" customWidth="1"/>
    <col min="8969" max="8969" width="4.85546875" bestFit="1" customWidth="1"/>
    <col min="8970" max="8970" width="13.28515625" customWidth="1"/>
    <col min="8971" max="8971" width="9.7109375" customWidth="1"/>
    <col min="8972" max="8972" width="11.85546875" customWidth="1"/>
    <col min="8973" max="8973" width="12.5703125" bestFit="1" customWidth="1"/>
    <col min="8974" max="8974" width="19.28515625" bestFit="1" customWidth="1"/>
    <col min="8975" max="8975" width="8.28515625" bestFit="1" customWidth="1"/>
    <col min="8976" max="8976" width="4.85546875" bestFit="1" customWidth="1"/>
    <col min="8977" max="8977" width="12" customWidth="1"/>
    <col min="8978" max="8978" width="8.28515625" customWidth="1"/>
    <col min="8979" max="8979" width="11.140625" customWidth="1"/>
    <col min="8980" max="8981" width="11.7109375" bestFit="1" customWidth="1"/>
    <col min="8982" max="8982" width="17.28515625" bestFit="1" customWidth="1"/>
    <col min="8983" max="8983" width="17.28515625" customWidth="1"/>
    <col min="8984" max="8984" width="13.7109375" bestFit="1" customWidth="1"/>
    <col min="8985" max="8985" width="25.140625" bestFit="1" customWidth="1"/>
    <col min="8986" max="8986" width="15.140625" bestFit="1" customWidth="1"/>
    <col min="8987" max="8987" width="21" bestFit="1" customWidth="1"/>
    <col min="9218" max="9218" width="14" bestFit="1" customWidth="1"/>
    <col min="9219" max="9219" width="13.140625" customWidth="1"/>
    <col min="9220" max="9220" width="14.85546875" customWidth="1"/>
    <col min="9222" max="9222" width="15.140625" bestFit="1" customWidth="1"/>
    <col min="9223" max="9223" width="19.28515625" bestFit="1" customWidth="1"/>
    <col min="9224" max="9224" width="8.28515625" bestFit="1" customWidth="1"/>
    <col min="9225" max="9225" width="4.85546875" bestFit="1" customWidth="1"/>
    <col min="9226" max="9226" width="13.28515625" customWidth="1"/>
    <col min="9227" max="9227" width="9.7109375" customWidth="1"/>
    <col min="9228" max="9228" width="11.85546875" customWidth="1"/>
    <col min="9229" max="9229" width="12.5703125" bestFit="1" customWidth="1"/>
    <col min="9230" max="9230" width="19.28515625" bestFit="1" customWidth="1"/>
    <col min="9231" max="9231" width="8.28515625" bestFit="1" customWidth="1"/>
    <col min="9232" max="9232" width="4.85546875" bestFit="1" customWidth="1"/>
    <col min="9233" max="9233" width="12" customWidth="1"/>
    <col min="9234" max="9234" width="8.28515625" customWidth="1"/>
    <col min="9235" max="9235" width="11.140625" customWidth="1"/>
    <col min="9236" max="9237" width="11.7109375" bestFit="1" customWidth="1"/>
    <col min="9238" max="9238" width="17.28515625" bestFit="1" customWidth="1"/>
    <col min="9239" max="9239" width="17.28515625" customWidth="1"/>
    <col min="9240" max="9240" width="13.7109375" bestFit="1" customWidth="1"/>
    <col min="9241" max="9241" width="25.140625" bestFit="1" customWidth="1"/>
    <col min="9242" max="9242" width="15.140625" bestFit="1" customWidth="1"/>
    <col min="9243" max="9243" width="21" bestFit="1" customWidth="1"/>
    <col min="9474" max="9474" width="14" bestFit="1" customWidth="1"/>
    <col min="9475" max="9475" width="13.140625" customWidth="1"/>
    <col min="9476" max="9476" width="14.85546875" customWidth="1"/>
    <col min="9478" max="9478" width="15.140625" bestFit="1" customWidth="1"/>
    <col min="9479" max="9479" width="19.28515625" bestFit="1" customWidth="1"/>
    <col min="9480" max="9480" width="8.28515625" bestFit="1" customWidth="1"/>
    <col min="9481" max="9481" width="4.85546875" bestFit="1" customWidth="1"/>
    <col min="9482" max="9482" width="13.28515625" customWidth="1"/>
    <col min="9483" max="9483" width="9.7109375" customWidth="1"/>
    <col min="9484" max="9484" width="11.85546875" customWidth="1"/>
    <col min="9485" max="9485" width="12.5703125" bestFit="1" customWidth="1"/>
    <col min="9486" max="9486" width="19.28515625" bestFit="1" customWidth="1"/>
    <col min="9487" max="9487" width="8.28515625" bestFit="1" customWidth="1"/>
    <col min="9488" max="9488" width="4.85546875" bestFit="1" customWidth="1"/>
    <col min="9489" max="9489" width="12" customWidth="1"/>
    <col min="9490" max="9490" width="8.28515625" customWidth="1"/>
    <col min="9491" max="9491" width="11.140625" customWidth="1"/>
    <col min="9492" max="9493" width="11.7109375" bestFit="1" customWidth="1"/>
    <col min="9494" max="9494" width="17.28515625" bestFit="1" customWidth="1"/>
    <col min="9495" max="9495" width="17.28515625" customWidth="1"/>
    <col min="9496" max="9496" width="13.7109375" bestFit="1" customWidth="1"/>
    <col min="9497" max="9497" width="25.140625" bestFit="1" customWidth="1"/>
    <col min="9498" max="9498" width="15.140625" bestFit="1" customWidth="1"/>
    <col min="9499" max="9499" width="21" bestFit="1" customWidth="1"/>
    <col min="9730" max="9730" width="14" bestFit="1" customWidth="1"/>
    <col min="9731" max="9731" width="13.140625" customWidth="1"/>
    <col min="9732" max="9732" width="14.85546875" customWidth="1"/>
    <col min="9734" max="9734" width="15.140625" bestFit="1" customWidth="1"/>
    <col min="9735" max="9735" width="19.28515625" bestFit="1" customWidth="1"/>
    <col min="9736" max="9736" width="8.28515625" bestFit="1" customWidth="1"/>
    <col min="9737" max="9737" width="4.85546875" bestFit="1" customWidth="1"/>
    <col min="9738" max="9738" width="13.28515625" customWidth="1"/>
    <col min="9739" max="9739" width="9.7109375" customWidth="1"/>
    <col min="9740" max="9740" width="11.85546875" customWidth="1"/>
    <col min="9741" max="9741" width="12.5703125" bestFit="1" customWidth="1"/>
    <col min="9742" max="9742" width="19.28515625" bestFit="1" customWidth="1"/>
    <col min="9743" max="9743" width="8.28515625" bestFit="1" customWidth="1"/>
    <col min="9744" max="9744" width="4.85546875" bestFit="1" customWidth="1"/>
    <col min="9745" max="9745" width="12" customWidth="1"/>
    <col min="9746" max="9746" width="8.28515625" customWidth="1"/>
    <col min="9747" max="9747" width="11.140625" customWidth="1"/>
    <col min="9748" max="9749" width="11.7109375" bestFit="1" customWidth="1"/>
    <col min="9750" max="9750" width="17.28515625" bestFit="1" customWidth="1"/>
    <col min="9751" max="9751" width="17.28515625" customWidth="1"/>
    <col min="9752" max="9752" width="13.7109375" bestFit="1" customWidth="1"/>
    <col min="9753" max="9753" width="25.140625" bestFit="1" customWidth="1"/>
    <col min="9754" max="9754" width="15.140625" bestFit="1" customWidth="1"/>
    <col min="9755" max="9755" width="21" bestFit="1" customWidth="1"/>
    <col min="9986" max="9986" width="14" bestFit="1" customWidth="1"/>
    <col min="9987" max="9987" width="13.140625" customWidth="1"/>
    <col min="9988" max="9988" width="14.85546875" customWidth="1"/>
    <col min="9990" max="9990" width="15.140625" bestFit="1" customWidth="1"/>
    <col min="9991" max="9991" width="19.28515625" bestFit="1" customWidth="1"/>
    <col min="9992" max="9992" width="8.28515625" bestFit="1" customWidth="1"/>
    <col min="9993" max="9993" width="4.85546875" bestFit="1" customWidth="1"/>
    <col min="9994" max="9994" width="13.28515625" customWidth="1"/>
    <col min="9995" max="9995" width="9.7109375" customWidth="1"/>
    <col min="9996" max="9996" width="11.85546875" customWidth="1"/>
    <col min="9997" max="9997" width="12.5703125" bestFit="1" customWidth="1"/>
    <col min="9998" max="9998" width="19.28515625" bestFit="1" customWidth="1"/>
    <col min="9999" max="9999" width="8.28515625" bestFit="1" customWidth="1"/>
    <col min="10000" max="10000" width="4.85546875" bestFit="1" customWidth="1"/>
    <col min="10001" max="10001" width="12" customWidth="1"/>
    <col min="10002" max="10002" width="8.28515625" customWidth="1"/>
    <col min="10003" max="10003" width="11.140625" customWidth="1"/>
    <col min="10004" max="10005" width="11.7109375" bestFit="1" customWidth="1"/>
    <col min="10006" max="10006" width="17.28515625" bestFit="1" customWidth="1"/>
    <col min="10007" max="10007" width="17.28515625" customWidth="1"/>
    <col min="10008" max="10008" width="13.7109375" bestFit="1" customWidth="1"/>
    <col min="10009" max="10009" width="25.140625" bestFit="1" customWidth="1"/>
    <col min="10010" max="10010" width="15.140625" bestFit="1" customWidth="1"/>
    <col min="10011" max="10011" width="21" bestFit="1" customWidth="1"/>
    <col min="10242" max="10242" width="14" bestFit="1" customWidth="1"/>
    <col min="10243" max="10243" width="13.140625" customWidth="1"/>
    <col min="10244" max="10244" width="14.85546875" customWidth="1"/>
    <col min="10246" max="10246" width="15.140625" bestFit="1" customWidth="1"/>
    <col min="10247" max="10247" width="19.28515625" bestFit="1" customWidth="1"/>
    <col min="10248" max="10248" width="8.28515625" bestFit="1" customWidth="1"/>
    <col min="10249" max="10249" width="4.85546875" bestFit="1" customWidth="1"/>
    <col min="10250" max="10250" width="13.28515625" customWidth="1"/>
    <col min="10251" max="10251" width="9.7109375" customWidth="1"/>
    <col min="10252" max="10252" width="11.85546875" customWidth="1"/>
    <col min="10253" max="10253" width="12.5703125" bestFit="1" customWidth="1"/>
    <col min="10254" max="10254" width="19.28515625" bestFit="1" customWidth="1"/>
    <col min="10255" max="10255" width="8.28515625" bestFit="1" customWidth="1"/>
    <col min="10256" max="10256" width="4.85546875" bestFit="1" customWidth="1"/>
    <col min="10257" max="10257" width="12" customWidth="1"/>
    <col min="10258" max="10258" width="8.28515625" customWidth="1"/>
    <col min="10259" max="10259" width="11.140625" customWidth="1"/>
    <col min="10260" max="10261" width="11.7109375" bestFit="1" customWidth="1"/>
    <col min="10262" max="10262" width="17.28515625" bestFit="1" customWidth="1"/>
    <col min="10263" max="10263" width="17.28515625" customWidth="1"/>
    <col min="10264" max="10264" width="13.7109375" bestFit="1" customWidth="1"/>
    <col min="10265" max="10265" width="25.140625" bestFit="1" customWidth="1"/>
    <col min="10266" max="10266" width="15.140625" bestFit="1" customWidth="1"/>
    <col min="10267" max="10267" width="21" bestFit="1" customWidth="1"/>
    <col min="10498" max="10498" width="14" bestFit="1" customWidth="1"/>
    <col min="10499" max="10499" width="13.140625" customWidth="1"/>
    <col min="10500" max="10500" width="14.85546875" customWidth="1"/>
    <col min="10502" max="10502" width="15.140625" bestFit="1" customWidth="1"/>
    <col min="10503" max="10503" width="19.28515625" bestFit="1" customWidth="1"/>
    <col min="10504" max="10504" width="8.28515625" bestFit="1" customWidth="1"/>
    <col min="10505" max="10505" width="4.85546875" bestFit="1" customWidth="1"/>
    <col min="10506" max="10506" width="13.28515625" customWidth="1"/>
    <col min="10507" max="10507" width="9.7109375" customWidth="1"/>
    <col min="10508" max="10508" width="11.85546875" customWidth="1"/>
    <col min="10509" max="10509" width="12.5703125" bestFit="1" customWidth="1"/>
    <col min="10510" max="10510" width="19.28515625" bestFit="1" customWidth="1"/>
    <col min="10511" max="10511" width="8.28515625" bestFit="1" customWidth="1"/>
    <col min="10512" max="10512" width="4.85546875" bestFit="1" customWidth="1"/>
    <col min="10513" max="10513" width="12" customWidth="1"/>
    <col min="10514" max="10514" width="8.28515625" customWidth="1"/>
    <col min="10515" max="10515" width="11.140625" customWidth="1"/>
    <col min="10516" max="10517" width="11.7109375" bestFit="1" customWidth="1"/>
    <col min="10518" max="10518" width="17.28515625" bestFit="1" customWidth="1"/>
    <col min="10519" max="10519" width="17.28515625" customWidth="1"/>
    <col min="10520" max="10520" width="13.7109375" bestFit="1" customWidth="1"/>
    <col min="10521" max="10521" width="25.140625" bestFit="1" customWidth="1"/>
    <col min="10522" max="10522" width="15.140625" bestFit="1" customWidth="1"/>
    <col min="10523" max="10523" width="21" bestFit="1" customWidth="1"/>
    <col min="10754" max="10754" width="14" bestFit="1" customWidth="1"/>
    <col min="10755" max="10755" width="13.140625" customWidth="1"/>
    <col min="10756" max="10756" width="14.85546875" customWidth="1"/>
    <col min="10758" max="10758" width="15.140625" bestFit="1" customWidth="1"/>
    <col min="10759" max="10759" width="19.28515625" bestFit="1" customWidth="1"/>
    <col min="10760" max="10760" width="8.28515625" bestFit="1" customWidth="1"/>
    <col min="10761" max="10761" width="4.85546875" bestFit="1" customWidth="1"/>
    <col min="10762" max="10762" width="13.28515625" customWidth="1"/>
    <col min="10763" max="10763" width="9.7109375" customWidth="1"/>
    <col min="10764" max="10764" width="11.85546875" customWidth="1"/>
    <col min="10765" max="10765" width="12.5703125" bestFit="1" customWidth="1"/>
    <col min="10766" max="10766" width="19.28515625" bestFit="1" customWidth="1"/>
    <col min="10767" max="10767" width="8.28515625" bestFit="1" customWidth="1"/>
    <col min="10768" max="10768" width="4.85546875" bestFit="1" customWidth="1"/>
    <col min="10769" max="10769" width="12" customWidth="1"/>
    <col min="10770" max="10770" width="8.28515625" customWidth="1"/>
    <col min="10771" max="10771" width="11.140625" customWidth="1"/>
    <col min="10772" max="10773" width="11.7109375" bestFit="1" customWidth="1"/>
    <col min="10774" max="10774" width="17.28515625" bestFit="1" customWidth="1"/>
    <col min="10775" max="10775" width="17.28515625" customWidth="1"/>
    <col min="10776" max="10776" width="13.7109375" bestFit="1" customWidth="1"/>
    <col min="10777" max="10777" width="25.140625" bestFit="1" customWidth="1"/>
    <col min="10778" max="10778" width="15.140625" bestFit="1" customWidth="1"/>
    <col min="10779" max="10779" width="21" bestFit="1" customWidth="1"/>
    <col min="11010" max="11010" width="14" bestFit="1" customWidth="1"/>
    <col min="11011" max="11011" width="13.140625" customWidth="1"/>
    <col min="11012" max="11012" width="14.85546875" customWidth="1"/>
    <col min="11014" max="11014" width="15.140625" bestFit="1" customWidth="1"/>
    <col min="11015" max="11015" width="19.28515625" bestFit="1" customWidth="1"/>
    <col min="11016" max="11016" width="8.28515625" bestFit="1" customWidth="1"/>
    <col min="11017" max="11017" width="4.85546875" bestFit="1" customWidth="1"/>
    <col min="11018" max="11018" width="13.28515625" customWidth="1"/>
    <col min="11019" max="11019" width="9.7109375" customWidth="1"/>
    <col min="11020" max="11020" width="11.85546875" customWidth="1"/>
    <col min="11021" max="11021" width="12.5703125" bestFit="1" customWidth="1"/>
    <col min="11022" max="11022" width="19.28515625" bestFit="1" customWidth="1"/>
    <col min="11023" max="11023" width="8.28515625" bestFit="1" customWidth="1"/>
    <col min="11024" max="11024" width="4.85546875" bestFit="1" customWidth="1"/>
    <col min="11025" max="11025" width="12" customWidth="1"/>
    <col min="11026" max="11026" width="8.28515625" customWidth="1"/>
    <col min="11027" max="11027" width="11.140625" customWidth="1"/>
    <col min="11028" max="11029" width="11.7109375" bestFit="1" customWidth="1"/>
    <col min="11030" max="11030" width="17.28515625" bestFit="1" customWidth="1"/>
    <col min="11031" max="11031" width="17.28515625" customWidth="1"/>
    <col min="11032" max="11032" width="13.7109375" bestFit="1" customWidth="1"/>
    <col min="11033" max="11033" width="25.140625" bestFit="1" customWidth="1"/>
    <col min="11034" max="11034" width="15.140625" bestFit="1" customWidth="1"/>
    <col min="11035" max="11035" width="21" bestFit="1" customWidth="1"/>
    <col min="11266" max="11266" width="14" bestFit="1" customWidth="1"/>
    <col min="11267" max="11267" width="13.140625" customWidth="1"/>
    <col min="11268" max="11268" width="14.85546875" customWidth="1"/>
    <col min="11270" max="11270" width="15.140625" bestFit="1" customWidth="1"/>
    <col min="11271" max="11271" width="19.28515625" bestFit="1" customWidth="1"/>
    <col min="11272" max="11272" width="8.28515625" bestFit="1" customWidth="1"/>
    <col min="11273" max="11273" width="4.85546875" bestFit="1" customWidth="1"/>
    <col min="11274" max="11274" width="13.28515625" customWidth="1"/>
    <col min="11275" max="11275" width="9.7109375" customWidth="1"/>
    <col min="11276" max="11276" width="11.85546875" customWidth="1"/>
    <col min="11277" max="11277" width="12.5703125" bestFit="1" customWidth="1"/>
    <col min="11278" max="11278" width="19.28515625" bestFit="1" customWidth="1"/>
    <col min="11279" max="11279" width="8.28515625" bestFit="1" customWidth="1"/>
    <col min="11280" max="11280" width="4.85546875" bestFit="1" customWidth="1"/>
    <col min="11281" max="11281" width="12" customWidth="1"/>
    <col min="11282" max="11282" width="8.28515625" customWidth="1"/>
    <col min="11283" max="11283" width="11.140625" customWidth="1"/>
    <col min="11284" max="11285" width="11.7109375" bestFit="1" customWidth="1"/>
    <col min="11286" max="11286" width="17.28515625" bestFit="1" customWidth="1"/>
    <col min="11287" max="11287" width="17.28515625" customWidth="1"/>
    <col min="11288" max="11288" width="13.7109375" bestFit="1" customWidth="1"/>
    <col min="11289" max="11289" width="25.140625" bestFit="1" customWidth="1"/>
    <col min="11290" max="11290" width="15.140625" bestFit="1" customWidth="1"/>
    <col min="11291" max="11291" width="21" bestFit="1" customWidth="1"/>
    <col min="11522" max="11522" width="14" bestFit="1" customWidth="1"/>
    <col min="11523" max="11523" width="13.140625" customWidth="1"/>
    <col min="11524" max="11524" width="14.85546875" customWidth="1"/>
    <col min="11526" max="11526" width="15.140625" bestFit="1" customWidth="1"/>
    <col min="11527" max="11527" width="19.28515625" bestFit="1" customWidth="1"/>
    <col min="11528" max="11528" width="8.28515625" bestFit="1" customWidth="1"/>
    <col min="11529" max="11529" width="4.85546875" bestFit="1" customWidth="1"/>
    <col min="11530" max="11530" width="13.28515625" customWidth="1"/>
    <col min="11531" max="11531" width="9.7109375" customWidth="1"/>
    <col min="11532" max="11532" width="11.85546875" customWidth="1"/>
    <col min="11533" max="11533" width="12.5703125" bestFit="1" customWidth="1"/>
    <col min="11534" max="11534" width="19.28515625" bestFit="1" customWidth="1"/>
    <col min="11535" max="11535" width="8.28515625" bestFit="1" customWidth="1"/>
    <col min="11536" max="11536" width="4.85546875" bestFit="1" customWidth="1"/>
    <col min="11537" max="11537" width="12" customWidth="1"/>
    <col min="11538" max="11538" width="8.28515625" customWidth="1"/>
    <col min="11539" max="11539" width="11.140625" customWidth="1"/>
    <col min="11540" max="11541" width="11.7109375" bestFit="1" customWidth="1"/>
    <col min="11542" max="11542" width="17.28515625" bestFit="1" customWidth="1"/>
    <col min="11543" max="11543" width="17.28515625" customWidth="1"/>
    <col min="11544" max="11544" width="13.7109375" bestFit="1" customWidth="1"/>
    <col min="11545" max="11545" width="25.140625" bestFit="1" customWidth="1"/>
    <col min="11546" max="11546" width="15.140625" bestFit="1" customWidth="1"/>
    <col min="11547" max="11547" width="21" bestFit="1" customWidth="1"/>
    <col min="11778" max="11778" width="14" bestFit="1" customWidth="1"/>
    <col min="11779" max="11779" width="13.140625" customWidth="1"/>
    <col min="11780" max="11780" width="14.85546875" customWidth="1"/>
    <col min="11782" max="11782" width="15.140625" bestFit="1" customWidth="1"/>
    <col min="11783" max="11783" width="19.28515625" bestFit="1" customWidth="1"/>
    <col min="11784" max="11784" width="8.28515625" bestFit="1" customWidth="1"/>
    <col min="11785" max="11785" width="4.85546875" bestFit="1" customWidth="1"/>
    <col min="11786" max="11786" width="13.28515625" customWidth="1"/>
    <col min="11787" max="11787" width="9.7109375" customWidth="1"/>
    <col min="11788" max="11788" width="11.85546875" customWidth="1"/>
    <col min="11789" max="11789" width="12.5703125" bestFit="1" customWidth="1"/>
    <col min="11790" max="11790" width="19.28515625" bestFit="1" customWidth="1"/>
    <col min="11791" max="11791" width="8.28515625" bestFit="1" customWidth="1"/>
    <col min="11792" max="11792" width="4.85546875" bestFit="1" customWidth="1"/>
    <col min="11793" max="11793" width="12" customWidth="1"/>
    <col min="11794" max="11794" width="8.28515625" customWidth="1"/>
    <col min="11795" max="11795" width="11.140625" customWidth="1"/>
    <col min="11796" max="11797" width="11.7109375" bestFit="1" customWidth="1"/>
    <col min="11798" max="11798" width="17.28515625" bestFit="1" customWidth="1"/>
    <col min="11799" max="11799" width="17.28515625" customWidth="1"/>
    <col min="11800" max="11800" width="13.7109375" bestFit="1" customWidth="1"/>
    <col min="11801" max="11801" width="25.140625" bestFit="1" customWidth="1"/>
    <col min="11802" max="11802" width="15.140625" bestFit="1" customWidth="1"/>
    <col min="11803" max="11803" width="21" bestFit="1" customWidth="1"/>
    <col min="12034" max="12034" width="14" bestFit="1" customWidth="1"/>
    <col min="12035" max="12035" width="13.140625" customWidth="1"/>
    <col min="12036" max="12036" width="14.85546875" customWidth="1"/>
    <col min="12038" max="12038" width="15.140625" bestFit="1" customWidth="1"/>
    <col min="12039" max="12039" width="19.28515625" bestFit="1" customWidth="1"/>
    <col min="12040" max="12040" width="8.28515625" bestFit="1" customWidth="1"/>
    <col min="12041" max="12041" width="4.85546875" bestFit="1" customWidth="1"/>
    <col min="12042" max="12042" width="13.28515625" customWidth="1"/>
    <col min="12043" max="12043" width="9.7109375" customWidth="1"/>
    <col min="12044" max="12044" width="11.85546875" customWidth="1"/>
    <col min="12045" max="12045" width="12.5703125" bestFit="1" customWidth="1"/>
    <col min="12046" max="12046" width="19.28515625" bestFit="1" customWidth="1"/>
    <col min="12047" max="12047" width="8.28515625" bestFit="1" customWidth="1"/>
    <col min="12048" max="12048" width="4.85546875" bestFit="1" customWidth="1"/>
    <col min="12049" max="12049" width="12" customWidth="1"/>
    <col min="12050" max="12050" width="8.28515625" customWidth="1"/>
    <col min="12051" max="12051" width="11.140625" customWidth="1"/>
    <col min="12052" max="12053" width="11.7109375" bestFit="1" customWidth="1"/>
    <col min="12054" max="12054" width="17.28515625" bestFit="1" customWidth="1"/>
    <col min="12055" max="12055" width="17.28515625" customWidth="1"/>
    <col min="12056" max="12056" width="13.7109375" bestFit="1" customWidth="1"/>
    <col min="12057" max="12057" width="25.140625" bestFit="1" customWidth="1"/>
    <col min="12058" max="12058" width="15.140625" bestFit="1" customWidth="1"/>
    <col min="12059" max="12059" width="21" bestFit="1" customWidth="1"/>
    <col min="12290" max="12290" width="14" bestFit="1" customWidth="1"/>
    <col min="12291" max="12291" width="13.140625" customWidth="1"/>
    <col min="12292" max="12292" width="14.85546875" customWidth="1"/>
    <col min="12294" max="12294" width="15.140625" bestFit="1" customWidth="1"/>
    <col min="12295" max="12295" width="19.28515625" bestFit="1" customWidth="1"/>
    <col min="12296" max="12296" width="8.28515625" bestFit="1" customWidth="1"/>
    <col min="12297" max="12297" width="4.85546875" bestFit="1" customWidth="1"/>
    <col min="12298" max="12298" width="13.28515625" customWidth="1"/>
    <col min="12299" max="12299" width="9.7109375" customWidth="1"/>
    <col min="12300" max="12300" width="11.85546875" customWidth="1"/>
    <col min="12301" max="12301" width="12.5703125" bestFit="1" customWidth="1"/>
    <col min="12302" max="12302" width="19.28515625" bestFit="1" customWidth="1"/>
    <col min="12303" max="12303" width="8.28515625" bestFit="1" customWidth="1"/>
    <col min="12304" max="12304" width="4.85546875" bestFit="1" customWidth="1"/>
    <col min="12305" max="12305" width="12" customWidth="1"/>
    <col min="12306" max="12306" width="8.28515625" customWidth="1"/>
    <col min="12307" max="12307" width="11.140625" customWidth="1"/>
    <col min="12308" max="12309" width="11.7109375" bestFit="1" customWidth="1"/>
    <col min="12310" max="12310" width="17.28515625" bestFit="1" customWidth="1"/>
    <col min="12311" max="12311" width="17.28515625" customWidth="1"/>
    <col min="12312" max="12312" width="13.7109375" bestFit="1" customWidth="1"/>
    <col min="12313" max="12313" width="25.140625" bestFit="1" customWidth="1"/>
    <col min="12314" max="12314" width="15.140625" bestFit="1" customWidth="1"/>
    <col min="12315" max="12315" width="21" bestFit="1" customWidth="1"/>
    <col min="12546" max="12546" width="14" bestFit="1" customWidth="1"/>
    <col min="12547" max="12547" width="13.140625" customWidth="1"/>
    <col min="12548" max="12548" width="14.85546875" customWidth="1"/>
    <col min="12550" max="12550" width="15.140625" bestFit="1" customWidth="1"/>
    <col min="12551" max="12551" width="19.28515625" bestFit="1" customWidth="1"/>
    <col min="12552" max="12552" width="8.28515625" bestFit="1" customWidth="1"/>
    <col min="12553" max="12553" width="4.85546875" bestFit="1" customWidth="1"/>
    <col min="12554" max="12554" width="13.28515625" customWidth="1"/>
    <col min="12555" max="12555" width="9.7109375" customWidth="1"/>
    <col min="12556" max="12556" width="11.85546875" customWidth="1"/>
    <col min="12557" max="12557" width="12.5703125" bestFit="1" customWidth="1"/>
    <col min="12558" max="12558" width="19.28515625" bestFit="1" customWidth="1"/>
    <col min="12559" max="12559" width="8.28515625" bestFit="1" customWidth="1"/>
    <col min="12560" max="12560" width="4.85546875" bestFit="1" customWidth="1"/>
    <col min="12561" max="12561" width="12" customWidth="1"/>
    <col min="12562" max="12562" width="8.28515625" customWidth="1"/>
    <col min="12563" max="12563" width="11.140625" customWidth="1"/>
    <col min="12564" max="12565" width="11.7109375" bestFit="1" customWidth="1"/>
    <col min="12566" max="12566" width="17.28515625" bestFit="1" customWidth="1"/>
    <col min="12567" max="12567" width="17.28515625" customWidth="1"/>
    <col min="12568" max="12568" width="13.7109375" bestFit="1" customWidth="1"/>
    <col min="12569" max="12569" width="25.140625" bestFit="1" customWidth="1"/>
    <col min="12570" max="12570" width="15.140625" bestFit="1" customWidth="1"/>
    <col min="12571" max="12571" width="21" bestFit="1" customWidth="1"/>
    <col min="12802" max="12802" width="14" bestFit="1" customWidth="1"/>
    <col min="12803" max="12803" width="13.140625" customWidth="1"/>
    <col min="12804" max="12804" width="14.85546875" customWidth="1"/>
    <col min="12806" max="12806" width="15.140625" bestFit="1" customWidth="1"/>
    <col min="12807" max="12807" width="19.28515625" bestFit="1" customWidth="1"/>
    <col min="12808" max="12808" width="8.28515625" bestFit="1" customWidth="1"/>
    <col min="12809" max="12809" width="4.85546875" bestFit="1" customWidth="1"/>
    <col min="12810" max="12810" width="13.28515625" customWidth="1"/>
    <col min="12811" max="12811" width="9.7109375" customWidth="1"/>
    <col min="12812" max="12812" width="11.85546875" customWidth="1"/>
    <col min="12813" max="12813" width="12.5703125" bestFit="1" customWidth="1"/>
    <col min="12814" max="12814" width="19.28515625" bestFit="1" customWidth="1"/>
    <col min="12815" max="12815" width="8.28515625" bestFit="1" customWidth="1"/>
    <col min="12816" max="12816" width="4.85546875" bestFit="1" customWidth="1"/>
    <col min="12817" max="12817" width="12" customWidth="1"/>
    <col min="12818" max="12818" width="8.28515625" customWidth="1"/>
    <col min="12819" max="12819" width="11.140625" customWidth="1"/>
    <col min="12820" max="12821" width="11.7109375" bestFit="1" customWidth="1"/>
    <col min="12822" max="12822" width="17.28515625" bestFit="1" customWidth="1"/>
    <col min="12823" max="12823" width="17.28515625" customWidth="1"/>
    <col min="12824" max="12824" width="13.7109375" bestFit="1" customWidth="1"/>
    <col min="12825" max="12825" width="25.140625" bestFit="1" customWidth="1"/>
    <col min="12826" max="12826" width="15.140625" bestFit="1" customWidth="1"/>
    <col min="12827" max="12827" width="21" bestFit="1" customWidth="1"/>
    <col min="13058" max="13058" width="14" bestFit="1" customWidth="1"/>
    <col min="13059" max="13059" width="13.140625" customWidth="1"/>
    <col min="13060" max="13060" width="14.85546875" customWidth="1"/>
    <col min="13062" max="13062" width="15.140625" bestFit="1" customWidth="1"/>
    <col min="13063" max="13063" width="19.28515625" bestFit="1" customWidth="1"/>
    <col min="13064" max="13064" width="8.28515625" bestFit="1" customWidth="1"/>
    <col min="13065" max="13065" width="4.85546875" bestFit="1" customWidth="1"/>
    <col min="13066" max="13066" width="13.28515625" customWidth="1"/>
    <col min="13067" max="13067" width="9.7109375" customWidth="1"/>
    <col min="13068" max="13068" width="11.85546875" customWidth="1"/>
    <col min="13069" max="13069" width="12.5703125" bestFit="1" customWidth="1"/>
    <col min="13070" max="13070" width="19.28515625" bestFit="1" customWidth="1"/>
    <col min="13071" max="13071" width="8.28515625" bestFit="1" customWidth="1"/>
    <col min="13072" max="13072" width="4.85546875" bestFit="1" customWidth="1"/>
    <col min="13073" max="13073" width="12" customWidth="1"/>
    <col min="13074" max="13074" width="8.28515625" customWidth="1"/>
    <col min="13075" max="13075" width="11.140625" customWidth="1"/>
    <col min="13076" max="13077" width="11.7109375" bestFit="1" customWidth="1"/>
    <col min="13078" max="13078" width="17.28515625" bestFit="1" customWidth="1"/>
    <col min="13079" max="13079" width="17.28515625" customWidth="1"/>
    <col min="13080" max="13080" width="13.7109375" bestFit="1" customWidth="1"/>
    <col min="13081" max="13081" width="25.140625" bestFit="1" customWidth="1"/>
    <col min="13082" max="13082" width="15.140625" bestFit="1" customWidth="1"/>
    <col min="13083" max="13083" width="21" bestFit="1" customWidth="1"/>
    <col min="13314" max="13314" width="14" bestFit="1" customWidth="1"/>
    <col min="13315" max="13315" width="13.140625" customWidth="1"/>
    <col min="13316" max="13316" width="14.85546875" customWidth="1"/>
    <col min="13318" max="13318" width="15.140625" bestFit="1" customWidth="1"/>
    <col min="13319" max="13319" width="19.28515625" bestFit="1" customWidth="1"/>
    <col min="13320" max="13320" width="8.28515625" bestFit="1" customWidth="1"/>
    <col min="13321" max="13321" width="4.85546875" bestFit="1" customWidth="1"/>
    <col min="13322" max="13322" width="13.28515625" customWidth="1"/>
    <col min="13323" max="13323" width="9.7109375" customWidth="1"/>
    <col min="13324" max="13324" width="11.85546875" customWidth="1"/>
    <col min="13325" max="13325" width="12.5703125" bestFit="1" customWidth="1"/>
    <col min="13326" max="13326" width="19.28515625" bestFit="1" customWidth="1"/>
    <col min="13327" max="13327" width="8.28515625" bestFit="1" customWidth="1"/>
    <col min="13328" max="13328" width="4.85546875" bestFit="1" customWidth="1"/>
    <col min="13329" max="13329" width="12" customWidth="1"/>
    <col min="13330" max="13330" width="8.28515625" customWidth="1"/>
    <col min="13331" max="13331" width="11.140625" customWidth="1"/>
    <col min="13332" max="13333" width="11.7109375" bestFit="1" customWidth="1"/>
    <col min="13334" max="13334" width="17.28515625" bestFit="1" customWidth="1"/>
    <col min="13335" max="13335" width="17.28515625" customWidth="1"/>
    <col min="13336" max="13336" width="13.7109375" bestFit="1" customWidth="1"/>
    <col min="13337" max="13337" width="25.140625" bestFit="1" customWidth="1"/>
    <col min="13338" max="13338" width="15.140625" bestFit="1" customWidth="1"/>
    <col min="13339" max="13339" width="21" bestFit="1" customWidth="1"/>
    <col min="13570" max="13570" width="14" bestFit="1" customWidth="1"/>
    <col min="13571" max="13571" width="13.140625" customWidth="1"/>
    <col min="13572" max="13572" width="14.85546875" customWidth="1"/>
    <col min="13574" max="13574" width="15.140625" bestFit="1" customWidth="1"/>
    <col min="13575" max="13575" width="19.28515625" bestFit="1" customWidth="1"/>
    <col min="13576" max="13576" width="8.28515625" bestFit="1" customWidth="1"/>
    <col min="13577" max="13577" width="4.85546875" bestFit="1" customWidth="1"/>
    <col min="13578" max="13578" width="13.28515625" customWidth="1"/>
    <col min="13579" max="13579" width="9.7109375" customWidth="1"/>
    <col min="13580" max="13580" width="11.85546875" customWidth="1"/>
    <col min="13581" max="13581" width="12.5703125" bestFit="1" customWidth="1"/>
    <col min="13582" max="13582" width="19.28515625" bestFit="1" customWidth="1"/>
    <col min="13583" max="13583" width="8.28515625" bestFit="1" customWidth="1"/>
    <col min="13584" max="13584" width="4.85546875" bestFit="1" customWidth="1"/>
    <col min="13585" max="13585" width="12" customWidth="1"/>
    <col min="13586" max="13586" width="8.28515625" customWidth="1"/>
    <col min="13587" max="13587" width="11.140625" customWidth="1"/>
    <col min="13588" max="13589" width="11.7109375" bestFit="1" customWidth="1"/>
    <col min="13590" max="13590" width="17.28515625" bestFit="1" customWidth="1"/>
    <col min="13591" max="13591" width="17.28515625" customWidth="1"/>
    <col min="13592" max="13592" width="13.7109375" bestFit="1" customWidth="1"/>
    <col min="13593" max="13593" width="25.140625" bestFit="1" customWidth="1"/>
    <col min="13594" max="13594" width="15.140625" bestFit="1" customWidth="1"/>
    <col min="13595" max="13595" width="21" bestFit="1" customWidth="1"/>
    <col min="13826" max="13826" width="14" bestFit="1" customWidth="1"/>
    <col min="13827" max="13827" width="13.140625" customWidth="1"/>
    <col min="13828" max="13828" width="14.85546875" customWidth="1"/>
    <col min="13830" max="13830" width="15.140625" bestFit="1" customWidth="1"/>
    <col min="13831" max="13831" width="19.28515625" bestFit="1" customWidth="1"/>
    <col min="13832" max="13832" width="8.28515625" bestFit="1" customWidth="1"/>
    <col min="13833" max="13833" width="4.85546875" bestFit="1" customWidth="1"/>
    <col min="13834" max="13834" width="13.28515625" customWidth="1"/>
    <col min="13835" max="13835" width="9.7109375" customWidth="1"/>
    <col min="13836" max="13836" width="11.85546875" customWidth="1"/>
    <col min="13837" max="13837" width="12.5703125" bestFit="1" customWidth="1"/>
    <col min="13838" max="13838" width="19.28515625" bestFit="1" customWidth="1"/>
    <col min="13839" max="13839" width="8.28515625" bestFit="1" customWidth="1"/>
    <col min="13840" max="13840" width="4.85546875" bestFit="1" customWidth="1"/>
    <col min="13841" max="13841" width="12" customWidth="1"/>
    <col min="13842" max="13842" width="8.28515625" customWidth="1"/>
    <col min="13843" max="13843" width="11.140625" customWidth="1"/>
    <col min="13844" max="13845" width="11.7109375" bestFit="1" customWidth="1"/>
    <col min="13846" max="13846" width="17.28515625" bestFit="1" customWidth="1"/>
    <col min="13847" max="13847" width="17.28515625" customWidth="1"/>
    <col min="13848" max="13848" width="13.7109375" bestFit="1" customWidth="1"/>
    <col min="13849" max="13849" width="25.140625" bestFit="1" customWidth="1"/>
    <col min="13850" max="13850" width="15.140625" bestFit="1" customWidth="1"/>
    <col min="13851" max="13851" width="21" bestFit="1" customWidth="1"/>
    <col min="14082" max="14082" width="14" bestFit="1" customWidth="1"/>
    <col min="14083" max="14083" width="13.140625" customWidth="1"/>
    <col min="14084" max="14084" width="14.85546875" customWidth="1"/>
    <col min="14086" max="14086" width="15.140625" bestFit="1" customWidth="1"/>
    <col min="14087" max="14087" width="19.28515625" bestFit="1" customWidth="1"/>
    <col min="14088" max="14088" width="8.28515625" bestFit="1" customWidth="1"/>
    <col min="14089" max="14089" width="4.85546875" bestFit="1" customWidth="1"/>
    <col min="14090" max="14090" width="13.28515625" customWidth="1"/>
    <col min="14091" max="14091" width="9.7109375" customWidth="1"/>
    <col min="14092" max="14092" width="11.85546875" customWidth="1"/>
    <col min="14093" max="14093" width="12.5703125" bestFit="1" customWidth="1"/>
    <col min="14094" max="14094" width="19.28515625" bestFit="1" customWidth="1"/>
    <col min="14095" max="14095" width="8.28515625" bestFit="1" customWidth="1"/>
    <col min="14096" max="14096" width="4.85546875" bestFit="1" customWidth="1"/>
    <col min="14097" max="14097" width="12" customWidth="1"/>
    <col min="14098" max="14098" width="8.28515625" customWidth="1"/>
    <col min="14099" max="14099" width="11.140625" customWidth="1"/>
    <col min="14100" max="14101" width="11.7109375" bestFit="1" customWidth="1"/>
    <col min="14102" max="14102" width="17.28515625" bestFit="1" customWidth="1"/>
    <col min="14103" max="14103" width="17.28515625" customWidth="1"/>
    <col min="14104" max="14104" width="13.7109375" bestFit="1" customWidth="1"/>
    <col min="14105" max="14105" width="25.140625" bestFit="1" customWidth="1"/>
    <col min="14106" max="14106" width="15.140625" bestFit="1" customWidth="1"/>
    <col min="14107" max="14107" width="21" bestFit="1" customWidth="1"/>
    <col min="14338" max="14338" width="14" bestFit="1" customWidth="1"/>
    <col min="14339" max="14339" width="13.140625" customWidth="1"/>
    <col min="14340" max="14340" width="14.85546875" customWidth="1"/>
    <col min="14342" max="14342" width="15.140625" bestFit="1" customWidth="1"/>
    <col min="14343" max="14343" width="19.28515625" bestFit="1" customWidth="1"/>
    <col min="14344" max="14344" width="8.28515625" bestFit="1" customWidth="1"/>
    <col min="14345" max="14345" width="4.85546875" bestFit="1" customWidth="1"/>
    <col min="14346" max="14346" width="13.28515625" customWidth="1"/>
    <col min="14347" max="14347" width="9.7109375" customWidth="1"/>
    <col min="14348" max="14348" width="11.85546875" customWidth="1"/>
    <col min="14349" max="14349" width="12.5703125" bestFit="1" customWidth="1"/>
    <col min="14350" max="14350" width="19.28515625" bestFit="1" customWidth="1"/>
    <col min="14351" max="14351" width="8.28515625" bestFit="1" customWidth="1"/>
    <col min="14352" max="14352" width="4.85546875" bestFit="1" customWidth="1"/>
    <col min="14353" max="14353" width="12" customWidth="1"/>
    <col min="14354" max="14354" width="8.28515625" customWidth="1"/>
    <col min="14355" max="14355" width="11.140625" customWidth="1"/>
    <col min="14356" max="14357" width="11.7109375" bestFit="1" customWidth="1"/>
    <col min="14358" max="14358" width="17.28515625" bestFit="1" customWidth="1"/>
    <col min="14359" max="14359" width="17.28515625" customWidth="1"/>
    <col min="14360" max="14360" width="13.7109375" bestFit="1" customWidth="1"/>
    <col min="14361" max="14361" width="25.140625" bestFit="1" customWidth="1"/>
    <col min="14362" max="14362" width="15.140625" bestFit="1" customWidth="1"/>
    <col min="14363" max="14363" width="21" bestFit="1" customWidth="1"/>
    <col min="14594" max="14594" width="14" bestFit="1" customWidth="1"/>
    <col min="14595" max="14595" width="13.140625" customWidth="1"/>
    <col min="14596" max="14596" width="14.85546875" customWidth="1"/>
    <col min="14598" max="14598" width="15.140625" bestFit="1" customWidth="1"/>
    <col min="14599" max="14599" width="19.28515625" bestFit="1" customWidth="1"/>
    <col min="14600" max="14600" width="8.28515625" bestFit="1" customWidth="1"/>
    <col min="14601" max="14601" width="4.85546875" bestFit="1" customWidth="1"/>
    <col min="14602" max="14602" width="13.28515625" customWidth="1"/>
    <col min="14603" max="14603" width="9.7109375" customWidth="1"/>
    <col min="14604" max="14604" width="11.85546875" customWidth="1"/>
    <col min="14605" max="14605" width="12.5703125" bestFit="1" customWidth="1"/>
    <col min="14606" max="14606" width="19.28515625" bestFit="1" customWidth="1"/>
    <col min="14607" max="14607" width="8.28515625" bestFit="1" customWidth="1"/>
    <col min="14608" max="14608" width="4.85546875" bestFit="1" customWidth="1"/>
    <col min="14609" max="14609" width="12" customWidth="1"/>
    <col min="14610" max="14610" width="8.28515625" customWidth="1"/>
    <col min="14611" max="14611" width="11.140625" customWidth="1"/>
    <col min="14612" max="14613" width="11.7109375" bestFit="1" customWidth="1"/>
    <col min="14614" max="14614" width="17.28515625" bestFit="1" customWidth="1"/>
    <col min="14615" max="14615" width="17.28515625" customWidth="1"/>
    <col min="14616" max="14616" width="13.7109375" bestFit="1" customWidth="1"/>
    <col min="14617" max="14617" width="25.140625" bestFit="1" customWidth="1"/>
    <col min="14618" max="14618" width="15.140625" bestFit="1" customWidth="1"/>
    <col min="14619" max="14619" width="21" bestFit="1" customWidth="1"/>
    <col min="14850" max="14850" width="14" bestFit="1" customWidth="1"/>
    <col min="14851" max="14851" width="13.140625" customWidth="1"/>
    <col min="14852" max="14852" width="14.85546875" customWidth="1"/>
    <col min="14854" max="14854" width="15.140625" bestFit="1" customWidth="1"/>
    <col min="14855" max="14855" width="19.28515625" bestFit="1" customWidth="1"/>
    <col min="14856" max="14856" width="8.28515625" bestFit="1" customWidth="1"/>
    <col min="14857" max="14857" width="4.85546875" bestFit="1" customWidth="1"/>
    <col min="14858" max="14858" width="13.28515625" customWidth="1"/>
    <col min="14859" max="14859" width="9.7109375" customWidth="1"/>
    <col min="14860" max="14860" width="11.85546875" customWidth="1"/>
    <col min="14861" max="14861" width="12.5703125" bestFit="1" customWidth="1"/>
    <col min="14862" max="14862" width="19.28515625" bestFit="1" customWidth="1"/>
    <col min="14863" max="14863" width="8.28515625" bestFit="1" customWidth="1"/>
    <col min="14864" max="14864" width="4.85546875" bestFit="1" customWidth="1"/>
    <col min="14865" max="14865" width="12" customWidth="1"/>
    <col min="14866" max="14866" width="8.28515625" customWidth="1"/>
    <col min="14867" max="14867" width="11.140625" customWidth="1"/>
    <col min="14868" max="14869" width="11.7109375" bestFit="1" customWidth="1"/>
    <col min="14870" max="14870" width="17.28515625" bestFit="1" customWidth="1"/>
    <col min="14871" max="14871" width="17.28515625" customWidth="1"/>
    <col min="14872" max="14872" width="13.7109375" bestFit="1" customWidth="1"/>
    <col min="14873" max="14873" width="25.140625" bestFit="1" customWidth="1"/>
    <col min="14874" max="14874" width="15.140625" bestFit="1" customWidth="1"/>
    <col min="14875" max="14875" width="21" bestFit="1" customWidth="1"/>
    <col min="15106" max="15106" width="14" bestFit="1" customWidth="1"/>
    <col min="15107" max="15107" width="13.140625" customWidth="1"/>
    <col min="15108" max="15108" width="14.85546875" customWidth="1"/>
    <col min="15110" max="15110" width="15.140625" bestFit="1" customWidth="1"/>
    <col min="15111" max="15111" width="19.28515625" bestFit="1" customWidth="1"/>
    <col min="15112" max="15112" width="8.28515625" bestFit="1" customWidth="1"/>
    <col min="15113" max="15113" width="4.85546875" bestFit="1" customWidth="1"/>
    <col min="15114" max="15114" width="13.28515625" customWidth="1"/>
    <col min="15115" max="15115" width="9.7109375" customWidth="1"/>
    <col min="15116" max="15116" width="11.85546875" customWidth="1"/>
    <col min="15117" max="15117" width="12.5703125" bestFit="1" customWidth="1"/>
    <col min="15118" max="15118" width="19.28515625" bestFit="1" customWidth="1"/>
    <col min="15119" max="15119" width="8.28515625" bestFit="1" customWidth="1"/>
    <col min="15120" max="15120" width="4.85546875" bestFit="1" customWidth="1"/>
    <col min="15121" max="15121" width="12" customWidth="1"/>
    <col min="15122" max="15122" width="8.28515625" customWidth="1"/>
    <col min="15123" max="15123" width="11.140625" customWidth="1"/>
    <col min="15124" max="15125" width="11.7109375" bestFit="1" customWidth="1"/>
    <col min="15126" max="15126" width="17.28515625" bestFit="1" customWidth="1"/>
    <col min="15127" max="15127" width="17.28515625" customWidth="1"/>
    <col min="15128" max="15128" width="13.7109375" bestFit="1" customWidth="1"/>
    <col min="15129" max="15129" width="25.140625" bestFit="1" customWidth="1"/>
    <col min="15130" max="15130" width="15.140625" bestFit="1" customWidth="1"/>
    <col min="15131" max="15131" width="21" bestFit="1" customWidth="1"/>
    <col min="15362" max="15362" width="14" bestFit="1" customWidth="1"/>
    <col min="15363" max="15363" width="13.140625" customWidth="1"/>
    <col min="15364" max="15364" width="14.85546875" customWidth="1"/>
    <col min="15366" max="15366" width="15.140625" bestFit="1" customWidth="1"/>
    <col min="15367" max="15367" width="19.28515625" bestFit="1" customWidth="1"/>
    <col min="15368" max="15368" width="8.28515625" bestFit="1" customWidth="1"/>
    <col min="15369" max="15369" width="4.85546875" bestFit="1" customWidth="1"/>
    <col min="15370" max="15370" width="13.28515625" customWidth="1"/>
    <col min="15371" max="15371" width="9.7109375" customWidth="1"/>
    <col min="15372" max="15372" width="11.85546875" customWidth="1"/>
    <col min="15373" max="15373" width="12.5703125" bestFit="1" customWidth="1"/>
    <col min="15374" max="15374" width="19.28515625" bestFit="1" customWidth="1"/>
    <col min="15375" max="15375" width="8.28515625" bestFit="1" customWidth="1"/>
    <col min="15376" max="15376" width="4.85546875" bestFit="1" customWidth="1"/>
    <col min="15377" max="15377" width="12" customWidth="1"/>
    <col min="15378" max="15378" width="8.28515625" customWidth="1"/>
    <col min="15379" max="15379" width="11.140625" customWidth="1"/>
    <col min="15380" max="15381" width="11.7109375" bestFit="1" customWidth="1"/>
    <col min="15382" max="15382" width="17.28515625" bestFit="1" customWidth="1"/>
    <col min="15383" max="15383" width="17.28515625" customWidth="1"/>
    <col min="15384" max="15384" width="13.7109375" bestFit="1" customWidth="1"/>
    <col min="15385" max="15385" width="25.140625" bestFit="1" customWidth="1"/>
    <col min="15386" max="15386" width="15.140625" bestFit="1" customWidth="1"/>
    <col min="15387" max="15387" width="21" bestFit="1" customWidth="1"/>
    <col min="15618" max="15618" width="14" bestFit="1" customWidth="1"/>
    <col min="15619" max="15619" width="13.140625" customWidth="1"/>
    <col min="15620" max="15620" width="14.85546875" customWidth="1"/>
    <col min="15622" max="15622" width="15.140625" bestFit="1" customWidth="1"/>
    <col min="15623" max="15623" width="19.28515625" bestFit="1" customWidth="1"/>
    <col min="15624" max="15624" width="8.28515625" bestFit="1" customWidth="1"/>
    <col min="15625" max="15625" width="4.85546875" bestFit="1" customWidth="1"/>
    <col min="15626" max="15626" width="13.28515625" customWidth="1"/>
    <col min="15627" max="15627" width="9.7109375" customWidth="1"/>
    <col min="15628" max="15628" width="11.85546875" customWidth="1"/>
    <col min="15629" max="15629" width="12.5703125" bestFit="1" customWidth="1"/>
    <col min="15630" max="15630" width="19.28515625" bestFit="1" customWidth="1"/>
    <col min="15631" max="15631" width="8.28515625" bestFit="1" customWidth="1"/>
    <col min="15632" max="15632" width="4.85546875" bestFit="1" customWidth="1"/>
    <col min="15633" max="15633" width="12" customWidth="1"/>
    <col min="15634" max="15634" width="8.28515625" customWidth="1"/>
    <col min="15635" max="15635" width="11.140625" customWidth="1"/>
    <col min="15636" max="15637" width="11.7109375" bestFit="1" customWidth="1"/>
    <col min="15638" max="15638" width="17.28515625" bestFit="1" customWidth="1"/>
    <col min="15639" max="15639" width="17.28515625" customWidth="1"/>
    <col min="15640" max="15640" width="13.7109375" bestFit="1" customWidth="1"/>
    <col min="15641" max="15641" width="25.140625" bestFit="1" customWidth="1"/>
    <col min="15642" max="15642" width="15.140625" bestFit="1" customWidth="1"/>
    <col min="15643" max="15643" width="21" bestFit="1" customWidth="1"/>
    <col min="15874" max="15874" width="14" bestFit="1" customWidth="1"/>
    <col min="15875" max="15875" width="13.140625" customWidth="1"/>
    <col min="15876" max="15876" width="14.85546875" customWidth="1"/>
    <col min="15878" max="15878" width="15.140625" bestFit="1" customWidth="1"/>
    <col min="15879" max="15879" width="19.28515625" bestFit="1" customWidth="1"/>
    <col min="15880" max="15880" width="8.28515625" bestFit="1" customWidth="1"/>
    <col min="15881" max="15881" width="4.85546875" bestFit="1" customWidth="1"/>
    <col min="15882" max="15882" width="13.28515625" customWidth="1"/>
    <col min="15883" max="15883" width="9.7109375" customWidth="1"/>
    <col min="15884" max="15884" width="11.85546875" customWidth="1"/>
    <col min="15885" max="15885" width="12.5703125" bestFit="1" customWidth="1"/>
    <col min="15886" max="15886" width="19.28515625" bestFit="1" customWidth="1"/>
    <col min="15887" max="15887" width="8.28515625" bestFit="1" customWidth="1"/>
    <col min="15888" max="15888" width="4.85546875" bestFit="1" customWidth="1"/>
    <col min="15889" max="15889" width="12" customWidth="1"/>
    <col min="15890" max="15890" width="8.28515625" customWidth="1"/>
    <col min="15891" max="15891" width="11.140625" customWidth="1"/>
    <col min="15892" max="15893" width="11.7109375" bestFit="1" customWidth="1"/>
    <col min="15894" max="15894" width="17.28515625" bestFit="1" customWidth="1"/>
    <col min="15895" max="15895" width="17.28515625" customWidth="1"/>
    <col min="15896" max="15896" width="13.7109375" bestFit="1" customWidth="1"/>
    <col min="15897" max="15897" width="25.140625" bestFit="1" customWidth="1"/>
    <col min="15898" max="15898" width="15.140625" bestFit="1" customWidth="1"/>
    <col min="15899" max="15899" width="21" bestFit="1" customWidth="1"/>
    <col min="16130" max="16130" width="14" bestFit="1" customWidth="1"/>
    <col min="16131" max="16131" width="13.140625" customWidth="1"/>
    <col min="16132" max="16132" width="14.85546875" customWidth="1"/>
    <col min="16134" max="16134" width="15.140625" bestFit="1" customWidth="1"/>
    <col min="16135" max="16135" width="19.28515625" bestFit="1" customWidth="1"/>
    <col min="16136" max="16136" width="8.28515625" bestFit="1" customWidth="1"/>
    <col min="16137" max="16137" width="4.85546875" bestFit="1" customWidth="1"/>
    <col min="16138" max="16138" width="13.28515625" customWidth="1"/>
    <col min="16139" max="16139" width="9.7109375" customWidth="1"/>
    <col min="16140" max="16140" width="11.85546875" customWidth="1"/>
    <col min="16141" max="16141" width="12.5703125" bestFit="1" customWidth="1"/>
    <col min="16142" max="16142" width="19.28515625" bestFit="1" customWidth="1"/>
    <col min="16143" max="16143" width="8.28515625" bestFit="1" customWidth="1"/>
    <col min="16144" max="16144" width="4.85546875" bestFit="1" customWidth="1"/>
    <col min="16145" max="16145" width="12" customWidth="1"/>
    <col min="16146" max="16146" width="8.28515625" customWidth="1"/>
    <col min="16147" max="16147" width="11.140625" customWidth="1"/>
    <col min="16148" max="16149" width="11.7109375" bestFit="1" customWidth="1"/>
    <col min="16150" max="16150" width="17.28515625" bestFit="1" customWidth="1"/>
    <col min="16151" max="16151" width="17.28515625" customWidth="1"/>
    <col min="16152" max="16152" width="13.7109375" bestFit="1" customWidth="1"/>
    <col min="16153" max="16153" width="25.140625" bestFit="1" customWidth="1"/>
    <col min="16154" max="16154" width="15.140625" bestFit="1" customWidth="1"/>
    <col min="16155" max="16155" width="21" bestFit="1" customWidth="1"/>
  </cols>
  <sheetData>
    <row r="4" spans="1:27" x14ac:dyDescent="0.25">
      <c r="D4" s="246" t="s">
        <v>0</v>
      </c>
      <c r="E4" s="247"/>
      <c r="F4" s="247"/>
      <c r="G4" s="247"/>
      <c r="H4" s="247"/>
      <c r="I4" s="247"/>
      <c r="J4" s="247"/>
      <c r="K4" s="247"/>
      <c r="L4" s="247"/>
      <c r="M4" s="247"/>
      <c r="N4" s="247"/>
      <c r="O4" s="247"/>
      <c r="P4" s="247"/>
      <c r="Q4" s="247"/>
      <c r="R4" s="247"/>
      <c r="S4" s="248"/>
      <c r="T4" s="1"/>
      <c r="U4" s="1"/>
      <c r="V4" s="249" t="s">
        <v>1</v>
      </c>
      <c r="W4" s="249"/>
      <c r="X4" s="249"/>
      <c r="Y4" s="249"/>
      <c r="Z4" s="250" t="s">
        <v>2</v>
      </c>
      <c r="AA4" s="250"/>
    </row>
    <row r="5" spans="1:27" ht="30" customHeight="1" x14ac:dyDescent="0.25">
      <c r="D5" s="2" t="s">
        <v>3</v>
      </c>
      <c r="E5" s="2" t="s">
        <v>4</v>
      </c>
      <c r="F5" s="3" t="s">
        <v>5</v>
      </c>
      <c r="G5" s="3" t="s">
        <v>6</v>
      </c>
      <c r="H5" s="251" t="s">
        <v>7</v>
      </c>
      <c r="I5" s="252"/>
      <c r="J5" s="253" t="s">
        <v>8</v>
      </c>
      <c r="K5" s="254"/>
      <c r="L5" s="255"/>
      <c r="M5" s="4" t="s">
        <v>9</v>
      </c>
      <c r="N5" s="4" t="s">
        <v>10</v>
      </c>
      <c r="O5" s="256" t="s">
        <v>7</v>
      </c>
      <c r="P5" s="256"/>
      <c r="Q5" s="257" t="s">
        <v>11</v>
      </c>
      <c r="R5" s="258"/>
      <c r="S5" s="259"/>
      <c r="T5" s="1" t="s">
        <v>12</v>
      </c>
      <c r="U5" s="1" t="s">
        <v>13</v>
      </c>
      <c r="V5" s="5" t="s">
        <v>14</v>
      </c>
      <c r="W5" s="5" t="s">
        <v>14</v>
      </c>
      <c r="X5" s="5" t="s">
        <v>15</v>
      </c>
      <c r="Y5" s="5" t="s">
        <v>16</v>
      </c>
      <c r="Z5" s="6" t="s">
        <v>17</v>
      </c>
      <c r="AA5" s="6" t="s">
        <v>18</v>
      </c>
    </row>
    <row r="6" spans="1:27" ht="44.25" customHeight="1" thickBot="1" x14ac:dyDescent="0.3">
      <c r="B6" s="7" t="s">
        <v>19</v>
      </c>
      <c r="C6" s="7" t="s">
        <v>20</v>
      </c>
      <c r="D6" s="8" t="s">
        <v>21</v>
      </c>
      <c r="E6" s="8" t="s">
        <v>22</v>
      </c>
      <c r="F6" s="9" t="s">
        <v>23</v>
      </c>
      <c r="G6" s="9" t="s">
        <v>24</v>
      </c>
      <c r="H6" s="10" t="s">
        <v>4</v>
      </c>
      <c r="I6" s="11" t="s">
        <v>25</v>
      </c>
      <c r="J6" s="12" t="s">
        <v>26</v>
      </c>
      <c r="K6" s="12" t="s">
        <v>25</v>
      </c>
      <c r="L6" s="13" t="s">
        <v>27</v>
      </c>
      <c r="M6" s="9" t="s">
        <v>26</v>
      </c>
      <c r="N6" s="9" t="s">
        <v>25</v>
      </c>
      <c r="O6" s="11" t="s">
        <v>4</v>
      </c>
      <c r="P6" s="14" t="s">
        <v>25</v>
      </c>
      <c r="Q6" s="15" t="s">
        <v>26</v>
      </c>
      <c r="R6" s="15" t="s">
        <v>25</v>
      </c>
      <c r="S6" s="16" t="s">
        <v>28</v>
      </c>
      <c r="T6" s="17"/>
      <c r="U6" s="17"/>
      <c r="V6" s="18" t="s">
        <v>26</v>
      </c>
      <c r="W6" s="18" t="s">
        <v>29</v>
      </c>
      <c r="X6" s="18" t="s">
        <v>30</v>
      </c>
      <c r="Y6" s="18" t="s">
        <v>26</v>
      </c>
      <c r="Z6" s="19" t="s">
        <v>26</v>
      </c>
      <c r="AA6" s="20" t="s">
        <v>26</v>
      </c>
    </row>
    <row r="7" spans="1:27" x14ac:dyDescent="0.25">
      <c r="A7" s="21" t="s">
        <v>138</v>
      </c>
      <c r="B7" s="22">
        <v>100000</v>
      </c>
      <c r="C7" s="22">
        <f>SUM(DELPHINE!S3:S60)</f>
        <v>185</v>
      </c>
      <c r="D7" s="23">
        <f>SUM(PORTEFEUILLE_DELPHINE[PCR COMPTABLE €]+SUM(PORTEFEUILLE_DELPHINE[RA FAIT PAR LE
COMPTABLE €]+SUM(PORTEFEUILLE_DELPHINE[AGOA COMPTABLE €])+SUM(PORTEFEUILLE_DELPHINE[SAISIE PAR LE COMPTABLE €])+SUM(PORTEFEUILLE_DELPHINE[TRAVAUX 
DE REVISION €]+SUM(PORTEFEUILLE_DELPHINE[DECLARATION TVA COMPTABLE €]+SUM(PORTEFEUILLE_DELPHINE[MONTANT
RESPONSABLE RELATION CLIENT €])))))</f>
        <v>965</v>
      </c>
      <c r="E7" s="24">
        <f>'Agence Stats Visas'!B4</f>
        <v>3</v>
      </c>
      <c r="F7" s="25">
        <f>D7-M7</f>
        <v>730</v>
      </c>
      <c r="G7" s="26">
        <f>IF(D7=0,0,F7/D7)</f>
        <v>0.75647668393782386</v>
      </c>
      <c r="H7" s="27">
        <f>'Agence Stats Visas'!C4</f>
        <v>0</v>
      </c>
      <c r="I7" s="26">
        <f>H7/E7</f>
        <v>0</v>
      </c>
      <c r="J7" s="28">
        <f>SUMIFS(DELPHINE!T3:T60,DELPHINE!AZ3:AZ60,"x")-SUMIFS(DELPHINE!T3:T60,DELPHINE!E3:E60,DATE(Paramètres!A4,Paramètres!D15,Paramètres!C15),DELPHINE!AZ3:AZ60,"x")</f>
        <v>0</v>
      </c>
      <c r="K7" s="29">
        <f>IF(J7&lt;&gt;"",J7/F7,0)</f>
        <v>0</v>
      </c>
      <c r="L7" s="30">
        <f>(F7-J7)/Paramètres!H4</f>
        <v>7.3</v>
      </c>
      <c r="M7" s="25">
        <f>SUMIFS(DELPHINE!T3:T60,DELPHINE!E3:E60,DATE(Paramètres!A4,Paramètres!D15,Paramètres!C15))</f>
        <v>235</v>
      </c>
      <c r="N7" s="26">
        <f>IF(M7=0,0,M7/D7)</f>
        <v>0.24352331606217617</v>
      </c>
      <c r="O7" s="31">
        <f>'Agence Stats Visas'!D4</f>
        <v>3</v>
      </c>
      <c r="P7" s="32">
        <f>O7/E7</f>
        <v>1</v>
      </c>
      <c r="Q7" s="33">
        <f>SUMIFS(DELPHINE!T3:T60,DELPHINE!E3:E60,DATE(Paramètres!A4,Paramètres!D15,Paramètres!C15),DELPHINE!AZ3:AZ60,"x")</f>
        <v>150</v>
      </c>
      <c r="R7" s="34">
        <f>Q7/M7</f>
        <v>0.63829787234042556</v>
      </c>
      <c r="S7" s="35">
        <f>(M7-Q7)/Paramètres!H4</f>
        <v>0.85</v>
      </c>
      <c r="T7" s="36">
        <f>SUM(DELPHINE!AT3:AT60)</f>
        <v>0</v>
      </c>
      <c r="U7" s="36">
        <f>SUM(DELPHINE!AU3:AU60)</f>
        <v>7150</v>
      </c>
      <c r="V7" s="37">
        <f>B7-D7</f>
        <v>99035</v>
      </c>
      <c r="W7" s="38">
        <f>V7/100</f>
        <v>990.35</v>
      </c>
      <c r="X7" s="37">
        <v>90000</v>
      </c>
      <c r="Y7" s="37">
        <f>IF(V7&lt;X7,0,V7-X7)</f>
        <v>9035</v>
      </c>
      <c r="Z7" s="39">
        <f>D7+X7</f>
        <v>90965</v>
      </c>
      <c r="AA7" s="40">
        <f>IF(B7&gt;Z7,B7-Z7,Z7-B7)</f>
        <v>9035</v>
      </c>
    </row>
    <row r="8" spans="1:27" x14ac:dyDescent="0.25">
      <c r="A8" s="41" t="s">
        <v>139</v>
      </c>
      <c r="B8" s="42">
        <v>100000</v>
      </c>
      <c r="C8" s="42"/>
      <c r="D8" s="43"/>
      <c r="E8" s="44"/>
      <c r="F8" s="45"/>
      <c r="G8" s="45"/>
      <c r="H8" s="46"/>
      <c r="I8" s="46"/>
      <c r="J8" s="47"/>
      <c r="K8" s="48"/>
      <c r="L8" s="48"/>
      <c r="M8" s="45"/>
      <c r="N8" s="45"/>
      <c r="O8" s="45"/>
      <c r="P8" s="49"/>
      <c r="Q8" s="50"/>
      <c r="R8" s="51"/>
      <c r="S8" s="52"/>
      <c r="T8" s="53"/>
      <c r="U8" s="53"/>
      <c r="V8" s="54"/>
      <c r="W8" s="55"/>
      <c r="X8" s="54"/>
      <c r="Y8" s="54"/>
      <c r="Z8" s="56"/>
      <c r="AA8" s="57"/>
    </row>
    <row r="9" spans="1:27" x14ac:dyDescent="0.25">
      <c r="A9" s="41" t="s">
        <v>140</v>
      </c>
      <c r="B9" s="42">
        <v>100000</v>
      </c>
      <c r="C9" s="42"/>
      <c r="D9" s="43"/>
      <c r="E9" s="44"/>
      <c r="F9" s="45"/>
      <c r="G9" s="45"/>
      <c r="H9" s="46"/>
      <c r="I9" s="46"/>
      <c r="J9" s="47"/>
      <c r="K9" s="48"/>
      <c r="L9" s="48"/>
      <c r="M9" s="45"/>
      <c r="N9" s="45"/>
      <c r="O9" s="45"/>
      <c r="P9" s="49"/>
      <c r="Q9" s="50"/>
      <c r="R9" s="51"/>
      <c r="S9" s="52"/>
      <c r="T9" s="53"/>
      <c r="U9" s="53"/>
      <c r="V9" s="54"/>
      <c r="W9" s="55"/>
      <c r="X9" s="54"/>
      <c r="Y9" s="54"/>
      <c r="Z9" s="56"/>
      <c r="AA9" s="57"/>
    </row>
    <row r="10" spans="1:27" x14ac:dyDescent="0.25">
      <c r="A10" s="41" t="s">
        <v>141</v>
      </c>
      <c r="B10" s="42">
        <v>100000</v>
      </c>
      <c r="C10" s="42"/>
      <c r="D10" s="43"/>
      <c r="E10" s="44"/>
      <c r="F10" s="45"/>
      <c r="G10" s="45"/>
      <c r="H10" s="46"/>
      <c r="I10" s="46"/>
      <c r="J10" s="47"/>
      <c r="K10" s="48"/>
      <c r="L10" s="48"/>
      <c r="M10" s="45"/>
      <c r="N10" s="45"/>
      <c r="O10" s="45"/>
      <c r="P10" s="49"/>
      <c r="Q10" s="50"/>
      <c r="R10" s="51"/>
      <c r="S10" s="52"/>
      <c r="T10" s="53"/>
      <c r="U10" s="53"/>
      <c r="V10" s="54"/>
      <c r="W10" s="55"/>
      <c r="X10" s="54"/>
      <c r="Y10" s="54"/>
      <c r="Z10" s="56"/>
      <c r="AA10" s="57"/>
    </row>
    <row r="11" spans="1:27" x14ac:dyDescent="0.25">
      <c r="A11" s="41" t="s">
        <v>142</v>
      </c>
      <c r="B11" s="42">
        <v>100000</v>
      </c>
      <c r="C11" s="42"/>
      <c r="D11" s="43"/>
      <c r="E11" s="44"/>
      <c r="F11" s="45"/>
      <c r="G11" s="45"/>
      <c r="H11" s="46"/>
      <c r="I11" s="46"/>
      <c r="J11" s="47"/>
      <c r="K11" s="48"/>
      <c r="L11" s="48"/>
      <c r="M11" s="45"/>
      <c r="N11" s="45"/>
      <c r="O11" s="45"/>
      <c r="P11" s="49"/>
      <c r="Q11" s="50"/>
      <c r="R11" s="51"/>
      <c r="S11" s="52"/>
      <c r="T11" s="53"/>
      <c r="U11" s="53"/>
      <c r="V11" s="54"/>
      <c r="W11" s="55"/>
      <c r="X11" s="54"/>
      <c r="Y11" s="54"/>
      <c r="Z11" s="56"/>
      <c r="AA11" s="57"/>
    </row>
    <row r="12" spans="1:27" x14ac:dyDescent="0.25">
      <c r="A12" s="41" t="s">
        <v>143</v>
      </c>
      <c r="B12" s="42">
        <v>100000</v>
      </c>
      <c r="C12" s="42"/>
      <c r="D12" s="43"/>
      <c r="E12" s="44"/>
      <c r="F12" s="45"/>
      <c r="G12" s="45"/>
      <c r="H12" s="46"/>
      <c r="I12" s="46"/>
      <c r="J12" s="47"/>
      <c r="K12" s="48"/>
      <c r="L12" s="48"/>
      <c r="M12" s="45"/>
      <c r="N12" s="45"/>
      <c r="O12" s="45"/>
      <c r="P12" s="49"/>
      <c r="Q12" s="50"/>
      <c r="R12" s="51"/>
      <c r="S12" s="52"/>
      <c r="T12" s="53"/>
      <c r="U12" s="53"/>
      <c r="V12" s="54"/>
      <c r="W12" s="55"/>
      <c r="X12" s="54"/>
      <c r="Y12" s="54"/>
      <c r="Z12" s="56"/>
      <c r="AA12" s="57"/>
    </row>
    <row r="13" spans="1:27" x14ac:dyDescent="0.25">
      <c r="A13" s="41" t="s">
        <v>144</v>
      </c>
      <c r="B13" s="42">
        <v>100000</v>
      </c>
      <c r="C13" s="42"/>
      <c r="D13" s="43"/>
      <c r="E13" s="44"/>
      <c r="F13" s="45"/>
      <c r="G13" s="45"/>
      <c r="H13" s="46"/>
      <c r="I13" s="46"/>
      <c r="J13" s="47"/>
      <c r="K13" s="48"/>
      <c r="L13" s="48"/>
      <c r="M13" s="45"/>
      <c r="N13" s="45"/>
      <c r="O13" s="45"/>
      <c r="P13" s="49"/>
      <c r="Q13" s="50"/>
      <c r="R13" s="51"/>
      <c r="S13" s="52"/>
      <c r="T13" s="53"/>
      <c r="U13" s="53"/>
      <c r="V13" s="54"/>
      <c r="W13" s="55"/>
      <c r="X13" s="54"/>
      <c r="Y13" s="54"/>
      <c r="Z13" s="56"/>
      <c r="AA13" s="57"/>
    </row>
    <row r="14" spans="1:27" x14ac:dyDescent="0.25">
      <c r="A14" s="58"/>
      <c r="B14" s="59"/>
      <c r="C14" s="59"/>
      <c r="D14" s="60"/>
      <c r="E14" s="61"/>
      <c r="F14" s="62"/>
      <c r="G14" s="62"/>
      <c r="H14" s="63"/>
      <c r="I14" s="63"/>
      <c r="J14" s="64"/>
      <c r="M14" s="62"/>
      <c r="N14" s="62"/>
      <c r="O14" s="62"/>
    </row>
    <row r="15" spans="1:27" ht="15.75" thickBot="1" x14ac:dyDescent="0.3">
      <c r="A15" s="65"/>
      <c r="B15" s="66"/>
      <c r="C15" s="66"/>
      <c r="D15" s="67"/>
      <c r="E15" s="68"/>
      <c r="F15" s="69"/>
      <c r="G15" s="69"/>
      <c r="H15" s="70"/>
      <c r="I15" s="70"/>
      <c r="J15" s="71"/>
      <c r="K15" s="72"/>
      <c r="L15" s="72"/>
      <c r="M15" s="69"/>
      <c r="N15" s="69"/>
      <c r="O15" s="69"/>
      <c r="P15" s="73"/>
      <c r="Q15" s="74"/>
      <c r="R15" s="75"/>
      <c r="S15" s="76"/>
      <c r="T15" s="77"/>
      <c r="U15" s="77"/>
      <c r="V15" s="78"/>
      <c r="W15" s="79"/>
      <c r="X15" s="78"/>
      <c r="Y15" s="78"/>
      <c r="Z15" s="80"/>
      <c r="AA15" s="81"/>
    </row>
    <row r="16" spans="1:27" x14ac:dyDescent="0.25">
      <c r="A16" s="82" t="s">
        <v>32</v>
      </c>
      <c r="B16" s="82">
        <f>SUM(B7:B15)</f>
        <v>700000</v>
      </c>
      <c r="C16" s="82">
        <f>SUM(C7:C15)</f>
        <v>185</v>
      </c>
      <c r="D16" s="83">
        <f>SUM(D7:D15)</f>
        <v>965</v>
      </c>
      <c r="E16" s="83"/>
      <c r="F16" s="83">
        <f>SUM(F7:F15)</f>
        <v>730</v>
      </c>
      <c r="G16" s="83"/>
      <c r="H16" s="83"/>
      <c r="I16" s="83"/>
      <c r="J16" s="83"/>
      <c r="K16" s="83"/>
      <c r="L16" s="83"/>
      <c r="M16" s="83">
        <f>SUM(M7:M15)</f>
        <v>235</v>
      </c>
      <c r="N16" s="83"/>
      <c r="O16" s="83"/>
      <c r="P16" s="84"/>
      <c r="Q16" s="84"/>
      <c r="R16" s="84"/>
      <c r="S16" s="84"/>
      <c r="T16" s="85">
        <f>SUM(T7:T15)</f>
        <v>0</v>
      </c>
      <c r="U16" s="85">
        <f>SUM(U7:U15)</f>
        <v>7150</v>
      </c>
      <c r="V16" s="86">
        <f>SUM(V7:V15)</f>
        <v>99035</v>
      </c>
      <c r="W16" s="86"/>
      <c r="X16" s="86">
        <f>SUM(X7:X15)</f>
        <v>90000</v>
      </c>
      <c r="Y16" s="86">
        <f>SUM(Y7:Y15)</f>
        <v>9035</v>
      </c>
      <c r="Z16" s="87">
        <f>SUM(Z7:Z15)</f>
        <v>90965</v>
      </c>
      <c r="AA16" s="87">
        <f>SUM(AA7:AA15)</f>
        <v>9035</v>
      </c>
    </row>
    <row r="18" spans="25:30" x14ac:dyDescent="0.25">
      <c r="Y18" s="88"/>
      <c r="Z18" s="88"/>
      <c r="AA18" s="88"/>
      <c r="AB18" s="88"/>
      <c r="AC18" s="88"/>
      <c r="AD18" s="88"/>
    </row>
    <row r="19" spans="25:30" x14ac:dyDescent="0.25">
      <c r="Y19" s="88"/>
      <c r="Z19" s="88"/>
      <c r="AA19" s="88"/>
      <c r="AB19" s="88"/>
      <c r="AC19" s="88"/>
      <c r="AD19" s="88"/>
    </row>
    <row r="20" spans="25:30" x14ac:dyDescent="0.25">
      <c r="Y20" s="88"/>
      <c r="Z20" s="88"/>
      <c r="AA20" s="88"/>
      <c r="AB20" s="88"/>
      <c r="AC20" s="88"/>
      <c r="AD20" s="88"/>
    </row>
  </sheetData>
  <mergeCells count="7">
    <mergeCell ref="D4:S4"/>
    <mergeCell ref="V4:Y4"/>
    <mergeCell ref="Z4:AA4"/>
    <mergeCell ref="H5:I5"/>
    <mergeCell ref="J5:L5"/>
    <mergeCell ref="O5:P5"/>
    <mergeCell ref="Q5:S5"/>
  </mergeCells>
  <conditionalFormatting sqref="AA7">
    <cfRule type="expression" dxfId="577" priority="1" stopIfTrue="1">
      <formula>$B$7&gt;$Z$7</formula>
    </cfRule>
    <cfRule type="expression" dxfId="576" priority="2" stopIfTrue="1">
      <formula>AA7&gt;=0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AO17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C19" sqref="C19"/>
    </sheetView>
  </sheetViews>
  <sheetFormatPr baseColWidth="10" defaultRowHeight="15" x14ac:dyDescent="0.25"/>
  <cols>
    <col min="1" max="1" width="16.140625" style="89" customWidth="1"/>
    <col min="2" max="2" width="14.85546875" style="89" customWidth="1"/>
    <col min="3" max="3" width="10.42578125" style="89" bestFit="1" customWidth="1"/>
    <col min="4" max="4" width="11" style="89" bestFit="1" customWidth="1"/>
    <col min="5" max="5" width="14.5703125" style="89" bestFit="1" customWidth="1"/>
    <col min="6" max="6" width="11.5703125" style="89" bestFit="1" customWidth="1"/>
    <col min="7" max="7" width="13.140625" style="89" bestFit="1" customWidth="1"/>
    <col min="8" max="8" width="14.7109375" style="89" bestFit="1" customWidth="1"/>
    <col min="9" max="10" width="14.140625" style="89" bestFit="1" customWidth="1"/>
    <col min="11" max="11" width="18" style="89" bestFit="1" customWidth="1"/>
    <col min="12" max="12" width="17.140625" style="89" customWidth="1"/>
    <col min="13" max="13" width="6.7109375" style="89" customWidth="1"/>
    <col min="14" max="14" width="15" style="89" customWidth="1"/>
    <col min="15" max="15" width="7.7109375" style="89" customWidth="1"/>
    <col min="16" max="16" width="9.140625" style="89" customWidth="1"/>
    <col min="17" max="20" width="14.28515625" style="89" customWidth="1"/>
    <col min="21" max="21" width="15.5703125" style="89" customWidth="1"/>
    <col min="22" max="28" width="11.42578125" style="89"/>
    <col min="29" max="31" width="11.5703125" style="89" bestFit="1" customWidth="1"/>
    <col min="32" max="41" width="12.5703125" style="89" bestFit="1" customWidth="1"/>
    <col min="42" max="256" width="11.42578125" style="89"/>
    <col min="257" max="257" width="16.140625" style="89" customWidth="1"/>
    <col min="258" max="258" width="14.85546875" style="89" customWidth="1"/>
    <col min="259" max="259" width="10.42578125" style="89" bestFit="1" customWidth="1"/>
    <col min="260" max="260" width="11" style="89" bestFit="1" customWidth="1"/>
    <col min="261" max="261" width="14.5703125" style="89" bestFit="1" customWidth="1"/>
    <col min="262" max="262" width="11.5703125" style="89" bestFit="1" customWidth="1"/>
    <col min="263" max="263" width="13.140625" style="89" bestFit="1" customWidth="1"/>
    <col min="264" max="264" width="14.7109375" style="89" bestFit="1" customWidth="1"/>
    <col min="265" max="266" width="14.140625" style="89" bestFit="1" customWidth="1"/>
    <col min="267" max="267" width="18" style="89" bestFit="1" customWidth="1"/>
    <col min="268" max="268" width="17.140625" style="89" customWidth="1"/>
    <col min="269" max="269" width="6.7109375" style="89" customWidth="1"/>
    <col min="270" max="270" width="15" style="89" customWidth="1"/>
    <col min="271" max="271" width="7.7109375" style="89" customWidth="1"/>
    <col min="272" max="272" width="9.140625" style="89" customWidth="1"/>
    <col min="273" max="276" width="14.28515625" style="89" customWidth="1"/>
    <col min="277" max="277" width="15.5703125" style="89" customWidth="1"/>
    <col min="278" max="284" width="11.42578125" style="89"/>
    <col min="285" max="287" width="11.5703125" style="89" bestFit="1" customWidth="1"/>
    <col min="288" max="297" width="12.5703125" style="89" bestFit="1" customWidth="1"/>
    <col min="298" max="512" width="11.42578125" style="89"/>
    <col min="513" max="513" width="16.140625" style="89" customWidth="1"/>
    <col min="514" max="514" width="14.85546875" style="89" customWidth="1"/>
    <col min="515" max="515" width="10.42578125" style="89" bestFit="1" customWidth="1"/>
    <col min="516" max="516" width="11" style="89" bestFit="1" customWidth="1"/>
    <col min="517" max="517" width="14.5703125" style="89" bestFit="1" customWidth="1"/>
    <col min="518" max="518" width="11.5703125" style="89" bestFit="1" customWidth="1"/>
    <col min="519" max="519" width="13.140625" style="89" bestFit="1" customWidth="1"/>
    <col min="520" max="520" width="14.7109375" style="89" bestFit="1" customWidth="1"/>
    <col min="521" max="522" width="14.140625" style="89" bestFit="1" customWidth="1"/>
    <col min="523" max="523" width="18" style="89" bestFit="1" customWidth="1"/>
    <col min="524" max="524" width="17.140625" style="89" customWidth="1"/>
    <col min="525" max="525" width="6.7109375" style="89" customWidth="1"/>
    <col min="526" max="526" width="15" style="89" customWidth="1"/>
    <col min="527" max="527" width="7.7109375" style="89" customWidth="1"/>
    <col min="528" max="528" width="9.140625" style="89" customWidth="1"/>
    <col min="529" max="532" width="14.28515625" style="89" customWidth="1"/>
    <col min="533" max="533" width="15.5703125" style="89" customWidth="1"/>
    <col min="534" max="540" width="11.42578125" style="89"/>
    <col min="541" max="543" width="11.5703125" style="89" bestFit="1" customWidth="1"/>
    <col min="544" max="553" width="12.5703125" style="89" bestFit="1" customWidth="1"/>
    <col min="554" max="768" width="11.42578125" style="89"/>
    <col min="769" max="769" width="16.140625" style="89" customWidth="1"/>
    <col min="770" max="770" width="14.85546875" style="89" customWidth="1"/>
    <col min="771" max="771" width="10.42578125" style="89" bestFit="1" customWidth="1"/>
    <col min="772" max="772" width="11" style="89" bestFit="1" customWidth="1"/>
    <col min="773" max="773" width="14.5703125" style="89" bestFit="1" customWidth="1"/>
    <col min="774" max="774" width="11.5703125" style="89" bestFit="1" customWidth="1"/>
    <col min="775" max="775" width="13.140625" style="89" bestFit="1" customWidth="1"/>
    <col min="776" max="776" width="14.7109375" style="89" bestFit="1" customWidth="1"/>
    <col min="777" max="778" width="14.140625" style="89" bestFit="1" customWidth="1"/>
    <col min="779" max="779" width="18" style="89" bestFit="1" customWidth="1"/>
    <col min="780" max="780" width="17.140625" style="89" customWidth="1"/>
    <col min="781" max="781" width="6.7109375" style="89" customWidth="1"/>
    <col min="782" max="782" width="15" style="89" customWidth="1"/>
    <col min="783" max="783" width="7.7109375" style="89" customWidth="1"/>
    <col min="784" max="784" width="9.140625" style="89" customWidth="1"/>
    <col min="785" max="788" width="14.28515625" style="89" customWidth="1"/>
    <col min="789" max="789" width="15.5703125" style="89" customWidth="1"/>
    <col min="790" max="796" width="11.42578125" style="89"/>
    <col min="797" max="799" width="11.5703125" style="89" bestFit="1" customWidth="1"/>
    <col min="800" max="809" width="12.5703125" style="89" bestFit="1" customWidth="1"/>
    <col min="810" max="1024" width="11.42578125" style="89"/>
    <col min="1025" max="1025" width="16.140625" style="89" customWidth="1"/>
    <col min="1026" max="1026" width="14.85546875" style="89" customWidth="1"/>
    <col min="1027" max="1027" width="10.42578125" style="89" bestFit="1" customWidth="1"/>
    <col min="1028" max="1028" width="11" style="89" bestFit="1" customWidth="1"/>
    <col min="1029" max="1029" width="14.5703125" style="89" bestFit="1" customWidth="1"/>
    <col min="1030" max="1030" width="11.5703125" style="89" bestFit="1" customWidth="1"/>
    <col min="1031" max="1031" width="13.140625" style="89" bestFit="1" customWidth="1"/>
    <col min="1032" max="1032" width="14.7109375" style="89" bestFit="1" customWidth="1"/>
    <col min="1033" max="1034" width="14.140625" style="89" bestFit="1" customWidth="1"/>
    <col min="1035" max="1035" width="18" style="89" bestFit="1" customWidth="1"/>
    <col min="1036" max="1036" width="17.140625" style="89" customWidth="1"/>
    <col min="1037" max="1037" width="6.7109375" style="89" customWidth="1"/>
    <col min="1038" max="1038" width="15" style="89" customWidth="1"/>
    <col min="1039" max="1039" width="7.7109375" style="89" customWidth="1"/>
    <col min="1040" max="1040" width="9.140625" style="89" customWidth="1"/>
    <col min="1041" max="1044" width="14.28515625" style="89" customWidth="1"/>
    <col min="1045" max="1045" width="15.5703125" style="89" customWidth="1"/>
    <col min="1046" max="1052" width="11.42578125" style="89"/>
    <col min="1053" max="1055" width="11.5703125" style="89" bestFit="1" customWidth="1"/>
    <col min="1056" max="1065" width="12.5703125" style="89" bestFit="1" customWidth="1"/>
    <col min="1066" max="1280" width="11.42578125" style="89"/>
    <col min="1281" max="1281" width="16.140625" style="89" customWidth="1"/>
    <col min="1282" max="1282" width="14.85546875" style="89" customWidth="1"/>
    <col min="1283" max="1283" width="10.42578125" style="89" bestFit="1" customWidth="1"/>
    <col min="1284" max="1284" width="11" style="89" bestFit="1" customWidth="1"/>
    <col min="1285" max="1285" width="14.5703125" style="89" bestFit="1" customWidth="1"/>
    <col min="1286" max="1286" width="11.5703125" style="89" bestFit="1" customWidth="1"/>
    <col min="1287" max="1287" width="13.140625" style="89" bestFit="1" customWidth="1"/>
    <col min="1288" max="1288" width="14.7109375" style="89" bestFit="1" customWidth="1"/>
    <col min="1289" max="1290" width="14.140625" style="89" bestFit="1" customWidth="1"/>
    <col min="1291" max="1291" width="18" style="89" bestFit="1" customWidth="1"/>
    <col min="1292" max="1292" width="17.140625" style="89" customWidth="1"/>
    <col min="1293" max="1293" width="6.7109375" style="89" customWidth="1"/>
    <col min="1294" max="1294" width="15" style="89" customWidth="1"/>
    <col min="1295" max="1295" width="7.7109375" style="89" customWidth="1"/>
    <col min="1296" max="1296" width="9.140625" style="89" customWidth="1"/>
    <col min="1297" max="1300" width="14.28515625" style="89" customWidth="1"/>
    <col min="1301" max="1301" width="15.5703125" style="89" customWidth="1"/>
    <col min="1302" max="1308" width="11.42578125" style="89"/>
    <col min="1309" max="1311" width="11.5703125" style="89" bestFit="1" customWidth="1"/>
    <col min="1312" max="1321" width="12.5703125" style="89" bestFit="1" customWidth="1"/>
    <col min="1322" max="1536" width="11.42578125" style="89"/>
    <col min="1537" max="1537" width="16.140625" style="89" customWidth="1"/>
    <col min="1538" max="1538" width="14.85546875" style="89" customWidth="1"/>
    <col min="1539" max="1539" width="10.42578125" style="89" bestFit="1" customWidth="1"/>
    <col min="1540" max="1540" width="11" style="89" bestFit="1" customWidth="1"/>
    <col min="1541" max="1541" width="14.5703125" style="89" bestFit="1" customWidth="1"/>
    <col min="1542" max="1542" width="11.5703125" style="89" bestFit="1" customWidth="1"/>
    <col min="1543" max="1543" width="13.140625" style="89" bestFit="1" customWidth="1"/>
    <col min="1544" max="1544" width="14.7109375" style="89" bestFit="1" customWidth="1"/>
    <col min="1545" max="1546" width="14.140625" style="89" bestFit="1" customWidth="1"/>
    <col min="1547" max="1547" width="18" style="89" bestFit="1" customWidth="1"/>
    <col min="1548" max="1548" width="17.140625" style="89" customWidth="1"/>
    <col min="1549" max="1549" width="6.7109375" style="89" customWidth="1"/>
    <col min="1550" max="1550" width="15" style="89" customWidth="1"/>
    <col min="1551" max="1551" width="7.7109375" style="89" customWidth="1"/>
    <col min="1552" max="1552" width="9.140625" style="89" customWidth="1"/>
    <col min="1553" max="1556" width="14.28515625" style="89" customWidth="1"/>
    <col min="1557" max="1557" width="15.5703125" style="89" customWidth="1"/>
    <col min="1558" max="1564" width="11.42578125" style="89"/>
    <col min="1565" max="1567" width="11.5703125" style="89" bestFit="1" customWidth="1"/>
    <col min="1568" max="1577" width="12.5703125" style="89" bestFit="1" customWidth="1"/>
    <col min="1578" max="1792" width="11.42578125" style="89"/>
    <col min="1793" max="1793" width="16.140625" style="89" customWidth="1"/>
    <col min="1794" max="1794" width="14.85546875" style="89" customWidth="1"/>
    <col min="1795" max="1795" width="10.42578125" style="89" bestFit="1" customWidth="1"/>
    <col min="1796" max="1796" width="11" style="89" bestFit="1" customWidth="1"/>
    <col min="1797" max="1797" width="14.5703125" style="89" bestFit="1" customWidth="1"/>
    <col min="1798" max="1798" width="11.5703125" style="89" bestFit="1" customWidth="1"/>
    <col min="1799" max="1799" width="13.140625" style="89" bestFit="1" customWidth="1"/>
    <col min="1800" max="1800" width="14.7109375" style="89" bestFit="1" customWidth="1"/>
    <col min="1801" max="1802" width="14.140625" style="89" bestFit="1" customWidth="1"/>
    <col min="1803" max="1803" width="18" style="89" bestFit="1" customWidth="1"/>
    <col min="1804" max="1804" width="17.140625" style="89" customWidth="1"/>
    <col min="1805" max="1805" width="6.7109375" style="89" customWidth="1"/>
    <col min="1806" max="1806" width="15" style="89" customWidth="1"/>
    <col min="1807" max="1807" width="7.7109375" style="89" customWidth="1"/>
    <col min="1808" max="1808" width="9.140625" style="89" customWidth="1"/>
    <col min="1809" max="1812" width="14.28515625" style="89" customWidth="1"/>
    <col min="1813" max="1813" width="15.5703125" style="89" customWidth="1"/>
    <col min="1814" max="1820" width="11.42578125" style="89"/>
    <col min="1821" max="1823" width="11.5703125" style="89" bestFit="1" customWidth="1"/>
    <col min="1824" max="1833" width="12.5703125" style="89" bestFit="1" customWidth="1"/>
    <col min="1834" max="2048" width="11.42578125" style="89"/>
    <col min="2049" max="2049" width="16.140625" style="89" customWidth="1"/>
    <col min="2050" max="2050" width="14.85546875" style="89" customWidth="1"/>
    <col min="2051" max="2051" width="10.42578125" style="89" bestFit="1" customWidth="1"/>
    <col min="2052" max="2052" width="11" style="89" bestFit="1" customWidth="1"/>
    <col min="2053" max="2053" width="14.5703125" style="89" bestFit="1" customWidth="1"/>
    <col min="2054" max="2054" width="11.5703125" style="89" bestFit="1" customWidth="1"/>
    <col min="2055" max="2055" width="13.140625" style="89" bestFit="1" customWidth="1"/>
    <col min="2056" max="2056" width="14.7109375" style="89" bestFit="1" customWidth="1"/>
    <col min="2057" max="2058" width="14.140625" style="89" bestFit="1" customWidth="1"/>
    <col min="2059" max="2059" width="18" style="89" bestFit="1" customWidth="1"/>
    <col min="2060" max="2060" width="17.140625" style="89" customWidth="1"/>
    <col min="2061" max="2061" width="6.7109375" style="89" customWidth="1"/>
    <col min="2062" max="2062" width="15" style="89" customWidth="1"/>
    <col min="2063" max="2063" width="7.7109375" style="89" customWidth="1"/>
    <col min="2064" max="2064" width="9.140625" style="89" customWidth="1"/>
    <col min="2065" max="2068" width="14.28515625" style="89" customWidth="1"/>
    <col min="2069" max="2069" width="15.5703125" style="89" customWidth="1"/>
    <col min="2070" max="2076" width="11.42578125" style="89"/>
    <col min="2077" max="2079" width="11.5703125" style="89" bestFit="1" customWidth="1"/>
    <col min="2080" max="2089" width="12.5703125" style="89" bestFit="1" customWidth="1"/>
    <col min="2090" max="2304" width="11.42578125" style="89"/>
    <col min="2305" max="2305" width="16.140625" style="89" customWidth="1"/>
    <col min="2306" max="2306" width="14.85546875" style="89" customWidth="1"/>
    <col min="2307" max="2307" width="10.42578125" style="89" bestFit="1" customWidth="1"/>
    <col min="2308" max="2308" width="11" style="89" bestFit="1" customWidth="1"/>
    <col min="2309" max="2309" width="14.5703125" style="89" bestFit="1" customWidth="1"/>
    <col min="2310" max="2310" width="11.5703125" style="89" bestFit="1" customWidth="1"/>
    <col min="2311" max="2311" width="13.140625" style="89" bestFit="1" customWidth="1"/>
    <col min="2312" max="2312" width="14.7109375" style="89" bestFit="1" customWidth="1"/>
    <col min="2313" max="2314" width="14.140625" style="89" bestFit="1" customWidth="1"/>
    <col min="2315" max="2315" width="18" style="89" bestFit="1" customWidth="1"/>
    <col min="2316" max="2316" width="17.140625" style="89" customWidth="1"/>
    <col min="2317" max="2317" width="6.7109375" style="89" customWidth="1"/>
    <col min="2318" max="2318" width="15" style="89" customWidth="1"/>
    <col min="2319" max="2319" width="7.7109375" style="89" customWidth="1"/>
    <col min="2320" max="2320" width="9.140625" style="89" customWidth="1"/>
    <col min="2321" max="2324" width="14.28515625" style="89" customWidth="1"/>
    <col min="2325" max="2325" width="15.5703125" style="89" customWidth="1"/>
    <col min="2326" max="2332" width="11.42578125" style="89"/>
    <col min="2333" max="2335" width="11.5703125" style="89" bestFit="1" customWidth="1"/>
    <col min="2336" max="2345" width="12.5703125" style="89" bestFit="1" customWidth="1"/>
    <col min="2346" max="2560" width="11.42578125" style="89"/>
    <col min="2561" max="2561" width="16.140625" style="89" customWidth="1"/>
    <col min="2562" max="2562" width="14.85546875" style="89" customWidth="1"/>
    <col min="2563" max="2563" width="10.42578125" style="89" bestFit="1" customWidth="1"/>
    <col min="2564" max="2564" width="11" style="89" bestFit="1" customWidth="1"/>
    <col min="2565" max="2565" width="14.5703125" style="89" bestFit="1" customWidth="1"/>
    <col min="2566" max="2566" width="11.5703125" style="89" bestFit="1" customWidth="1"/>
    <col min="2567" max="2567" width="13.140625" style="89" bestFit="1" customWidth="1"/>
    <col min="2568" max="2568" width="14.7109375" style="89" bestFit="1" customWidth="1"/>
    <col min="2569" max="2570" width="14.140625" style="89" bestFit="1" customWidth="1"/>
    <col min="2571" max="2571" width="18" style="89" bestFit="1" customWidth="1"/>
    <col min="2572" max="2572" width="17.140625" style="89" customWidth="1"/>
    <col min="2573" max="2573" width="6.7109375" style="89" customWidth="1"/>
    <col min="2574" max="2574" width="15" style="89" customWidth="1"/>
    <col min="2575" max="2575" width="7.7109375" style="89" customWidth="1"/>
    <col min="2576" max="2576" width="9.140625" style="89" customWidth="1"/>
    <col min="2577" max="2580" width="14.28515625" style="89" customWidth="1"/>
    <col min="2581" max="2581" width="15.5703125" style="89" customWidth="1"/>
    <col min="2582" max="2588" width="11.42578125" style="89"/>
    <col min="2589" max="2591" width="11.5703125" style="89" bestFit="1" customWidth="1"/>
    <col min="2592" max="2601" width="12.5703125" style="89" bestFit="1" customWidth="1"/>
    <col min="2602" max="2816" width="11.42578125" style="89"/>
    <col min="2817" max="2817" width="16.140625" style="89" customWidth="1"/>
    <col min="2818" max="2818" width="14.85546875" style="89" customWidth="1"/>
    <col min="2819" max="2819" width="10.42578125" style="89" bestFit="1" customWidth="1"/>
    <col min="2820" max="2820" width="11" style="89" bestFit="1" customWidth="1"/>
    <col min="2821" max="2821" width="14.5703125" style="89" bestFit="1" customWidth="1"/>
    <col min="2822" max="2822" width="11.5703125" style="89" bestFit="1" customWidth="1"/>
    <col min="2823" max="2823" width="13.140625" style="89" bestFit="1" customWidth="1"/>
    <col min="2824" max="2824" width="14.7109375" style="89" bestFit="1" customWidth="1"/>
    <col min="2825" max="2826" width="14.140625" style="89" bestFit="1" customWidth="1"/>
    <col min="2827" max="2827" width="18" style="89" bestFit="1" customWidth="1"/>
    <col min="2828" max="2828" width="17.140625" style="89" customWidth="1"/>
    <col min="2829" max="2829" width="6.7109375" style="89" customWidth="1"/>
    <col min="2830" max="2830" width="15" style="89" customWidth="1"/>
    <col min="2831" max="2831" width="7.7109375" style="89" customWidth="1"/>
    <col min="2832" max="2832" width="9.140625" style="89" customWidth="1"/>
    <col min="2833" max="2836" width="14.28515625" style="89" customWidth="1"/>
    <col min="2837" max="2837" width="15.5703125" style="89" customWidth="1"/>
    <col min="2838" max="2844" width="11.42578125" style="89"/>
    <col min="2845" max="2847" width="11.5703125" style="89" bestFit="1" customWidth="1"/>
    <col min="2848" max="2857" width="12.5703125" style="89" bestFit="1" customWidth="1"/>
    <col min="2858" max="3072" width="11.42578125" style="89"/>
    <col min="3073" max="3073" width="16.140625" style="89" customWidth="1"/>
    <col min="3074" max="3074" width="14.85546875" style="89" customWidth="1"/>
    <col min="3075" max="3075" width="10.42578125" style="89" bestFit="1" customWidth="1"/>
    <col min="3076" max="3076" width="11" style="89" bestFit="1" customWidth="1"/>
    <col min="3077" max="3077" width="14.5703125" style="89" bestFit="1" customWidth="1"/>
    <col min="3078" max="3078" width="11.5703125" style="89" bestFit="1" customWidth="1"/>
    <col min="3079" max="3079" width="13.140625" style="89" bestFit="1" customWidth="1"/>
    <col min="3080" max="3080" width="14.7109375" style="89" bestFit="1" customWidth="1"/>
    <col min="3081" max="3082" width="14.140625" style="89" bestFit="1" customWidth="1"/>
    <col min="3083" max="3083" width="18" style="89" bestFit="1" customWidth="1"/>
    <col min="3084" max="3084" width="17.140625" style="89" customWidth="1"/>
    <col min="3085" max="3085" width="6.7109375" style="89" customWidth="1"/>
    <col min="3086" max="3086" width="15" style="89" customWidth="1"/>
    <col min="3087" max="3087" width="7.7109375" style="89" customWidth="1"/>
    <col min="3088" max="3088" width="9.140625" style="89" customWidth="1"/>
    <col min="3089" max="3092" width="14.28515625" style="89" customWidth="1"/>
    <col min="3093" max="3093" width="15.5703125" style="89" customWidth="1"/>
    <col min="3094" max="3100" width="11.42578125" style="89"/>
    <col min="3101" max="3103" width="11.5703125" style="89" bestFit="1" customWidth="1"/>
    <col min="3104" max="3113" width="12.5703125" style="89" bestFit="1" customWidth="1"/>
    <col min="3114" max="3328" width="11.42578125" style="89"/>
    <col min="3329" max="3329" width="16.140625" style="89" customWidth="1"/>
    <col min="3330" max="3330" width="14.85546875" style="89" customWidth="1"/>
    <col min="3331" max="3331" width="10.42578125" style="89" bestFit="1" customWidth="1"/>
    <col min="3332" max="3332" width="11" style="89" bestFit="1" customWidth="1"/>
    <col min="3333" max="3333" width="14.5703125" style="89" bestFit="1" customWidth="1"/>
    <col min="3334" max="3334" width="11.5703125" style="89" bestFit="1" customWidth="1"/>
    <col min="3335" max="3335" width="13.140625" style="89" bestFit="1" customWidth="1"/>
    <col min="3336" max="3336" width="14.7109375" style="89" bestFit="1" customWidth="1"/>
    <col min="3337" max="3338" width="14.140625" style="89" bestFit="1" customWidth="1"/>
    <col min="3339" max="3339" width="18" style="89" bestFit="1" customWidth="1"/>
    <col min="3340" max="3340" width="17.140625" style="89" customWidth="1"/>
    <col min="3341" max="3341" width="6.7109375" style="89" customWidth="1"/>
    <col min="3342" max="3342" width="15" style="89" customWidth="1"/>
    <col min="3343" max="3343" width="7.7109375" style="89" customWidth="1"/>
    <col min="3344" max="3344" width="9.140625" style="89" customWidth="1"/>
    <col min="3345" max="3348" width="14.28515625" style="89" customWidth="1"/>
    <col min="3349" max="3349" width="15.5703125" style="89" customWidth="1"/>
    <col min="3350" max="3356" width="11.42578125" style="89"/>
    <col min="3357" max="3359" width="11.5703125" style="89" bestFit="1" customWidth="1"/>
    <col min="3360" max="3369" width="12.5703125" style="89" bestFit="1" customWidth="1"/>
    <col min="3370" max="3584" width="11.42578125" style="89"/>
    <col min="3585" max="3585" width="16.140625" style="89" customWidth="1"/>
    <col min="3586" max="3586" width="14.85546875" style="89" customWidth="1"/>
    <col min="3587" max="3587" width="10.42578125" style="89" bestFit="1" customWidth="1"/>
    <col min="3588" max="3588" width="11" style="89" bestFit="1" customWidth="1"/>
    <col min="3589" max="3589" width="14.5703125" style="89" bestFit="1" customWidth="1"/>
    <col min="3590" max="3590" width="11.5703125" style="89" bestFit="1" customWidth="1"/>
    <col min="3591" max="3591" width="13.140625" style="89" bestFit="1" customWidth="1"/>
    <col min="3592" max="3592" width="14.7109375" style="89" bestFit="1" customWidth="1"/>
    <col min="3593" max="3594" width="14.140625" style="89" bestFit="1" customWidth="1"/>
    <col min="3595" max="3595" width="18" style="89" bestFit="1" customWidth="1"/>
    <col min="3596" max="3596" width="17.140625" style="89" customWidth="1"/>
    <col min="3597" max="3597" width="6.7109375" style="89" customWidth="1"/>
    <col min="3598" max="3598" width="15" style="89" customWidth="1"/>
    <col min="3599" max="3599" width="7.7109375" style="89" customWidth="1"/>
    <col min="3600" max="3600" width="9.140625" style="89" customWidth="1"/>
    <col min="3601" max="3604" width="14.28515625" style="89" customWidth="1"/>
    <col min="3605" max="3605" width="15.5703125" style="89" customWidth="1"/>
    <col min="3606" max="3612" width="11.42578125" style="89"/>
    <col min="3613" max="3615" width="11.5703125" style="89" bestFit="1" customWidth="1"/>
    <col min="3616" max="3625" width="12.5703125" style="89" bestFit="1" customWidth="1"/>
    <col min="3626" max="3840" width="11.42578125" style="89"/>
    <col min="3841" max="3841" width="16.140625" style="89" customWidth="1"/>
    <col min="3842" max="3842" width="14.85546875" style="89" customWidth="1"/>
    <col min="3843" max="3843" width="10.42578125" style="89" bestFit="1" customWidth="1"/>
    <col min="3844" max="3844" width="11" style="89" bestFit="1" customWidth="1"/>
    <col min="3845" max="3845" width="14.5703125" style="89" bestFit="1" customWidth="1"/>
    <col min="3846" max="3846" width="11.5703125" style="89" bestFit="1" customWidth="1"/>
    <col min="3847" max="3847" width="13.140625" style="89" bestFit="1" customWidth="1"/>
    <col min="3848" max="3848" width="14.7109375" style="89" bestFit="1" customWidth="1"/>
    <col min="3849" max="3850" width="14.140625" style="89" bestFit="1" customWidth="1"/>
    <col min="3851" max="3851" width="18" style="89" bestFit="1" customWidth="1"/>
    <col min="3852" max="3852" width="17.140625" style="89" customWidth="1"/>
    <col min="3853" max="3853" width="6.7109375" style="89" customWidth="1"/>
    <col min="3854" max="3854" width="15" style="89" customWidth="1"/>
    <col min="3855" max="3855" width="7.7109375" style="89" customWidth="1"/>
    <col min="3856" max="3856" width="9.140625" style="89" customWidth="1"/>
    <col min="3857" max="3860" width="14.28515625" style="89" customWidth="1"/>
    <col min="3861" max="3861" width="15.5703125" style="89" customWidth="1"/>
    <col min="3862" max="3868" width="11.42578125" style="89"/>
    <col min="3869" max="3871" width="11.5703125" style="89" bestFit="1" customWidth="1"/>
    <col min="3872" max="3881" width="12.5703125" style="89" bestFit="1" customWidth="1"/>
    <col min="3882" max="4096" width="11.42578125" style="89"/>
    <col min="4097" max="4097" width="16.140625" style="89" customWidth="1"/>
    <col min="4098" max="4098" width="14.85546875" style="89" customWidth="1"/>
    <col min="4099" max="4099" width="10.42578125" style="89" bestFit="1" customWidth="1"/>
    <col min="4100" max="4100" width="11" style="89" bestFit="1" customWidth="1"/>
    <col min="4101" max="4101" width="14.5703125" style="89" bestFit="1" customWidth="1"/>
    <col min="4102" max="4102" width="11.5703125" style="89" bestFit="1" customWidth="1"/>
    <col min="4103" max="4103" width="13.140625" style="89" bestFit="1" customWidth="1"/>
    <col min="4104" max="4104" width="14.7109375" style="89" bestFit="1" customWidth="1"/>
    <col min="4105" max="4106" width="14.140625" style="89" bestFit="1" customWidth="1"/>
    <col min="4107" max="4107" width="18" style="89" bestFit="1" customWidth="1"/>
    <col min="4108" max="4108" width="17.140625" style="89" customWidth="1"/>
    <col min="4109" max="4109" width="6.7109375" style="89" customWidth="1"/>
    <col min="4110" max="4110" width="15" style="89" customWidth="1"/>
    <col min="4111" max="4111" width="7.7109375" style="89" customWidth="1"/>
    <col min="4112" max="4112" width="9.140625" style="89" customWidth="1"/>
    <col min="4113" max="4116" width="14.28515625" style="89" customWidth="1"/>
    <col min="4117" max="4117" width="15.5703125" style="89" customWidth="1"/>
    <col min="4118" max="4124" width="11.42578125" style="89"/>
    <col min="4125" max="4127" width="11.5703125" style="89" bestFit="1" customWidth="1"/>
    <col min="4128" max="4137" width="12.5703125" style="89" bestFit="1" customWidth="1"/>
    <col min="4138" max="4352" width="11.42578125" style="89"/>
    <col min="4353" max="4353" width="16.140625" style="89" customWidth="1"/>
    <col min="4354" max="4354" width="14.85546875" style="89" customWidth="1"/>
    <col min="4355" max="4355" width="10.42578125" style="89" bestFit="1" customWidth="1"/>
    <col min="4356" max="4356" width="11" style="89" bestFit="1" customWidth="1"/>
    <col min="4357" max="4357" width="14.5703125" style="89" bestFit="1" customWidth="1"/>
    <col min="4358" max="4358" width="11.5703125" style="89" bestFit="1" customWidth="1"/>
    <col min="4359" max="4359" width="13.140625" style="89" bestFit="1" customWidth="1"/>
    <col min="4360" max="4360" width="14.7109375" style="89" bestFit="1" customWidth="1"/>
    <col min="4361" max="4362" width="14.140625" style="89" bestFit="1" customWidth="1"/>
    <col min="4363" max="4363" width="18" style="89" bestFit="1" customWidth="1"/>
    <col min="4364" max="4364" width="17.140625" style="89" customWidth="1"/>
    <col min="4365" max="4365" width="6.7109375" style="89" customWidth="1"/>
    <col min="4366" max="4366" width="15" style="89" customWidth="1"/>
    <col min="4367" max="4367" width="7.7109375" style="89" customWidth="1"/>
    <col min="4368" max="4368" width="9.140625" style="89" customWidth="1"/>
    <col min="4369" max="4372" width="14.28515625" style="89" customWidth="1"/>
    <col min="4373" max="4373" width="15.5703125" style="89" customWidth="1"/>
    <col min="4374" max="4380" width="11.42578125" style="89"/>
    <col min="4381" max="4383" width="11.5703125" style="89" bestFit="1" customWidth="1"/>
    <col min="4384" max="4393" width="12.5703125" style="89" bestFit="1" customWidth="1"/>
    <col min="4394" max="4608" width="11.42578125" style="89"/>
    <col min="4609" max="4609" width="16.140625" style="89" customWidth="1"/>
    <col min="4610" max="4610" width="14.85546875" style="89" customWidth="1"/>
    <col min="4611" max="4611" width="10.42578125" style="89" bestFit="1" customWidth="1"/>
    <col min="4612" max="4612" width="11" style="89" bestFit="1" customWidth="1"/>
    <col min="4613" max="4613" width="14.5703125" style="89" bestFit="1" customWidth="1"/>
    <col min="4614" max="4614" width="11.5703125" style="89" bestFit="1" customWidth="1"/>
    <col min="4615" max="4615" width="13.140625" style="89" bestFit="1" customWidth="1"/>
    <col min="4616" max="4616" width="14.7109375" style="89" bestFit="1" customWidth="1"/>
    <col min="4617" max="4618" width="14.140625" style="89" bestFit="1" customWidth="1"/>
    <col min="4619" max="4619" width="18" style="89" bestFit="1" customWidth="1"/>
    <col min="4620" max="4620" width="17.140625" style="89" customWidth="1"/>
    <col min="4621" max="4621" width="6.7109375" style="89" customWidth="1"/>
    <col min="4622" max="4622" width="15" style="89" customWidth="1"/>
    <col min="4623" max="4623" width="7.7109375" style="89" customWidth="1"/>
    <col min="4624" max="4624" width="9.140625" style="89" customWidth="1"/>
    <col min="4625" max="4628" width="14.28515625" style="89" customWidth="1"/>
    <col min="4629" max="4629" width="15.5703125" style="89" customWidth="1"/>
    <col min="4630" max="4636" width="11.42578125" style="89"/>
    <col min="4637" max="4639" width="11.5703125" style="89" bestFit="1" customWidth="1"/>
    <col min="4640" max="4649" width="12.5703125" style="89" bestFit="1" customWidth="1"/>
    <col min="4650" max="4864" width="11.42578125" style="89"/>
    <col min="4865" max="4865" width="16.140625" style="89" customWidth="1"/>
    <col min="4866" max="4866" width="14.85546875" style="89" customWidth="1"/>
    <col min="4867" max="4867" width="10.42578125" style="89" bestFit="1" customWidth="1"/>
    <col min="4868" max="4868" width="11" style="89" bestFit="1" customWidth="1"/>
    <col min="4869" max="4869" width="14.5703125" style="89" bestFit="1" customWidth="1"/>
    <col min="4870" max="4870" width="11.5703125" style="89" bestFit="1" customWidth="1"/>
    <col min="4871" max="4871" width="13.140625" style="89" bestFit="1" customWidth="1"/>
    <col min="4872" max="4872" width="14.7109375" style="89" bestFit="1" customWidth="1"/>
    <col min="4873" max="4874" width="14.140625" style="89" bestFit="1" customWidth="1"/>
    <col min="4875" max="4875" width="18" style="89" bestFit="1" customWidth="1"/>
    <col min="4876" max="4876" width="17.140625" style="89" customWidth="1"/>
    <col min="4877" max="4877" width="6.7109375" style="89" customWidth="1"/>
    <col min="4878" max="4878" width="15" style="89" customWidth="1"/>
    <col min="4879" max="4879" width="7.7109375" style="89" customWidth="1"/>
    <col min="4880" max="4880" width="9.140625" style="89" customWidth="1"/>
    <col min="4881" max="4884" width="14.28515625" style="89" customWidth="1"/>
    <col min="4885" max="4885" width="15.5703125" style="89" customWidth="1"/>
    <col min="4886" max="4892" width="11.42578125" style="89"/>
    <col min="4893" max="4895" width="11.5703125" style="89" bestFit="1" customWidth="1"/>
    <col min="4896" max="4905" width="12.5703125" style="89" bestFit="1" customWidth="1"/>
    <col min="4906" max="5120" width="11.42578125" style="89"/>
    <col min="5121" max="5121" width="16.140625" style="89" customWidth="1"/>
    <col min="5122" max="5122" width="14.85546875" style="89" customWidth="1"/>
    <col min="5123" max="5123" width="10.42578125" style="89" bestFit="1" customWidth="1"/>
    <col min="5124" max="5124" width="11" style="89" bestFit="1" customWidth="1"/>
    <col min="5125" max="5125" width="14.5703125" style="89" bestFit="1" customWidth="1"/>
    <col min="5126" max="5126" width="11.5703125" style="89" bestFit="1" customWidth="1"/>
    <col min="5127" max="5127" width="13.140625" style="89" bestFit="1" customWidth="1"/>
    <col min="5128" max="5128" width="14.7109375" style="89" bestFit="1" customWidth="1"/>
    <col min="5129" max="5130" width="14.140625" style="89" bestFit="1" customWidth="1"/>
    <col min="5131" max="5131" width="18" style="89" bestFit="1" customWidth="1"/>
    <col min="5132" max="5132" width="17.140625" style="89" customWidth="1"/>
    <col min="5133" max="5133" width="6.7109375" style="89" customWidth="1"/>
    <col min="5134" max="5134" width="15" style="89" customWidth="1"/>
    <col min="5135" max="5135" width="7.7109375" style="89" customWidth="1"/>
    <col min="5136" max="5136" width="9.140625" style="89" customWidth="1"/>
    <col min="5137" max="5140" width="14.28515625" style="89" customWidth="1"/>
    <col min="5141" max="5141" width="15.5703125" style="89" customWidth="1"/>
    <col min="5142" max="5148" width="11.42578125" style="89"/>
    <col min="5149" max="5151" width="11.5703125" style="89" bestFit="1" customWidth="1"/>
    <col min="5152" max="5161" width="12.5703125" style="89" bestFit="1" customWidth="1"/>
    <col min="5162" max="5376" width="11.42578125" style="89"/>
    <col min="5377" max="5377" width="16.140625" style="89" customWidth="1"/>
    <col min="5378" max="5378" width="14.85546875" style="89" customWidth="1"/>
    <col min="5379" max="5379" width="10.42578125" style="89" bestFit="1" customWidth="1"/>
    <col min="5380" max="5380" width="11" style="89" bestFit="1" customWidth="1"/>
    <col min="5381" max="5381" width="14.5703125" style="89" bestFit="1" customWidth="1"/>
    <col min="5382" max="5382" width="11.5703125" style="89" bestFit="1" customWidth="1"/>
    <col min="5383" max="5383" width="13.140625" style="89" bestFit="1" customWidth="1"/>
    <col min="5384" max="5384" width="14.7109375" style="89" bestFit="1" customWidth="1"/>
    <col min="5385" max="5386" width="14.140625" style="89" bestFit="1" customWidth="1"/>
    <col min="5387" max="5387" width="18" style="89" bestFit="1" customWidth="1"/>
    <col min="5388" max="5388" width="17.140625" style="89" customWidth="1"/>
    <col min="5389" max="5389" width="6.7109375" style="89" customWidth="1"/>
    <col min="5390" max="5390" width="15" style="89" customWidth="1"/>
    <col min="5391" max="5391" width="7.7109375" style="89" customWidth="1"/>
    <col min="5392" max="5392" width="9.140625" style="89" customWidth="1"/>
    <col min="5393" max="5396" width="14.28515625" style="89" customWidth="1"/>
    <col min="5397" max="5397" width="15.5703125" style="89" customWidth="1"/>
    <col min="5398" max="5404" width="11.42578125" style="89"/>
    <col min="5405" max="5407" width="11.5703125" style="89" bestFit="1" customWidth="1"/>
    <col min="5408" max="5417" width="12.5703125" style="89" bestFit="1" customWidth="1"/>
    <col min="5418" max="5632" width="11.42578125" style="89"/>
    <col min="5633" max="5633" width="16.140625" style="89" customWidth="1"/>
    <col min="5634" max="5634" width="14.85546875" style="89" customWidth="1"/>
    <col min="5635" max="5635" width="10.42578125" style="89" bestFit="1" customWidth="1"/>
    <col min="5636" max="5636" width="11" style="89" bestFit="1" customWidth="1"/>
    <col min="5637" max="5637" width="14.5703125" style="89" bestFit="1" customWidth="1"/>
    <col min="5638" max="5638" width="11.5703125" style="89" bestFit="1" customWidth="1"/>
    <col min="5639" max="5639" width="13.140625" style="89" bestFit="1" customWidth="1"/>
    <col min="5640" max="5640" width="14.7109375" style="89" bestFit="1" customWidth="1"/>
    <col min="5641" max="5642" width="14.140625" style="89" bestFit="1" customWidth="1"/>
    <col min="5643" max="5643" width="18" style="89" bestFit="1" customWidth="1"/>
    <col min="5644" max="5644" width="17.140625" style="89" customWidth="1"/>
    <col min="5645" max="5645" width="6.7109375" style="89" customWidth="1"/>
    <col min="5646" max="5646" width="15" style="89" customWidth="1"/>
    <col min="5647" max="5647" width="7.7109375" style="89" customWidth="1"/>
    <col min="5648" max="5648" width="9.140625" style="89" customWidth="1"/>
    <col min="5649" max="5652" width="14.28515625" style="89" customWidth="1"/>
    <col min="5653" max="5653" width="15.5703125" style="89" customWidth="1"/>
    <col min="5654" max="5660" width="11.42578125" style="89"/>
    <col min="5661" max="5663" width="11.5703125" style="89" bestFit="1" customWidth="1"/>
    <col min="5664" max="5673" width="12.5703125" style="89" bestFit="1" customWidth="1"/>
    <col min="5674" max="5888" width="11.42578125" style="89"/>
    <col min="5889" max="5889" width="16.140625" style="89" customWidth="1"/>
    <col min="5890" max="5890" width="14.85546875" style="89" customWidth="1"/>
    <col min="5891" max="5891" width="10.42578125" style="89" bestFit="1" customWidth="1"/>
    <col min="5892" max="5892" width="11" style="89" bestFit="1" customWidth="1"/>
    <col min="5893" max="5893" width="14.5703125" style="89" bestFit="1" customWidth="1"/>
    <col min="5894" max="5894" width="11.5703125" style="89" bestFit="1" customWidth="1"/>
    <col min="5895" max="5895" width="13.140625" style="89" bestFit="1" customWidth="1"/>
    <col min="5896" max="5896" width="14.7109375" style="89" bestFit="1" customWidth="1"/>
    <col min="5897" max="5898" width="14.140625" style="89" bestFit="1" customWidth="1"/>
    <col min="5899" max="5899" width="18" style="89" bestFit="1" customWidth="1"/>
    <col min="5900" max="5900" width="17.140625" style="89" customWidth="1"/>
    <col min="5901" max="5901" width="6.7109375" style="89" customWidth="1"/>
    <col min="5902" max="5902" width="15" style="89" customWidth="1"/>
    <col min="5903" max="5903" width="7.7109375" style="89" customWidth="1"/>
    <col min="5904" max="5904" width="9.140625" style="89" customWidth="1"/>
    <col min="5905" max="5908" width="14.28515625" style="89" customWidth="1"/>
    <col min="5909" max="5909" width="15.5703125" style="89" customWidth="1"/>
    <col min="5910" max="5916" width="11.42578125" style="89"/>
    <col min="5917" max="5919" width="11.5703125" style="89" bestFit="1" customWidth="1"/>
    <col min="5920" max="5929" width="12.5703125" style="89" bestFit="1" customWidth="1"/>
    <col min="5930" max="6144" width="11.42578125" style="89"/>
    <col min="6145" max="6145" width="16.140625" style="89" customWidth="1"/>
    <col min="6146" max="6146" width="14.85546875" style="89" customWidth="1"/>
    <col min="6147" max="6147" width="10.42578125" style="89" bestFit="1" customWidth="1"/>
    <col min="6148" max="6148" width="11" style="89" bestFit="1" customWidth="1"/>
    <col min="6149" max="6149" width="14.5703125" style="89" bestFit="1" customWidth="1"/>
    <col min="6150" max="6150" width="11.5703125" style="89" bestFit="1" customWidth="1"/>
    <col min="6151" max="6151" width="13.140625" style="89" bestFit="1" customWidth="1"/>
    <col min="6152" max="6152" width="14.7109375" style="89" bestFit="1" customWidth="1"/>
    <col min="6153" max="6154" width="14.140625" style="89" bestFit="1" customWidth="1"/>
    <col min="6155" max="6155" width="18" style="89" bestFit="1" customWidth="1"/>
    <col min="6156" max="6156" width="17.140625" style="89" customWidth="1"/>
    <col min="6157" max="6157" width="6.7109375" style="89" customWidth="1"/>
    <col min="6158" max="6158" width="15" style="89" customWidth="1"/>
    <col min="6159" max="6159" width="7.7109375" style="89" customWidth="1"/>
    <col min="6160" max="6160" width="9.140625" style="89" customWidth="1"/>
    <col min="6161" max="6164" width="14.28515625" style="89" customWidth="1"/>
    <col min="6165" max="6165" width="15.5703125" style="89" customWidth="1"/>
    <col min="6166" max="6172" width="11.42578125" style="89"/>
    <col min="6173" max="6175" width="11.5703125" style="89" bestFit="1" customWidth="1"/>
    <col min="6176" max="6185" width="12.5703125" style="89" bestFit="1" customWidth="1"/>
    <col min="6186" max="6400" width="11.42578125" style="89"/>
    <col min="6401" max="6401" width="16.140625" style="89" customWidth="1"/>
    <col min="6402" max="6402" width="14.85546875" style="89" customWidth="1"/>
    <col min="6403" max="6403" width="10.42578125" style="89" bestFit="1" customWidth="1"/>
    <col min="6404" max="6404" width="11" style="89" bestFit="1" customWidth="1"/>
    <col min="6405" max="6405" width="14.5703125" style="89" bestFit="1" customWidth="1"/>
    <col min="6406" max="6406" width="11.5703125" style="89" bestFit="1" customWidth="1"/>
    <col min="6407" max="6407" width="13.140625" style="89" bestFit="1" customWidth="1"/>
    <col min="6408" max="6408" width="14.7109375" style="89" bestFit="1" customWidth="1"/>
    <col min="6409" max="6410" width="14.140625" style="89" bestFit="1" customWidth="1"/>
    <col min="6411" max="6411" width="18" style="89" bestFit="1" customWidth="1"/>
    <col min="6412" max="6412" width="17.140625" style="89" customWidth="1"/>
    <col min="6413" max="6413" width="6.7109375" style="89" customWidth="1"/>
    <col min="6414" max="6414" width="15" style="89" customWidth="1"/>
    <col min="6415" max="6415" width="7.7109375" style="89" customWidth="1"/>
    <col min="6416" max="6416" width="9.140625" style="89" customWidth="1"/>
    <col min="6417" max="6420" width="14.28515625" style="89" customWidth="1"/>
    <col min="6421" max="6421" width="15.5703125" style="89" customWidth="1"/>
    <col min="6422" max="6428" width="11.42578125" style="89"/>
    <col min="6429" max="6431" width="11.5703125" style="89" bestFit="1" customWidth="1"/>
    <col min="6432" max="6441" width="12.5703125" style="89" bestFit="1" customWidth="1"/>
    <col min="6442" max="6656" width="11.42578125" style="89"/>
    <col min="6657" max="6657" width="16.140625" style="89" customWidth="1"/>
    <col min="6658" max="6658" width="14.85546875" style="89" customWidth="1"/>
    <col min="6659" max="6659" width="10.42578125" style="89" bestFit="1" customWidth="1"/>
    <col min="6660" max="6660" width="11" style="89" bestFit="1" customWidth="1"/>
    <col min="6661" max="6661" width="14.5703125" style="89" bestFit="1" customWidth="1"/>
    <col min="6662" max="6662" width="11.5703125" style="89" bestFit="1" customWidth="1"/>
    <col min="6663" max="6663" width="13.140625" style="89" bestFit="1" customWidth="1"/>
    <col min="6664" max="6664" width="14.7109375" style="89" bestFit="1" customWidth="1"/>
    <col min="6665" max="6666" width="14.140625" style="89" bestFit="1" customWidth="1"/>
    <col min="6667" max="6667" width="18" style="89" bestFit="1" customWidth="1"/>
    <col min="6668" max="6668" width="17.140625" style="89" customWidth="1"/>
    <col min="6669" max="6669" width="6.7109375" style="89" customWidth="1"/>
    <col min="6670" max="6670" width="15" style="89" customWidth="1"/>
    <col min="6671" max="6671" width="7.7109375" style="89" customWidth="1"/>
    <col min="6672" max="6672" width="9.140625" style="89" customWidth="1"/>
    <col min="6673" max="6676" width="14.28515625" style="89" customWidth="1"/>
    <col min="6677" max="6677" width="15.5703125" style="89" customWidth="1"/>
    <col min="6678" max="6684" width="11.42578125" style="89"/>
    <col min="6685" max="6687" width="11.5703125" style="89" bestFit="1" customWidth="1"/>
    <col min="6688" max="6697" width="12.5703125" style="89" bestFit="1" customWidth="1"/>
    <col min="6698" max="6912" width="11.42578125" style="89"/>
    <col min="6913" max="6913" width="16.140625" style="89" customWidth="1"/>
    <col min="6914" max="6914" width="14.85546875" style="89" customWidth="1"/>
    <col min="6915" max="6915" width="10.42578125" style="89" bestFit="1" customWidth="1"/>
    <col min="6916" max="6916" width="11" style="89" bestFit="1" customWidth="1"/>
    <col min="6917" max="6917" width="14.5703125" style="89" bestFit="1" customWidth="1"/>
    <col min="6918" max="6918" width="11.5703125" style="89" bestFit="1" customWidth="1"/>
    <col min="6919" max="6919" width="13.140625" style="89" bestFit="1" customWidth="1"/>
    <col min="6920" max="6920" width="14.7109375" style="89" bestFit="1" customWidth="1"/>
    <col min="6921" max="6922" width="14.140625" style="89" bestFit="1" customWidth="1"/>
    <col min="6923" max="6923" width="18" style="89" bestFit="1" customWidth="1"/>
    <col min="6924" max="6924" width="17.140625" style="89" customWidth="1"/>
    <col min="6925" max="6925" width="6.7109375" style="89" customWidth="1"/>
    <col min="6926" max="6926" width="15" style="89" customWidth="1"/>
    <col min="6927" max="6927" width="7.7109375" style="89" customWidth="1"/>
    <col min="6928" max="6928" width="9.140625" style="89" customWidth="1"/>
    <col min="6929" max="6932" width="14.28515625" style="89" customWidth="1"/>
    <col min="6933" max="6933" width="15.5703125" style="89" customWidth="1"/>
    <col min="6934" max="6940" width="11.42578125" style="89"/>
    <col min="6941" max="6943" width="11.5703125" style="89" bestFit="1" customWidth="1"/>
    <col min="6944" max="6953" width="12.5703125" style="89" bestFit="1" customWidth="1"/>
    <col min="6954" max="7168" width="11.42578125" style="89"/>
    <col min="7169" max="7169" width="16.140625" style="89" customWidth="1"/>
    <col min="7170" max="7170" width="14.85546875" style="89" customWidth="1"/>
    <col min="7171" max="7171" width="10.42578125" style="89" bestFit="1" customWidth="1"/>
    <col min="7172" max="7172" width="11" style="89" bestFit="1" customWidth="1"/>
    <col min="7173" max="7173" width="14.5703125" style="89" bestFit="1" customWidth="1"/>
    <col min="7174" max="7174" width="11.5703125" style="89" bestFit="1" customWidth="1"/>
    <col min="7175" max="7175" width="13.140625" style="89" bestFit="1" customWidth="1"/>
    <col min="7176" max="7176" width="14.7109375" style="89" bestFit="1" customWidth="1"/>
    <col min="7177" max="7178" width="14.140625" style="89" bestFit="1" customWidth="1"/>
    <col min="7179" max="7179" width="18" style="89" bestFit="1" customWidth="1"/>
    <col min="7180" max="7180" width="17.140625" style="89" customWidth="1"/>
    <col min="7181" max="7181" width="6.7109375" style="89" customWidth="1"/>
    <col min="7182" max="7182" width="15" style="89" customWidth="1"/>
    <col min="7183" max="7183" width="7.7109375" style="89" customWidth="1"/>
    <col min="7184" max="7184" width="9.140625" style="89" customWidth="1"/>
    <col min="7185" max="7188" width="14.28515625" style="89" customWidth="1"/>
    <col min="7189" max="7189" width="15.5703125" style="89" customWidth="1"/>
    <col min="7190" max="7196" width="11.42578125" style="89"/>
    <col min="7197" max="7199" width="11.5703125" style="89" bestFit="1" customWidth="1"/>
    <col min="7200" max="7209" width="12.5703125" style="89" bestFit="1" customWidth="1"/>
    <col min="7210" max="7424" width="11.42578125" style="89"/>
    <col min="7425" max="7425" width="16.140625" style="89" customWidth="1"/>
    <col min="7426" max="7426" width="14.85546875" style="89" customWidth="1"/>
    <col min="7427" max="7427" width="10.42578125" style="89" bestFit="1" customWidth="1"/>
    <col min="7428" max="7428" width="11" style="89" bestFit="1" customWidth="1"/>
    <col min="7429" max="7429" width="14.5703125" style="89" bestFit="1" customWidth="1"/>
    <col min="7430" max="7430" width="11.5703125" style="89" bestFit="1" customWidth="1"/>
    <col min="7431" max="7431" width="13.140625" style="89" bestFit="1" customWidth="1"/>
    <col min="7432" max="7432" width="14.7109375" style="89" bestFit="1" customWidth="1"/>
    <col min="7433" max="7434" width="14.140625" style="89" bestFit="1" customWidth="1"/>
    <col min="7435" max="7435" width="18" style="89" bestFit="1" customWidth="1"/>
    <col min="7436" max="7436" width="17.140625" style="89" customWidth="1"/>
    <col min="7437" max="7437" width="6.7109375" style="89" customWidth="1"/>
    <col min="7438" max="7438" width="15" style="89" customWidth="1"/>
    <col min="7439" max="7439" width="7.7109375" style="89" customWidth="1"/>
    <col min="7440" max="7440" width="9.140625" style="89" customWidth="1"/>
    <col min="7441" max="7444" width="14.28515625" style="89" customWidth="1"/>
    <col min="7445" max="7445" width="15.5703125" style="89" customWidth="1"/>
    <col min="7446" max="7452" width="11.42578125" style="89"/>
    <col min="7453" max="7455" width="11.5703125" style="89" bestFit="1" customWidth="1"/>
    <col min="7456" max="7465" width="12.5703125" style="89" bestFit="1" customWidth="1"/>
    <col min="7466" max="7680" width="11.42578125" style="89"/>
    <col min="7681" max="7681" width="16.140625" style="89" customWidth="1"/>
    <col min="7682" max="7682" width="14.85546875" style="89" customWidth="1"/>
    <col min="7683" max="7683" width="10.42578125" style="89" bestFit="1" customWidth="1"/>
    <col min="7684" max="7684" width="11" style="89" bestFit="1" customWidth="1"/>
    <col min="7685" max="7685" width="14.5703125" style="89" bestFit="1" customWidth="1"/>
    <col min="7686" max="7686" width="11.5703125" style="89" bestFit="1" customWidth="1"/>
    <col min="7687" max="7687" width="13.140625" style="89" bestFit="1" customWidth="1"/>
    <col min="7688" max="7688" width="14.7109375" style="89" bestFit="1" customWidth="1"/>
    <col min="7689" max="7690" width="14.140625" style="89" bestFit="1" customWidth="1"/>
    <col min="7691" max="7691" width="18" style="89" bestFit="1" customWidth="1"/>
    <col min="7692" max="7692" width="17.140625" style="89" customWidth="1"/>
    <col min="7693" max="7693" width="6.7109375" style="89" customWidth="1"/>
    <col min="7694" max="7694" width="15" style="89" customWidth="1"/>
    <col min="7695" max="7695" width="7.7109375" style="89" customWidth="1"/>
    <col min="7696" max="7696" width="9.140625" style="89" customWidth="1"/>
    <col min="7697" max="7700" width="14.28515625" style="89" customWidth="1"/>
    <col min="7701" max="7701" width="15.5703125" style="89" customWidth="1"/>
    <col min="7702" max="7708" width="11.42578125" style="89"/>
    <col min="7709" max="7711" width="11.5703125" style="89" bestFit="1" customWidth="1"/>
    <col min="7712" max="7721" width="12.5703125" style="89" bestFit="1" customWidth="1"/>
    <col min="7722" max="7936" width="11.42578125" style="89"/>
    <col min="7937" max="7937" width="16.140625" style="89" customWidth="1"/>
    <col min="7938" max="7938" width="14.85546875" style="89" customWidth="1"/>
    <col min="7939" max="7939" width="10.42578125" style="89" bestFit="1" customWidth="1"/>
    <col min="7940" max="7940" width="11" style="89" bestFit="1" customWidth="1"/>
    <col min="7941" max="7941" width="14.5703125" style="89" bestFit="1" customWidth="1"/>
    <col min="7942" max="7942" width="11.5703125" style="89" bestFit="1" customWidth="1"/>
    <col min="7943" max="7943" width="13.140625" style="89" bestFit="1" customWidth="1"/>
    <col min="7944" max="7944" width="14.7109375" style="89" bestFit="1" customWidth="1"/>
    <col min="7945" max="7946" width="14.140625" style="89" bestFit="1" customWidth="1"/>
    <col min="7947" max="7947" width="18" style="89" bestFit="1" customWidth="1"/>
    <col min="7948" max="7948" width="17.140625" style="89" customWidth="1"/>
    <col min="7949" max="7949" width="6.7109375" style="89" customWidth="1"/>
    <col min="7950" max="7950" width="15" style="89" customWidth="1"/>
    <col min="7951" max="7951" width="7.7109375" style="89" customWidth="1"/>
    <col min="7952" max="7952" width="9.140625" style="89" customWidth="1"/>
    <col min="7953" max="7956" width="14.28515625" style="89" customWidth="1"/>
    <col min="7957" max="7957" width="15.5703125" style="89" customWidth="1"/>
    <col min="7958" max="7964" width="11.42578125" style="89"/>
    <col min="7965" max="7967" width="11.5703125" style="89" bestFit="1" customWidth="1"/>
    <col min="7968" max="7977" width="12.5703125" style="89" bestFit="1" customWidth="1"/>
    <col min="7978" max="8192" width="11.42578125" style="89"/>
    <col min="8193" max="8193" width="16.140625" style="89" customWidth="1"/>
    <col min="8194" max="8194" width="14.85546875" style="89" customWidth="1"/>
    <col min="8195" max="8195" width="10.42578125" style="89" bestFit="1" customWidth="1"/>
    <col min="8196" max="8196" width="11" style="89" bestFit="1" customWidth="1"/>
    <col min="8197" max="8197" width="14.5703125" style="89" bestFit="1" customWidth="1"/>
    <col min="8198" max="8198" width="11.5703125" style="89" bestFit="1" customWidth="1"/>
    <col min="8199" max="8199" width="13.140625" style="89" bestFit="1" customWidth="1"/>
    <col min="8200" max="8200" width="14.7109375" style="89" bestFit="1" customWidth="1"/>
    <col min="8201" max="8202" width="14.140625" style="89" bestFit="1" customWidth="1"/>
    <col min="8203" max="8203" width="18" style="89" bestFit="1" customWidth="1"/>
    <col min="8204" max="8204" width="17.140625" style="89" customWidth="1"/>
    <col min="8205" max="8205" width="6.7109375" style="89" customWidth="1"/>
    <col min="8206" max="8206" width="15" style="89" customWidth="1"/>
    <col min="8207" max="8207" width="7.7109375" style="89" customWidth="1"/>
    <col min="8208" max="8208" width="9.140625" style="89" customWidth="1"/>
    <col min="8209" max="8212" width="14.28515625" style="89" customWidth="1"/>
    <col min="8213" max="8213" width="15.5703125" style="89" customWidth="1"/>
    <col min="8214" max="8220" width="11.42578125" style="89"/>
    <col min="8221" max="8223" width="11.5703125" style="89" bestFit="1" customWidth="1"/>
    <col min="8224" max="8233" width="12.5703125" style="89" bestFit="1" customWidth="1"/>
    <col min="8234" max="8448" width="11.42578125" style="89"/>
    <col min="8449" max="8449" width="16.140625" style="89" customWidth="1"/>
    <col min="8450" max="8450" width="14.85546875" style="89" customWidth="1"/>
    <col min="8451" max="8451" width="10.42578125" style="89" bestFit="1" customWidth="1"/>
    <col min="8452" max="8452" width="11" style="89" bestFit="1" customWidth="1"/>
    <col min="8453" max="8453" width="14.5703125" style="89" bestFit="1" customWidth="1"/>
    <col min="8454" max="8454" width="11.5703125" style="89" bestFit="1" customWidth="1"/>
    <col min="8455" max="8455" width="13.140625" style="89" bestFit="1" customWidth="1"/>
    <col min="8456" max="8456" width="14.7109375" style="89" bestFit="1" customWidth="1"/>
    <col min="8457" max="8458" width="14.140625" style="89" bestFit="1" customWidth="1"/>
    <col min="8459" max="8459" width="18" style="89" bestFit="1" customWidth="1"/>
    <col min="8460" max="8460" width="17.140625" style="89" customWidth="1"/>
    <col min="8461" max="8461" width="6.7109375" style="89" customWidth="1"/>
    <col min="8462" max="8462" width="15" style="89" customWidth="1"/>
    <col min="8463" max="8463" width="7.7109375" style="89" customWidth="1"/>
    <col min="8464" max="8464" width="9.140625" style="89" customWidth="1"/>
    <col min="8465" max="8468" width="14.28515625" style="89" customWidth="1"/>
    <col min="8469" max="8469" width="15.5703125" style="89" customWidth="1"/>
    <col min="8470" max="8476" width="11.42578125" style="89"/>
    <col min="8477" max="8479" width="11.5703125" style="89" bestFit="1" customWidth="1"/>
    <col min="8480" max="8489" width="12.5703125" style="89" bestFit="1" customWidth="1"/>
    <col min="8490" max="8704" width="11.42578125" style="89"/>
    <col min="8705" max="8705" width="16.140625" style="89" customWidth="1"/>
    <col min="8706" max="8706" width="14.85546875" style="89" customWidth="1"/>
    <col min="8707" max="8707" width="10.42578125" style="89" bestFit="1" customWidth="1"/>
    <col min="8708" max="8708" width="11" style="89" bestFit="1" customWidth="1"/>
    <col min="8709" max="8709" width="14.5703125" style="89" bestFit="1" customWidth="1"/>
    <col min="8710" max="8710" width="11.5703125" style="89" bestFit="1" customWidth="1"/>
    <col min="8711" max="8711" width="13.140625" style="89" bestFit="1" customWidth="1"/>
    <col min="8712" max="8712" width="14.7109375" style="89" bestFit="1" customWidth="1"/>
    <col min="8713" max="8714" width="14.140625" style="89" bestFit="1" customWidth="1"/>
    <col min="8715" max="8715" width="18" style="89" bestFit="1" customWidth="1"/>
    <col min="8716" max="8716" width="17.140625" style="89" customWidth="1"/>
    <col min="8717" max="8717" width="6.7109375" style="89" customWidth="1"/>
    <col min="8718" max="8718" width="15" style="89" customWidth="1"/>
    <col min="8719" max="8719" width="7.7109375" style="89" customWidth="1"/>
    <col min="8720" max="8720" width="9.140625" style="89" customWidth="1"/>
    <col min="8721" max="8724" width="14.28515625" style="89" customWidth="1"/>
    <col min="8725" max="8725" width="15.5703125" style="89" customWidth="1"/>
    <col min="8726" max="8732" width="11.42578125" style="89"/>
    <col min="8733" max="8735" width="11.5703125" style="89" bestFit="1" customWidth="1"/>
    <col min="8736" max="8745" width="12.5703125" style="89" bestFit="1" customWidth="1"/>
    <col min="8746" max="8960" width="11.42578125" style="89"/>
    <col min="8961" max="8961" width="16.140625" style="89" customWidth="1"/>
    <col min="8962" max="8962" width="14.85546875" style="89" customWidth="1"/>
    <col min="8963" max="8963" width="10.42578125" style="89" bestFit="1" customWidth="1"/>
    <col min="8964" max="8964" width="11" style="89" bestFit="1" customWidth="1"/>
    <col min="8965" max="8965" width="14.5703125" style="89" bestFit="1" customWidth="1"/>
    <col min="8966" max="8966" width="11.5703125" style="89" bestFit="1" customWidth="1"/>
    <col min="8967" max="8967" width="13.140625" style="89" bestFit="1" customWidth="1"/>
    <col min="8968" max="8968" width="14.7109375" style="89" bestFit="1" customWidth="1"/>
    <col min="8969" max="8970" width="14.140625" style="89" bestFit="1" customWidth="1"/>
    <col min="8971" max="8971" width="18" style="89" bestFit="1" customWidth="1"/>
    <col min="8972" max="8972" width="17.140625" style="89" customWidth="1"/>
    <col min="8973" max="8973" width="6.7109375" style="89" customWidth="1"/>
    <col min="8974" max="8974" width="15" style="89" customWidth="1"/>
    <col min="8975" max="8975" width="7.7109375" style="89" customWidth="1"/>
    <col min="8976" max="8976" width="9.140625" style="89" customWidth="1"/>
    <col min="8977" max="8980" width="14.28515625" style="89" customWidth="1"/>
    <col min="8981" max="8981" width="15.5703125" style="89" customWidth="1"/>
    <col min="8982" max="8988" width="11.42578125" style="89"/>
    <col min="8989" max="8991" width="11.5703125" style="89" bestFit="1" customWidth="1"/>
    <col min="8992" max="9001" width="12.5703125" style="89" bestFit="1" customWidth="1"/>
    <col min="9002" max="9216" width="11.42578125" style="89"/>
    <col min="9217" max="9217" width="16.140625" style="89" customWidth="1"/>
    <col min="9218" max="9218" width="14.85546875" style="89" customWidth="1"/>
    <col min="9219" max="9219" width="10.42578125" style="89" bestFit="1" customWidth="1"/>
    <col min="9220" max="9220" width="11" style="89" bestFit="1" customWidth="1"/>
    <col min="9221" max="9221" width="14.5703125" style="89" bestFit="1" customWidth="1"/>
    <col min="9222" max="9222" width="11.5703125" style="89" bestFit="1" customWidth="1"/>
    <col min="9223" max="9223" width="13.140625" style="89" bestFit="1" customWidth="1"/>
    <col min="9224" max="9224" width="14.7109375" style="89" bestFit="1" customWidth="1"/>
    <col min="9225" max="9226" width="14.140625" style="89" bestFit="1" customWidth="1"/>
    <col min="9227" max="9227" width="18" style="89" bestFit="1" customWidth="1"/>
    <col min="9228" max="9228" width="17.140625" style="89" customWidth="1"/>
    <col min="9229" max="9229" width="6.7109375" style="89" customWidth="1"/>
    <col min="9230" max="9230" width="15" style="89" customWidth="1"/>
    <col min="9231" max="9231" width="7.7109375" style="89" customWidth="1"/>
    <col min="9232" max="9232" width="9.140625" style="89" customWidth="1"/>
    <col min="9233" max="9236" width="14.28515625" style="89" customWidth="1"/>
    <col min="9237" max="9237" width="15.5703125" style="89" customWidth="1"/>
    <col min="9238" max="9244" width="11.42578125" style="89"/>
    <col min="9245" max="9247" width="11.5703125" style="89" bestFit="1" customWidth="1"/>
    <col min="9248" max="9257" width="12.5703125" style="89" bestFit="1" customWidth="1"/>
    <col min="9258" max="9472" width="11.42578125" style="89"/>
    <col min="9473" max="9473" width="16.140625" style="89" customWidth="1"/>
    <col min="9474" max="9474" width="14.85546875" style="89" customWidth="1"/>
    <col min="9475" max="9475" width="10.42578125" style="89" bestFit="1" customWidth="1"/>
    <col min="9476" max="9476" width="11" style="89" bestFit="1" customWidth="1"/>
    <col min="9477" max="9477" width="14.5703125" style="89" bestFit="1" customWidth="1"/>
    <col min="9478" max="9478" width="11.5703125" style="89" bestFit="1" customWidth="1"/>
    <col min="9479" max="9479" width="13.140625" style="89" bestFit="1" customWidth="1"/>
    <col min="9480" max="9480" width="14.7109375" style="89" bestFit="1" customWidth="1"/>
    <col min="9481" max="9482" width="14.140625" style="89" bestFit="1" customWidth="1"/>
    <col min="9483" max="9483" width="18" style="89" bestFit="1" customWidth="1"/>
    <col min="9484" max="9484" width="17.140625" style="89" customWidth="1"/>
    <col min="9485" max="9485" width="6.7109375" style="89" customWidth="1"/>
    <col min="9486" max="9486" width="15" style="89" customWidth="1"/>
    <col min="9487" max="9487" width="7.7109375" style="89" customWidth="1"/>
    <col min="9488" max="9488" width="9.140625" style="89" customWidth="1"/>
    <col min="9489" max="9492" width="14.28515625" style="89" customWidth="1"/>
    <col min="9493" max="9493" width="15.5703125" style="89" customWidth="1"/>
    <col min="9494" max="9500" width="11.42578125" style="89"/>
    <col min="9501" max="9503" width="11.5703125" style="89" bestFit="1" customWidth="1"/>
    <col min="9504" max="9513" width="12.5703125" style="89" bestFit="1" customWidth="1"/>
    <col min="9514" max="9728" width="11.42578125" style="89"/>
    <col min="9729" max="9729" width="16.140625" style="89" customWidth="1"/>
    <col min="9730" max="9730" width="14.85546875" style="89" customWidth="1"/>
    <col min="9731" max="9731" width="10.42578125" style="89" bestFit="1" customWidth="1"/>
    <col min="9732" max="9732" width="11" style="89" bestFit="1" customWidth="1"/>
    <col min="9733" max="9733" width="14.5703125" style="89" bestFit="1" customWidth="1"/>
    <col min="9734" max="9734" width="11.5703125" style="89" bestFit="1" customWidth="1"/>
    <col min="9735" max="9735" width="13.140625" style="89" bestFit="1" customWidth="1"/>
    <col min="9736" max="9736" width="14.7109375" style="89" bestFit="1" customWidth="1"/>
    <col min="9737" max="9738" width="14.140625" style="89" bestFit="1" customWidth="1"/>
    <col min="9739" max="9739" width="18" style="89" bestFit="1" customWidth="1"/>
    <col min="9740" max="9740" width="17.140625" style="89" customWidth="1"/>
    <col min="9741" max="9741" width="6.7109375" style="89" customWidth="1"/>
    <col min="9742" max="9742" width="15" style="89" customWidth="1"/>
    <col min="9743" max="9743" width="7.7109375" style="89" customWidth="1"/>
    <col min="9744" max="9744" width="9.140625" style="89" customWidth="1"/>
    <col min="9745" max="9748" width="14.28515625" style="89" customWidth="1"/>
    <col min="9749" max="9749" width="15.5703125" style="89" customWidth="1"/>
    <col min="9750" max="9756" width="11.42578125" style="89"/>
    <col min="9757" max="9759" width="11.5703125" style="89" bestFit="1" customWidth="1"/>
    <col min="9760" max="9769" width="12.5703125" style="89" bestFit="1" customWidth="1"/>
    <col min="9770" max="9984" width="11.42578125" style="89"/>
    <col min="9985" max="9985" width="16.140625" style="89" customWidth="1"/>
    <col min="9986" max="9986" width="14.85546875" style="89" customWidth="1"/>
    <col min="9987" max="9987" width="10.42578125" style="89" bestFit="1" customWidth="1"/>
    <col min="9988" max="9988" width="11" style="89" bestFit="1" customWidth="1"/>
    <col min="9989" max="9989" width="14.5703125" style="89" bestFit="1" customWidth="1"/>
    <col min="9990" max="9990" width="11.5703125" style="89" bestFit="1" customWidth="1"/>
    <col min="9991" max="9991" width="13.140625" style="89" bestFit="1" customWidth="1"/>
    <col min="9992" max="9992" width="14.7109375" style="89" bestFit="1" customWidth="1"/>
    <col min="9993" max="9994" width="14.140625" style="89" bestFit="1" customWidth="1"/>
    <col min="9995" max="9995" width="18" style="89" bestFit="1" customWidth="1"/>
    <col min="9996" max="9996" width="17.140625" style="89" customWidth="1"/>
    <col min="9997" max="9997" width="6.7109375" style="89" customWidth="1"/>
    <col min="9998" max="9998" width="15" style="89" customWidth="1"/>
    <col min="9999" max="9999" width="7.7109375" style="89" customWidth="1"/>
    <col min="10000" max="10000" width="9.140625" style="89" customWidth="1"/>
    <col min="10001" max="10004" width="14.28515625" style="89" customWidth="1"/>
    <col min="10005" max="10005" width="15.5703125" style="89" customWidth="1"/>
    <col min="10006" max="10012" width="11.42578125" style="89"/>
    <col min="10013" max="10015" width="11.5703125" style="89" bestFit="1" customWidth="1"/>
    <col min="10016" max="10025" width="12.5703125" style="89" bestFit="1" customWidth="1"/>
    <col min="10026" max="10240" width="11.42578125" style="89"/>
    <col min="10241" max="10241" width="16.140625" style="89" customWidth="1"/>
    <col min="10242" max="10242" width="14.85546875" style="89" customWidth="1"/>
    <col min="10243" max="10243" width="10.42578125" style="89" bestFit="1" customWidth="1"/>
    <col min="10244" max="10244" width="11" style="89" bestFit="1" customWidth="1"/>
    <col min="10245" max="10245" width="14.5703125" style="89" bestFit="1" customWidth="1"/>
    <col min="10246" max="10246" width="11.5703125" style="89" bestFit="1" customWidth="1"/>
    <col min="10247" max="10247" width="13.140625" style="89" bestFit="1" customWidth="1"/>
    <col min="10248" max="10248" width="14.7109375" style="89" bestFit="1" customWidth="1"/>
    <col min="10249" max="10250" width="14.140625" style="89" bestFit="1" customWidth="1"/>
    <col min="10251" max="10251" width="18" style="89" bestFit="1" customWidth="1"/>
    <col min="10252" max="10252" width="17.140625" style="89" customWidth="1"/>
    <col min="10253" max="10253" width="6.7109375" style="89" customWidth="1"/>
    <col min="10254" max="10254" width="15" style="89" customWidth="1"/>
    <col min="10255" max="10255" width="7.7109375" style="89" customWidth="1"/>
    <col min="10256" max="10256" width="9.140625" style="89" customWidth="1"/>
    <col min="10257" max="10260" width="14.28515625" style="89" customWidth="1"/>
    <col min="10261" max="10261" width="15.5703125" style="89" customWidth="1"/>
    <col min="10262" max="10268" width="11.42578125" style="89"/>
    <col min="10269" max="10271" width="11.5703125" style="89" bestFit="1" customWidth="1"/>
    <col min="10272" max="10281" width="12.5703125" style="89" bestFit="1" customWidth="1"/>
    <col min="10282" max="10496" width="11.42578125" style="89"/>
    <col min="10497" max="10497" width="16.140625" style="89" customWidth="1"/>
    <col min="10498" max="10498" width="14.85546875" style="89" customWidth="1"/>
    <col min="10499" max="10499" width="10.42578125" style="89" bestFit="1" customWidth="1"/>
    <col min="10500" max="10500" width="11" style="89" bestFit="1" customWidth="1"/>
    <col min="10501" max="10501" width="14.5703125" style="89" bestFit="1" customWidth="1"/>
    <col min="10502" max="10502" width="11.5703125" style="89" bestFit="1" customWidth="1"/>
    <col min="10503" max="10503" width="13.140625" style="89" bestFit="1" customWidth="1"/>
    <col min="10504" max="10504" width="14.7109375" style="89" bestFit="1" customWidth="1"/>
    <col min="10505" max="10506" width="14.140625" style="89" bestFit="1" customWidth="1"/>
    <col min="10507" max="10507" width="18" style="89" bestFit="1" customWidth="1"/>
    <col min="10508" max="10508" width="17.140625" style="89" customWidth="1"/>
    <col min="10509" max="10509" width="6.7109375" style="89" customWidth="1"/>
    <col min="10510" max="10510" width="15" style="89" customWidth="1"/>
    <col min="10511" max="10511" width="7.7109375" style="89" customWidth="1"/>
    <col min="10512" max="10512" width="9.140625" style="89" customWidth="1"/>
    <col min="10513" max="10516" width="14.28515625" style="89" customWidth="1"/>
    <col min="10517" max="10517" width="15.5703125" style="89" customWidth="1"/>
    <col min="10518" max="10524" width="11.42578125" style="89"/>
    <col min="10525" max="10527" width="11.5703125" style="89" bestFit="1" customWidth="1"/>
    <col min="10528" max="10537" width="12.5703125" style="89" bestFit="1" customWidth="1"/>
    <col min="10538" max="10752" width="11.42578125" style="89"/>
    <col min="10753" max="10753" width="16.140625" style="89" customWidth="1"/>
    <col min="10754" max="10754" width="14.85546875" style="89" customWidth="1"/>
    <col min="10755" max="10755" width="10.42578125" style="89" bestFit="1" customWidth="1"/>
    <col min="10756" max="10756" width="11" style="89" bestFit="1" customWidth="1"/>
    <col min="10757" max="10757" width="14.5703125" style="89" bestFit="1" customWidth="1"/>
    <col min="10758" max="10758" width="11.5703125" style="89" bestFit="1" customWidth="1"/>
    <col min="10759" max="10759" width="13.140625" style="89" bestFit="1" customWidth="1"/>
    <col min="10760" max="10760" width="14.7109375" style="89" bestFit="1" customWidth="1"/>
    <col min="10761" max="10762" width="14.140625" style="89" bestFit="1" customWidth="1"/>
    <col min="10763" max="10763" width="18" style="89" bestFit="1" customWidth="1"/>
    <col min="10764" max="10764" width="17.140625" style="89" customWidth="1"/>
    <col min="10765" max="10765" width="6.7109375" style="89" customWidth="1"/>
    <col min="10766" max="10766" width="15" style="89" customWidth="1"/>
    <col min="10767" max="10767" width="7.7109375" style="89" customWidth="1"/>
    <col min="10768" max="10768" width="9.140625" style="89" customWidth="1"/>
    <col min="10769" max="10772" width="14.28515625" style="89" customWidth="1"/>
    <col min="10773" max="10773" width="15.5703125" style="89" customWidth="1"/>
    <col min="10774" max="10780" width="11.42578125" style="89"/>
    <col min="10781" max="10783" width="11.5703125" style="89" bestFit="1" customWidth="1"/>
    <col min="10784" max="10793" width="12.5703125" style="89" bestFit="1" customWidth="1"/>
    <col min="10794" max="11008" width="11.42578125" style="89"/>
    <col min="11009" max="11009" width="16.140625" style="89" customWidth="1"/>
    <col min="11010" max="11010" width="14.85546875" style="89" customWidth="1"/>
    <col min="11011" max="11011" width="10.42578125" style="89" bestFit="1" customWidth="1"/>
    <col min="11012" max="11012" width="11" style="89" bestFit="1" customWidth="1"/>
    <col min="11013" max="11013" width="14.5703125" style="89" bestFit="1" customWidth="1"/>
    <col min="11014" max="11014" width="11.5703125" style="89" bestFit="1" customWidth="1"/>
    <col min="11015" max="11015" width="13.140625" style="89" bestFit="1" customWidth="1"/>
    <col min="11016" max="11016" width="14.7109375" style="89" bestFit="1" customWidth="1"/>
    <col min="11017" max="11018" width="14.140625" style="89" bestFit="1" customWidth="1"/>
    <col min="11019" max="11019" width="18" style="89" bestFit="1" customWidth="1"/>
    <col min="11020" max="11020" width="17.140625" style="89" customWidth="1"/>
    <col min="11021" max="11021" width="6.7109375" style="89" customWidth="1"/>
    <col min="11022" max="11022" width="15" style="89" customWidth="1"/>
    <col min="11023" max="11023" width="7.7109375" style="89" customWidth="1"/>
    <col min="11024" max="11024" width="9.140625" style="89" customWidth="1"/>
    <col min="11025" max="11028" width="14.28515625" style="89" customWidth="1"/>
    <col min="11029" max="11029" width="15.5703125" style="89" customWidth="1"/>
    <col min="11030" max="11036" width="11.42578125" style="89"/>
    <col min="11037" max="11039" width="11.5703125" style="89" bestFit="1" customWidth="1"/>
    <col min="11040" max="11049" width="12.5703125" style="89" bestFit="1" customWidth="1"/>
    <col min="11050" max="11264" width="11.42578125" style="89"/>
    <col min="11265" max="11265" width="16.140625" style="89" customWidth="1"/>
    <col min="11266" max="11266" width="14.85546875" style="89" customWidth="1"/>
    <col min="11267" max="11267" width="10.42578125" style="89" bestFit="1" customWidth="1"/>
    <col min="11268" max="11268" width="11" style="89" bestFit="1" customWidth="1"/>
    <col min="11269" max="11269" width="14.5703125" style="89" bestFit="1" customWidth="1"/>
    <col min="11270" max="11270" width="11.5703125" style="89" bestFit="1" customWidth="1"/>
    <col min="11271" max="11271" width="13.140625" style="89" bestFit="1" customWidth="1"/>
    <col min="11272" max="11272" width="14.7109375" style="89" bestFit="1" customWidth="1"/>
    <col min="11273" max="11274" width="14.140625" style="89" bestFit="1" customWidth="1"/>
    <col min="11275" max="11275" width="18" style="89" bestFit="1" customWidth="1"/>
    <col min="11276" max="11276" width="17.140625" style="89" customWidth="1"/>
    <col min="11277" max="11277" width="6.7109375" style="89" customWidth="1"/>
    <col min="11278" max="11278" width="15" style="89" customWidth="1"/>
    <col min="11279" max="11279" width="7.7109375" style="89" customWidth="1"/>
    <col min="11280" max="11280" width="9.140625" style="89" customWidth="1"/>
    <col min="11281" max="11284" width="14.28515625" style="89" customWidth="1"/>
    <col min="11285" max="11285" width="15.5703125" style="89" customWidth="1"/>
    <col min="11286" max="11292" width="11.42578125" style="89"/>
    <col min="11293" max="11295" width="11.5703125" style="89" bestFit="1" customWidth="1"/>
    <col min="11296" max="11305" width="12.5703125" style="89" bestFit="1" customWidth="1"/>
    <col min="11306" max="11520" width="11.42578125" style="89"/>
    <col min="11521" max="11521" width="16.140625" style="89" customWidth="1"/>
    <col min="11522" max="11522" width="14.85546875" style="89" customWidth="1"/>
    <col min="11523" max="11523" width="10.42578125" style="89" bestFit="1" customWidth="1"/>
    <col min="11524" max="11524" width="11" style="89" bestFit="1" customWidth="1"/>
    <col min="11525" max="11525" width="14.5703125" style="89" bestFit="1" customWidth="1"/>
    <col min="11526" max="11526" width="11.5703125" style="89" bestFit="1" customWidth="1"/>
    <col min="11527" max="11527" width="13.140625" style="89" bestFit="1" customWidth="1"/>
    <col min="11528" max="11528" width="14.7109375" style="89" bestFit="1" customWidth="1"/>
    <col min="11529" max="11530" width="14.140625" style="89" bestFit="1" customWidth="1"/>
    <col min="11531" max="11531" width="18" style="89" bestFit="1" customWidth="1"/>
    <col min="11532" max="11532" width="17.140625" style="89" customWidth="1"/>
    <col min="11533" max="11533" width="6.7109375" style="89" customWidth="1"/>
    <col min="11534" max="11534" width="15" style="89" customWidth="1"/>
    <col min="11535" max="11535" width="7.7109375" style="89" customWidth="1"/>
    <col min="11536" max="11536" width="9.140625" style="89" customWidth="1"/>
    <col min="11537" max="11540" width="14.28515625" style="89" customWidth="1"/>
    <col min="11541" max="11541" width="15.5703125" style="89" customWidth="1"/>
    <col min="11542" max="11548" width="11.42578125" style="89"/>
    <col min="11549" max="11551" width="11.5703125" style="89" bestFit="1" customWidth="1"/>
    <col min="11552" max="11561" width="12.5703125" style="89" bestFit="1" customWidth="1"/>
    <col min="11562" max="11776" width="11.42578125" style="89"/>
    <col min="11777" max="11777" width="16.140625" style="89" customWidth="1"/>
    <col min="11778" max="11778" width="14.85546875" style="89" customWidth="1"/>
    <col min="11779" max="11779" width="10.42578125" style="89" bestFit="1" customWidth="1"/>
    <col min="11780" max="11780" width="11" style="89" bestFit="1" customWidth="1"/>
    <col min="11781" max="11781" width="14.5703125" style="89" bestFit="1" customWidth="1"/>
    <col min="11782" max="11782" width="11.5703125" style="89" bestFit="1" customWidth="1"/>
    <col min="11783" max="11783" width="13.140625" style="89" bestFit="1" customWidth="1"/>
    <col min="11784" max="11784" width="14.7109375" style="89" bestFit="1" customWidth="1"/>
    <col min="11785" max="11786" width="14.140625" style="89" bestFit="1" customWidth="1"/>
    <col min="11787" max="11787" width="18" style="89" bestFit="1" customWidth="1"/>
    <col min="11788" max="11788" width="17.140625" style="89" customWidth="1"/>
    <col min="11789" max="11789" width="6.7109375" style="89" customWidth="1"/>
    <col min="11790" max="11790" width="15" style="89" customWidth="1"/>
    <col min="11791" max="11791" width="7.7109375" style="89" customWidth="1"/>
    <col min="11792" max="11792" width="9.140625" style="89" customWidth="1"/>
    <col min="11793" max="11796" width="14.28515625" style="89" customWidth="1"/>
    <col min="11797" max="11797" width="15.5703125" style="89" customWidth="1"/>
    <col min="11798" max="11804" width="11.42578125" style="89"/>
    <col min="11805" max="11807" width="11.5703125" style="89" bestFit="1" customWidth="1"/>
    <col min="11808" max="11817" width="12.5703125" style="89" bestFit="1" customWidth="1"/>
    <col min="11818" max="12032" width="11.42578125" style="89"/>
    <col min="12033" max="12033" width="16.140625" style="89" customWidth="1"/>
    <col min="12034" max="12034" width="14.85546875" style="89" customWidth="1"/>
    <col min="12035" max="12035" width="10.42578125" style="89" bestFit="1" customWidth="1"/>
    <col min="12036" max="12036" width="11" style="89" bestFit="1" customWidth="1"/>
    <col min="12037" max="12037" width="14.5703125" style="89" bestFit="1" customWidth="1"/>
    <col min="12038" max="12038" width="11.5703125" style="89" bestFit="1" customWidth="1"/>
    <col min="12039" max="12039" width="13.140625" style="89" bestFit="1" customWidth="1"/>
    <col min="12040" max="12040" width="14.7109375" style="89" bestFit="1" customWidth="1"/>
    <col min="12041" max="12042" width="14.140625" style="89" bestFit="1" customWidth="1"/>
    <col min="12043" max="12043" width="18" style="89" bestFit="1" customWidth="1"/>
    <col min="12044" max="12044" width="17.140625" style="89" customWidth="1"/>
    <col min="12045" max="12045" width="6.7109375" style="89" customWidth="1"/>
    <col min="12046" max="12046" width="15" style="89" customWidth="1"/>
    <col min="12047" max="12047" width="7.7109375" style="89" customWidth="1"/>
    <col min="12048" max="12048" width="9.140625" style="89" customWidth="1"/>
    <col min="12049" max="12052" width="14.28515625" style="89" customWidth="1"/>
    <col min="12053" max="12053" width="15.5703125" style="89" customWidth="1"/>
    <col min="12054" max="12060" width="11.42578125" style="89"/>
    <col min="12061" max="12063" width="11.5703125" style="89" bestFit="1" customWidth="1"/>
    <col min="12064" max="12073" width="12.5703125" style="89" bestFit="1" customWidth="1"/>
    <col min="12074" max="12288" width="11.42578125" style="89"/>
    <col min="12289" max="12289" width="16.140625" style="89" customWidth="1"/>
    <col min="12290" max="12290" width="14.85546875" style="89" customWidth="1"/>
    <col min="12291" max="12291" width="10.42578125" style="89" bestFit="1" customWidth="1"/>
    <col min="12292" max="12292" width="11" style="89" bestFit="1" customWidth="1"/>
    <col min="12293" max="12293" width="14.5703125" style="89" bestFit="1" customWidth="1"/>
    <col min="12294" max="12294" width="11.5703125" style="89" bestFit="1" customWidth="1"/>
    <col min="12295" max="12295" width="13.140625" style="89" bestFit="1" customWidth="1"/>
    <col min="12296" max="12296" width="14.7109375" style="89" bestFit="1" customWidth="1"/>
    <col min="12297" max="12298" width="14.140625" style="89" bestFit="1" customWidth="1"/>
    <col min="12299" max="12299" width="18" style="89" bestFit="1" customWidth="1"/>
    <col min="12300" max="12300" width="17.140625" style="89" customWidth="1"/>
    <col min="12301" max="12301" width="6.7109375" style="89" customWidth="1"/>
    <col min="12302" max="12302" width="15" style="89" customWidth="1"/>
    <col min="12303" max="12303" width="7.7109375" style="89" customWidth="1"/>
    <col min="12304" max="12304" width="9.140625" style="89" customWidth="1"/>
    <col min="12305" max="12308" width="14.28515625" style="89" customWidth="1"/>
    <col min="12309" max="12309" width="15.5703125" style="89" customWidth="1"/>
    <col min="12310" max="12316" width="11.42578125" style="89"/>
    <col min="12317" max="12319" width="11.5703125" style="89" bestFit="1" customWidth="1"/>
    <col min="12320" max="12329" width="12.5703125" style="89" bestFit="1" customWidth="1"/>
    <col min="12330" max="12544" width="11.42578125" style="89"/>
    <col min="12545" max="12545" width="16.140625" style="89" customWidth="1"/>
    <col min="12546" max="12546" width="14.85546875" style="89" customWidth="1"/>
    <col min="12547" max="12547" width="10.42578125" style="89" bestFit="1" customWidth="1"/>
    <col min="12548" max="12548" width="11" style="89" bestFit="1" customWidth="1"/>
    <col min="12549" max="12549" width="14.5703125" style="89" bestFit="1" customWidth="1"/>
    <col min="12550" max="12550" width="11.5703125" style="89" bestFit="1" customWidth="1"/>
    <col min="12551" max="12551" width="13.140625" style="89" bestFit="1" customWidth="1"/>
    <col min="12552" max="12552" width="14.7109375" style="89" bestFit="1" customWidth="1"/>
    <col min="12553" max="12554" width="14.140625" style="89" bestFit="1" customWidth="1"/>
    <col min="12555" max="12555" width="18" style="89" bestFit="1" customWidth="1"/>
    <col min="12556" max="12556" width="17.140625" style="89" customWidth="1"/>
    <col min="12557" max="12557" width="6.7109375" style="89" customWidth="1"/>
    <col min="12558" max="12558" width="15" style="89" customWidth="1"/>
    <col min="12559" max="12559" width="7.7109375" style="89" customWidth="1"/>
    <col min="12560" max="12560" width="9.140625" style="89" customWidth="1"/>
    <col min="12561" max="12564" width="14.28515625" style="89" customWidth="1"/>
    <col min="12565" max="12565" width="15.5703125" style="89" customWidth="1"/>
    <col min="12566" max="12572" width="11.42578125" style="89"/>
    <col min="12573" max="12575" width="11.5703125" style="89" bestFit="1" customWidth="1"/>
    <col min="12576" max="12585" width="12.5703125" style="89" bestFit="1" customWidth="1"/>
    <col min="12586" max="12800" width="11.42578125" style="89"/>
    <col min="12801" max="12801" width="16.140625" style="89" customWidth="1"/>
    <col min="12802" max="12802" width="14.85546875" style="89" customWidth="1"/>
    <col min="12803" max="12803" width="10.42578125" style="89" bestFit="1" customWidth="1"/>
    <col min="12804" max="12804" width="11" style="89" bestFit="1" customWidth="1"/>
    <col min="12805" max="12805" width="14.5703125" style="89" bestFit="1" customWidth="1"/>
    <col min="12806" max="12806" width="11.5703125" style="89" bestFit="1" customWidth="1"/>
    <col min="12807" max="12807" width="13.140625" style="89" bestFit="1" customWidth="1"/>
    <col min="12808" max="12808" width="14.7109375" style="89" bestFit="1" customWidth="1"/>
    <col min="12809" max="12810" width="14.140625" style="89" bestFit="1" customWidth="1"/>
    <col min="12811" max="12811" width="18" style="89" bestFit="1" customWidth="1"/>
    <col min="12812" max="12812" width="17.140625" style="89" customWidth="1"/>
    <col min="12813" max="12813" width="6.7109375" style="89" customWidth="1"/>
    <col min="12814" max="12814" width="15" style="89" customWidth="1"/>
    <col min="12815" max="12815" width="7.7109375" style="89" customWidth="1"/>
    <col min="12816" max="12816" width="9.140625" style="89" customWidth="1"/>
    <col min="12817" max="12820" width="14.28515625" style="89" customWidth="1"/>
    <col min="12821" max="12821" width="15.5703125" style="89" customWidth="1"/>
    <col min="12822" max="12828" width="11.42578125" style="89"/>
    <col min="12829" max="12831" width="11.5703125" style="89" bestFit="1" customWidth="1"/>
    <col min="12832" max="12841" width="12.5703125" style="89" bestFit="1" customWidth="1"/>
    <col min="12842" max="13056" width="11.42578125" style="89"/>
    <col min="13057" max="13057" width="16.140625" style="89" customWidth="1"/>
    <col min="13058" max="13058" width="14.85546875" style="89" customWidth="1"/>
    <col min="13059" max="13059" width="10.42578125" style="89" bestFit="1" customWidth="1"/>
    <col min="13060" max="13060" width="11" style="89" bestFit="1" customWidth="1"/>
    <col min="13061" max="13061" width="14.5703125" style="89" bestFit="1" customWidth="1"/>
    <col min="13062" max="13062" width="11.5703125" style="89" bestFit="1" customWidth="1"/>
    <col min="13063" max="13063" width="13.140625" style="89" bestFit="1" customWidth="1"/>
    <col min="13064" max="13064" width="14.7109375" style="89" bestFit="1" customWidth="1"/>
    <col min="13065" max="13066" width="14.140625" style="89" bestFit="1" customWidth="1"/>
    <col min="13067" max="13067" width="18" style="89" bestFit="1" customWidth="1"/>
    <col min="13068" max="13068" width="17.140625" style="89" customWidth="1"/>
    <col min="13069" max="13069" width="6.7109375" style="89" customWidth="1"/>
    <col min="13070" max="13070" width="15" style="89" customWidth="1"/>
    <col min="13071" max="13071" width="7.7109375" style="89" customWidth="1"/>
    <col min="13072" max="13072" width="9.140625" style="89" customWidth="1"/>
    <col min="13073" max="13076" width="14.28515625" style="89" customWidth="1"/>
    <col min="13077" max="13077" width="15.5703125" style="89" customWidth="1"/>
    <col min="13078" max="13084" width="11.42578125" style="89"/>
    <col min="13085" max="13087" width="11.5703125" style="89" bestFit="1" customWidth="1"/>
    <col min="13088" max="13097" width="12.5703125" style="89" bestFit="1" customWidth="1"/>
    <col min="13098" max="13312" width="11.42578125" style="89"/>
    <col min="13313" max="13313" width="16.140625" style="89" customWidth="1"/>
    <col min="13314" max="13314" width="14.85546875" style="89" customWidth="1"/>
    <col min="13315" max="13315" width="10.42578125" style="89" bestFit="1" customWidth="1"/>
    <col min="13316" max="13316" width="11" style="89" bestFit="1" customWidth="1"/>
    <col min="13317" max="13317" width="14.5703125" style="89" bestFit="1" customWidth="1"/>
    <col min="13318" max="13318" width="11.5703125" style="89" bestFit="1" customWidth="1"/>
    <col min="13319" max="13319" width="13.140625" style="89" bestFit="1" customWidth="1"/>
    <col min="13320" max="13320" width="14.7109375" style="89" bestFit="1" customWidth="1"/>
    <col min="13321" max="13322" width="14.140625" style="89" bestFit="1" customWidth="1"/>
    <col min="13323" max="13323" width="18" style="89" bestFit="1" customWidth="1"/>
    <col min="13324" max="13324" width="17.140625" style="89" customWidth="1"/>
    <col min="13325" max="13325" width="6.7109375" style="89" customWidth="1"/>
    <col min="13326" max="13326" width="15" style="89" customWidth="1"/>
    <col min="13327" max="13327" width="7.7109375" style="89" customWidth="1"/>
    <col min="13328" max="13328" width="9.140625" style="89" customWidth="1"/>
    <col min="13329" max="13332" width="14.28515625" style="89" customWidth="1"/>
    <col min="13333" max="13333" width="15.5703125" style="89" customWidth="1"/>
    <col min="13334" max="13340" width="11.42578125" style="89"/>
    <col min="13341" max="13343" width="11.5703125" style="89" bestFit="1" customWidth="1"/>
    <col min="13344" max="13353" width="12.5703125" style="89" bestFit="1" customWidth="1"/>
    <col min="13354" max="13568" width="11.42578125" style="89"/>
    <col min="13569" max="13569" width="16.140625" style="89" customWidth="1"/>
    <col min="13570" max="13570" width="14.85546875" style="89" customWidth="1"/>
    <col min="13571" max="13571" width="10.42578125" style="89" bestFit="1" customWidth="1"/>
    <col min="13572" max="13572" width="11" style="89" bestFit="1" customWidth="1"/>
    <col min="13573" max="13573" width="14.5703125" style="89" bestFit="1" customWidth="1"/>
    <col min="13574" max="13574" width="11.5703125" style="89" bestFit="1" customWidth="1"/>
    <col min="13575" max="13575" width="13.140625" style="89" bestFit="1" customWidth="1"/>
    <col min="13576" max="13576" width="14.7109375" style="89" bestFit="1" customWidth="1"/>
    <col min="13577" max="13578" width="14.140625" style="89" bestFit="1" customWidth="1"/>
    <col min="13579" max="13579" width="18" style="89" bestFit="1" customWidth="1"/>
    <col min="13580" max="13580" width="17.140625" style="89" customWidth="1"/>
    <col min="13581" max="13581" width="6.7109375" style="89" customWidth="1"/>
    <col min="13582" max="13582" width="15" style="89" customWidth="1"/>
    <col min="13583" max="13583" width="7.7109375" style="89" customWidth="1"/>
    <col min="13584" max="13584" width="9.140625" style="89" customWidth="1"/>
    <col min="13585" max="13588" width="14.28515625" style="89" customWidth="1"/>
    <col min="13589" max="13589" width="15.5703125" style="89" customWidth="1"/>
    <col min="13590" max="13596" width="11.42578125" style="89"/>
    <col min="13597" max="13599" width="11.5703125" style="89" bestFit="1" customWidth="1"/>
    <col min="13600" max="13609" width="12.5703125" style="89" bestFit="1" customWidth="1"/>
    <col min="13610" max="13824" width="11.42578125" style="89"/>
    <col min="13825" max="13825" width="16.140625" style="89" customWidth="1"/>
    <col min="13826" max="13826" width="14.85546875" style="89" customWidth="1"/>
    <col min="13827" max="13827" width="10.42578125" style="89" bestFit="1" customWidth="1"/>
    <col min="13828" max="13828" width="11" style="89" bestFit="1" customWidth="1"/>
    <col min="13829" max="13829" width="14.5703125" style="89" bestFit="1" customWidth="1"/>
    <col min="13830" max="13830" width="11.5703125" style="89" bestFit="1" customWidth="1"/>
    <col min="13831" max="13831" width="13.140625" style="89" bestFit="1" customWidth="1"/>
    <col min="13832" max="13832" width="14.7109375" style="89" bestFit="1" customWidth="1"/>
    <col min="13833" max="13834" width="14.140625" style="89" bestFit="1" customWidth="1"/>
    <col min="13835" max="13835" width="18" style="89" bestFit="1" customWidth="1"/>
    <col min="13836" max="13836" width="17.140625" style="89" customWidth="1"/>
    <col min="13837" max="13837" width="6.7109375" style="89" customWidth="1"/>
    <col min="13838" max="13838" width="15" style="89" customWidth="1"/>
    <col min="13839" max="13839" width="7.7109375" style="89" customWidth="1"/>
    <col min="13840" max="13840" width="9.140625" style="89" customWidth="1"/>
    <col min="13841" max="13844" width="14.28515625" style="89" customWidth="1"/>
    <col min="13845" max="13845" width="15.5703125" style="89" customWidth="1"/>
    <col min="13846" max="13852" width="11.42578125" style="89"/>
    <col min="13853" max="13855" width="11.5703125" style="89" bestFit="1" customWidth="1"/>
    <col min="13856" max="13865" width="12.5703125" style="89" bestFit="1" customWidth="1"/>
    <col min="13866" max="14080" width="11.42578125" style="89"/>
    <col min="14081" max="14081" width="16.140625" style="89" customWidth="1"/>
    <col min="14082" max="14082" width="14.85546875" style="89" customWidth="1"/>
    <col min="14083" max="14083" width="10.42578125" style="89" bestFit="1" customWidth="1"/>
    <col min="14084" max="14084" width="11" style="89" bestFit="1" customWidth="1"/>
    <col min="14085" max="14085" width="14.5703125" style="89" bestFit="1" customWidth="1"/>
    <col min="14086" max="14086" width="11.5703125" style="89" bestFit="1" customWidth="1"/>
    <col min="14087" max="14087" width="13.140625" style="89" bestFit="1" customWidth="1"/>
    <col min="14088" max="14088" width="14.7109375" style="89" bestFit="1" customWidth="1"/>
    <col min="14089" max="14090" width="14.140625" style="89" bestFit="1" customWidth="1"/>
    <col min="14091" max="14091" width="18" style="89" bestFit="1" customWidth="1"/>
    <col min="14092" max="14092" width="17.140625" style="89" customWidth="1"/>
    <col min="14093" max="14093" width="6.7109375" style="89" customWidth="1"/>
    <col min="14094" max="14094" width="15" style="89" customWidth="1"/>
    <col min="14095" max="14095" width="7.7109375" style="89" customWidth="1"/>
    <col min="14096" max="14096" width="9.140625" style="89" customWidth="1"/>
    <col min="14097" max="14100" width="14.28515625" style="89" customWidth="1"/>
    <col min="14101" max="14101" width="15.5703125" style="89" customWidth="1"/>
    <col min="14102" max="14108" width="11.42578125" style="89"/>
    <col min="14109" max="14111" width="11.5703125" style="89" bestFit="1" customWidth="1"/>
    <col min="14112" max="14121" width="12.5703125" style="89" bestFit="1" customWidth="1"/>
    <col min="14122" max="14336" width="11.42578125" style="89"/>
    <col min="14337" max="14337" width="16.140625" style="89" customWidth="1"/>
    <col min="14338" max="14338" width="14.85546875" style="89" customWidth="1"/>
    <col min="14339" max="14339" width="10.42578125" style="89" bestFit="1" customWidth="1"/>
    <col min="14340" max="14340" width="11" style="89" bestFit="1" customWidth="1"/>
    <col min="14341" max="14341" width="14.5703125" style="89" bestFit="1" customWidth="1"/>
    <col min="14342" max="14342" width="11.5703125" style="89" bestFit="1" customWidth="1"/>
    <col min="14343" max="14343" width="13.140625" style="89" bestFit="1" customWidth="1"/>
    <col min="14344" max="14344" width="14.7109375" style="89" bestFit="1" customWidth="1"/>
    <col min="14345" max="14346" width="14.140625" style="89" bestFit="1" customWidth="1"/>
    <col min="14347" max="14347" width="18" style="89" bestFit="1" customWidth="1"/>
    <col min="14348" max="14348" width="17.140625" style="89" customWidth="1"/>
    <col min="14349" max="14349" width="6.7109375" style="89" customWidth="1"/>
    <col min="14350" max="14350" width="15" style="89" customWidth="1"/>
    <col min="14351" max="14351" width="7.7109375" style="89" customWidth="1"/>
    <col min="14352" max="14352" width="9.140625" style="89" customWidth="1"/>
    <col min="14353" max="14356" width="14.28515625" style="89" customWidth="1"/>
    <col min="14357" max="14357" width="15.5703125" style="89" customWidth="1"/>
    <col min="14358" max="14364" width="11.42578125" style="89"/>
    <col min="14365" max="14367" width="11.5703125" style="89" bestFit="1" customWidth="1"/>
    <col min="14368" max="14377" width="12.5703125" style="89" bestFit="1" customWidth="1"/>
    <col min="14378" max="14592" width="11.42578125" style="89"/>
    <col min="14593" max="14593" width="16.140625" style="89" customWidth="1"/>
    <col min="14594" max="14594" width="14.85546875" style="89" customWidth="1"/>
    <col min="14595" max="14595" width="10.42578125" style="89" bestFit="1" customWidth="1"/>
    <col min="14596" max="14596" width="11" style="89" bestFit="1" customWidth="1"/>
    <col min="14597" max="14597" width="14.5703125" style="89" bestFit="1" customWidth="1"/>
    <col min="14598" max="14598" width="11.5703125" style="89" bestFit="1" customWidth="1"/>
    <col min="14599" max="14599" width="13.140625" style="89" bestFit="1" customWidth="1"/>
    <col min="14600" max="14600" width="14.7109375" style="89" bestFit="1" customWidth="1"/>
    <col min="14601" max="14602" width="14.140625" style="89" bestFit="1" customWidth="1"/>
    <col min="14603" max="14603" width="18" style="89" bestFit="1" customWidth="1"/>
    <col min="14604" max="14604" width="17.140625" style="89" customWidth="1"/>
    <col min="14605" max="14605" width="6.7109375" style="89" customWidth="1"/>
    <col min="14606" max="14606" width="15" style="89" customWidth="1"/>
    <col min="14607" max="14607" width="7.7109375" style="89" customWidth="1"/>
    <col min="14608" max="14608" width="9.140625" style="89" customWidth="1"/>
    <col min="14609" max="14612" width="14.28515625" style="89" customWidth="1"/>
    <col min="14613" max="14613" width="15.5703125" style="89" customWidth="1"/>
    <col min="14614" max="14620" width="11.42578125" style="89"/>
    <col min="14621" max="14623" width="11.5703125" style="89" bestFit="1" customWidth="1"/>
    <col min="14624" max="14633" width="12.5703125" style="89" bestFit="1" customWidth="1"/>
    <col min="14634" max="14848" width="11.42578125" style="89"/>
    <col min="14849" max="14849" width="16.140625" style="89" customWidth="1"/>
    <col min="14850" max="14850" width="14.85546875" style="89" customWidth="1"/>
    <col min="14851" max="14851" width="10.42578125" style="89" bestFit="1" customWidth="1"/>
    <col min="14852" max="14852" width="11" style="89" bestFit="1" customWidth="1"/>
    <col min="14853" max="14853" width="14.5703125" style="89" bestFit="1" customWidth="1"/>
    <col min="14854" max="14854" width="11.5703125" style="89" bestFit="1" customWidth="1"/>
    <col min="14855" max="14855" width="13.140625" style="89" bestFit="1" customWidth="1"/>
    <col min="14856" max="14856" width="14.7109375" style="89" bestFit="1" customWidth="1"/>
    <col min="14857" max="14858" width="14.140625" style="89" bestFit="1" customWidth="1"/>
    <col min="14859" max="14859" width="18" style="89" bestFit="1" customWidth="1"/>
    <col min="14860" max="14860" width="17.140625" style="89" customWidth="1"/>
    <col min="14861" max="14861" width="6.7109375" style="89" customWidth="1"/>
    <col min="14862" max="14862" width="15" style="89" customWidth="1"/>
    <col min="14863" max="14863" width="7.7109375" style="89" customWidth="1"/>
    <col min="14864" max="14864" width="9.140625" style="89" customWidth="1"/>
    <col min="14865" max="14868" width="14.28515625" style="89" customWidth="1"/>
    <col min="14869" max="14869" width="15.5703125" style="89" customWidth="1"/>
    <col min="14870" max="14876" width="11.42578125" style="89"/>
    <col min="14877" max="14879" width="11.5703125" style="89" bestFit="1" customWidth="1"/>
    <col min="14880" max="14889" width="12.5703125" style="89" bestFit="1" customWidth="1"/>
    <col min="14890" max="15104" width="11.42578125" style="89"/>
    <col min="15105" max="15105" width="16.140625" style="89" customWidth="1"/>
    <col min="15106" max="15106" width="14.85546875" style="89" customWidth="1"/>
    <col min="15107" max="15107" width="10.42578125" style="89" bestFit="1" customWidth="1"/>
    <col min="15108" max="15108" width="11" style="89" bestFit="1" customWidth="1"/>
    <col min="15109" max="15109" width="14.5703125" style="89" bestFit="1" customWidth="1"/>
    <col min="15110" max="15110" width="11.5703125" style="89" bestFit="1" customWidth="1"/>
    <col min="15111" max="15111" width="13.140625" style="89" bestFit="1" customWidth="1"/>
    <col min="15112" max="15112" width="14.7109375" style="89" bestFit="1" customWidth="1"/>
    <col min="15113" max="15114" width="14.140625" style="89" bestFit="1" customWidth="1"/>
    <col min="15115" max="15115" width="18" style="89" bestFit="1" customWidth="1"/>
    <col min="15116" max="15116" width="17.140625" style="89" customWidth="1"/>
    <col min="15117" max="15117" width="6.7109375" style="89" customWidth="1"/>
    <col min="15118" max="15118" width="15" style="89" customWidth="1"/>
    <col min="15119" max="15119" width="7.7109375" style="89" customWidth="1"/>
    <col min="15120" max="15120" width="9.140625" style="89" customWidth="1"/>
    <col min="15121" max="15124" width="14.28515625" style="89" customWidth="1"/>
    <col min="15125" max="15125" width="15.5703125" style="89" customWidth="1"/>
    <col min="15126" max="15132" width="11.42578125" style="89"/>
    <col min="15133" max="15135" width="11.5703125" style="89" bestFit="1" customWidth="1"/>
    <col min="15136" max="15145" width="12.5703125" style="89" bestFit="1" customWidth="1"/>
    <col min="15146" max="15360" width="11.42578125" style="89"/>
    <col min="15361" max="15361" width="16.140625" style="89" customWidth="1"/>
    <col min="15362" max="15362" width="14.85546875" style="89" customWidth="1"/>
    <col min="15363" max="15363" width="10.42578125" style="89" bestFit="1" customWidth="1"/>
    <col min="15364" max="15364" width="11" style="89" bestFit="1" customWidth="1"/>
    <col min="15365" max="15365" width="14.5703125" style="89" bestFit="1" customWidth="1"/>
    <col min="15366" max="15366" width="11.5703125" style="89" bestFit="1" customWidth="1"/>
    <col min="15367" max="15367" width="13.140625" style="89" bestFit="1" customWidth="1"/>
    <col min="15368" max="15368" width="14.7109375" style="89" bestFit="1" customWidth="1"/>
    <col min="15369" max="15370" width="14.140625" style="89" bestFit="1" customWidth="1"/>
    <col min="15371" max="15371" width="18" style="89" bestFit="1" customWidth="1"/>
    <col min="15372" max="15372" width="17.140625" style="89" customWidth="1"/>
    <col min="15373" max="15373" width="6.7109375" style="89" customWidth="1"/>
    <col min="15374" max="15374" width="15" style="89" customWidth="1"/>
    <col min="15375" max="15375" width="7.7109375" style="89" customWidth="1"/>
    <col min="15376" max="15376" width="9.140625" style="89" customWidth="1"/>
    <col min="15377" max="15380" width="14.28515625" style="89" customWidth="1"/>
    <col min="15381" max="15381" width="15.5703125" style="89" customWidth="1"/>
    <col min="15382" max="15388" width="11.42578125" style="89"/>
    <col min="15389" max="15391" width="11.5703125" style="89" bestFit="1" customWidth="1"/>
    <col min="15392" max="15401" width="12.5703125" style="89" bestFit="1" customWidth="1"/>
    <col min="15402" max="15616" width="11.42578125" style="89"/>
    <col min="15617" max="15617" width="16.140625" style="89" customWidth="1"/>
    <col min="15618" max="15618" width="14.85546875" style="89" customWidth="1"/>
    <col min="15619" max="15619" width="10.42578125" style="89" bestFit="1" customWidth="1"/>
    <col min="15620" max="15620" width="11" style="89" bestFit="1" customWidth="1"/>
    <col min="15621" max="15621" width="14.5703125" style="89" bestFit="1" customWidth="1"/>
    <col min="15622" max="15622" width="11.5703125" style="89" bestFit="1" customWidth="1"/>
    <col min="15623" max="15623" width="13.140625" style="89" bestFit="1" customWidth="1"/>
    <col min="15624" max="15624" width="14.7109375" style="89" bestFit="1" customWidth="1"/>
    <col min="15625" max="15626" width="14.140625" style="89" bestFit="1" customWidth="1"/>
    <col min="15627" max="15627" width="18" style="89" bestFit="1" customWidth="1"/>
    <col min="15628" max="15628" width="17.140625" style="89" customWidth="1"/>
    <col min="15629" max="15629" width="6.7109375" style="89" customWidth="1"/>
    <col min="15630" max="15630" width="15" style="89" customWidth="1"/>
    <col min="15631" max="15631" width="7.7109375" style="89" customWidth="1"/>
    <col min="15632" max="15632" width="9.140625" style="89" customWidth="1"/>
    <col min="15633" max="15636" width="14.28515625" style="89" customWidth="1"/>
    <col min="15637" max="15637" width="15.5703125" style="89" customWidth="1"/>
    <col min="15638" max="15644" width="11.42578125" style="89"/>
    <col min="15645" max="15647" width="11.5703125" style="89" bestFit="1" customWidth="1"/>
    <col min="15648" max="15657" width="12.5703125" style="89" bestFit="1" customWidth="1"/>
    <col min="15658" max="15872" width="11.42578125" style="89"/>
    <col min="15873" max="15873" width="16.140625" style="89" customWidth="1"/>
    <col min="15874" max="15874" width="14.85546875" style="89" customWidth="1"/>
    <col min="15875" max="15875" width="10.42578125" style="89" bestFit="1" customWidth="1"/>
    <col min="15876" max="15876" width="11" style="89" bestFit="1" customWidth="1"/>
    <col min="15877" max="15877" width="14.5703125" style="89" bestFit="1" customWidth="1"/>
    <col min="15878" max="15878" width="11.5703125" style="89" bestFit="1" customWidth="1"/>
    <col min="15879" max="15879" width="13.140625" style="89" bestFit="1" customWidth="1"/>
    <col min="15880" max="15880" width="14.7109375" style="89" bestFit="1" customWidth="1"/>
    <col min="15881" max="15882" width="14.140625" style="89" bestFit="1" customWidth="1"/>
    <col min="15883" max="15883" width="18" style="89" bestFit="1" customWidth="1"/>
    <col min="15884" max="15884" width="17.140625" style="89" customWidth="1"/>
    <col min="15885" max="15885" width="6.7109375" style="89" customWidth="1"/>
    <col min="15886" max="15886" width="15" style="89" customWidth="1"/>
    <col min="15887" max="15887" width="7.7109375" style="89" customWidth="1"/>
    <col min="15888" max="15888" width="9.140625" style="89" customWidth="1"/>
    <col min="15889" max="15892" width="14.28515625" style="89" customWidth="1"/>
    <col min="15893" max="15893" width="15.5703125" style="89" customWidth="1"/>
    <col min="15894" max="15900" width="11.42578125" style="89"/>
    <col min="15901" max="15903" width="11.5703125" style="89" bestFit="1" customWidth="1"/>
    <col min="15904" max="15913" width="12.5703125" style="89" bestFit="1" customWidth="1"/>
    <col min="15914" max="16128" width="11.42578125" style="89"/>
    <col min="16129" max="16129" width="16.140625" style="89" customWidth="1"/>
    <col min="16130" max="16130" width="14.85546875" style="89" customWidth="1"/>
    <col min="16131" max="16131" width="10.42578125" style="89" bestFit="1" customWidth="1"/>
    <col min="16132" max="16132" width="11" style="89" bestFit="1" customWidth="1"/>
    <col min="16133" max="16133" width="14.5703125" style="89" bestFit="1" customWidth="1"/>
    <col min="16134" max="16134" width="11.5703125" style="89" bestFit="1" customWidth="1"/>
    <col min="16135" max="16135" width="13.140625" style="89" bestFit="1" customWidth="1"/>
    <col min="16136" max="16136" width="14.7109375" style="89" bestFit="1" customWidth="1"/>
    <col min="16137" max="16138" width="14.140625" style="89" bestFit="1" customWidth="1"/>
    <col min="16139" max="16139" width="18" style="89" bestFit="1" customWidth="1"/>
    <col min="16140" max="16140" width="17.140625" style="89" customWidth="1"/>
    <col min="16141" max="16141" width="6.7109375" style="89" customWidth="1"/>
    <col min="16142" max="16142" width="15" style="89" customWidth="1"/>
    <col min="16143" max="16143" width="7.7109375" style="89" customWidth="1"/>
    <col min="16144" max="16144" width="9.140625" style="89" customWidth="1"/>
    <col min="16145" max="16148" width="14.28515625" style="89" customWidth="1"/>
    <col min="16149" max="16149" width="15.5703125" style="89" customWidth="1"/>
    <col min="16150" max="16156" width="11.42578125" style="89"/>
    <col min="16157" max="16159" width="11.5703125" style="89" bestFit="1" customWidth="1"/>
    <col min="16160" max="16169" width="12.5703125" style="89" bestFit="1" customWidth="1"/>
    <col min="16170" max="16384" width="11.42578125" style="89"/>
  </cols>
  <sheetData>
    <row r="1" spans="1:41" ht="18.75" x14ac:dyDescent="0.3">
      <c r="E1" s="262" t="s">
        <v>33</v>
      </c>
      <c r="F1" s="262"/>
      <c r="G1" s="262"/>
      <c r="H1" s="262"/>
      <c r="I1" s="90"/>
      <c r="K1" s="263" t="s">
        <v>34</v>
      </c>
      <c r="L1" s="263"/>
      <c r="M1" s="263"/>
      <c r="N1" s="263"/>
      <c r="O1" s="263"/>
      <c r="P1" s="263"/>
    </row>
    <row r="2" spans="1:41" ht="18.75" x14ac:dyDescent="0.3">
      <c r="B2" s="264" t="s">
        <v>35</v>
      </c>
      <c r="C2" s="264"/>
      <c r="D2" s="264"/>
      <c r="E2" s="265" t="s">
        <v>36</v>
      </c>
      <c r="F2" s="265"/>
      <c r="G2" s="265"/>
      <c r="H2" s="91" t="s">
        <v>37</v>
      </c>
      <c r="I2" s="266" t="s">
        <v>38</v>
      </c>
      <c r="J2" s="266"/>
      <c r="K2" s="92" t="s">
        <v>39</v>
      </c>
      <c r="L2" s="267" t="s">
        <v>40</v>
      </c>
      <c r="M2" s="267"/>
      <c r="N2" s="268">
        <v>44196</v>
      </c>
      <c r="O2" s="267"/>
      <c r="P2" s="267"/>
      <c r="Q2" s="260" t="s">
        <v>41</v>
      </c>
      <c r="R2" s="260"/>
      <c r="S2" s="260"/>
      <c r="T2" s="261"/>
    </row>
    <row r="3" spans="1:41" ht="60" x14ac:dyDescent="0.25">
      <c r="A3" s="93"/>
      <c r="B3" s="94" t="s">
        <v>42</v>
      </c>
      <c r="C3" s="94" t="s">
        <v>43</v>
      </c>
      <c r="D3" s="94" t="s">
        <v>44</v>
      </c>
      <c r="E3" s="95" t="s">
        <v>45</v>
      </c>
      <c r="F3" s="95" t="s">
        <v>46</v>
      </c>
      <c r="G3" s="95" t="s">
        <v>47</v>
      </c>
      <c r="H3" s="95" t="s">
        <v>48</v>
      </c>
      <c r="I3" s="96" t="s">
        <v>49</v>
      </c>
      <c r="J3" s="96" t="s">
        <v>50</v>
      </c>
      <c r="K3" s="97" t="s">
        <v>51</v>
      </c>
      <c r="L3" s="97" t="s">
        <v>52</v>
      </c>
      <c r="M3" s="97" t="s">
        <v>53</v>
      </c>
      <c r="N3" s="97" t="s">
        <v>54</v>
      </c>
      <c r="O3" s="97" t="s">
        <v>53</v>
      </c>
      <c r="P3" s="97" t="s">
        <v>55</v>
      </c>
      <c r="Q3" s="98" t="s">
        <v>56</v>
      </c>
      <c r="R3" s="98" t="s">
        <v>57</v>
      </c>
      <c r="S3" s="98" t="s">
        <v>58</v>
      </c>
      <c r="T3" s="98" t="s">
        <v>59</v>
      </c>
      <c r="U3" s="93" t="s">
        <v>60</v>
      </c>
      <c r="V3" s="93" t="s">
        <v>61</v>
      </c>
      <c r="W3" s="93" t="s">
        <v>62</v>
      </c>
      <c r="X3" s="93" t="s">
        <v>63</v>
      </c>
      <c r="Y3" s="93" t="s">
        <v>64</v>
      </c>
      <c r="Z3" s="93" t="s">
        <v>65</v>
      </c>
      <c r="AA3" s="93" t="s">
        <v>66</v>
      </c>
      <c r="AB3" s="93" t="s">
        <v>67</v>
      </c>
      <c r="AC3" s="93" t="s">
        <v>68</v>
      </c>
      <c r="AD3" s="93" t="s">
        <v>69</v>
      </c>
      <c r="AE3" s="93" t="s">
        <v>70</v>
      </c>
      <c r="AF3" s="93" t="s">
        <v>71</v>
      </c>
      <c r="AG3" s="93" t="s">
        <v>72</v>
      </c>
      <c r="AH3" s="93" t="s">
        <v>73</v>
      </c>
      <c r="AI3" s="99" t="s">
        <v>74</v>
      </c>
      <c r="AJ3" s="93" t="s">
        <v>75</v>
      </c>
      <c r="AK3" s="93" t="s">
        <v>76</v>
      </c>
      <c r="AL3" s="93" t="s">
        <v>77</v>
      </c>
      <c r="AM3" s="93" t="s">
        <v>78</v>
      </c>
      <c r="AN3" s="93" t="s">
        <v>79</v>
      </c>
      <c r="AO3" s="93" t="s">
        <v>68</v>
      </c>
    </row>
    <row r="4" spans="1:41" x14ac:dyDescent="0.25">
      <c r="A4" s="100" t="s">
        <v>80</v>
      </c>
      <c r="B4" s="101">
        <f>DELPHINE!D69</f>
        <v>3</v>
      </c>
      <c r="C4" s="101">
        <f>DELPHINE!D81</f>
        <v>0</v>
      </c>
      <c r="D4" s="101">
        <f>DELPHINE!D75</f>
        <v>3</v>
      </c>
      <c r="E4" s="102">
        <f>COUNTIFS(DELPHINE!AZ3:AZ60,"x",DELPHINE!AZ3:AZ60,"X")</f>
        <v>2</v>
      </c>
      <c r="F4" s="102">
        <f>E4-G4</f>
        <v>0</v>
      </c>
      <c r="G4" s="102">
        <f>COUNTIFS(DELPHINE!AZ3:AZ60,"x",DELPHINE!AZ3:AZ60,"X",DELPHINE!E3:E60,"31/12/2019")</f>
        <v>2</v>
      </c>
      <c r="H4" s="103">
        <f>+B4-E4</f>
        <v>1</v>
      </c>
      <c r="I4" s="104">
        <f>COUNTIFS(DELPHINE!I3:I60,"&lt;&gt;",DELPHINE!AY3:AY60,"",DELPHINE!AZ3:AZ60,"")</f>
        <v>0</v>
      </c>
      <c r="J4" s="104">
        <f>COUNTIFS(DELPHINE!AY3:AY60,"x",DELPHINE!AZ3:AZ60,"")</f>
        <v>0</v>
      </c>
      <c r="K4" s="105">
        <f>H4-I4-J4</f>
        <v>1</v>
      </c>
      <c r="L4" s="106">
        <f>DELPHINE!E120+DELPHINE!F120+DELPHINE!G120+DELPHINE!H120+DELPHINE!I120+DELPHINE!J120+DELPHINE!K120+DELPHINE!M120+DELPHINE!N120+DELPHINE!O120+DELPHINE!P120+DELPHINE!Q120+DELPHINE!R120</f>
        <v>0</v>
      </c>
      <c r="M4" s="105">
        <f>DELPHINE!L120</f>
        <v>0</v>
      </c>
      <c r="N4" s="105">
        <f>DELPHINE!E114+DELPHINE!F114+DELPHINE!G114+DELPHINE!H114+DELPHINE!I114+DELPHINE!K114+DELPHINE!M114+DELPHINE!N114+DELPHINE!O114+DELPHINE!P114+DELPHINE!Q114+DELPHINE!R114</f>
        <v>1</v>
      </c>
      <c r="O4" s="105">
        <f>DELPHINE!L114</f>
        <v>0</v>
      </c>
      <c r="P4" s="105">
        <f>DELPHINE!J114</f>
        <v>0</v>
      </c>
      <c r="Q4" s="107" t="e">
        <f t="shared" ref="Q4:R10" si="0">F4/C4</f>
        <v>#DIV/0!</v>
      </c>
      <c r="R4" s="107">
        <f t="shared" si="0"/>
        <v>0.66666666666666663</v>
      </c>
      <c r="S4" s="107">
        <f t="shared" ref="S4:S10" si="1">E4/B4</f>
        <v>0.66666666666666663</v>
      </c>
      <c r="T4" s="107">
        <f t="shared" ref="T4:T10" si="2">(E4+I4)/B4</f>
        <v>0.66666666666666663</v>
      </c>
      <c r="U4" s="108">
        <f>+ROUND(AVERAGE(DELPHINE!$K$3:K101),0)</f>
        <v>0</v>
      </c>
      <c r="V4" s="108">
        <f>COUNTIF(DELPHINE!L3:L78,"OUI")</f>
        <v>0</v>
      </c>
      <c r="W4" s="108">
        <f t="shared" ref="W4:W10" si="3">+ROUND(V4/B4*100,)</f>
        <v>0</v>
      </c>
      <c r="X4" s="108">
        <f>+COUNTIF(DELPHINE!M3:M101,"oui")</f>
        <v>1</v>
      </c>
      <c r="Y4" s="108">
        <f t="shared" ref="Y4:Y10" si="4">+ROUND(X4/B4*100,)</f>
        <v>33</v>
      </c>
      <c r="Z4" s="108">
        <f>+COUNTA(DELPHINE!BA3:BA101)</f>
        <v>0</v>
      </c>
      <c r="AA4" s="109">
        <f t="shared" ref="AA4:AA10" si="5">+ROUND(Z4/B4*100,)/100</f>
        <v>0</v>
      </c>
      <c r="AB4" s="108"/>
      <c r="AC4" s="108">
        <f>+COUNTIF(DELPHINE!$K$3:$K$60,6)</f>
        <v>0</v>
      </c>
      <c r="AD4" s="108">
        <f>+COUNTIF(DELPHINE!$K$3:$K$60,7)</f>
        <v>0</v>
      </c>
      <c r="AE4" s="108">
        <f>+COUNTIF(DELPHINE!$K$3:$K$60,8)</f>
        <v>0</v>
      </c>
      <c r="AF4" s="108">
        <f>+COUNTIF(DELPHINE!$K$3:$K$60,9)</f>
        <v>0</v>
      </c>
      <c r="AG4" s="108">
        <f>+COUNTIF(DELPHINE!$K$3:$K$60,10)</f>
        <v>0</v>
      </c>
      <c r="AH4" s="108">
        <f>+COUNTIF(DELPHINE!$K$3:$K$60,11)</f>
        <v>0</v>
      </c>
      <c r="AI4" s="108">
        <f>+COUNTIF(DELPHINE!$K$3:$K$60,12)</f>
        <v>0</v>
      </c>
      <c r="AJ4" s="108">
        <f>+COUNTIF(DELPHINE!$K$3:$K$60,1)</f>
        <v>0</v>
      </c>
      <c r="AK4" s="108">
        <f>+COUNTIF(DELPHINE!$K$3:$K$60,2)</f>
        <v>1</v>
      </c>
      <c r="AL4" s="108">
        <f>+COUNTIF(DELPHINE!$K$3:$K$60,3)</f>
        <v>1</v>
      </c>
      <c r="AM4" s="108">
        <f>+COUNTIF(DELPHINE!$K$3:$K$60,4)</f>
        <v>0</v>
      </c>
      <c r="AN4" s="108">
        <f>+COUNTIF(DELPHINE!$K$3:$K$60,5)</f>
        <v>0</v>
      </c>
      <c r="AO4" s="108"/>
    </row>
    <row r="5" spans="1:41" x14ac:dyDescent="0.25">
      <c r="A5" s="110" t="s">
        <v>81</v>
      </c>
      <c r="B5" s="101">
        <v>42</v>
      </c>
      <c r="C5" s="101">
        <v>16</v>
      </c>
      <c r="D5" s="101">
        <f t="shared" ref="D5:D10" si="6">B5-C5</f>
        <v>26</v>
      </c>
      <c r="E5" s="102" t="e">
        <f t="shared" ref="E5:E10" si="7">+SUM(AB5:AO5)</f>
        <v>#VALUE!</v>
      </c>
      <c r="F5" s="102">
        <v>15</v>
      </c>
      <c r="G5" s="102" t="e">
        <f t="shared" ref="G5:G11" si="8">E5-F5</f>
        <v>#VALUE!</v>
      </c>
      <c r="H5" s="103" t="e">
        <f t="shared" ref="H5:H10" si="9">+B5-E5</f>
        <v>#VALUE!</v>
      </c>
      <c r="I5" s="104">
        <v>0</v>
      </c>
      <c r="J5" s="104">
        <v>0</v>
      </c>
      <c r="K5" s="105" t="e">
        <f t="shared" ref="K5:K11" si="10">H5-I5-J5</f>
        <v>#VALUE!</v>
      </c>
      <c r="L5" s="105">
        <v>1</v>
      </c>
      <c r="M5" s="105"/>
      <c r="N5" s="105">
        <v>11</v>
      </c>
      <c r="O5" s="105">
        <v>6</v>
      </c>
      <c r="P5" s="105">
        <v>0</v>
      </c>
      <c r="Q5" s="107">
        <f t="shared" si="0"/>
        <v>0.9375</v>
      </c>
      <c r="R5" s="107" t="e">
        <f t="shared" si="0"/>
        <v>#VALUE!</v>
      </c>
      <c r="S5" s="107" t="e">
        <f t="shared" si="1"/>
        <v>#VALUE!</v>
      </c>
      <c r="T5" s="107" t="e">
        <f t="shared" si="2"/>
        <v>#VALUE!</v>
      </c>
      <c r="U5" s="108">
        <v>85</v>
      </c>
      <c r="V5" s="108" t="e">
        <v>#VALUE!</v>
      </c>
      <c r="W5" s="108" t="e">
        <f t="shared" si="3"/>
        <v>#VALUE!</v>
      </c>
      <c r="X5" s="108" t="e">
        <v>#VALUE!</v>
      </c>
      <c r="Y5" s="108" t="e">
        <f t="shared" si="4"/>
        <v>#VALUE!</v>
      </c>
      <c r="Z5" s="108">
        <v>3</v>
      </c>
      <c r="AA5" s="109">
        <f t="shared" si="5"/>
        <v>7.0000000000000007E-2</v>
      </c>
      <c r="AB5" s="108"/>
      <c r="AC5" s="108" t="e">
        <v>#VALUE!</v>
      </c>
      <c r="AD5" s="108" t="e">
        <v>#VALUE!</v>
      </c>
      <c r="AE5" s="108" t="e">
        <v>#VALUE!</v>
      </c>
      <c r="AF5" s="108" t="e">
        <v>#VALUE!</v>
      </c>
      <c r="AG5" s="108" t="e">
        <v>#VALUE!</v>
      </c>
      <c r="AH5" s="108" t="e">
        <v>#VALUE!</v>
      </c>
      <c r="AI5" s="108" t="e">
        <v>#VALUE!</v>
      </c>
      <c r="AJ5" s="108" t="e">
        <v>#VALUE!</v>
      </c>
      <c r="AK5" s="108" t="e">
        <v>#VALUE!</v>
      </c>
      <c r="AL5" s="108" t="e">
        <v>#VALUE!</v>
      </c>
      <c r="AM5" s="108" t="e">
        <v>#VALUE!</v>
      </c>
      <c r="AN5" s="108" t="e">
        <v>#VALUE!</v>
      </c>
      <c r="AO5" s="108"/>
    </row>
    <row r="6" spans="1:41" x14ac:dyDescent="0.25">
      <c r="A6" s="110" t="s">
        <v>82</v>
      </c>
      <c r="B6" s="101">
        <v>31</v>
      </c>
      <c r="C6" s="101">
        <v>12</v>
      </c>
      <c r="D6" s="101">
        <f t="shared" si="6"/>
        <v>19</v>
      </c>
      <c r="E6" s="102" t="e">
        <f t="shared" si="7"/>
        <v>#VALUE!</v>
      </c>
      <c r="F6" s="102">
        <v>12</v>
      </c>
      <c r="G6" s="102" t="e">
        <f t="shared" si="8"/>
        <v>#VALUE!</v>
      </c>
      <c r="H6" s="103" t="e">
        <f t="shared" si="9"/>
        <v>#VALUE!</v>
      </c>
      <c r="I6" s="104">
        <v>0</v>
      </c>
      <c r="J6" s="104">
        <v>0</v>
      </c>
      <c r="K6" s="105" t="e">
        <f t="shared" si="10"/>
        <v>#VALUE!</v>
      </c>
      <c r="L6" s="105">
        <v>0</v>
      </c>
      <c r="M6" s="105"/>
      <c r="N6" s="105">
        <v>6</v>
      </c>
      <c r="O6" s="105">
        <v>4</v>
      </c>
      <c r="P6" s="105">
        <v>0</v>
      </c>
      <c r="Q6" s="107">
        <f t="shared" si="0"/>
        <v>1</v>
      </c>
      <c r="R6" s="107" t="e">
        <f t="shared" si="0"/>
        <v>#VALUE!</v>
      </c>
      <c r="S6" s="107" t="e">
        <f t="shared" si="1"/>
        <v>#VALUE!</v>
      </c>
      <c r="T6" s="107" t="e">
        <f t="shared" si="2"/>
        <v>#VALUE!</v>
      </c>
      <c r="U6" s="108">
        <v>81</v>
      </c>
      <c r="V6" s="108" t="e">
        <v>#VALUE!</v>
      </c>
      <c r="W6" s="108" t="e">
        <f t="shared" si="3"/>
        <v>#VALUE!</v>
      </c>
      <c r="X6" s="108" t="e">
        <v>#VALUE!</v>
      </c>
      <c r="Y6" s="108" t="e">
        <f t="shared" si="4"/>
        <v>#VALUE!</v>
      </c>
      <c r="Z6" s="108">
        <v>2</v>
      </c>
      <c r="AA6" s="109">
        <f t="shared" si="5"/>
        <v>0.06</v>
      </c>
      <c r="AB6" s="108"/>
      <c r="AC6" s="108" t="e">
        <v>#VALUE!</v>
      </c>
      <c r="AD6" s="108" t="e">
        <v>#VALUE!</v>
      </c>
      <c r="AE6" s="108" t="e">
        <v>#VALUE!</v>
      </c>
      <c r="AF6" s="108" t="e">
        <v>#VALUE!</v>
      </c>
      <c r="AG6" s="108" t="e">
        <v>#VALUE!</v>
      </c>
      <c r="AH6" s="108" t="e">
        <v>#VALUE!</v>
      </c>
      <c r="AI6" s="108" t="e">
        <v>#VALUE!</v>
      </c>
      <c r="AJ6" s="108" t="e">
        <v>#VALUE!</v>
      </c>
      <c r="AK6" s="108" t="e">
        <v>#VALUE!</v>
      </c>
      <c r="AL6" s="108" t="e">
        <v>#VALUE!</v>
      </c>
      <c r="AM6" s="108" t="e">
        <v>#VALUE!</v>
      </c>
      <c r="AN6" s="108" t="e">
        <v>#VALUE!</v>
      </c>
      <c r="AO6" s="108"/>
    </row>
    <row r="7" spans="1:41" x14ac:dyDescent="0.25">
      <c r="A7" s="110" t="s">
        <v>83</v>
      </c>
      <c r="B7" s="101">
        <v>22</v>
      </c>
      <c r="C7" s="101">
        <v>11</v>
      </c>
      <c r="D7" s="101">
        <f t="shared" si="6"/>
        <v>11</v>
      </c>
      <c r="E7" s="102" t="e">
        <f t="shared" si="7"/>
        <v>#VALUE!</v>
      </c>
      <c r="F7" s="102">
        <v>10</v>
      </c>
      <c r="G7" s="102" t="e">
        <f t="shared" si="8"/>
        <v>#VALUE!</v>
      </c>
      <c r="H7" s="103" t="e">
        <f t="shared" si="9"/>
        <v>#VALUE!</v>
      </c>
      <c r="I7" s="104">
        <v>0</v>
      </c>
      <c r="J7" s="104">
        <v>0</v>
      </c>
      <c r="K7" s="105" t="e">
        <f t="shared" si="10"/>
        <v>#VALUE!</v>
      </c>
      <c r="L7" s="105">
        <v>1</v>
      </c>
      <c r="M7" s="105"/>
      <c r="N7" s="105">
        <v>6</v>
      </c>
      <c r="O7" s="105">
        <v>1</v>
      </c>
      <c r="P7" s="105">
        <v>0</v>
      </c>
      <c r="Q7" s="107">
        <f t="shared" si="0"/>
        <v>0.90909090909090906</v>
      </c>
      <c r="R7" s="107" t="e">
        <f t="shared" si="0"/>
        <v>#VALUE!</v>
      </c>
      <c r="S7" s="107" t="e">
        <f t="shared" si="1"/>
        <v>#VALUE!</v>
      </c>
      <c r="T7" s="107" t="e">
        <f t="shared" si="2"/>
        <v>#VALUE!</v>
      </c>
      <c r="U7" s="108">
        <v>81</v>
      </c>
      <c r="V7" s="108" t="e">
        <v>#VALUE!</v>
      </c>
      <c r="W7" s="108" t="e">
        <f t="shared" si="3"/>
        <v>#VALUE!</v>
      </c>
      <c r="X7" s="108" t="e">
        <v>#VALUE!</v>
      </c>
      <c r="Y7" s="108" t="e">
        <f t="shared" si="4"/>
        <v>#VALUE!</v>
      </c>
      <c r="Z7" s="108">
        <v>3</v>
      </c>
      <c r="AA7" s="109">
        <f t="shared" si="5"/>
        <v>0.14000000000000001</v>
      </c>
      <c r="AB7" s="108"/>
      <c r="AC7" s="108" t="e">
        <v>#VALUE!</v>
      </c>
      <c r="AD7" s="108" t="e">
        <v>#VALUE!</v>
      </c>
      <c r="AE7" s="108" t="e">
        <v>#VALUE!</v>
      </c>
      <c r="AF7" s="108" t="e">
        <v>#VALUE!</v>
      </c>
      <c r="AG7" s="108" t="e">
        <v>#VALUE!</v>
      </c>
      <c r="AH7" s="108" t="e">
        <v>#VALUE!</v>
      </c>
      <c r="AI7" s="108" t="e">
        <v>#VALUE!</v>
      </c>
      <c r="AJ7" s="108" t="e">
        <v>#VALUE!</v>
      </c>
      <c r="AK7" s="108" t="e">
        <v>#VALUE!</v>
      </c>
      <c r="AL7" s="108" t="e">
        <v>#VALUE!</v>
      </c>
      <c r="AM7" s="108" t="e">
        <v>#VALUE!</v>
      </c>
      <c r="AN7" s="108" t="e">
        <v>#VALUE!</v>
      </c>
      <c r="AO7" s="108"/>
    </row>
    <row r="8" spans="1:41" x14ac:dyDescent="0.25">
      <c r="A8" s="110" t="s">
        <v>84</v>
      </c>
      <c r="B8" s="101">
        <v>39</v>
      </c>
      <c r="C8" s="101">
        <v>15</v>
      </c>
      <c r="D8" s="101">
        <f t="shared" si="6"/>
        <v>24</v>
      </c>
      <c r="E8" s="102" t="e">
        <f t="shared" si="7"/>
        <v>#VALUE!</v>
      </c>
      <c r="F8" s="102">
        <v>13</v>
      </c>
      <c r="G8" s="102" t="e">
        <f t="shared" si="8"/>
        <v>#VALUE!</v>
      </c>
      <c r="H8" s="103" t="e">
        <f t="shared" si="9"/>
        <v>#VALUE!</v>
      </c>
      <c r="I8" s="104">
        <v>0</v>
      </c>
      <c r="J8" s="104">
        <v>0</v>
      </c>
      <c r="K8" s="105" t="e">
        <f t="shared" si="10"/>
        <v>#VALUE!</v>
      </c>
      <c r="L8" s="105">
        <v>1</v>
      </c>
      <c r="M8" s="105"/>
      <c r="N8" s="105">
        <v>10</v>
      </c>
      <c r="O8" s="105">
        <v>2</v>
      </c>
      <c r="P8" s="105">
        <v>10</v>
      </c>
      <c r="Q8" s="107">
        <f t="shared" si="0"/>
        <v>0.8666666666666667</v>
      </c>
      <c r="R8" s="107" t="e">
        <f t="shared" si="0"/>
        <v>#VALUE!</v>
      </c>
      <c r="S8" s="107" t="e">
        <f t="shared" si="1"/>
        <v>#VALUE!</v>
      </c>
      <c r="T8" s="107" t="e">
        <f t="shared" si="2"/>
        <v>#VALUE!</v>
      </c>
      <c r="U8" s="108">
        <v>134</v>
      </c>
      <c r="V8" s="108" t="e">
        <v>#VALUE!</v>
      </c>
      <c r="W8" s="108" t="e">
        <f t="shared" si="3"/>
        <v>#VALUE!</v>
      </c>
      <c r="X8" s="108" t="e">
        <v>#VALUE!</v>
      </c>
      <c r="Y8" s="108" t="e">
        <f t="shared" si="4"/>
        <v>#VALUE!</v>
      </c>
      <c r="Z8" s="108">
        <v>5</v>
      </c>
      <c r="AA8" s="109">
        <f t="shared" si="5"/>
        <v>0.13</v>
      </c>
      <c r="AB8" s="108"/>
      <c r="AC8" s="108" t="e">
        <v>#VALUE!</v>
      </c>
      <c r="AD8" s="108" t="e">
        <v>#VALUE!</v>
      </c>
      <c r="AE8" s="108" t="e">
        <v>#VALUE!</v>
      </c>
      <c r="AF8" s="108" t="e">
        <v>#VALUE!</v>
      </c>
      <c r="AG8" s="108" t="e">
        <v>#VALUE!</v>
      </c>
      <c r="AH8" s="108" t="e">
        <v>#VALUE!</v>
      </c>
      <c r="AI8" s="108" t="e">
        <v>#VALUE!</v>
      </c>
      <c r="AJ8" s="108" t="e">
        <v>#VALUE!</v>
      </c>
      <c r="AK8" s="108" t="e">
        <v>#VALUE!</v>
      </c>
      <c r="AL8" s="108" t="e">
        <v>#VALUE!</v>
      </c>
      <c r="AM8" s="108" t="e">
        <v>#VALUE!</v>
      </c>
      <c r="AN8" s="108" t="e">
        <v>#VALUE!</v>
      </c>
      <c r="AO8" s="108"/>
    </row>
    <row r="9" spans="1:41" x14ac:dyDescent="0.25">
      <c r="A9" s="110" t="s">
        <v>31</v>
      </c>
      <c r="B9" s="101">
        <v>37</v>
      </c>
      <c r="C9" s="101">
        <v>18</v>
      </c>
      <c r="D9" s="101">
        <f t="shared" si="6"/>
        <v>19</v>
      </c>
      <c r="E9" s="102" t="e">
        <f t="shared" si="7"/>
        <v>#VALUE!</v>
      </c>
      <c r="F9" s="102">
        <v>15</v>
      </c>
      <c r="G9" s="102" t="e">
        <f t="shared" si="8"/>
        <v>#VALUE!</v>
      </c>
      <c r="H9" s="103" t="e">
        <f t="shared" si="9"/>
        <v>#VALUE!</v>
      </c>
      <c r="I9" s="104">
        <v>0</v>
      </c>
      <c r="J9" s="104">
        <v>0</v>
      </c>
      <c r="K9" s="105" t="e">
        <f t="shared" si="10"/>
        <v>#VALUE!</v>
      </c>
      <c r="L9" s="105">
        <v>1</v>
      </c>
      <c r="M9" s="105"/>
      <c r="N9" s="105">
        <v>8</v>
      </c>
      <c r="O9" s="105">
        <v>9</v>
      </c>
      <c r="P9" s="105">
        <v>1</v>
      </c>
      <c r="Q9" s="107">
        <f t="shared" si="0"/>
        <v>0.83333333333333337</v>
      </c>
      <c r="R9" s="107" t="e">
        <f t="shared" si="0"/>
        <v>#VALUE!</v>
      </c>
      <c r="S9" s="107" t="e">
        <f t="shared" si="1"/>
        <v>#VALUE!</v>
      </c>
      <c r="T9" s="107" t="e">
        <f t="shared" si="2"/>
        <v>#VALUE!</v>
      </c>
      <c r="U9" s="108">
        <v>134</v>
      </c>
      <c r="V9" s="108" t="e">
        <v>#VALUE!</v>
      </c>
      <c r="W9" s="108" t="e">
        <f t="shared" si="3"/>
        <v>#VALUE!</v>
      </c>
      <c r="X9" s="108" t="e">
        <v>#VALUE!</v>
      </c>
      <c r="Y9" s="108" t="e">
        <f t="shared" si="4"/>
        <v>#VALUE!</v>
      </c>
      <c r="Z9" s="108">
        <v>5</v>
      </c>
      <c r="AA9" s="109">
        <f t="shared" si="5"/>
        <v>0.14000000000000001</v>
      </c>
      <c r="AB9" s="108"/>
      <c r="AC9" s="108" t="e">
        <v>#VALUE!</v>
      </c>
      <c r="AD9" s="108" t="e">
        <v>#VALUE!</v>
      </c>
      <c r="AE9" s="108" t="e">
        <v>#VALUE!</v>
      </c>
      <c r="AF9" s="108" t="e">
        <v>#VALUE!</v>
      </c>
      <c r="AG9" s="108" t="e">
        <v>#VALUE!</v>
      </c>
      <c r="AH9" s="108" t="e">
        <v>#VALUE!</v>
      </c>
      <c r="AI9" s="108" t="e">
        <v>#VALUE!</v>
      </c>
      <c r="AJ9" s="108" t="e">
        <v>#VALUE!</v>
      </c>
      <c r="AK9" s="108" t="e">
        <v>#VALUE!</v>
      </c>
      <c r="AL9" s="108" t="e">
        <v>#VALUE!</v>
      </c>
      <c r="AM9" s="108" t="e">
        <v>#VALUE!</v>
      </c>
      <c r="AN9" s="108" t="e">
        <v>#VALUE!</v>
      </c>
      <c r="AO9" s="108"/>
    </row>
    <row r="10" spans="1:41" x14ac:dyDescent="0.25">
      <c r="A10" s="108" t="s">
        <v>85</v>
      </c>
      <c r="B10" s="101">
        <v>57</v>
      </c>
      <c r="C10" s="101">
        <v>26</v>
      </c>
      <c r="D10" s="101">
        <f t="shared" si="6"/>
        <v>31</v>
      </c>
      <c r="E10" s="102" t="e">
        <f t="shared" si="7"/>
        <v>#VALUE!</v>
      </c>
      <c r="F10" s="102">
        <v>17</v>
      </c>
      <c r="G10" s="102" t="e">
        <f t="shared" si="8"/>
        <v>#VALUE!</v>
      </c>
      <c r="H10" s="103" t="e">
        <f t="shared" si="9"/>
        <v>#VALUE!</v>
      </c>
      <c r="I10" s="104">
        <v>0</v>
      </c>
      <c r="J10" s="104">
        <v>0</v>
      </c>
      <c r="K10" s="105" t="e">
        <f t="shared" si="10"/>
        <v>#VALUE!</v>
      </c>
      <c r="L10" s="105">
        <v>6</v>
      </c>
      <c r="M10" s="105"/>
      <c r="N10" s="105">
        <v>26</v>
      </c>
      <c r="O10" s="105">
        <v>4</v>
      </c>
      <c r="P10" s="105">
        <v>0</v>
      </c>
      <c r="Q10" s="107">
        <f t="shared" si="0"/>
        <v>0.65384615384615385</v>
      </c>
      <c r="R10" s="107" t="e">
        <f t="shared" si="0"/>
        <v>#VALUE!</v>
      </c>
      <c r="S10" s="107" t="e">
        <f t="shared" si="1"/>
        <v>#VALUE!</v>
      </c>
      <c r="T10" s="107" t="e">
        <f t="shared" si="2"/>
        <v>#VALUE!</v>
      </c>
      <c r="U10" s="108">
        <v>134</v>
      </c>
      <c r="V10" s="108" t="e">
        <v>#VALUE!</v>
      </c>
      <c r="W10" s="108" t="e">
        <f t="shared" si="3"/>
        <v>#VALUE!</v>
      </c>
      <c r="X10" s="108" t="e">
        <v>#VALUE!</v>
      </c>
      <c r="Y10" s="108" t="e">
        <f t="shared" si="4"/>
        <v>#VALUE!</v>
      </c>
      <c r="Z10" s="108">
        <v>5</v>
      </c>
      <c r="AA10" s="109">
        <f t="shared" si="5"/>
        <v>0.09</v>
      </c>
      <c r="AB10" s="108"/>
      <c r="AC10" s="108" t="e">
        <v>#VALUE!</v>
      </c>
      <c r="AD10" s="108" t="e">
        <v>#VALUE!</v>
      </c>
      <c r="AE10" s="108" t="e">
        <v>#VALUE!</v>
      </c>
      <c r="AF10" s="108" t="e">
        <v>#VALUE!</v>
      </c>
      <c r="AG10" s="108" t="e">
        <v>#VALUE!</v>
      </c>
      <c r="AH10" s="108" t="e">
        <v>#VALUE!</v>
      </c>
      <c r="AI10" s="108" t="e">
        <v>#VALUE!</v>
      </c>
      <c r="AJ10" s="108" t="e">
        <v>#VALUE!</v>
      </c>
      <c r="AK10" s="108" t="e">
        <v>#VALUE!</v>
      </c>
      <c r="AL10" s="108" t="e">
        <v>#VALUE!</v>
      </c>
      <c r="AM10" s="108" t="e">
        <v>#VALUE!</v>
      </c>
      <c r="AN10" s="108" t="e">
        <v>#VALUE!</v>
      </c>
      <c r="AO10" s="108"/>
    </row>
    <row r="11" spans="1:41" x14ac:dyDescent="0.25">
      <c r="A11" s="108"/>
      <c r="B11" s="101"/>
      <c r="C11" s="101"/>
      <c r="D11" s="101"/>
      <c r="E11" s="102"/>
      <c r="F11" s="102"/>
      <c r="G11" s="102">
        <f t="shared" si="8"/>
        <v>0</v>
      </c>
      <c r="H11" s="103"/>
      <c r="I11" s="111"/>
      <c r="J11" s="111"/>
      <c r="K11" s="105">
        <f t="shared" si="10"/>
        <v>0</v>
      </c>
      <c r="L11" s="105"/>
      <c r="M11" s="105"/>
      <c r="N11" s="105"/>
      <c r="O11" s="105"/>
      <c r="P11" s="105"/>
      <c r="Q11" s="112"/>
      <c r="R11" s="107"/>
      <c r="S11" s="107"/>
      <c r="T11" s="107"/>
      <c r="U11" s="108"/>
      <c r="V11" s="108"/>
      <c r="W11" s="108"/>
      <c r="X11" s="108"/>
      <c r="Y11" s="108"/>
      <c r="Z11" s="108"/>
      <c r="AA11" s="113"/>
      <c r="AB11" s="108"/>
      <c r="AC11" s="108"/>
      <c r="AD11" s="108"/>
      <c r="AE11" s="108"/>
      <c r="AF11" s="108"/>
      <c r="AG11" s="108"/>
      <c r="AH11" s="108"/>
      <c r="AI11" s="110"/>
      <c r="AJ11" s="108"/>
      <c r="AK11" s="108"/>
      <c r="AL11" s="108"/>
      <c r="AM11" s="108"/>
      <c r="AN11" s="108"/>
      <c r="AO11" s="108"/>
    </row>
    <row r="12" spans="1:41" x14ac:dyDescent="0.25">
      <c r="A12" s="114" t="s">
        <v>86</v>
      </c>
      <c r="B12" s="114">
        <f>+SUM(B4:B10)</f>
        <v>231</v>
      </c>
      <c r="C12" s="114">
        <f>+SUM(C4:C10)</f>
        <v>98</v>
      </c>
      <c r="D12" s="114">
        <f>+SUM(D4:D10)</f>
        <v>133</v>
      </c>
      <c r="E12" s="114" t="e">
        <f t="shared" ref="E12:AO12" si="11">+SUM(E4:E10)</f>
        <v>#VALUE!</v>
      </c>
      <c r="F12" s="114">
        <f t="shared" si="11"/>
        <v>82</v>
      </c>
      <c r="G12" s="114" t="e">
        <f t="shared" si="11"/>
        <v>#VALUE!</v>
      </c>
      <c r="H12" s="114" t="e">
        <f>+SUM(H4:H10)</f>
        <v>#VALUE!</v>
      </c>
      <c r="I12" s="114">
        <f t="shared" si="11"/>
        <v>0</v>
      </c>
      <c r="J12" s="114">
        <f t="shared" si="11"/>
        <v>0</v>
      </c>
      <c r="K12" s="114" t="e">
        <f>+SUM(K4:K10)</f>
        <v>#VALUE!</v>
      </c>
      <c r="L12" s="114">
        <f>+SUM(L4:L11)</f>
        <v>10</v>
      </c>
      <c r="M12" s="114">
        <f>+SUM(M4:M11)</f>
        <v>0</v>
      </c>
      <c r="N12" s="114">
        <f>+SUM(N4:N11)</f>
        <v>68</v>
      </c>
      <c r="O12" s="114">
        <f>+SUM(O4:O11)</f>
        <v>26</v>
      </c>
      <c r="P12" s="114">
        <f>+SUM(P4:P11)</f>
        <v>11</v>
      </c>
      <c r="Q12" s="115">
        <f>F12/C12</f>
        <v>0.83673469387755106</v>
      </c>
      <c r="R12" s="115">
        <f>F12/D12</f>
        <v>0.61654135338345861</v>
      </c>
      <c r="S12" s="115" t="e">
        <f>E12/B12</f>
        <v>#VALUE!</v>
      </c>
      <c r="T12" s="115" t="e">
        <f>(I12+E12)/B12</f>
        <v>#VALUE!</v>
      </c>
      <c r="U12" s="114"/>
      <c r="V12" s="114" t="e">
        <f t="shared" si="11"/>
        <v>#VALUE!</v>
      </c>
      <c r="W12" s="114" t="e">
        <f t="shared" si="11"/>
        <v>#VALUE!</v>
      </c>
      <c r="X12" s="114" t="e">
        <f t="shared" si="11"/>
        <v>#VALUE!</v>
      </c>
      <c r="Y12" s="114" t="e">
        <f t="shared" si="11"/>
        <v>#VALUE!</v>
      </c>
      <c r="Z12" s="114">
        <f t="shared" si="11"/>
        <v>23</v>
      </c>
      <c r="AA12" s="116">
        <f>Z12/B12</f>
        <v>9.9567099567099568E-2</v>
      </c>
      <c r="AB12" s="114">
        <f t="shared" si="11"/>
        <v>0</v>
      </c>
      <c r="AC12" s="114" t="e">
        <f t="shared" si="11"/>
        <v>#VALUE!</v>
      </c>
      <c r="AD12" s="114" t="e">
        <f t="shared" si="11"/>
        <v>#VALUE!</v>
      </c>
      <c r="AE12" s="114" t="e">
        <f t="shared" si="11"/>
        <v>#VALUE!</v>
      </c>
      <c r="AF12" s="114" t="e">
        <f t="shared" si="11"/>
        <v>#VALUE!</v>
      </c>
      <c r="AG12" s="114" t="e">
        <f t="shared" si="11"/>
        <v>#VALUE!</v>
      </c>
      <c r="AH12" s="114" t="e">
        <f t="shared" si="11"/>
        <v>#VALUE!</v>
      </c>
      <c r="AI12" s="114" t="e">
        <f t="shared" si="11"/>
        <v>#VALUE!</v>
      </c>
      <c r="AJ12" s="114" t="e">
        <f t="shared" si="11"/>
        <v>#VALUE!</v>
      </c>
      <c r="AK12" s="114" t="e">
        <f t="shared" si="11"/>
        <v>#VALUE!</v>
      </c>
      <c r="AL12" s="114" t="e">
        <f t="shared" si="11"/>
        <v>#VALUE!</v>
      </c>
      <c r="AM12" s="114" t="e">
        <f t="shared" si="11"/>
        <v>#VALUE!</v>
      </c>
      <c r="AN12" s="114" t="e">
        <f t="shared" si="11"/>
        <v>#VALUE!</v>
      </c>
      <c r="AO12" s="114">
        <f t="shared" si="11"/>
        <v>0</v>
      </c>
    </row>
    <row r="13" spans="1:41" x14ac:dyDescent="0.25">
      <c r="A13" s="114" t="s">
        <v>87</v>
      </c>
      <c r="B13" s="114"/>
      <c r="C13" s="114"/>
      <c r="D13" s="114"/>
      <c r="E13" s="114"/>
      <c r="F13" s="114"/>
      <c r="G13" s="114"/>
      <c r="H13" s="114"/>
      <c r="I13" s="114"/>
      <c r="J13" s="114"/>
      <c r="K13" s="114"/>
      <c r="L13" s="114"/>
      <c r="M13" s="114"/>
      <c r="N13" s="114"/>
      <c r="O13" s="114"/>
      <c r="P13" s="114"/>
      <c r="Q13" s="114"/>
      <c r="R13" s="114"/>
      <c r="S13" s="114"/>
      <c r="T13" s="114"/>
      <c r="U13" s="114"/>
      <c r="V13" s="114"/>
      <c r="W13" s="114"/>
      <c r="X13" s="114"/>
      <c r="Y13" s="114"/>
      <c r="Z13" s="114"/>
      <c r="AA13" s="114"/>
      <c r="AB13" s="114">
        <f>+AB12</f>
        <v>0</v>
      </c>
      <c r="AC13" s="114" t="e">
        <f>+AC12+AB13</f>
        <v>#VALUE!</v>
      </c>
      <c r="AD13" s="114" t="e">
        <f t="shared" ref="AD13:AN13" si="12">+AD12+AC13</f>
        <v>#VALUE!</v>
      </c>
      <c r="AE13" s="114" t="e">
        <f t="shared" si="12"/>
        <v>#VALUE!</v>
      </c>
      <c r="AF13" s="114" t="e">
        <f t="shared" si="12"/>
        <v>#VALUE!</v>
      </c>
      <c r="AG13" s="114" t="e">
        <f t="shared" si="12"/>
        <v>#VALUE!</v>
      </c>
      <c r="AH13" s="114" t="e">
        <f t="shared" si="12"/>
        <v>#VALUE!</v>
      </c>
      <c r="AI13" s="114" t="e">
        <f t="shared" si="12"/>
        <v>#VALUE!</v>
      </c>
      <c r="AJ13" s="114" t="e">
        <f t="shared" si="12"/>
        <v>#VALUE!</v>
      </c>
      <c r="AK13" s="114" t="e">
        <f t="shared" si="12"/>
        <v>#VALUE!</v>
      </c>
      <c r="AL13" s="114" t="e">
        <f t="shared" si="12"/>
        <v>#VALUE!</v>
      </c>
      <c r="AM13" s="114" t="e">
        <f t="shared" si="12"/>
        <v>#VALUE!</v>
      </c>
      <c r="AN13" s="114" t="e">
        <f t="shared" si="12"/>
        <v>#VALUE!</v>
      </c>
      <c r="AO13" s="114" t="e">
        <f>+AO12+AN13</f>
        <v>#VALUE!</v>
      </c>
    </row>
    <row r="14" spans="1:41" x14ac:dyDescent="0.25">
      <c r="A14" s="114" t="s">
        <v>88</v>
      </c>
      <c r="B14" s="114"/>
      <c r="C14" s="114"/>
      <c r="D14" s="114"/>
      <c r="E14" s="114"/>
      <c r="F14" s="114"/>
      <c r="G14" s="114"/>
      <c r="H14" s="114"/>
      <c r="I14" s="114"/>
      <c r="J14" s="114"/>
      <c r="K14" s="114"/>
      <c r="L14" s="114"/>
      <c r="M14" s="114"/>
      <c r="N14" s="114"/>
      <c r="O14" s="114"/>
      <c r="P14" s="114"/>
      <c r="Q14" s="114"/>
      <c r="R14" s="114"/>
      <c r="S14" s="114"/>
      <c r="T14" s="114"/>
      <c r="U14" s="114"/>
      <c r="V14" s="114"/>
      <c r="W14" s="114"/>
      <c r="X14" s="114"/>
      <c r="Y14" s="114"/>
      <c r="Z14" s="114"/>
      <c r="AA14" s="114"/>
      <c r="AB14" s="114">
        <f>+AB13/$B$12*100</f>
        <v>0</v>
      </c>
      <c r="AC14" s="117" t="e">
        <f>+AC13/$B$12</f>
        <v>#VALUE!</v>
      </c>
      <c r="AD14" s="117" t="e">
        <f t="shared" ref="AD14:AO14" si="13">+AD13/$B$12</f>
        <v>#VALUE!</v>
      </c>
      <c r="AE14" s="117" t="e">
        <f t="shared" si="13"/>
        <v>#VALUE!</v>
      </c>
      <c r="AF14" s="117" t="e">
        <f t="shared" si="13"/>
        <v>#VALUE!</v>
      </c>
      <c r="AG14" s="117" t="e">
        <f t="shared" si="13"/>
        <v>#VALUE!</v>
      </c>
      <c r="AH14" s="117" t="e">
        <f t="shared" si="13"/>
        <v>#VALUE!</v>
      </c>
      <c r="AI14" s="117" t="e">
        <f t="shared" si="13"/>
        <v>#VALUE!</v>
      </c>
      <c r="AJ14" s="117" t="e">
        <f t="shared" si="13"/>
        <v>#VALUE!</v>
      </c>
      <c r="AK14" s="117" t="e">
        <f t="shared" si="13"/>
        <v>#VALUE!</v>
      </c>
      <c r="AL14" s="117" t="e">
        <f t="shared" si="13"/>
        <v>#VALUE!</v>
      </c>
      <c r="AM14" s="117" t="e">
        <f t="shared" si="13"/>
        <v>#VALUE!</v>
      </c>
      <c r="AN14" s="117" t="e">
        <f t="shared" si="13"/>
        <v>#VALUE!</v>
      </c>
      <c r="AO14" s="117" t="e">
        <f t="shared" si="13"/>
        <v>#VALUE!</v>
      </c>
    </row>
    <row r="15" spans="1:41" x14ac:dyDescent="0.25">
      <c r="A15" s="108"/>
      <c r="B15" s="108"/>
      <c r="C15" s="108"/>
      <c r="D15" s="108"/>
      <c r="E15" s="108"/>
      <c r="F15" s="108"/>
      <c r="G15" s="108"/>
      <c r="H15" s="108"/>
      <c r="I15" s="110"/>
      <c r="J15" s="110"/>
      <c r="K15" s="108"/>
      <c r="L15" s="108"/>
      <c r="M15" s="108"/>
      <c r="N15" s="108"/>
      <c r="O15" s="108"/>
      <c r="P15" s="108"/>
      <c r="Q15" s="108"/>
      <c r="R15" s="108"/>
      <c r="S15" s="108"/>
      <c r="T15" s="108"/>
      <c r="U15" s="108"/>
      <c r="V15" s="108"/>
      <c r="W15" s="108"/>
      <c r="X15" s="108"/>
      <c r="Y15" s="108"/>
      <c r="Z15" s="108"/>
      <c r="AA15" s="108"/>
      <c r="AB15" s="108"/>
      <c r="AC15" s="108"/>
      <c r="AD15" s="108"/>
      <c r="AE15" s="108"/>
      <c r="AF15" s="108"/>
      <c r="AG15" s="108"/>
      <c r="AH15" s="108"/>
      <c r="AI15" s="110"/>
      <c r="AJ15" s="108"/>
      <c r="AK15" s="108"/>
      <c r="AL15" s="108"/>
      <c r="AM15" s="108"/>
      <c r="AN15" s="108"/>
      <c r="AO15" s="108"/>
    </row>
    <row r="17" spans="1:20" x14ac:dyDescent="0.25">
      <c r="A17" s="118" t="s">
        <v>48</v>
      </c>
      <c r="B17" s="119"/>
      <c r="C17" s="118"/>
      <c r="D17" s="118"/>
      <c r="E17" s="118" t="e">
        <f>+B12-E12</f>
        <v>#VALUE!</v>
      </c>
      <c r="F17" s="118"/>
      <c r="G17" s="118"/>
      <c r="I17" s="118"/>
      <c r="J17" s="118"/>
      <c r="Q17" s="118"/>
      <c r="R17" s="118"/>
      <c r="S17" s="118"/>
      <c r="T17" s="118"/>
    </row>
  </sheetData>
  <mergeCells count="8">
    <mergeCell ref="Q2:T2"/>
    <mergeCell ref="E1:H1"/>
    <mergeCell ref="K1:P1"/>
    <mergeCell ref="B2:D2"/>
    <mergeCell ref="E2:G2"/>
    <mergeCell ref="I2:J2"/>
    <mergeCell ref="L2:M2"/>
    <mergeCell ref="N2:P2"/>
  </mergeCells>
  <pageMargins left="0.7" right="0.7" top="0.75" bottom="0.75" header="0.3" footer="0.3"/>
  <pageSetup paperSize="8" scale="3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O26"/>
  <sheetViews>
    <sheetView topLeftCell="J1" workbookViewId="0">
      <selection activeCell="M17" sqref="M17"/>
    </sheetView>
  </sheetViews>
  <sheetFormatPr baseColWidth="10" defaultRowHeight="15" x14ac:dyDescent="0.25"/>
  <cols>
    <col min="1" max="1" width="19.85546875" customWidth="1"/>
    <col min="2" max="2" width="15.85546875" bestFit="1" customWidth="1"/>
    <col min="3" max="3" width="16.7109375" bestFit="1" customWidth="1"/>
    <col min="4" max="5" width="16.7109375" customWidth="1"/>
    <col min="6" max="6" width="21.7109375" customWidth="1"/>
    <col min="7" max="7" width="19.140625" bestFit="1" customWidth="1"/>
    <col min="8" max="8" width="13.28515625" customWidth="1"/>
    <col min="9" max="9" width="16.28515625" customWidth="1"/>
    <col min="12" max="12" width="19.7109375" customWidth="1"/>
    <col min="13" max="13" width="13.140625" style="167" customWidth="1"/>
    <col min="14" max="14" width="38.5703125" customWidth="1"/>
    <col min="15" max="15" width="29" bestFit="1" customWidth="1"/>
    <col min="259" max="259" width="19.85546875" customWidth="1"/>
    <col min="260" max="260" width="15.85546875" bestFit="1" customWidth="1"/>
    <col min="261" max="261" width="16.7109375" bestFit="1" customWidth="1"/>
    <col min="262" max="263" width="16.7109375" customWidth="1"/>
    <col min="264" max="264" width="21.7109375" customWidth="1"/>
    <col min="265" max="265" width="19.140625" bestFit="1" customWidth="1"/>
    <col min="266" max="266" width="13.28515625" customWidth="1"/>
    <col min="515" max="515" width="19.85546875" customWidth="1"/>
    <col min="516" max="516" width="15.85546875" bestFit="1" customWidth="1"/>
    <col min="517" max="517" width="16.7109375" bestFit="1" customWidth="1"/>
    <col min="518" max="519" width="16.7109375" customWidth="1"/>
    <col min="520" max="520" width="21.7109375" customWidth="1"/>
    <col min="521" max="521" width="19.140625" bestFit="1" customWidth="1"/>
    <col min="522" max="522" width="13.28515625" customWidth="1"/>
    <col min="771" max="771" width="19.85546875" customWidth="1"/>
    <col min="772" max="772" width="15.85546875" bestFit="1" customWidth="1"/>
    <col min="773" max="773" width="16.7109375" bestFit="1" customWidth="1"/>
    <col min="774" max="775" width="16.7109375" customWidth="1"/>
    <col min="776" max="776" width="21.7109375" customWidth="1"/>
    <col min="777" max="777" width="19.140625" bestFit="1" customWidth="1"/>
    <col min="778" max="778" width="13.28515625" customWidth="1"/>
    <col min="1027" max="1027" width="19.85546875" customWidth="1"/>
    <col min="1028" max="1028" width="15.85546875" bestFit="1" customWidth="1"/>
    <col min="1029" max="1029" width="16.7109375" bestFit="1" customWidth="1"/>
    <col min="1030" max="1031" width="16.7109375" customWidth="1"/>
    <col min="1032" max="1032" width="21.7109375" customWidth="1"/>
    <col min="1033" max="1033" width="19.140625" bestFit="1" customWidth="1"/>
    <col min="1034" max="1034" width="13.28515625" customWidth="1"/>
    <col min="1283" max="1283" width="19.85546875" customWidth="1"/>
    <col min="1284" max="1284" width="15.85546875" bestFit="1" customWidth="1"/>
    <col min="1285" max="1285" width="16.7109375" bestFit="1" customWidth="1"/>
    <col min="1286" max="1287" width="16.7109375" customWidth="1"/>
    <col min="1288" max="1288" width="21.7109375" customWidth="1"/>
    <col min="1289" max="1289" width="19.140625" bestFit="1" customWidth="1"/>
    <col min="1290" max="1290" width="13.28515625" customWidth="1"/>
    <col min="1539" max="1539" width="19.85546875" customWidth="1"/>
    <col min="1540" max="1540" width="15.85546875" bestFit="1" customWidth="1"/>
    <col min="1541" max="1541" width="16.7109375" bestFit="1" customWidth="1"/>
    <col min="1542" max="1543" width="16.7109375" customWidth="1"/>
    <col min="1544" max="1544" width="21.7109375" customWidth="1"/>
    <col min="1545" max="1545" width="19.140625" bestFit="1" customWidth="1"/>
    <col min="1546" max="1546" width="13.28515625" customWidth="1"/>
    <col min="1795" max="1795" width="19.85546875" customWidth="1"/>
    <col min="1796" max="1796" width="15.85546875" bestFit="1" customWidth="1"/>
    <col min="1797" max="1797" width="16.7109375" bestFit="1" customWidth="1"/>
    <col min="1798" max="1799" width="16.7109375" customWidth="1"/>
    <col min="1800" max="1800" width="21.7109375" customWidth="1"/>
    <col min="1801" max="1801" width="19.140625" bestFit="1" customWidth="1"/>
    <col min="1802" max="1802" width="13.28515625" customWidth="1"/>
    <col min="2051" max="2051" width="19.85546875" customWidth="1"/>
    <col min="2052" max="2052" width="15.85546875" bestFit="1" customWidth="1"/>
    <col min="2053" max="2053" width="16.7109375" bestFit="1" customWidth="1"/>
    <col min="2054" max="2055" width="16.7109375" customWidth="1"/>
    <col min="2056" max="2056" width="21.7109375" customWidth="1"/>
    <col min="2057" max="2057" width="19.140625" bestFit="1" customWidth="1"/>
    <col min="2058" max="2058" width="13.28515625" customWidth="1"/>
    <col min="2307" max="2307" width="19.85546875" customWidth="1"/>
    <col min="2308" max="2308" width="15.85546875" bestFit="1" customWidth="1"/>
    <col min="2309" max="2309" width="16.7109375" bestFit="1" customWidth="1"/>
    <col min="2310" max="2311" width="16.7109375" customWidth="1"/>
    <col min="2312" max="2312" width="21.7109375" customWidth="1"/>
    <col min="2313" max="2313" width="19.140625" bestFit="1" customWidth="1"/>
    <col min="2314" max="2314" width="13.28515625" customWidth="1"/>
    <col min="2563" max="2563" width="19.85546875" customWidth="1"/>
    <col min="2564" max="2564" width="15.85546875" bestFit="1" customWidth="1"/>
    <col min="2565" max="2565" width="16.7109375" bestFit="1" customWidth="1"/>
    <col min="2566" max="2567" width="16.7109375" customWidth="1"/>
    <col min="2568" max="2568" width="21.7109375" customWidth="1"/>
    <col min="2569" max="2569" width="19.140625" bestFit="1" customWidth="1"/>
    <col min="2570" max="2570" width="13.28515625" customWidth="1"/>
    <col min="2819" max="2819" width="19.85546875" customWidth="1"/>
    <col min="2820" max="2820" width="15.85546875" bestFit="1" customWidth="1"/>
    <col min="2821" max="2821" width="16.7109375" bestFit="1" customWidth="1"/>
    <col min="2822" max="2823" width="16.7109375" customWidth="1"/>
    <col min="2824" max="2824" width="21.7109375" customWidth="1"/>
    <col min="2825" max="2825" width="19.140625" bestFit="1" customWidth="1"/>
    <col min="2826" max="2826" width="13.28515625" customWidth="1"/>
    <col min="3075" max="3075" width="19.85546875" customWidth="1"/>
    <col min="3076" max="3076" width="15.85546875" bestFit="1" customWidth="1"/>
    <col min="3077" max="3077" width="16.7109375" bestFit="1" customWidth="1"/>
    <col min="3078" max="3079" width="16.7109375" customWidth="1"/>
    <col min="3080" max="3080" width="21.7109375" customWidth="1"/>
    <col min="3081" max="3081" width="19.140625" bestFit="1" customWidth="1"/>
    <col min="3082" max="3082" width="13.28515625" customWidth="1"/>
    <col min="3331" max="3331" width="19.85546875" customWidth="1"/>
    <col min="3332" max="3332" width="15.85546875" bestFit="1" customWidth="1"/>
    <col min="3333" max="3333" width="16.7109375" bestFit="1" customWidth="1"/>
    <col min="3334" max="3335" width="16.7109375" customWidth="1"/>
    <col min="3336" max="3336" width="21.7109375" customWidth="1"/>
    <col min="3337" max="3337" width="19.140625" bestFit="1" customWidth="1"/>
    <col min="3338" max="3338" width="13.28515625" customWidth="1"/>
    <col min="3587" max="3587" width="19.85546875" customWidth="1"/>
    <col min="3588" max="3588" width="15.85546875" bestFit="1" customWidth="1"/>
    <col min="3589" max="3589" width="16.7109375" bestFit="1" customWidth="1"/>
    <col min="3590" max="3591" width="16.7109375" customWidth="1"/>
    <col min="3592" max="3592" width="21.7109375" customWidth="1"/>
    <col min="3593" max="3593" width="19.140625" bestFit="1" customWidth="1"/>
    <col min="3594" max="3594" width="13.28515625" customWidth="1"/>
    <col min="3843" max="3843" width="19.85546875" customWidth="1"/>
    <col min="3844" max="3844" width="15.85546875" bestFit="1" customWidth="1"/>
    <col min="3845" max="3845" width="16.7109375" bestFit="1" customWidth="1"/>
    <col min="3846" max="3847" width="16.7109375" customWidth="1"/>
    <col min="3848" max="3848" width="21.7109375" customWidth="1"/>
    <col min="3849" max="3849" width="19.140625" bestFit="1" customWidth="1"/>
    <col min="3850" max="3850" width="13.28515625" customWidth="1"/>
    <col min="4099" max="4099" width="19.85546875" customWidth="1"/>
    <col min="4100" max="4100" width="15.85546875" bestFit="1" customWidth="1"/>
    <col min="4101" max="4101" width="16.7109375" bestFit="1" customWidth="1"/>
    <col min="4102" max="4103" width="16.7109375" customWidth="1"/>
    <col min="4104" max="4104" width="21.7109375" customWidth="1"/>
    <col min="4105" max="4105" width="19.140625" bestFit="1" customWidth="1"/>
    <col min="4106" max="4106" width="13.28515625" customWidth="1"/>
    <col min="4355" max="4355" width="19.85546875" customWidth="1"/>
    <col min="4356" max="4356" width="15.85546875" bestFit="1" customWidth="1"/>
    <col min="4357" max="4357" width="16.7109375" bestFit="1" customWidth="1"/>
    <col min="4358" max="4359" width="16.7109375" customWidth="1"/>
    <col min="4360" max="4360" width="21.7109375" customWidth="1"/>
    <col min="4361" max="4361" width="19.140625" bestFit="1" customWidth="1"/>
    <col min="4362" max="4362" width="13.28515625" customWidth="1"/>
    <col min="4611" max="4611" width="19.85546875" customWidth="1"/>
    <col min="4612" max="4612" width="15.85546875" bestFit="1" customWidth="1"/>
    <col min="4613" max="4613" width="16.7109375" bestFit="1" customWidth="1"/>
    <col min="4614" max="4615" width="16.7109375" customWidth="1"/>
    <col min="4616" max="4616" width="21.7109375" customWidth="1"/>
    <col min="4617" max="4617" width="19.140625" bestFit="1" customWidth="1"/>
    <col min="4618" max="4618" width="13.28515625" customWidth="1"/>
    <col min="4867" max="4867" width="19.85546875" customWidth="1"/>
    <col min="4868" max="4868" width="15.85546875" bestFit="1" customWidth="1"/>
    <col min="4869" max="4869" width="16.7109375" bestFit="1" customWidth="1"/>
    <col min="4870" max="4871" width="16.7109375" customWidth="1"/>
    <col min="4872" max="4872" width="21.7109375" customWidth="1"/>
    <col min="4873" max="4873" width="19.140625" bestFit="1" customWidth="1"/>
    <col min="4874" max="4874" width="13.28515625" customWidth="1"/>
    <col min="5123" max="5123" width="19.85546875" customWidth="1"/>
    <col min="5124" max="5124" width="15.85546875" bestFit="1" customWidth="1"/>
    <col min="5125" max="5125" width="16.7109375" bestFit="1" customWidth="1"/>
    <col min="5126" max="5127" width="16.7109375" customWidth="1"/>
    <col min="5128" max="5128" width="21.7109375" customWidth="1"/>
    <col min="5129" max="5129" width="19.140625" bestFit="1" customWidth="1"/>
    <col min="5130" max="5130" width="13.28515625" customWidth="1"/>
    <col min="5379" max="5379" width="19.85546875" customWidth="1"/>
    <col min="5380" max="5380" width="15.85546875" bestFit="1" customWidth="1"/>
    <col min="5381" max="5381" width="16.7109375" bestFit="1" customWidth="1"/>
    <col min="5382" max="5383" width="16.7109375" customWidth="1"/>
    <col min="5384" max="5384" width="21.7109375" customWidth="1"/>
    <col min="5385" max="5385" width="19.140625" bestFit="1" customWidth="1"/>
    <col min="5386" max="5386" width="13.28515625" customWidth="1"/>
    <col min="5635" max="5635" width="19.85546875" customWidth="1"/>
    <col min="5636" max="5636" width="15.85546875" bestFit="1" customWidth="1"/>
    <col min="5637" max="5637" width="16.7109375" bestFit="1" customWidth="1"/>
    <col min="5638" max="5639" width="16.7109375" customWidth="1"/>
    <col min="5640" max="5640" width="21.7109375" customWidth="1"/>
    <col min="5641" max="5641" width="19.140625" bestFit="1" customWidth="1"/>
    <col min="5642" max="5642" width="13.28515625" customWidth="1"/>
    <col min="5891" max="5891" width="19.85546875" customWidth="1"/>
    <col min="5892" max="5892" width="15.85546875" bestFit="1" customWidth="1"/>
    <col min="5893" max="5893" width="16.7109375" bestFit="1" customWidth="1"/>
    <col min="5894" max="5895" width="16.7109375" customWidth="1"/>
    <col min="5896" max="5896" width="21.7109375" customWidth="1"/>
    <col min="5897" max="5897" width="19.140625" bestFit="1" customWidth="1"/>
    <col min="5898" max="5898" width="13.28515625" customWidth="1"/>
    <col min="6147" max="6147" width="19.85546875" customWidth="1"/>
    <col min="6148" max="6148" width="15.85546875" bestFit="1" customWidth="1"/>
    <col min="6149" max="6149" width="16.7109375" bestFit="1" customWidth="1"/>
    <col min="6150" max="6151" width="16.7109375" customWidth="1"/>
    <col min="6152" max="6152" width="21.7109375" customWidth="1"/>
    <col min="6153" max="6153" width="19.140625" bestFit="1" customWidth="1"/>
    <col min="6154" max="6154" width="13.28515625" customWidth="1"/>
    <col min="6403" max="6403" width="19.85546875" customWidth="1"/>
    <col min="6404" max="6404" width="15.85546875" bestFit="1" customWidth="1"/>
    <col min="6405" max="6405" width="16.7109375" bestFit="1" customWidth="1"/>
    <col min="6406" max="6407" width="16.7109375" customWidth="1"/>
    <col min="6408" max="6408" width="21.7109375" customWidth="1"/>
    <col min="6409" max="6409" width="19.140625" bestFit="1" customWidth="1"/>
    <col min="6410" max="6410" width="13.28515625" customWidth="1"/>
    <col min="6659" max="6659" width="19.85546875" customWidth="1"/>
    <col min="6660" max="6660" width="15.85546875" bestFit="1" customWidth="1"/>
    <col min="6661" max="6661" width="16.7109375" bestFit="1" customWidth="1"/>
    <col min="6662" max="6663" width="16.7109375" customWidth="1"/>
    <col min="6664" max="6664" width="21.7109375" customWidth="1"/>
    <col min="6665" max="6665" width="19.140625" bestFit="1" customWidth="1"/>
    <col min="6666" max="6666" width="13.28515625" customWidth="1"/>
    <col min="6915" max="6915" width="19.85546875" customWidth="1"/>
    <col min="6916" max="6916" width="15.85546875" bestFit="1" customWidth="1"/>
    <col min="6917" max="6917" width="16.7109375" bestFit="1" customWidth="1"/>
    <col min="6918" max="6919" width="16.7109375" customWidth="1"/>
    <col min="6920" max="6920" width="21.7109375" customWidth="1"/>
    <col min="6921" max="6921" width="19.140625" bestFit="1" customWidth="1"/>
    <col min="6922" max="6922" width="13.28515625" customWidth="1"/>
    <col min="7171" max="7171" width="19.85546875" customWidth="1"/>
    <col min="7172" max="7172" width="15.85546875" bestFit="1" customWidth="1"/>
    <col min="7173" max="7173" width="16.7109375" bestFit="1" customWidth="1"/>
    <col min="7174" max="7175" width="16.7109375" customWidth="1"/>
    <col min="7176" max="7176" width="21.7109375" customWidth="1"/>
    <col min="7177" max="7177" width="19.140625" bestFit="1" customWidth="1"/>
    <col min="7178" max="7178" width="13.28515625" customWidth="1"/>
    <col min="7427" max="7427" width="19.85546875" customWidth="1"/>
    <col min="7428" max="7428" width="15.85546875" bestFit="1" customWidth="1"/>
    <col min="7429" max="7429" width="16.7109375" bestFit="1" customWidth="1"/>
    <col min="7430" max="7431" width="16.7109375" customWidth="1"/>
    <col min="7432" max="7432" width="21.7109375" customWidth="1"/>
    <col min="7433" max="7433" width="19.140625" bestFit="1" customWidth="1"/>
    <col min="7434" max="7434" width="13.28515625" customWidth="1"/>
    <col min="7683" max="7683" width="19.85546875" customWidth="1"/>
    <col min="7684" max="7684" width="15.85546875" bestFit="1" customWidth="1"/>
    <col min="7685" max="7685" width="16.7109375" bestFit="1" customWidth="1"/>
    <col min="7686" max="7687" width="16.7109375" customWidth="1"/>
    <col min="7688" max="7688" width="21.7109375" customWidth="1"/>
    <col min="7689" max="7689" width="19.140625" bestFit="1" customWidth="1"/>
    <col min="7690" max="7690" width="13.28515625" customWidth="1"/>
    <col min="7939" max="7939" width="19.85546875" customWidth="1"/>
    <col min="7940" max="7940" width="15.85546875" bestFit="1" customWidth="1"/>
    <col min="7941" max="7941" width="16.7109375" bestFit="1" customWidth="1"/>
    <col min="7942" max="7943" width="16.7109375" customWidth="1"/>
    <col min="7944" max="7944" width="21.7109375" customWidth="1"/>
    <col min="7945" max="7945" width="19.140625" bestFit="1" customWidth="1"/>
    <col min="7946" max="7946" width="13.28515625" customWidth="1"/>
    <col min="8195" max="8195" width="19.85546875" customWidth="1"/>
    <col min="8196" max="8196" width="15.85546875" bestFit="1" customWidth="1"/>
    <col min="8197" max="8197" width="16.7109375" bestFit="1" customWidth="1"/>
    <col min="8198" max="8199" width="16.7109375" customWidth="1"/>
    <col min="8200" max="8200" width="21.7109375" customWidth="1"/>
    <col min="8201" max="8201" width="19.140625" bestFit="1" customWidth="1"/>
    <col min="8202" max="8202" width="13.28515625" customWidth="1"/>
    <col min="8451" max="8451" width="19.85546875" customWidth="1"/>
    <col min="8452" max="8452" width="15.85546875" bestFit="1" customWidth="1"/>
    <col min="8453" max="8453" width="16.7109375" bestFit="1" customWidth="1"/>
    <col min="8454" max="8455" width="16.7109375" customWidth="1"/>
    <col min="8456" max="8456" width="21.7109375" customWidth="1"/>
    <col min="8457" max="8457" width="19.140625" bestFit="1" customWidth="1"/>
    <col min="8458" max="8458" width="13.28515625" customWidth="1"/>
    <col min="8707" max="8707" width="19.85546875" customWidth="1"/>
    <col min="8708" max="8708" width="15.85546875" bestFit="1" customWidth="1"/>
    <col min="8709" max="8709" width="16.7109375" bestFit="1" customWidth="1"/>
    <col min="8710" max="8711" width="16.7109375" customWidth="1"/>
    <col min="8712" max="8712" width="21.7109375" customWidth="1"/>
    <col min="8713" max="8713" width="19.140625" bestFit="1" customWidth="1"/>
    <col min="8714" max="8714" width="13.28515625" customWidth="1"/>
    <col min="8963" max="8963" width="19.85546875" customWidth="1"/>
    <col min="8964" max="8964" width="15.85546875" bestFit="1" customWidth="1"/>
    <col min="8965" max="8965" width="16.7109375" bestFit="1" customWidth="1"/>
    <col min="8966" max="8967" width="16.7109375" customWidth="1"/>
    <col min="8968" max="8968" width="21.7109375" customWidth="1"/>
    <col min="8969" max="8969" width="19.140625" bestFit="1" customWidth="1"/>
    <col min="8970" max="8970" width="13.28515625" customWidth="1"/>
    <col min="9219" max="9219" width="19.85546875" customWidth="1"/>
    <col min="9220" max="9220" width="15.85546875" bestFit="1" customWidth="1"/>
    <col min="9221" max="9221" width="16.7109375" bestFit="1" customWidth="1"/>
    <col min="9222" max="9223" width="16.7109375" customWidth="1"/>
    <col min="9224" max="9224" width="21.7109375" customWidth="1"/>
    <col min="9225" max="9225" width="19.140625" bestFit="1" customWidth="1"/>
    <col min="9226" max="9226" width="13.28515625" customWidth="1"/>
    <col min="9475" max="9475" width="19.85546875" customWidth="1"/>
    <col min="9476" max="9476" width="15.85546875" bestFit="1" customWidth="1"/>
    <col min="9477" max="9477" width="16.7109375" bestFit="1" customWidth="1"/>
    <col min="9478" max="9479" width="16.7109375" customWidth="1"/>
    <col min="9480" max="9480" width="21.7109375" customWidth="1"/>
    <col min="9481" max="9481" width="19.140625" bestFit="1" customWidth="1"/>
    <col min="9482" max="9482" width="13.28515625" customWidth="1"/>
    <col min="9731" max="9731" width="19.85546875" customWidth="1"/>
    <col min="9732" max="9732" width="15.85546875" bestFit="1" customWidth="1"/>
    <col min="9733" max="9733" width="16.7109375" bestFit="1" customWidth="1"/>
    <col min="9734" max="9735" width="16.7109375" customWidth="1"/>
    <col min="9736" max="9736" width="21.7109375" customWidth="1"/>
    <col min="9737" max="9737" width="19.140625" bestFit="1" customWidth="1"/>
    <col min="9738" max="9738" width="13.28515625" customWidth="1"/>
    <col min="9987" max="9987" width="19.85546875" customWidth="1"/>
    <col min="9988" max="9988" width="15.85546875" bestFit="1" customWidth="1"/>
    <col min="9989" max="9989" width="16.7109375" bestFit="1" customWidth="1"/>
    <col min="9990" max="9991" width="16.7109375" customWidth="1"/>
    <col min="9992" max="9992" width="21.7109375" customWidth="1"/>
    <col min="9993" max="9993" width="19.140625" bestFit="1" customWidth="1"/>
    <col min="9994" max="9994" width="13.28515625" customWidth="1"/>
    <col min="10243" max="10243" width="19.85546875" customWidth="1"/>
    <col min="10244" max="10244" width="15.85546875" bestFit="1" customWidth="1"/>
    <col min="10245" max="10245" width="16.7109375" bestFit="1" customWidth="1"/>
    <col min="10246" max="10247" width="16.7109375" customWidth="1"/>
    <col min="10248" max="10248" width="21.7109375" customWidth="1"/>
    <col min="10249" max="10249" width="19.140625" bestFit="1" customWidth="1"/>
    <col min="10250" max="10250" width="13.28515625" customWidth="1"/>
    <col min="10499" max="10499" width="19.85546875" customWidth="1"/>
    <col min="10500" max="10500" width="15.85546875" bestFit="1" customWidth="1"/>
    <col min="10501" max="10501" width="16.7109375" bestFit="1" customWidth="1"/>
    <col min="10502" max="10503" width="16.7109375" customWidth="1"/>
    <col min="10504" max="10504" width="21.7109375" customWidth="1"/>
    <col min="10505" max="10505" width="19.140625" bestFit="1" customWidth="1"/>
    <col min="10506" max="10506" width="13.28515625" customWidth="1"/>
    <col min="10755" max="10755" width="19.85546875" customWidth="1"/>
    <col min="10756" max="10756" width="15.85546875" bestFit="1" customWidth="1"/>
    <col min="10757" max="10757" width="16.7109375" bestFit="1" customWidth="1"/>
    <col min="10758" max="10759" width="16.7109375" customWidth="1"/>
    <col min="10760" max="10760" width="21.7109375" customWidth="1"/>
    <col min="10761" max="10761" width="19.140625" bestFit="1" customWidth="1"/>
    <col min="10762" max="10762" width="13.28515625" customWidth="1"/>
    <col min="11011" max="11011" width="19.85546875" customWidth="1"/>
    <col min="11012" max="11012" width="15.85546875" bestFit="1" customWidth="1"/>
    <col min="11013" max="11013" width="16.7109375" bestFit="1" customWidth="1"/>
    <col min="11014" max="11015" width="16.7109375" customWidth="1"/>
    <col min="11016" max="11016" width="21.7109375" customWidth="1"/>
    <col min="11017" max="11017" width="19.140625" bestFit="1" customWidth="1"/>
    <col min="11018" max="11018" width="13.28515625" customWidth="1"/>
    <col min="11267" max="11267" width="19.85546875" customWidth="1"/>
    <col min="11268" max="11268" width="15.85546875" bestFit="1" customWidth="1"/>
    <col min="11269" max="11269" width="16.7109375" bestFit="1" customWidth="1"/>
    <col min="11270" max="11271" width="16.7109375" customWidth="1"/>
    <col min="11272" max="11272" width="21.7109375" customWidth="1"/>
    <col min="11273" max="11273" width="19.140625" bestFit="1" customWidth="1"/>
    <col min="11274" max="11274" width="13.28515625" customWidth="1"/>
    <col min="11523" max="11523" width="19.85546875" customWidth="1"/>
    <col min="11524" max="11524" width="15.85546875" bestFit="1" customWidth="1"/>
    <col min="11525" max="11525" width="16.7109375" bestFit="1" customWidth="1"/>
    <col min="11526" max="11527" width="16.7109375" customWidth="1"/>
    <col min="11528" max="11528" width="21.7109375" customWidth="1"/>
    <col min="11529" max="11529" width="19.140625" bestFit="1" customWidth="1"/>
    <col min="11530" max="11530" width="13.28515625" customWidth="1"/>
    <col min="11779" max="11779" width="19.85546875" customWidth="1"/>
    <col min="11780" max="11780" width="15.85546875" bestFit="1" customWidth="1"/>
    <col min="11781" max="11781" width="16.7109375" bestFit="1" customWidth="1"/>
    <col min="11782" max="11783" width="16.7109375" customWidth="1"/>
    <col min="11784" max="11784" width="21.7109375" customWidth="1"/>
    <col min="11785" max="11785" width="19.140625" bestFit="1" customWidth="1"/>
    <col min="11786" max="11786" width="13.28515625" customWidth="1"/>
    <col min="12035" max="12035" width="19.85546875" customWidth="1"/>
    <col min="12036" max="12036" width="15.85546875" bestFit="1" customWidth="1"/>
    <col min="12037" max="12037" width="16.7109375" bestFit="1" customWidth="1"/>
    <col min="12038" max="12039" width="16.7109375" customWidth="1"/>
    <col min="12040" max="12040" width="21.7109375" customWidth="1"/>
    <col min="12041" max="12041" width="19.140625" bestFit="1" customWidth="1"/>
    <col min="12042" max="12042" width="13.28515625" customWidth="1"/>
    <col min="12291" max="12291" width="19.85546875" customWidth="1"/>
    <col min="12292" max="12292" width="15.85546875" bestFit="1" customWidth="1"/>
    <col min="12293" max="12293" width="16.7109375" bestFit="1" customWidth="1"/>
    <col min="12294" max="12295" width="16.7109375" customWidth="1"/>
    <col min="12296" max="12296" width="21.7109375" customWidth="1"/>
    <col min="12297" max="12297" width="19.140625" bestFit="1" customWidth="1"/>
    <col min="12298" max="12298" width="13.28515625" customWidth="1"/>
    <col min="12547" max="12547" width="19.85546875" customWidth="1"/>
    <col min="12548" max="12548" width="15.85546875" bestFit="1" customWidth="1"/>
    <col min="12549" max="12549" width="16.7109375" bestFit="1" customWidth="1"/>
    <col min="12550" max="12551" width="16.7109375" customWidth="1"/>
    <col min="12552" max="12552" width="21.7109375" customWidth="1"/>
    <col min="12553" max="12553" width="19.140625" bestFit="1" customWidth="1"/>
    <col min="12554" max="12554" width="13.28515625" customWidth="1"/>
    <col min="12803" max="12803" width="19.85546875" customWidth="1"/>
    <col min="12804" max="12804" width="15.85546875" bestFit="1" customWidth="1"/>
    <col min="12805" max="12805" width="16.7109375" bestFit="1" customWidth="1"/>
    <col min="12806" max="12807" width="16.7109375" customWidth="1"/>
    <col min="12808" max="12808" width="21.7109375" customWidth="1"/>
    <col min="12809" max="12809" width="19.140625" bestFit="1" customWidth="1"/>
    <col min="12810" max="12810" width="13.28515625" customWidth="1"/>
    <col min="13059" max="13059" width="19.85546875" customWidth="1"/>
    <col min="13060" max="13060" width="15.85546875" bestFit="1" customWidth="1"/>
    <col min="13061" max="13061" width="16.7109375" bestFit="1" customWidth="1"/>
    <col min="13062" max="13063" width="16.7109375" customWidth="1"/>
    <col min="13064" max="13064" width="21.7109375" customWidth="1"/>
    <col min="13065" max="13065" width="19.140625" bestFit="1" customWidth="1"/>
    <col min="13066" max="13066" width="13.28515625" customWidth="1"/>
    <col min="13315" max="13315" width="19.85546875" customWidth="1"/>
    <col min="13316" max="13316" width="15.85546875" bestFit="1" customWidth="1"/>
    <col min="13317" max="13317" width="16.7109375" bestFit="1" customWidth="1"/>
    <col min="13318" max="13319" width="16.7109375" customWidth="1"/>
    <col min="13320" max="13320" width="21.7109375" customWidth="1"/>
    <col min="13321" max="13321" width="19.140625" bestFit="1" customWidth="1"/>
    <col min="13322" max="13322" width="13.28515625" customWidth="1"/>
    <col min="13571" max="13571" width="19.85546875" customWidth="1"/>
    <col min="13572" max="13572" width="15.85546875" bestFit="1" customWidth="1"/>
    <col min="13573" max="13573" width="16.7109375" bestFit="1" customWidth="1"/>
    <col min="13574" max="13575" width="16.7109375" customWidth="1"/>
    <col min="13576" max="13576" width="21.7109375" customWidth="1"/>
    <col min="13577" max="13577" width="19.140625" bestFit="1" customWidth="1"/>
    <col min="13578" max="13578" width="13.28515625" customWidth="1"/>
    <col min="13827" max="13827" width="19.85546875" customWidth="1"/>
    <col min="13828" max="13828" width="15.85546875" bestFit="1" customWidth="1"/>
    <col min="13829" max="13829" width="16.7109375" bestFit="1" customWidth="1"/>
    <col min="13830" max="13831" width="16.7109375" customWidth="1"/>
    <col min="13832" max="13832" width="21.7109375" customWidth="1"/>
    <col min="13833" max="13833" width="19.140625" bestFit="1" customWidth="1"/>
    <col min="13834" max="13834" width="13.28515625" customWidth="1"/>
    <col min="14083" max="14083" width="19.85546875" customWidth="1"/>
    <col min="14084" max="14084" width="15.85546875" bestFit="1" customWidth="1"/>
    <col min="14085" max="14085" width="16.7109375" bestFit="1" customWidth="1"/>
    <col min="14086" max="14087" width="16.7109375" customWidth="1"/>
    <col min="14088" max="14088" width="21.7109375" customWidth="1"/>
    <col min="14089" max="14089" width="19.140625" bestFit="1" customWidth="1"/>
    <col min="14090" max="14090" width="13.28515625" customWidth="1"/>
    <col min="14339" max="14339" width="19.85546875" customWidth="1"/>
    <col min="14340" max="14340" width="15.85546875" bestFit="1" customWidth="1"/>
    <col min="14341" max="14341" width="16.7109375" bestFit="1" customWidth="1"/>
    <col min="14342" max="14343" width="16.7109375" customWidth="1"/>
    <col min="14344" max="14344" width="21.7109375" customWidth="1"/>
    <col min="14345" max="14345" width="19.140625" bestFit="1" customWidth="1"/>
    <col min="14346" max="14346" width="13.28515625" customWidth="1"/>
    <col min="14595" max="14595" width="19.85546875" customWidth="1"/>
    <col min="14596" max="14596" width="15.85546875" bestFit="1" customWidth="1"/>
    <col min="14597" max="14597" width="16.7109375" bestFit="1" customWidth="1"/>
    <col min="14598" max="14599" width="16.7109375" customWidth="1"/>
    <col min="14600" max="14600" width="21.7109375" customWidth="1"/>
    <col min="14601" max="14601" width="19.140625" bestFit="1" customWidth="1"/>
    <col min="14602" max="14602" width="13.28515625" customWidth="1"/>
    <col min="14851" max="14851" width="19.85546875" customWidth="1"/>
    <col min="14852" max="14852" width="15.85546875" bestFit="1" customWidth="1"/>
    <col min="14853" max="14853" width="16.7109375" bestFit="1" customWidth="1"/>
    <col min="14854" max="14855" width="16.7109375" customWidth="1"/>
    <col min="14856" max="14856" width="21.7109375" customWidth="1"/>
    <col min="14857" max="14857" width="19.140625" bestFit="1" customWidth="1"/>
    <col min="14858" max="14858" width="13.28515625" customWidth="1"/>
    <col min="15107" max="15107" width="19.85546875" customWidth="1"/>
    <col min="15108" max="15108" width="15.85546875" bestFit="1" customWidth="1"/>
    <col min="15109" max="15109" width="16.7109375" bestFit="1" customWidth="1"/>
    <col min="15110" max="15111" width="16.7109375" customWidth="1"/>
    <col min="15112" max="15112" width="21.7109375" customWidth="1"/>
    <col min="15113" max="15113" width="19.140625" bestFit="1" customWidth="1"/>
    <col min="15114" max="15114" width="13.28515625" customWidth="1"/>
    <col min="15363" max="15363" width="19.85546875" customWidth="1"/>
    <col min="15364" max="15364" width="15.85546875" bestFit="1" customWidth="1"/>
    <col min="15365" max="15365" width="16.7109375" bestFit="1" customWidth="1"/>
    <col min="15366" max="15367" width="16.7109375" customWidth="1"/>
    <col min="15368" max="15368" width="21.7109375" customWidth="1"/>
    <col min="15369" max="15369" width="19.140625" bestFit="1" customWidth="1"/>
    <col min="15370" max="15370" width="13.28515625" customWidth="1"/>
    <col min="15619" max="15619" width="19.85546875" customWidth="1"/>
    <col min="15620" max="15620" width="15.85546875" bestFit="1" customWidth="1"/>
    <col min="15621" max="15621" width="16.7109375" bestFit="1" customWidth="1"/>
    <col min="15622" max="15623" width="16.7109375" customWidth="1"/>
    <col min="15624" max="15624" width="21.7109375" customWidth="1"/>
    <col min="15625" max="15625" width="19.140625" bestFit="1" customWidth="1"/>
    <col min="15626" max="15626" width="13.28515625" customWidth="1"/>
    <col min="15875" max="15875" width="19.85546875" customWidth="1"/>
    <col min="15876" max="15876" width="15.85546875" bestFit="1" customWidth="1"/>
    <col min="15877" max="15877" width="16.7109375" bestFit="1" customWidth="1"/>
    <col min="15878" max="15879" width="16.7109375" customWidth="1"/>
    <col min="15880" max="15880" width="21.7109375" customWidth="1"/>
    <col min="15881" max="15881" width="19.140625" bestFit="1" customWidth="1"/>
    <col min="15882" max="15882" width="13.28515625" customWidth="1"/>
    <col min="16131" max="16131" width="19.85546875" customWidth="1"/>
    <col min="16132" max="16132" width="15.85546875" bestFit="1" customWidth="1"/>
    <col min="16133" max="16133" width="16.7109375" bestFit="1" customWidth="1"/>
    <col min="16134" max="16135" width="16.7109375" customWidth="1"/>
    <col min="16136" max="16136" width="21.7109375" customWidth="1"/>
    <col min="16137" max="16137" width="19.140625" bestFit="1" customWidth="1"/>
    <col min="16138" max="16138" width="13.28515625" customWidth="1"/>
  </cols>
  <sheetData>
    <row r="1" spans="1:15" x14ac:dyDescent="0.25">
      <c r="A1" s="269" t="s">
        <v>134</v>
      </c>
      <c r="B1" s="269"/>
      <c r="C1" s="269"/>
      <c r="D1" s="269"/>
      <c r="E1" s="269"/>
      <c r="F1" s="269"/>
      <c r="G1" s="269"/>
    </row>
    <row r="2" spans="1:15" x14ac:dyDescent="0.25">
      <c r="J2" s="273" t="s">
        <v>193</v>
      </c>
      <c r="K2" s="273"/>
      <c r="L2" s="273"/>
      <c r="M2" s="273"/>
      <c r="N2" s="273"/>
    </row>
    <row r="3" spans="1:15" x14ac:dyDescent="0.25">
      <c r="A3" s="123" t="s">
        <v>135</v>
      </c>
      <c r="B3" s="160" t="s">
        <v>91</v>
      </c>
      <c r="C3" s="270" t="s">
        <v>92</v>
      </c>
      <c r="D3" s="271"/>
      <c r="E3" s="272"/>
      <c r="F3" s="123" t="s">
        <v>93</v>
      </c>
      <c r="G3" s="123" t="s">
        <v>94</v>
      </c>
      <c r="H3" s="163" t="s">
        <v>174</v>
      </c>
      <c r="I3" s="163" t="s">
        <v>175</v>
      </c>
      <c r="J3" s="161" t="s">
        <v>148</v>
      </c>
      <c r="K3" s="163" t="s">
        <v>117</v>
      </c>
      <c r="L3" s="163" t="s">
        <v>113</v>
      </c>
      <c r="M3" s="163" t="s">
        <v>190</v>
      </c>
      <c r="N3" s="161" t="s">
        <v>189</v>
      </c>
      <c r="O3" s="161" t="s">
        <v>194</v>
      </c>
    </row>
    <row r="4" spans="1:15" x14ac:dyDescent="0.25">
      <c r="A4" s="123">
        <v>2019</v>
      </c>
      <c r="B4" s="160" t="s">
        <v>109</v>
      </c>
      <c r="C4" s="162">
        <v>31</v>
      </c>
      <c r="D4" s="162">
        <v>1</v>
      </c>
      <c r="E4" s="162">
        <f>$A$4</f>
        <v>2019</v>
      </c>
      <c r="F4" s="123" t="s">
        <v>112</v>
      </c>
      <c r="G4" s="123" t="s">
        <v>111</v>
      </c>
      <c r="H4" s="160">
        <v>100</v>
      </c>
      <c r="I4" s="160">
        <v>50</v>
      </c>
      <c r="J4" s="123" t="s">
        <v>152</v>
      </c>
      <c r="K4" s="163" t="s">
        <v>154</v>
      </c>
      <c r="L4" s="163" t="s">
        <v>138</v>
      </c>
      <c r="M4" s="163" t="s">
        <v>191</v>
      </c>
      <c r="N4" s="123" t="s">
        <v>214</v>
      </c>
      <c r="O4" s="161" t="s">
        <v>191</v>
      </c>
    </row>
    <row r="5" spans="1:15" x14ac:dyDescent="0.25">
      <c r="A5" s="123"/>
      <c r="B5" s="160" t="s">
        <v>122</v>
      </c>
      <c r="C5" s="162">
        <v>28</v>
      </c>
      <c r="D5" s="162">
        <v>2</v>
      </c>
      <c r="E5" s="162">
        <f t="shared" ref="E5:E15" si="0">$A$4</f>
        <v>2019</v>
      </c>
      <c r="F5" s="123" t="s">
        <v>115</v>
      </c>
      <c r="G5" s="123" t="s">
        <v>114</v>
      </c>
      <c r="J5" s="123" t="s">
        <v>153</v>
      </c>
      <c r="K5" s="163" t="s">
        <v>155</v>
      </c>
      <c r="L5" s="163" t="s">
        <v>139</v>
      </c>
      <c r="M5" s="163" t="s">
        <v>192</v>
      </c>
      <c r="N5" s="123" t="s">
        <v>202</v>
      </c>
      <c r="O5" s="161" t="s">
        <v>192</v>
      </c>
    </row>
    <row r="6" spans="1:15" x14ac:dyDescent="0.25">
      <c r="B6" s="160" t="s">
        <v>121</v>
      </c>
      <c r="C6" s="162">
        <v>31</v>
      </c>
      <c r="D6" s="162">
        <v>3</v>
      </c>
      <c r="E6" s="162">
        <f t="shared" si="0"/>
        <v>2019</v>
      </c>
      <c r="F6" s="123" t="s">
        <v>118</v>
      </c>
      <c r="G6" s="123"/>
      <c r="J6" s="123" t="s">
        <v>149</v>
      </c>
      <c r="K6" s="163" t="s">
        <v>156</v>
      </c>
      <c r="L6" s="163" t="s">
        <v>225</v>
      </c>
      <c r="M6" s="163"/>
      <c r="N6" s="123" t="s">
        <v>195</v>
      </c>
      <c r="O6" s="123" t="s">
        <v>152</v>
      </c>
    </row>
    <row r="7" spans="1:15" x14ac:dyDescent="0.25">
      <c r="B7" s="160"/>
      <c r="C7" s="162">
        <v>30</v>
      </c>
      <c r="D7" s="162">
        <v>4</v>
      </c>
      <c r="E7" s="162">
        <f t="shared" si="0"/>
        <v>2019</v>
      </c>
      <c r="F7" s="123" t="s">
        <v>116</v>
      </c>
      <c r="J7" s="161" t="s">
        <v>131</v>
      </c>
      <c r="K7" s="163" t="s">
        <v>151</v>
      </c>
      <c r="L7" s="163" t="s">
        <v>226</v>
      </c>
      <c r="M7" s="163"/>
      <c r="N7" s="123" t="s">
        <v>203</v>
      </c>
      <c r="O7" s="123" t="s">
        <v>153</v>
      </c>
    </row>
    <row r="8" spans="1:15" x14ac:dyDescent="0.25">
      <c r="B8" s="160"/>
      <c r="C8" s="162">
        <v>31</v>
      </c>
      <c r="D8" s="162">
        <v>5</v>
      </c>
      <c r="E8" s="162">
        <f t="shared" si="0"/>
        <v>2019</v>
      </c>
      <c r="F8" s="123" t="s">
        <v>136</v>
      </c>
      <c r="K8" s="163" t="s">
        <v>177</v>
      </c>
      <c r="L8" s="163" t="s">
        <v>141</v>
      </c>
      <c r="M8" s="163"/>
      <c r="N8" s="123" t="s">
        <v>201</v>
      </c>
      <c r="O8" s="123" t="s">
        <v>149</v>
      </c>
    </row>
    <row r="9" spans="1:15" x14ac:dyDescent="0.25">
      <c r="C9" s="162">
        <v>30</v>
      </c>
      <c r="D9" s="162">
        <v>6</v>
      </c>
      <c r="E9" s="162">
        <f t="shared" si="0"/>
        <v>2019</v>
      </c>
      <c r="F9" s="123" t="s">
        <v>125</v>
      </c>
      <c r="K9" s="161" t="s">
        <v>131</v>
      </c>
      <c r="L9" s="163" t="s">
        <v>142</v>
      </c>
      <c r="M9" s="163"/>
      <c r="N9" s="123" t="s">
        <v>196</v>
      </c>
      <c r="O9" s="161" t="s">
        <v>138</v>
      </c>
    </row>
    <row r="10" spans="1:15" x14ac:dyDescent="0.25">
      <c r="C10" s="162">
        <v>31</v>
      </c>
      <c r="D10" s="162">
        <v>7</v>
      </c>
      <c r="E10" s="162">
        <f t="shared" si="0"/>
        <v>2019</v>
      </c>
      <c r="F10" s="123" t="s">
        <v>110</v>
      </c>
      <c r="L10" s="163" t="s">
        <v>140</v>
      </c>
      <c r="M10" s="163"/>
      <c r="N10" s="123" t="s">
        <v>197</v>
      </c>
      <c r="O10" s="161" t="s">
        <v>139</v>
      </c>
    </row>
    <row r="11" spans="1:15" x14ac:dyDescent="0.25">
      <c r="C11" s="162">
        <v>31</v>
      </c>
      <c r="D11" s="162">
        <v>8</v>
      </c>
      <c r="E11" s="162">
        <f t="shared" si="0"/>
        <v>2019</v>
      </c>
      <c r="F11" s="123" t="s">
        <v>119</v>
      </c>
      <c r="L11" s="163" t="s">
        <v>227</v>
      </c>
      <c r="M11" s="163"/>
      <c r="N11" s="123"/>
      <c r="O11" s="161" t="s">
        <v>143</v>
      </c>
    </row>
    <row r="12" spans="1:15" x14ac:dyDescent="0.25">
      <c r="C12" s="162">
        <v>30</v>
      </c>
      <c r="D12" s="162">
        <v>9</v>
      </c>
      <c r="E12" s="162">
        <f t="shared" si="0"/>
        <v>2019</v>
      </c>
      <c r="F12" s="123" t="s">
        <v>126</v>
      </c>
      <c r="I12" s="123" t="s">
        <v>221</v>
      </c>
      <c r="N12" s="123"/>
      <c r="O12" s="161" t="s">
        <v>144</v>
      </c>
    </row>
    <row r="13" spans="1:15" x14ac:dyDescent="0.25">
      <c r="C13" s="162">
        <v>31</v>
      </c>
      <c r="D13" s="162">
        <v>10</v>
      </c>
      <c r="E13" s="162">
        <f t="shared" si="0"/>
        <v>2019</v>
      </c>
      <c r="F13" s="123" t="s">
        <v>127</v>
      </c>
      <c r="I13" s="123" t="s">
        <v>200</v>
      </c>
      <c r="N13" s="123"/>
      <c r="O13" s="161" t="s">
        <v>141</v>
      </c>
    </row>
    <row r="14" spans="1:15" x14ac:dyDescent="0.25">
      <c r="C14" s="162">
        <v>30</v>
      </c>
      <c r="D14" s="162">
        <v>11</v>
      </c>
      <c r="E14" s="162">
        <f t="shared" si="0"/>
        <v>2019</v>
      </c>
      <c r="F14" s="123" t="s">
        <v>128</v>
      </c>
      <c r="I14" s="123" t="s">
        <v>205</v>
      </c>
      <c r="O14" s="161" t="s">
        <v>142</v>
      </c>
    </row>
    <row r="15" spans="1:15" x14ac:dyDescent="0.25">
      <c r="C15" s="162">
        <v>31</v>
      </c>
      <c r="D15" s="162">
        <v>12</v>
      </c>
      <c r="E15" s="162">
        <f t="shared" si="0"/>
        <v>2019</v>
      </c>
      <c r="F15" s="123" t="s">
        <v>129</v>
      </c>
      <c r="O15" s="161" t="s">
        <v>140</v>
      </c>
    </row>
    <row r="16" spans="1:15" x14ac:dyDescent="0.25">
      <c r="E16" s="162"/>
      <c r="F16" s="123" t="s">
        <v>130</v>
      </c>
      <c r="O16" s="161" t="s">
        <v>131</v>
      </c>
    </row>
    <row r="17" spans="3:11" x14ac:dyDescent="0.25">
      <c r="E17" s="162"/>
      <c r="F17" s="123" t="s">
        <v>137</v>
      </c>
    </row>
    <row r="18" spans="3:11" x14ac:dyDescent="0.25">
      <c r="F18" s="123"/>
    </row>
    <row r="21" spans="3:11" x14ac:dyDescent="0.25">
      <c r="E21" s="123" t="s">
        <v>99</v>
      </c>
      <c r="F21" s="123" t="s">
        <v>100</v>
      </c>
      <c r="G21" s="123" t="s">
        <v>101</v>
      </c>
      <c r="H21" s="123" t="s">
        <v>102</v>
      </c>
      <c r="I21" s="123" t="s">
        <v>103</v>
      </c>
      <c r="J21" s="123" t="s">
        <v>145</v>
      </c>
      <c r="K21" s="123" t="s">
        <v>185</v>
      </c>
    </row>
    <row r="22" spans="3:11" x14ac:dyDescent="0.25">
      <c r="E22" s="123" t="s">
        <v>200</v>
      </c>
      <c r="F22" s="244" t="s">
        <v>200</v>
      </c>
      <c r="G22" s="123" t="s">
        <v>113</v>
      </c>
      <c r="H22" s="123" t="s">
        <v>200</v>
      </c>
      <c r="I22" s="123" t="s">
        <v>200</v>
      </c>
      <c r="J22" s="123" t="s">
        <v>200</v>
      </c>
      <c r="K22" s="123" t="s">
        <v>200</v>
      </c>
    </row>
    <row r="23" spans="3:11" x14ac:dyDescent="0.25">
      <c r="E23" s="123" t="s">
        <v>205</v>
      </c>
      <c r="F23" s="123" t="s">
        <v>205</v>
      </c>
      <c r="G23" s="123" t="s">
        <v>117</v>
      </c>
      <c r="H23" s="123" t="s">
        <v>205</v>
      </c>
      <c r="I23" s="123" t="s">
        <v>205</v>
      </c>
      <c r="J23" s="123" t="s">
        <v>205</v>
      </c>
      <c r="K23" s="123" t="s">
        <v>205</v>
      </c>
    </row>
    <row r="24" spans="3:11" x14ac:dyDescent="0.25">
      <c r="E24" s="123" t="s">
        <v>222</v>
      </c>
      <c r="F24" s="123" t="s">
        <v>222</v>
      </c>
      <c r="H24" s="123" t="s">
        <v>223</v>
      </c>
      <c r="J24" s="123" t="s">
        <v>222</v>
      </c>
    </row>
    <row r="25" spans="3:11" x14ac:dyDescent="0.25">
      <c r="H25" s="123" t="s">
        <v>222</v>
      </c>
      <c r="J25" s="123" t="s">
        <v>224</v>
      </c>
    </row>
    <row r="26" spans="3:11" x14ac:dyDescent="0.25">
      <c r="C26" t="s">
        <v>138</v>
      </c>
      <c r="D26" t="s">
        <v>228</v>
      </c>
      <c r="E26" t="s">
        <v>225</v>
      </c>
      <c r="F26" t="s">
        <v>226</v>
      </c>
      <c r="G26" t="s">
        <v>141</v>
      </c>
      <c r="H26" s="245" t="s">
        <v>142</v>
      </c>
      <c r="I26" s="159" t="s">
        <v>140</v>
      </c>
    </row>
  </sheetData>
  <sheetProtection selectLockedCells="1" selectUnlockedCells="1"/>
  <mergeCells count="3">
    <mergeCell ref="A1:G1"/>
    <mergeCell ref="C3:E3"/>
    <mergeCell ref="J2:N2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showGridLines="0" showRowColHeaders="0" tabSelected="1" workbookViewId="0">
      <selection activeCell="F9" sqref="F9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L183"/>
  <sheetViews>
    <sheetView zoomScale="85" zoomScaleNormal="85" workbookViewId="0">
      <pane xSplit="5" ySplit="2" topLeftCell="F3" activePane="bottomRight" state="frozen"/>
      <selection pane="topRight" activeCell="F1" sqref="F1"/>
      <selection pane="bottomLeft" activeCell="A3" sqref="A3"/>
      <selection pane="bottomRight" activeCell="C11" sqref="C11"/>
    </sheetView>
  </sheetViews>
  <sheetFormatPr baseColWidth="10" defaultRowHeight="15" x14ac:dyDescent="0.25"/>
  <cols>
    <col min="1" max="1" width="24.42578125" style="89" bestFit="1" customWidth="1"/>
    <col min="2" max="2" width="15.42578125" style="89" customWidth="1"/>
    <col min="3" max="3" width="33.7109375" style="89" customWidth="1"/>
    <col min="4" max="4" width="19" style="89" customWidth="1"/>
    <col min="5" max="5" width="19.85546875" style="89" customWidth="1"/>
    <col min="6" max="6" width="18.5703125" style="89" customWidth="1"/>
    <col min="7" max="7" width="19.7109375" style="89" hidden="1" customWidth="1"/>
    <col min="8" max="8" width="14.85546875" style="89" hidden="1" customWidth="1"/>
    <col min="9" max="9" width="16.85546875" style="89" hidden="1" customWidth="1"/>
    <col min="10" max="12" width="11.42578125" style="89" hidden="1" customWidth="1"/>
    <col min="13" max="13" width="18.140625" style="89" hidden="1" customWidth="1"/>
    <col min="14" max="14" width="11.42578125" style="89" hidden="1" customWidth="1"/>
    <col min="15" max="15" width="12.5703125" style="89" hidden="1" customWidth="1"/>
    <col min="16" max="16" width="25" style="89" hidden="1" customWidth="1"/>
    <col min="17" max="17" width="16.5703125" style="89" hidden="1" customWidth="1"/>
    <col min="18" max="18" width="24" style="89" hidden="1" customWidth="1"/>
    <col min="19" max="19" width="16.5703125" style="89" hidden="1" customWidth="1"/>
    <col min="20" max="21" width="20" style="89" hidden="1" customWidth="1"/>
    <col min="22" max="22" width="20.85546875" style="89" hidden="1" customWidth="1"/>
    <col min="23" max="23" width="11.42578125" style="89" hidden="1" customWidth="1"/>
    <col min="24" max="24" width="23.7109375" style="89" hidden="1" customWidth="1"/>
    <col min="25" max="25" width="14" style="89" hidden="1" customWidth="1"/>
    <col min="26" max="26" width="13.28515625" style="89" hidden="1" customWidth="1"/>
    <col min="27" max="28" width="18.5703125" style="89" hidden="1" customWidth="1"/>
    <col min="29" max="29" width="18" style="89" hidden="1" customWidth="1"/>
    <col min="30" max="30" width="11.42578125" hidden="1" customWidth="1"/>
    <col min="31" max="32" width="18" style="89" hidden="1" customWidth="1"/>
    <col min="33" max="33" width="11.42578125" style="89" hidden="1" customWidth="1"/>
    <col min="34" max="34" width="18.7109375" hidden="1" customWidth="1"/>
    <col min="35" max="35" width="18.7109375" style="168" hidden="1" customWidth="1"/>
    <col min="36" max="36" width="20" style="166" hidden="1" customWidth="1"/>
    <col min="37" max="37" width="18" style="89" hidden="1" customWidth="1"/>
    <col min="38" max="43" width="19" style="89" hidden="1" customWidth="1"/>
    <col min="44" max="44" width="11.42578125" hidden="1" customWidth="1"/>
    <col min="45" max="49" width="11.42578125" style="89" hidden="1" customWidth="1"/>
    <col min="50" max="50" width="15.140625" style="89" hidden="1" customWidth="1"/>
    <col min="51" max="51" width="14" style="89" hidden="1" customWidth="1"/>
    <col min="52" max="52" width="15.140625" style="89" hidden="1" customWidth="1"/>
    <col min="53" max="53" width="11.42578125" style="89" hidden="1" customWidth="1"/>
    <col min="54" max="54" width="22.28515625" style="89" hidden="1" customWidth="1"/>
    <col min="55" max="56" width="29.5703125" style="89" hidden="1" customWidth="1"/>
    <col min="57" max="57" width="30.85546875" style="89" customWidth="1"/>
    <col min="58" max="61" width="11.42578125" style="89" customWidth="1"/>
    <col min="62" max="62" width="11.42578125" style="89" hidden="1" customWidth="1"/>
    <col min="63" max="76" width="30.7109375" style="89" hidden="1" customWidth="1"/>
    <col min="77" max="116" width="11.42578125" style="89" hidden="1" customWidth="1"/>
    <col min="117" max="276" width="11.42578125" style="89"/>
    <col min="277" max="277" width="15.5703125" style="89" bestFit="1" customWidth="1"/>
    <col min="278" max="278" width="33.7109375" style="89" customWidth="1"/>
    <col min="279" max="279" width="19" style="89" customWidth="1"/>
    <col min="280" max="280" width="19.85546875" style="89" customWidth="1"/>
    <col min="281" max="281" width="18.5703125" style="89" customWidth="1"/>
    <col min="282" max="282" width="19.7109375" style="89" customWidth="1"/>
    <col min="283" max="283" width="14.85546875" style="89" customWidth="1"/>
    <col min="284" max="284" width="16.85546875" style="89" customWidth="1"/>
    <col min="285" max="287" width="11.42578125" style="89" customWidth="1"/>
    <col min="288" max="288" width="18.140625" style="89" customWidth="1"/>
    <col min="289" max="289" width="11.42578125" style="89" customWidth="1"/>
    <col min="290" max="290" width="12.5703125" style="89" customWidth="1"/>
    <col min="291" max="291" width="25" style="89" customWidth="1"/>
    <col min="292" max="292" width="16.5703125" style="89" bestFit="1" customWidth="1"/>
    <col min="293" max="293" width="24" style="89" customWidth="1"/>
    <col min="294" max="294" width="11.42578125" style="89" customWidth="1"/>
    <col min="295" max="295" width="20" style="89" customWidth="1"/>
    <col min="296" max="296" width="11.42578125" style="89" customWidth="1"/>
    <col min="297" max="297" width="19" style="89" customWidth="1"/>
    <col min="298" max="301" width="11.42578125" style="89" customWidth="1"/>
    <col min="302" max="302" width="15.140625" style="89" customWidth="1"/>
    <col min="303" max="303" width="14" style="89" customWidth="1"/>
    <col min="304" max="304" width="15.140625" style="89" customWidth="1"/>
    <col min="305" max="305" width="11.42578125" style="89" customWidth="1"/>
    <col min="306" max="306" width="51.7109375" style="89" customWidth="1"/>
    <col min="307" max="308" width="29.5703125" style="89" customWidth="1"/>
    <col min="309" max="309" width="44.42578125" style="89" customWidth="1"/>
    <col min="310" max="310" width="36.28515625" style="89" customWidth="1"/>
    <col min="311" max="311" width="27.42578125" style="89" bestFit="1" customWidth="1"/>
    <col min="312" max="532" width="11.42578125" style="89"/>
    <col min="533" max="533" width="15.5703125" style="89" bestFit="1" customWidth="1"/>
    <col min="534" max="534" width="33.7109375" style="89" customWidth="1"/>
    <col min="535" max="535" width="19" style="89" customWidth="1"/>
    <col min="536" max="536" width="19.85546875" style="89" customWidth="1"/>
    <col min="537" max="537" width="18.5703125" style="89" customWidth="1"/>
    <col min="538" max="538" width="19.7109375" style="89" customWidth="1"/>
    <col min="539" max="539" width="14.85546875" style="89" customWidth="1"/>
    <col min="540" max="540" width="16.85546875" style="89" customWidth="1"/>
    <col min="541" max="543" width="11.42578125" style="89" customWidth="1"/>
    <col min="544" max="544" width="18.140625" style="89" customWidth="1"/>
    <col min="545" max="545" width="11.42578125" style="89" customWidth="1"/>
    <col min="546" max="546" width="12.5703125" style="89" customWidth="1"/>
    <col min="547" max="547" width="25" style="89" customWidth="1"/>
    <col min="548" max="548" width="16.5703125" style="89" bestFit="1" customWidth="1"/>
    <col min="549" max="549" width="24" style="89" customWidth="1"/>
    <col min="550" max="550" width="11.42578125" style="89" customWidth="1"/>
    <col min="551" max="551" width="20" style="89" customWidth="1"/>
    <col min="552" max="552" width="11.42578125" style="89" customWidth="1"/>
    <col min="553" max="553" width="19" style="89" customWidth="1"/>
    <col min="554" max="557" width="11.42578125" style="89" customWidth="1"/>
    <col min="558" max="558" width="15.140625" style="89" customWidth="1"/>
    <col min="559" max="559" width="14" style="89" customWidth="1"/>
    <col min="560" max="560" width="15.140625" style="89" customWidth="1"/>
    <col min="561" max="561" width="11.42578125" style="89" customWidth="1"/>
    <col min="562" max="562" width="51.7109375" style="89" customWidth="1"/>
    <col min="563" max="564" width="29.5703125" style="89" customWidth="1"/>
    <col min="565" max="565" width="44.42578125" style="89" customWidth="1"/>
    <col min="566" max="566" width="36.28515625" style="89" customWidth="1"/>
    <col min="567" max="567" width="27.42578125" style="89" bestFit="1" customWidth="1"/>
    <col min="568" max="788" width="11.42578125" style="89"/>
    <col min="789" max="789" width="15.5703125" style="89" bestFit="1" customWidth="1"/>
    <col min="790" max="790" width="33.7109375" style="89" customWidth="1"/>
    <col min="791" max="791" width="19" style="89" customWidth="1"/>
    <col min="792" max="792" width="19.85546875" style="89" customWidth="1"/>
    <col min="793" max="793" width="18.5703125" style="89" customWidth="1"/>
    <col min="794" max="794" width="19.7109375" style="89" customWidth="1"/>
    <col min="795" max="795" width="14.85546875" style="89" customWidth="1"/>
    <col min="796" max="796" width="16.85546875" style="89" customWidth="1"/>
    <col min="797" max="799" width="11.42578125" style="89" customWidth="1"/>
    <col min="800" max="800" width="18.140625" style="89" customWidth="1"/>
    <col min="801" max="801" width="11.42578125" style="89" customWidth="1"/>
    <col min="802" max="802" width="12.5703125" style="89" customWidth="1"/>
    <col min="803" max="803" width="25" style="89" customWidth="1"/>
    <col min="804" max="804" width="16.5703125" style="89" bestFit="1" customWidth="1"/>
    <col min="805" max="805" width="24" style="89" customWidth="1"/>
    <col min="806" max="806" width="11.42578125" style="89" customWidth="1"/>
    <col min="807" max="807" width="20" style="89" customWidth="1"/>
    <col min="808" max="808" width="11.42578125" style="89" customWidth="1"/>
    <col min="809" max="809" width="19" style="89" customWidth="1"/>
    <col min="810" max="813" width="11.42578125" style="89" customWidth="1"/>
    <col min="814" max="814" width="15.140625" style="89" customWidth="1"/>
    <col min="815" max="815" width="14" style="89" customWidth="1"/>
    <col min="816" max="816" width="15.140625" style="89" customWidth="1"/>
    <col min="817" max="817" width="11.42578125" style="89" customWidth="1"/>
    <col min="818" max="818" width="51.7109375" style="89" customWidth="1"/>
    <col min="819" max="820" width="29.5703125" style="89" customWidth="1"/>
    <col min="821" max="821" width="44.42578125" style="89" customWidth="1"/>
    <col min="822" max="822" width="36.28515625" style="89" customWidth="1"/>
    <col min="823" max="823" width="27.42578125" style="89" bestFit="1" customWidth="1"/>
    <col min="824" max="1044" width="11.42578125" style="89"/>
    <col min="1045" max="1045" width="15.5703125" style="89" bestFit="1" customWidth="1"/>
    <col min="1046" max="1046" width="33.7109375" style="89" customWidth="1"/>
    <col min="1047" max="1047" width="19" style="89" customWidth="1"/>
    <col min="1048" max="1048" width="19.85546875" style="89" customWidth="1"/>
    <col min="1049" max="1049" width="18.5703125" style="89" customWidth="1"/>
    <col min="1050" max="1050" width="19.7109375" style="89" customWidth="1"/>
    <col min="1051" max="1051" width="14.85546875" style="89" customWidth="1"/>
    <col min="1052" max="1052" width="16.85546875" style="89" customWidth="1"/>
    <col min="1053" max="1055" width="11.42578125" style="89" customWidth="1"/>
    <col min="1056" max="1056" width="18.140625" style="89" customWidth="1"/>
    <col min="1057" max="1057" width="11.42578125" style="89" customWidth="1"/>
    <col min="1058" max="1058" width="12.5703125" style="89" customWidth="1"/>
    <col min="1059" max="1059" width="25" style="89" customWidth="1"/>
    <col min="1060" max="1060" width="16.5703125" style="89" bestFit="1" customWidth="1"/>
    <col min="1061" max="1061" width="24" style="89" customWidth="1"/>
    <col min="1062" max="1062" width="11.42578125" style="89" customWidth="1"/>
    <col min="1063" max="1063" width="20" style="89" customWidth="1"/>
    <col min="1064" max="1064" width="11.42578125" style="89" customWidth="1"/>
    <col min="1065" max="1065" width="19" style="89" customWidth="1"/>
    <col min="1066" max="1069" width="11.42578125" style="89" customWidth="1"/>
    <col min="1070" max="1070" width="15.140625" style="89" customWidth="1"/>
    <col min="1071" max="1071" width="14" style="89" customWidth="1"/>
    <col min="1072" max="1072" width="15.140625" style="89" customWidth="1"/>
    <col min="1073" max="1073" width="11.42578125" style="89" customWidth="1"/>
    <col min="1074" max="1074" width="51.7109375" style="89" customWidth="1"/>
    <col min="1075" max="1076" width="29.5703125" style="89" customWidth="1"/>
    <col min="1077" max="1077" width="44.42578125" style="89" customWidth="1"/>
    <col min="1078" max="1078" width="36.28515625" style="89" customWidth="1"/>
    <col min="1079" max="1079" width="27.42578125" style="89" bestFit="1" customWidth="1"/>
    <col min="1080" max="1300" width="11.42578125" style="89"/>
    <col min="1301" max="1301" width="15.5703125" style="89" bestFit="1" customWidth="1"/>
    <col min="1302" max="1302" width="33.7109375" style="89" customWidth="1"/>
    <col min="1303" max="1303" width="19" style="89" customWidth="1"/>
    <col min="1304" max="1304" width="19.85546875" style="89" customWidth="1"/>
    <col min="1305" max="1305" width="18.5703125" style="89" customWidth="1"/>
    <col min="1306" max="1306" width="19.7109375" style="89" customWidth="1"/>
    <col min="1307" max="1307" width="14.85546875" style="89" customWidth="1"/>
    <col min="1308" max="1308" width="16.85546875" style="89" customWidth="1"/>
    <col min="1309" max="1311" width="11.42578125" style="89" customWidth="1"/>
    <col min="1312" max="1312" width="18.140625" style="89" customWidth="1"/>
    <col min="1313" max="1313" width="11.42578125" style="89" customWidth="1"/>
    <col min="1314" max="1314" width="12.5703125" style="89" customWidth="1"/>
    <col min="1315" max="1315" width="25" style="89" customWidth="1"/>
    <col min="1316" max="1316" width="16.5703125" style="89" bestFit="1" customWidth="1"/>
    <col min="1317" max="1317" width="24" style="89" customWidth="1"/>
    <col min="1318" max="1318" width="11.42578125" style="89" customWidth="1"/>
    <col min="1319" max="1319" width="20" style="89" customWidth="1"/>
    <col min="1320" max="1320" width="11.42578125" style="89" customWidth="1"/>
    <col min="1321" max="1321" width="19" style="89" customWidth="1"/>
    <col min="1322" max="1325" width="11.42578125" style="89" customWidth="1"/>
    <col min="1326" max="1326" width="15.140625" style="89" customWidth="1"/>
    <col min="1327" max="1327" width="14" style="89" customWidth="1"/>
    <col min="1328" max="1328" width="15.140625" style="89" customWidth="1"/>
    <col min="1329" max="1329" width="11.42578125" style="89" customWidth="1"/>
    <col min="1330" max="1330" width="51.7109375" style="89" customWidth="1"/>
    <col min="1331" max="1332" width="29.5703125" style="89" customWidth="1"/>
    <col min="1333" max="1333" width="44.42578125" style="89" customWidth="1"/>
    <col min="1334" max="1334" width="36.28515625" style="89" customWidth="1"/>
    <col min="1335" max="1335" width="27.42578125" style="89" bestFit="1" customWidth="1"/>
    <col min="1336" max="1556" width="11.42578125" style="89"/>
    <col min="1557" max="1557" width="15.5703125" style="89" bestFit="1" customWidth="1"/>
    <col min="1558" max="1558" width="33.7109375" style="89" customWidth="1"/>
    <col min="1559" max="1559" width="19" style="89" customWidth="1"/>
    <col min="1560" max="1560" width="19.85546875" style="89" customWidth="1"/>
    <col min="1561" max="1561" width="18.5703125" style="89" customWidth="1"/>
    <col min="1562" max="1562" width="19.7109375" style="89" customWidth="1"/>
    <col min="1563" max="1563" width="14.85546875" style="89" customWidth="1"/>
    <col min="1564" max="1564" width="16.85546875" style="89" customWidth="1"/>
    <col min="1565" max="1567" width="11.42578125" style="89" customWidth="1"/>
    <col min="1568" max="1568" width="18.140625" style="89" customWidth="1"/>
    <col min="1569" max="1569" width="11.42578125" style="89" customWidth="1"/>
    <col min="1570" max="1570" width="12.5703125" style="89" customWidth="1"/>
    <col min="1571" max="1571" width="25" style="89" customWidth="1"/>
    <col min="1572" max="1572" width="16.5703125" style="89" bestFit="1" customWidth="1"/>
    <col min="1573" max="1573" width="24" style="89" customWidth="1"/>
    <col min="1574" max="1574" width="11.42578125" style="89" customWidth="1"/>
    <col min="1575" max="1575" width="20" style="89" customWidth="1"/>
    <col min="1576" max="1576" width="11.42578125" style="89" customWidth="1"/>
    <col min="1577" max="1577" width="19" style="89" customWidth="1"/>
    <col min="1578" max="1581" width="11.42578125" style="89" customWidth="1"/>
    <col min="1582" max="1582" width="15.140625" style="89" customWidth="1"/>
    <col min="1583" max="1583" width="14" style="89" customWidth="1"/>
    <col min="1584" max="1584" width="15.140625" style="89" customWidth="1"/>
    <col min="1585" max="1585" width="11.42578125" style="89" customWidth="1"/>
    <col min="1586" max="1586" width="51.7109375" style="89" customWidth="1"/>
    <col min="1587" max="1588" width="29.5703125" style="89" customWidth="1"/>
    <col min="1589" max="1589" width="44.42578125" style="89" customWidth="1"/>
    <col min="1590" max="1590" width="36.28515625" style="89" customWidth="1"/>
    <col min="1591" max="1591" width="27.42578125" style="89" bestFit="1" customWidth="1"/>
    <col min="1592" max="1812" width="11.42578125" style="89"/>
    <col min="1813" max="1813" width="15.5703125" style="89" bestFit="1" customWidth="1"/>
    <col min="1814" max="1814" width="33.7109375" style="89" customWidth="1"/>
    <col min="1815" max="1815" width="19" style="89" customWidth="1"/>
    <col min="1816" max="1816" width="19.85546875" style="89" customWidth="1"/>
    <col min="1817" max="1817" width="18.5703125" style="89" customWidth="1"/>
    <col min="1818" max="1818" width="19.7109375" style="89" customWidth="1"/>
    <col min="1819" max="1819" width="14.85546875" style="89" customWidth="1"/>
    <col min="1820" max="1820" width="16.85546875" style="89" customWidth="1"/>
    <col min="1821" max="1823" width="11.42578125" style="89" customWidth="1"/>
    <col min="1824" max="1824" width="18.140625" style="89" customWidth="1"/>
    <col min="1825" max="1825" width="11.42578125" style="89" customWidth="1"/>
    <col min="1826" max="1826" width="12.5703125" style="89" customWidth="1"/>
    <col min="1827" max="1827" width="25" style="89" customWidth="1"/>
    <col min="1828" max="1828" width="16.5703125" style="89" bestFit="1" customWidth="1"/>
    <col min="1829" max="1829" width="24" style="89" customWidth="1"/>
    <col min="1830" max="1830" width="11.42578125" style="89" customWidth="1"/>
    <col min="1831" max="1831" width="20" style="89" customWidth="1"/>
    <col min="1832" max="1832" width="11.42578125" style="89" customWidth="1"/>
    <col min="1833" max="1833" width="19" style="89" customWidth="1"/>
    <col min="1834" max="1837" width="11.42578125" style="89" customWidth="1"/>
    <col min="1838" max="1838" width="15.140625" style="89" customWidth="1"/>
    <col min="1839" max="1839" width="14" style="89" customWidth="1"/>
    <col min="1840" max="1840" width="15.140625" style="89" customWidth="1"/>
    <col min="1841" max="1841" width="11.42578125" style="89" customWidth="1"/>
    <col min="1842" max="1842" width="51.7109375" style="89" customWidth="1"/>
    <col min="1843" max="1844" width="29.5703125" style="89" customWidth="1"/>
    <col min="1845" max="1845" width="44.42578125" style="89" customWidth="1"/>
    <col min="1846" max="1846" width="36.28515625" style="89" customWidth="1"/>
    <col min="1847" max="1847" width="27.42578125" style="89" bestFit="1" customWidth="1"/>
    <col min="1848" max="2068" width="11.42578125" style="89"/>
    <col min="2069" max="2069" width="15.5703125" style="89" bestFit="1" customWidth="1"/>
    <col min="2070" max="2070" width="33.7109375" style="89" customWidth="1"/>
    <col min="2071" max="2071" width="19" style="89" customWidth="1"/>
    <col min="2072" max="2072" width="19.85546875" style="89" customWidth="1"/>
    <col min="2073" max="2073" width="18.5703125" style="89" customWidth="1"/>
    <col min="2074" max="2074" width="19.7109375" style="89" customWidth="1"/>
    <col min="2075" max="2075" width="14.85546875" style="89" customWidth="1"/>
    <col min="2076" max="2076" width="16.85546875" style="89" customWidth="1"/>
    <col min="2077" max="2079" width="11.42578125" style="89" customWidth="1"/>
    <col min="2080" max="2080" width="18.140625" style="89" customWidth="1"/>
    <col min="2081" max="2081" width="11.42578125" style="89" customWidth="1"/>
    <col min="2082" max="2082" width="12.5703125" style="89" customWidth="1"/>
    <col min="2083" max="2083" width="25" style="89" customWidth="1"/>
    <col min="2084" max="2084" width="16.5703125" style="89" bestFit="1" customWidth="1"/>
    <col min="2085" max="2085" width="24" style="89" customWidth="1"/>
    <col min="2086" max="2086" width="11.42578125" style="89" customWidth="1"/>
    <col min="2087" max="2087" width="20" style="89" customWidth="1"/>
    <col min="2088" max="2088" width="11.42578125" style="89" customWidth="1"/>
    <col min="2089" max="2089" width="19" style="89" customWidth="1"/>
    <col min="2090" max="2093" width="11.42578125" style="89" customWidth="1"/>
    <col min="2094" max="2094" width="15.140625" style="89" customWidth="1"/>
    <col min="2095" max="2095" width="14" style="89" customWidth="1"/>
    <col min="2096" max="2096" width="15.140625" style="89" customWidth="1"/>
    <col min="2097" max="2097" width="11.42578125" style="89" customWidth="1"/>
    <col min="2098" max="2098" width="51.7109375" style="89" customWidth="1"/>
    <col min="2099" max="2100" width="29.5703125" style="89" customWidth="1"/>
    <col min="2101" max="2101" width="44.42578125" style="89" customWidth="1"/>
    <col min="2102" max="2102" width="36.28515625" style="89" customWidth="1"/>
    <col min="2103" max="2103" width="27.42578125" style="89" bestFit="1" customWidth="1"/>
    <col min="2104" max="2324" width="11.42578125" style="89"/>
    <col min="2325" max="2325" width="15.5703125" style="89" bestFit="1" customWidth="1"/>
    <col min="2326" max="2326" width="33.7109375" style="89" customWidth="1"/>
    <col min="2327" max="2327" width="19" style="89" customWidth="1"/>
    <col min="2328" max="2328" width="19.85546875" style="89" customWidth="1"/>
    <col min="2329" max="2329" width="18.5703125" style="89" customWidth="1"/>
    <col min="2330" max="2330" width="19.7109375" style="89" customWidth="1"/>
    <col min="2331" max="2331" width="14.85546875" style="89" customWidth="1"/>
    <col min="2332" max="2332" width="16.85546875" style="89" customWidth="1"/>
    <col min="2333" max="2335" width="11.42578125" style="89" customWidth="1"/>
    <col min="2336" max="2336" width="18.140625" style="89" customWidth="1"/>
    <col min="2337" max="2337" width="11.42578125" style="89" customWidth="1"/>
    <col min="2338" max="2338" width="12.5703125" style="89" customWidth="1"/>
    <col min="2339" max="2339" width="25" style="89" customWidth="1"/>
    <col min="2340" max="2340" width="16.5703125" style="89" bestFit="1" customWidth="1"/>
    <col min="2341" max="2341" width="24" style="89" customWidth="1"/>
    <col min="2342" max="2342" width="11.42578125" style="89" customWidth="1"/>
    <col min="2343" max="2343" width="20" style="89" customWidth="1"/>
    <col min="2344" max="2344" width="11.42578125" style="89" customWidth="1"/>
    <col min="2345" max="2345" width="19" style="89" customWidth="1"/>
    <col min="2346" max="2349" width="11.42578125" style="89" customWidth="1"/>
    <col min="2350" max="2350" width="15.140625" style="89" customWidth="1"/>
    <col min="2351" max="2351" width="14" style="89" customWidth="1"/>
    <col min="2352" max="2352" width="15.140625" style="89" customWidth="1"/>
    <col min="2353" max="2353" width="11.42578125" style="89" customWidth="1"/>
    <col min="2354" max="2354" width="51.7109375" style="89" customWidth="1"/>
    <col min="2355" max="2356" width="29.5703125" style="89" customWidth="1"/>
    <col min="2357" max="2357" width="44.42578125" style="89" customWidth="1"/>
    <col min="2358" max="2358" width="36.28515625" style="89" customWidth="1"/>
    <col min="2359" max="2359" width="27.42578125" style="89" bestFit="1" customWidth="1"/>
    <col min="2360" max="2580" width="11.42578125" style="89"/>
    <col min="2581" max="2581" width="15.5703125" style="89" bestFit="1" customWidth="1"/>
    <col min="2582" max="2582" width="33.7109375" style="89" customWidth="1"/>
    <col min="2583" max="2583" width="19" style="89" customWidth="1"/>
    <col min="2584" max="2584" width="19.85546875" style="89" customWidth="1"/>
    <col min="2585" max="2585" width="18.5703125" style="89" customWidth="1"/>
    <col min="2586" max="2586" width="19.7109375" style="89" customWidth="1"/>
    <col min="2587" max="2587" width="14.85546875" style="89" customWidth="1"/>
    <col min="2588" max="2588" width="16.85546875" style="89" customWidth="1"/>
    <col min="2589" max="2591" width="11.42578125" style="89" customWidth="1"/>
    <col min="2592" max="2592" width="18.140625" style="89" customWidth="1"/>
    <col min="2593" max="2593" width="11.42578125" style="89" customWidth="1"/>
    <col min="2594" max="2594" width="12.5703125" style="89" customWidth="1"/>
    <col min="2595" max="2595" width="25" style="89" customWidth="1"/>
    <col min="2596" max="2596" width="16.5703125" style="89" bestFit="1" customWidth="1"/>
    <col min="2597" max="2597" width="24" style="89" customWidth="1"/>
    <col min="2598" max="2598" width="11.42578125" style="89" customWidth="1"/>
    <col min="2599" max="2599" width="20" style="89" customWidth="1"/>
    <col min="2600" max="2600" width="11.42578125" style="89" customWidth="1"/>
    <col min="2601" max="2601" width="19" style="89" customWidth="1"/>
    <col min="2602" max="2605" width="11.42578125" style="89" customWidth="1"/>
    <col min="2606" max="2606" width="15.140625" style="89" customWidth="1"/>
    <col min="2607" max="2607" width="14" style="89" customWidth="1"/>
    <col min="2608" max="2608" width="15.140625" style="89" customWidth="1"/>
    <col min="2609" max="2609" width="11.42578125" style="89" customWidth="1"/>
    <col min="2610" max="2610" width="51.7109375" style="89" customWidth="1"/>
    <col min="2611" max="2612" width="29.5703125" style="89" customWidth="1"/>
    <col min="2613" max="2613" width="44.42578125" style="89" customWidth="1"/>
    <col min="2614" max="2614" width="36.28515625" style="89" customWidth="1"/>
    <col min="2615" max="2615" width="27.42578125" style="89" bestFit="1" customWidth="1"/>
    <col min="2616" max="2836" width="11.42578125" style="89"/>
    <col min="2837" max="2837" width="15.5703125" style="89" bestFit="1" customWidth="1"/>
    <col min="2838" max="2838" width="33.7109375" style="89" customWidth="1"/>
    <col min="2839" max="2839" width="19" style="89" customWidth="1"/>
    <col min="2840" max="2840" width="19.85546875" style="89" customWidth="1"/>
    <col min="2841" max="2841" width="18.5703125" style="89" customWidth="1"/>
    <col min="2842" max="2842" width="19.7109375" style="89" customWidth="1"/>
    <col min="2843" max="2843" width="14.85546875" style="89" customWidth="1"/>
    <col min="2844" max="2844" width="16.85546875" style="89" customWidth="1"/>
    <col min="2845" max="2847" width="11.42578125" style="89" customWidth="1"/>
    <col min="2848" max="2848" width="18.140625" style="89" customWidth="1"/>
    <col min="2849" max="2849" width="11.42578125" style="89" customWidth="1"/>
    <col min="2850" max="2850" width="12.5703125" style="89" customWidth="1"/>
    <col min="2851" max="2851" width="25" style="89" customWidth="1"/>
    <col min="2852" max="2852" width="16.5703125" style="89" bestFit="1" customWidth="1"/>
    <col min="2853" max="2853" width="24" style="89" customWidth="1"/>
    <col min="2854" max="2854" width="11.42578125" style="89" customWidth="1"/>
    <col min="2855" max="2855" width="20" style="89" customWidth="1"/>
    <col min="2856" max="2856" width="11.42578125" style="89" customWidth="1"/>
    <col min="2857" max="2857" width="19" style="89" customWidth="1"/>
    <col min="2858" max="2861" width="11.42578125" style="89" customWidth="1"/>
    <col min="2862" max="2862" width="15.140625" style="89" customWidth="1"/>
    <col min="2863" max="2863" width="14" style="89" customWidth="1"/>
    <col min="2864" max="2864" width="15.140625" style="89" customWidth="1"/>
    <col min="2865" max="2865" width="11.42578125" style="89" customWidth="1"/>
    <col min="2866" max="2866" width="51.7109375" style="89" customWidth="1"/>
    <col min="2867" max="2868" width="29.5703125" style="89" customWidth="1"/>
    <col min="2869" max="2869" width="44.42578125" style="89" customWidth="1"/>
    <col min="2870" max="2870" width="36.28515625" style="89" customWidth="1"/>
    <col min="2871" max="2871" width="27.42578125" style="89" bestFit="1" customWidth="1"/>
    <col min="2872" max="3092" width="11.42578125" style="89"/>
    <col min="3093" max="3093" width="15.5703125" style="89" bestFit="1" customWidth="1"/>
    <col min="3094" max="3094" width="33.7109375" style="89" customWidth="1"/>
    <col min="3095" max="3095" width="19" style="89" customWidth="1"/>
    <col min="3096" max="3096" width="19.85546875" style="89" customWidth="1"/>
    <col min="3097" max="3097" width="18.5703125" style="89" customWidth="1"/>
    <col min="3098" max="3098" width="19.7109375" style="89" customWidth="1"/>
    <col min="3099" max="3099" width="14.85546875" style="89" customWidth="1"/>
    <col min="3100" max="3100" width="16.85546875" style="89" customWidth="1"/>
    <col min="3101" max="3103" width="11.42578125" style="89" customWidth="1"/>
    <col min="3104" max="3104" width="18.140625" style="89" customWidth="1"/>
    <col min="3105" max="3105" width="11.42578125" style="89" customWidth="1"/>
    <col min="3106" max="3106" width="12.5703125" style="89" customWidth="1"/>
    <col min="3107" max="3107" width="25" style="89" customWidth="1"/>
    <col min="3108" max="3108" width="16.5703125" style="89" bestFit="1" customWidth="1"/>
    <col min="3109" max="3109" width="24" style="89" customWidth="1"/>
    <col min="3110" max="3110" width="11.42578125" style="89" customWidth="1"/>
    <col min="3111" max="3111" width="20" style="89" customWidth="1"/>
    <col min="3112" max="3112" width="11.42578125" style="89" customWidth="1"/>
    <col min="3113" max="3113" width="19" style="89" customWidth="1"/>
    <col min="3114" max="3117" width="11.42578125" style="89" customWidth="1"/>
    <col min="3118" max="3118" width="15.140625" style="89" customWidth="1"/>
    <col min="3119" max="3119" width="14" style="89" customWidth="1"/>
    <col min="3120" max="3120" width="15.140625" style="89" customWidth="1"/>
    <col min="3121" max="3121" width="11.42578125" style="89" customWidth="1"/>
    <col min="3122" max="3122" width="51.7109375" style="89" customWidth="1"/>
    <col min="3123" max="3124" width="29.5703125" style="89" customWidth="1"/>
    <col min="3125" max="3125" width="44.42578125" style="89" customWidth="1"/>
    <col min="3126" max="3126" width="36.28515625" style="89" customWidth="1"/>
    <col min="3127" max="3127" width="27.42578125" style="89" bestFit="1" customWidth="1"/>
    <col min="3128" max="3348" width="11.42578125" style="89"/>
    <col min="3349" max="3349" width="15.5703125" style="89" bestFit="1" customWidth="1"/>
    <col min="3350" max="3350" width="33.7109375" style="89" customWidth="1"/>
    <col min="3351" max="3351" width="19" style="89" customWidth="1"/>
    <col min="3352" max="3352" width="19.85546875" style="89" customWidth="1"/>
    <col min="3353" max="3353" width="18.5703125" style="89" customWidth="1"/>
    <col min="3354" max="3354" width="19.7109375" style="89" customWidth="1"/>
    <col min="3355" max="3355" width="14.85546875" style="89" customWidth="1"/>
    <col min="3356" max="3356" width="16.85546875" style="89" customWidth="1"/>
    <col min="3357" max="3359" width="11.42578125" style="89" customWidth="1"/>
    <col min="3360" max="3360" width="18.140625" style="89" customWidth="1"/>
    <col min="3361" max="3361" width="11.42578125" style="89" customWidth="1"/>
    <col min="3362" max="3362" width="12.5703125" style="89" customWidth="1"/>
    <col min="3363" max="3363" width="25" style="89" customWidth="1"/>
    <col min="3364" max="3364" width="16.5703125" style="89" bestFit="1" customWidth="1"/>
    <col min="3365" max="3365" width="24" style="89" customWidth="1"/>
    <col min="3366" max="3366" width="11.42578125" style="89" customWidth="1"/>
    <col min="3367" max="3367" width="20" style="89" customWidth="1"/>
    <col min="3368" max="3368" width="11.42578125" style="89" customWidth="1"/>
    <col min="3369" max="3369" width="19" style="89" customWidth="1"/>
    <col min="3370" max="3373" width="11.42578125" style="89" customWidth="1"/>
    <col min="3374" max="3374" width="15.140625" style="89" customWidth="1"/>
    <col min="3375" max="3375" width="14" style="89" customWidth="1"/>
    <col min="3376" max="3376" width="15.140625" style="89" customWidth="1"/>
    <col min="3377" max="3377" width="11.42578125" style="89" customWidth="1"/>
    <col min="3378" max="3378" width="51.7109375" style="89" customWidth="1"/>
    <col min="3379" max="3380" width="29.5703125" style="89" customWidth="1"/>
    <col min="3381" max="3381" width="44.42578125" style="89" customWidth="1"/>
    <col min="3382" max="3382" width="36.28515625" style="89" customWidth="1"/>
    <col min="3383" max="3383" width="27.42578125" style="89" bestFit="1" customWidth="1"/>
    <col min="3384" max="3604" width="11.42578125" style="89"/>
    <col min="3605" max="3605" width="15.5703125" style="89" bestFit="1" customWidth="1"/>
    <col min="3606" max="3606" width="33.7109375" style="89" customWidth="1"/>
    <col min="3607" max="3607" width="19" style="89" customWidth="1"/>
    <col min="3608" max="3608" width="19.85546875" style="89" customWidth="1"/>
    <col min="3609" max="3609" width="18.5703125" style="89" customWidth="1"/>
    <col min="3610" max="3610" width="19.7109375" style="89" customWidth="1"/>
    <col min="3611" max="3611" width="14.85546875" style="89" customWidth="1"/>
    <col min="3612" max="3612" width="16.85546875" style="89" customWidth="1"/>
    <col min="3613" max="3615" width="11.42578125" style="89" customWidth="1"/>
    <col min="3616" max="3616" width="18.140625" style="89" customWidth="1"/>
    <col min="3617" max="3617" width="11.42578125" style="89" customWidth="1"/>
    <col min="3618" max="3618" width="12.5703125" style="89" customWidth="1"/>
    <col min="3619" max="3619" width="25" style="89" customWidth="1"/>
    <col min="3620" max="3620" width="16.5703125" style="89" bestFit="1" customWidth="1"/>
    <col min="3621" max="3621" width="24" style="89" customWidth="1"/>
    <col min="3622" max="3622" width="11.42578125" style="89" customWidth="1"/>
    <col min="3623" max="3623" width="20" style="89" customWidth="1"/>
    <col min="3624" max="3624" width="11.42578125" style="89" customWidth="1"/>
    <col min="3625" max="3625" width="19" style="89" customWidth="1"/>
    <col min="3626" max="3629" width="11.42578125" style="89" customWidth="1"/>
    <col min="3630" max="3630" width="15.140625" style="89" customWidth="1"/>
    <col min="3631" max="3631" width="14" style="89" customWidth="1"/>
    <col min="3632" max="3632" width="15.140625" style="89" customWidth="1"/>
    <col min="3633" max="3633" width="11.42578125" style="89" customWidth="1"/>
    <col min="3634" max="3634" width="51.7109375" style="89" customWidth="1"/>
    <col min="3635" max="3636" width="29.5703125" style="89" customWidth="1"/>
    <col min="3637" max="3637" width="44.42578125" style="89" customWidth="1"/>
    <col min="3638" max="3638" width="36.28515625" style="89" customWidth="1"/>
    <col min="3639" max="3639" width="27.42578125" style="89" bestFit="1" customWidth="1"/>
    <col min="3640" max="3860" width="11.42578125" style="89"/>
    <col min="3861" max="3861" width="15.5703125" style="89" bestFit="1" customWidth="1"/>
    <col min="3862" max="3862" width="33.7109375" style="89" customWidth="1"/>
    <col min="3863" max="3863" width="19" style="89" customWidth="1"/>
    <col min="3864" max="3864" width="19.85546875" style="89" customWidth="1"/>
    <col min="3865" max="3865" width="18.5703125" style="89" customWidth="1"/>
    <col min="3866" max="3866" width="19.7109375" style="89" customWidth="1"/>
    <col min="3867" max="3867" width="14.85546875" style="89" customWidth="1"/>
    <col min="3868" max="3868" width="16.85546875" style="89" customWidth="1"/>
    <col min="3869" max="3871" width="11.42578125" style="89" customWidth="1"/>
    <col min="3872" max="3872" width="18.140625" style="89" customWidth="1"/>
    <col min="3873" max="3873" width="11.42578125" style="89" customWidth="1"/>
    <col min="3874" max="3874" width="12.5703125" style="89" customWidth="1"/>
    <col min="3875" max="3875" width="25" style="89" customWidth="1"/>
    <col min="3876" max="3876" width="16.5703125" style="89" bestFit="1" customWidth="1"/>
    <col min="3877" max="3877" width="24" style="89" customWidth="1"/>
    <col min="3878" max="3878" width="11.42578125" style="89" customWidth="1"/>
    <col min="3879" max="3879" width="20" style="89" customWidth="1"/>
    <col min="3880" max="3880" width="11.42578125" style="89" customWidth="1"/>
    <col min="3881" max="3881" width="19" style="89" customWidth="1"/>
    <col min="3882" max="3885" width="11.42578125" style="89" customWidth="1"/>
    <col min="3886" max="3886" width="15.140625" style="89" customWidth="1"/>
    <col min="3887" max="3887" width="14" style="89" customWidth="1"/>
    <col min="3888" max="3888" width="15.140625" style="89" customWidth="1"/>
    <col min="3889" max="3889" width="11.42578125" style="89" customWidth="1"/>
    <col min="3890" max="3890" width="51.7109375" style="89" customWidth="1"/>
    <col min="3891" max="3892" width="29.5703125" style="89" customWidth="1"/>
    <col min="3893" max="3893" width="44.42578125" style="89" customWidth="1"/>
    <col min="3894" max="3894" width="36.28515625" style="89" customWidth="1"/>
    <col min="3895" max="3895" width="27.42578125" style="89" bestFit="1" customWidth="1"/>
    <col min="3896" max="4116" width="11.42578125" style="89"/>
    <col min="4117" max="4117" width="15.5703125" style="89" bestFit="1" customWidth="1"/>
    <col min="4118" max="4118" width="33.7109375" style="89" customWidth="1"/>
    <col min="4119" max="4119" width="19" style="89" customWidth="1"/>
    <col min="4120" max="4120" width="19.85546875" style="89" customWidth="1"/>
    <col min="4121" max="4121" width="18.5703125" style="89" customWidth="1"/>
    <col min="4122" max="4122" width="19.7109375" style="89" customWidth="1"/>
    <col min="4123" max="4123" width="14.85546875" style="89" customWidth="1"/>
    <col min="4124" max="4124" width="16.85546875" style="89" customWidth="1"/>
    <col min="4125" max="4127" width="11.42578125" style="89" customWidth="1"/>
    <col min="4128" max="4128" width="18.140625" style="89" customWidth="1"/>
    <col min="4129" max="4129" width="11.42578125" style="89" customWidth="1"/>
    <col min="4130" max="4130" width="12.5703125" style="89" customWidth="1"/>
    <col min="4131" max="4131" width="25" style="89" customWidth="1"/>
    <col min="4132" max="4132" width="16.5703125" style="89" bestFit="1" customWidth="1"/>
    <col min="4133" max="4133" width="24" style="89" customWidth="1"/>
    <col min="4134" max="4134" width="11.42578125" style="89" customWidth="1"/>
    <col min="4135" max="4135" width="20" style="89" customWidth="1"/>
    <col min="4136" max="4136" width="11.42578125" style="89" customWidth="1"/>
    <col min="4137" max="4137" width="19" style="89" customWidth="1"/>
    <col min="4138" max="4141" width="11.42578125" style="89" customWidth="1"/>
    <col min="4142" max="4142" width="15.140625" style="89" customWidth="1"/>
    <col min="4143" max="4143" width="14" style="89" customWidth="1"/>
    <col min="4144" max="4144" width="15.140625" style="89" customWidth="1"/>
    <col min="4145" max="4145" width="11.42578125" style="89" customWidth="1"/>
    <col min="4146" max="4146" width="51.7109375" style="89" customWidth="1"/>
    <col min="4147" max="4148" width="29.5703125" style="89" customWidth="1"/>
    <col min="4149" max="4149" width="44.42578125" style="89" customWidth="1"/>
    <col min="4150" max="4150" width="36.28515625" style="89" customWidth="1"/>
    <col min="4151" max="4151" width="27.42578125" style="89" bestFit="1" customWidth="1"/>
    <col min="4152" max="4372" width="11.42578125" style="89"/>
    <col min="4373" max="4373" width="15.5703125" style="89" bestFit="1" customWidth="1"/>
    <col min="4374" max="4374" width="33.7109375" style="89" customWidth="1"/>
    <col min="4375" max="4375" width="19" style="89" customWidth="1"/>
    <col min="4376" max="4376" width="19.85546875" style="89" customWidth="1"/>
    <col min="4377" max="4377" width="18.5703125" style="89" customWidth="1"/>
    <col min="4378" max="4378" width="19.7109375" style="89" customWidth="1"/>
    <col min="4379" max="4379" width="14.85546875" style="89" customWidth="1"/>
    <col min="4380" max="4380" width="16.85546875" style="89" customWidth="1"/>
    <col min="4381" max="4383" width="11.42578125" style="89" customWidth="1"/>
    <col min="4384" max="4384" width="18.140625" style="89" customWidth="1"/>
    <col min="4385" max="4385" width="11.42578125" style="89" customWidth="1"/>
    <col min="4386" max="4386" width="12.5703125" style="89" customWidth="1"/>
    <col min="4387" max="4387" width="25" style="89" customWidth="1"/>
    <col min="4388" max="4388" width="16.5703125" style="89" bestFit="1" customWidth="1"/>
    <col min="4389" max="4389" width="24" style="89" customWidth="1"/>
    <col min="4390" max="4390" width="11.42578125" style="89" customWidth="1"/>
    <col min="4391" max="4391" width="20" style="89" customWidth="1"/>
    <col min="4392" max="4392" width="11.42578125" style="89" customWidth="1"/>
    <col min="4393" max="4393" width="19" style="89" customWidth="1"/>
    <col min="4394" max="4397" width="11.42578125" style="89" customWidth="1"/>
    <col min="4398" max="4398" width="15.140625" style="89" customWidth="1"/>
    <col min="4399" max="4399" width="14" style="89" customWidth="1"/>
    <col min="4400" max="4400" width="15.140625" style="89" customWidth="1"/>
    <col min="4401" max="4401" width="11.42578125" style="89" customWidth="1"/>
    <col min="4402" max="4402" width="51.7109375" style="89" customWidth="1"/>
    <col min="4403" max="4404" width="29.5703125" style="89" customWidth="1"/>
    <col min="4405" max="4405" width="44.42578125" style="89" customWidth="1"/>
    <col min="4406" max="4406" width="36.28515625" style="89" customWidth="1"/>
    <col min="4407" max="4407" width="27.42578125" style="89" bestFit="1" customWidth="1"/>
    <col min="4408" max="4628" width="11.42578125" style="89"/>
    <col min="4629" max="4629" width="15.5703125" style="89" bestFit="1" customWidth="1"/>
    <col min="4630" max="4630" width="33.7109375" style="89" customWidth="1"/>
    <col min="4631" max="4631" width="19" style="89" customWidth="1"/>
    <col min="4632" max="4632" width="19.85546875" style="89" customWidth="1"/>
    <col min="4633" max="4633" width="18.5703125" style="89" customWidth="1"/>
    <col min="4634" max="4634" width="19.7109375" style="89" customWidth="1"/>
    <col min="4635" max="4635" width="14.85546875" style="89" customWidth="1"/>
    <col min="4636" max="4636" width="16.85546875" style="89" customWidth="1"/>
    <col min="4637" max="4639" width="11.42578125" style="89" customWidth="1"/>
    <col min="4640" max="4640" width="18.140625" style="89" customWidth="1"/>
    <col min="4641" max="4641" width="11.42578125" style="89" customWidth="1"/>
    <col min="4642" max="4642" width="12.5703125" style="89" customWidth="1"/>
    <col min="4643" max="4643" width="25" style="89" customWidth="1"/>
    <col min="4644" max="4644" width="16.5703125" style="89" bestFit="1" customWidth="1"/>
    <col min="4645" max="4645" width="24" style="89" customWidth="1"/>
    <col min="4646" max="4646" width="11.42578125" style="89" customWidth="1"/>
    <col min="4647" max="4647" width="20" style="89" customWidth="1"/>
    <col min="4648" max="4648" width="11.42578125" style="89" customWidth="1"/>
    <col min="4649" max="4649" width="19" style="89" customWidth="1"/>
    <col min="4650" max="4653" width="11.42578125" style="89" customWidth="1"/>
    <col min="4654" max="4654" width="15.140625" style="89" customWidth="1"/>
    <col min="4655" max="4655" width="14" style="89" customWidth="1"/>
    <col min="4656" max="4656" width="15.140625" style="89" customWidth="1"/>
    <col min="4657" max="4657" width="11.42578125" style="89" customWidth="1"/>
    <col min="4658" max="4658" width="51.7109375" style="89" customWidth="1"/>
    <col min="4659" max="4660" width="29.5703125" style="89" customWidth="1"/>
    <col min="4661" max="4661" width="44.42578125" style="89" customWidth="1"/>
    <col min="4662" max="4662" width="36.28515625" style="89" customWidth="1"/>
    <col min="4663" max="4663" width="27.42578125" style="89" bestFit="1" customWidth="1"/>
    <col min="4664" max="4884" width="11.42578125" style="89"/>
    <col min="4885" max="4885" width="15.5703125" style="89" bestFit="1" customWidth="1"/>
    <col min="4886" max="4886" width="33.7109375" style="89" customWidth="1"/>
    <col min="4887" max="4887" width="19" style="89" customWidth="1"/>
    <col min="4888" max="4888" width="19.85546875" style="89" customWidth="1"/>
    <col min="4889" max="4889" width="18.5703125" style="89" customWidth="1"/>
    <col min="4890" max="4890" width="19.7109375" style="89" customWidth="1"/>
    <col min="4891" max="4891" width="14.85546875" style="89" customWidth="1"/>
    <col min="4892" max="4892" width="16.85546875" style="89" customWidth="1"/>
    <col min="4893" max="4895" width="11.42578125" style="89" customWidth="1"/>
    <col min="4896" max="4896" width="18.140625" style="89" customWidth="1"/>
    <col min="4897" max="4897" width="11.42578125" style="89" customWidth="1"/>
    <col min="4898" max="4898" width="12.5703125" style="89" customWidth="1"/>
    <col min="4899" max="4899" width="25" style="89" customWidth="1"/>
    <col min="4900" max="4900" width="16.5703125" style="89" bestFit="1" customWidth="1"/>
    <col min="4901" max="4901" width="24" style="89" customWidth="1"/>
    <col min="4902" max="4902" width="11.42578125" style="89" customWidth="1"/>
    <col min="4903" max="4903" width="20" style="89" customWidth="1"/>
    <col min="4904" max="4904" width="11.42578125" style="89" customWidth="1"/>
    <col min="4905" max="4905" width="19" style="89" customWidth="1"/>
    <col min="4906" max="4909" width="11.42578125" style="89" customWidth="1"/>
    <col min="4910" max="4910" width="15.140625" style="89" customWidth="1"/>
    <col min="4911" max="4911" width="14" style="89" customWidth="1"/>
    <col min="4912" max="4912" width="15.140625" style="89" customWidth="1"/>
    <col min="4913" max="4913" width="11.42578125" style="89" customWidth="1"/>
    <col min="4914" max="4914" width="51.7109375" style="89" customWidth="1"/>
    <col min="4915" max="4916" width="29.5703125" style="89" customWidth="1"/>
    <col min="4917" max="4917" width="44.42578125" style="89" customWidth="1"/>
    <col min="4918" max="4918" width="36.28515625" style="89" customWidth="1"/>
    <col min="4919" max="4919" width="27.42578125" style="89" bestFit="1" customWidth="1"/>
    <col min="4920" max="5140" width="11.42578125" style="89"/>
    <col min="5141" max="5141" width="15.5703125" style="89" bestFit="1" customWidth="1"/>
    <col min="5142" max="5142" width="33.7109375" style="89" customWidth="1"/>
    <col min="5143" max="5143" width="19" style="89" customWidth="1"/>
    <col min="5144" max="5144" width="19.85546875" style="89" customWidth="1"/>
    <col min="5145" max="5145" width="18.5703125" style="89" customWidth="1"/>
    <col min="5146" max="5146" width="19.7109375" style="89" customWidth="1"/>
    <col min="5147" max="5147" width="14.85546875" style="89" customWidth="1"/>
    <col min="5148" max="5148" width="16.85546875" style="89" customWidth="1"/>
    <col min="5149" max="5151" width="11.42578125" style="89" customWidth="1"/>
    <col min="5152" max="5152" width="18.140625" style="89" customWidth="1"/>
    <col min="5153" max="5153" width="11.42578125" style="89" customWidth="1"/>
    <col min="5154" max="5154" width="12.5703125" style="89" customWidth="1"/>
    <col min="5155" max="5155" width="25" style="89" customWidth="1"/>
    <col min="5156" max="5156" width="16.5703125" style="89" bestFit="1" customWidth="1"/>
    <col min="5157" max="5157" width="24" style="89" customWidth="1"/>
    <col min="5158" max="5158" width="11.42578125" style="89" customWidth="1"/>
    <col min="5159" max="5159" width="20" style="89" customWidth="1"/>
    <col min="5160" max="5160" width="11.42578125" style="89" customWidth="1"/>
    <col min="5161" max="5161" width="19" style="89" customWidth="1"/>
    <col min="5162" max="5165" width="11.42578125" style="89" customWidth="1"/>
    <col min="5166" max="5166" width="15.140625" style="89" customWidth="1"/>
    <col min="5167" max="5167" width="14" style="89" customWidth="1"/>
    <col min="5168" max="5168" width="15.140625" style="89" customWidth="1"/>
    <col min="5169" max="5169" width="11.42578125" style="89" customWidth="1"/>
    <col min="5170" max="5170" width="51.7109375" style="89" customWidth="1"/>
    <col min="5171" max="5172" width="29.5703125" style="89" customWidth="1"/>
    <col min="5173" max="5173" width="44.42578125" style="89" customWidth="1"/>
    <col min="5174" max="5174" width="36.28515625" style="89" customWidth="1"/>
    <col min="5175" max="5175" width="27.42578125" style="89" bestFit="1" customWidth="1"/>
    <col min="5176" max="5396" width="11.42578125" style="89"/>
    <col min="5397" max="5397" width="15.5703125" style="89" bestFit="1" customWidth="1"/>
    <col min="5398" max="5398" width="33.7109375" style="89" customWidth="1"/>
    <col min="5399" max="5399" width="19" style="89" customWidth="1"/>
    <col min="5400" max="5400" width="19.85546875" style="89" customWidth="1"/>
    <col min="5401" max="5401" width="18.5703125" style="89" customWidth="1"/>
    <col min="5402" max="5402" width="19.7109375" style="89" customWidth="1"/>
    <col min="5403" max="5403" width="14.85546875" style="89" customWidth="1"/>
    <col min="5404" max="5404" width="16.85546875" style="89" customWidth="1"/>
    <col min="5405" max="5407" width="11.42578125" style="89" customWidth="1"/>
    <col min="5408" max="5408" width="18.140625" style="89" customWidth="1"/>
    <col min="5409" max="5409" width="11.42578125" style="89" customWidth="1"/>
    <col min="5410" max="5410" width="12.5703125" style="89" customWidth="1"/>
    <col min="5411" max="5411" width="25" style="89" customWidth="1"/>
    <col min="5412" max="5412" width="16.5703125" style="89" bestFit="1" customWidth="1"/>
    <col min="5413" max="5413" width="24" style="89" customWidth="1"/>
    <col min="5414" max="5414" width="11.42578125" style="89" customWidth="1"/>
    <col min="5415" max="5415" width="20" style="89" customWidth="1"/>
    <col min="5416" max="5416" width="11.42578125" style="89" customWidth="1"/>
    <col min="5417" max="5417" width="19" style="89" customWidth="1"/>
    <col min="5418" max="5421" width="11.42578125" style="89" customWidth="1"/>
    <col min="5422" max="5422" width="15.140625" style="89" customWidth="1"/>
    <col min="5423" max="5423" width="14" style="89" customWidth="1"/>
    <col min="5424" max="5424" width="15.140625" style="89" customWidth="1"/>
    <col min="5425" max="5425" width="11.42578125" style="89" customWidth="1"/>
    <col min="5426" max="5426" width="51.7109375" style="89" customWidth="1"/>
    <col min="5427" max="5428" width="29.5703125" style="89" customWidth="1"/>
    <col min="5429" max="5429" width="44.42578125" style="89" customWidth="1"/>
    <col min="5430" max="5430" width="36.28515625" style="89" customWidth="1"/>
    <col min="5431" max="5431" width="27.42578125" style="89" bestFit="1" customWidth="1"/>
    <col min="5432" max="5652" width="11.42578125" style="89"/>
    <col min="5653" max="5653" width="15.5703125" style="89" bestFit="1" customWidth="1"/>
    <col min="5654" max="5654" width="33.7109375" style="89" customWidth="1"/>
    <col min="5655" max="5655" width="19" style="89" customWidth="1"/>
    <col min="5656" max="5656" width="19.85546875" style="89" customWidth="1"/>
    <col min="5657" max="5657" width="18.5703125" style="89" customWidth="1"/>
    <col min="5658" max="5658" width="19.7109375" style="89" customWidth="1"/>
    <col min="5659" max="5659" width="14.85546875" style="89" customWidth="1"/>
    <col min="5660" max="5660" width="16.85546875" style="89" customWidth="1"/>
    <col min="5661" max="5663" width="11.42578125" style="89" customWidth="1"/>
    <col min="5664" max="5664" width="18.140625" style="89" customWidth="1"/>
    <col min="5665" max="5665" width="11.42578125" style="89" customWidth="1"/>
    <col min="5666" max="5666" width="12.5703125" style="89" customWidth="1"/>
    <col min="5667" max="5667" width="25" style="89" customWidth="1"/>
    <col min="5668" max="5668" width="16.5703125" style="89" bestFit="1" customWidth="1"/>
    <col min="5669" max="5669" width="24" style="89" customWidth="1"/>
    <col min="5670" max="5670" width="11.42578125" style="89" customWidth="1"/>
    <col min="5671" max="5671" width="20" style="89" customWidth="1"/>
    <col min="5672" max="5672" width="11.42578125" style="89" customWidth="1"/>
    <col min="5673" max="5673" width="19" style="89" customWidth="1"/>
    <col min="5674" max="5677" width="11.42578125" style="89" customWidth="1"/>
    <col min="5678" max="5678" width="15.140625" style="89" customWidth="1"/>
    <col min="5679" max="5679" width="14" style="89" customWidth="1"/>
    <col min="5680" max="5680" width="15.140625" style="89" customWidth="1"/>
    <col min="5681" max="5681" width="11.42578125" style="89" customWidth="1"/>
    <col min="5682" max="5682" width="51.7109375" style="89" customWidth="1"/>
    <col min="5683" max="5684" width="29.5703125" style="89" customWidth="1"/>
    <col min="5685" max="5685" width="44.42578125" style="89" customWidth="1"/>
    <col min="5686" max="5686" width="36.28515625" style="89" customWidth="1"/>
    <col min="5687" max="5687" width="27.42578125" style="89" bestFit="1" customWidth="1"/>
    <col min="5688" max="5908" width="11.42578125" style="89"/>
    <col min="5909" max="5909" width="15.5703125" style="89" bestFit="1" customWidth="1"/>
    <col min="5910" max="5910" width="33.7109375" style="89" customWidth="1"/>
    <col min="5911" max="5911" width="19" style="89" customWidth="1"/>
    <col min="5912" max="5912" width="19.85546875" style="89" customWidth="1"/>
    <col min="5913" max="5913" width="18.5703125" style="89" customWidth="1"/>
    <col min="5914" max="5914" width="19.7109375" style="89" customWidth="1"/>
    <col min="5915" max="5915" width="14.85546875" style="89" customWidth="1"/>
    <col min="5916" max="5916" width="16.85546875" style="89" customWidth="1"/>
    <col min="5917" max="5919" width="11.42578125" style="89" customWidth="1"/>
    <col min="5920" max="5920" width="18.140625" style="89" customWidth="1"/>
    <col min="5921" max="5921" width="11.42578125" style="89" customWidth="1"/>
    <col min="5922" max="5922" width="12.5703125" style="89" customWidth="1"/>
    <col min="5923" max="5923" width="25" style="89" customWidth="1"/>
    <col min="5924" max="5924" width="16.5703125" style="89" bestFit="1" customWidth="1"/>
    <col min="5925" max="5925" width="24" style="89" customWidth="1"/>
    <col min="5926" max="5926" width="11.42578125" style="89" customWidth="1"/>
    <col min="5927" max="5927" width="20" style="89" customWidth="1"/>
    <col min="5928" max="5928" width="11.42578125" style="89" customWidth="1"/>
    <col min="5929" max="5929" width="19" style="89" customWidth="1"/>
    <col min="5930" max="5933" width="11.42578125" style="89" customWidth="1"/>
    <col min="5934" max="5934" width="15.140625" style="89" customWidth="1"/>
    <col min="5935" max="5935" width="14" style="89" customWidth="1"/>
    <col min="5936" max="5936" width="15.140625" style="89" customWidth="1"/>
    <col min="5937" max="5937" width="11.42578125" style="89" customWidth="1"/>
    <col min="5938" max="5938" width="51.7109375" style="89" customWidth="1"/>
    <col min="5939" max="5940" width="29.5703125" style="89" customWidth="1"/>
    <col min="5941" max="5941" width="44.42578125" style="89" customWidth="1"/>
    <col min="5942" max="5942" width="36.28515625" style="89" customWidth="1"/>
    <col min="5943" max="5943" width="27.42578125" style="89" bestFit="1" customWidth="1"/>
    <col min="5944" max="6164" width="11.42578125" style="89"/>
    <col min="6165" max="6165" width="15.5703125" style="89" bestFit="1" customWidth="1"/>
    <col min="6166" max="6166" width="33.7109375" style="89" customWidth="1"/>
    <col min="6167" max="6167" width="19" style="89" customWidth="1"/>
    <col min="6168" max="6168" width="19.85546875" style="89" customWidth="1"/>
    <col min="6169" max="6169" width="18.5703125" style="89" customWidth="1"/>
    <col min="6170" max="6170" width="19.7109375" style="89" customWidth="1"/>
    <col min="6171" max="6171" width="14.85546875" style="89" customWidth="1"/>
    <col min="6172" max="6172" width="16.85546875" style="89" customWidth="1"/>
    <col min="6173" max="6175" width="11.42578125" style="89" customWidth="1"/>
    <col min="6176" max="6176" width="18.140625" style="89" customWidth="1"/>
    <col min="6177" max="6177" width="11.42578125" style="89" customWidth="1"/>
    <col min="6178" max="6178" width="12.5703125" style="89" customWidth="1"/>
    <col min="6179" max="6179" width="25" style="89" customWidth="1"/>
    <col min="6180" max="6180" width="16.5703125" style="89" bestFit="1" customWidth="1"/>
    <col min="6181" max="6181" width="24" style="89" customWidth="1"/>
    <col min="6182" max="6182" width="11.42578125" style="89" customWidth="1"/>
    <col min="6183" max="6183" width="20" style="89" customWidth="1"/>
    <col min="6184" max="6184" width="11.42578125" style="89" customWidth="1"/>
    <col min="6185" max="6185" width="19" style="89" customWidth="1"/>
    <col min="6186" max="6189" width="11.42578125" style="89" customWidth="1"/>
    <col min="6190" max="6190" width="15.140625" style="89" customWidth="1"/>
    <col min="6191" max="6191" width="14" style="89" customWidth="1"/>
    <col min="6192" max="6192" width="15.140625" style="89" customWidth="1"/>
    <col min="6193" max="6193" width="11.42578125" style="89" customWidth="1"/>
    <col min="6194" max="6194" width="51.7109375" style="89" customWidth="1"/>
    <col min="6195" max="6196" width="29.5703125" style="89" customWidth="1"/>
    <col min="6197" max="6197" width="44.42578125" style="89" customWidth="1"/>
    <col min="6198" max="6198" width="36.28515625" style="89" customWidth="1"/>
    <col min="6199" max="6199" width="27.42578125" style="89" bestFit="1" customWidth="1"/>
    <col min="6200" max="6420" width="11.42578125" style="89"/>
    <col min="6421" max="6421" width="15.5703125" style="89" bestFit="1" customWidth="1"/>
    <col min="6422" max="6422" width="33.7109375" style="89" customWidth="1"/>
    <col min="6423" max="6423" width="19" style="89" customWidth="1"/>
    <col min="6424" max="6424" width="19.85546875" style="89" customWidth="1"/>
    <col min="6425" max="6425" width="18.5703125" style="89" customWidth="1"/>
    <col min="6426" max="6426" width="19.7109375" style="89" customWidth="1"/>
    <col min="6427" max="6427" width="14.85546875" style="89" customWidth="1"/>
    <col min="6428" max="6428" width="16.85546875" style="89" customWidth="1"/>
    <col min="6429" max="6431" width="11.42578125" style="89" customWidth="1"/>
    <col min="6432" max="6432" width="18.140625" style="89" customWidth="1"/>
    <col min="6433" max="6433" width="11.42578125" style="89" customWidth="1"/>
    <col min="6434" max="6434" width="12.5703125" style="89" customWidth="1"/>
    <col min="6435" max="6435" width="25" style="89" customWidth="1"/>
    <col min="6436" max="6436" width="16.5703125" style="89" bestFit="1" customWidth="1"/>
    <col min="6437" max="6437" width="24" style="89" customWidth="1"/>
    <col min="6438" max="6438" width="11.42578125" style="89" customWidth="1"/>
    <col min="6439" max="6439" width="20" style="89" customWidth="1"/>
    <col min="6440" max="6440" width="11.42578125" style="89" customWidth="1"/>
    <col min="6441" max="6441" width="19" style="89" customWidth="1"/>
    <col min="6442" max="6445" width="11.42578125" style="89" customWidth="1"/>
    <col min="6446" max="6446" width="15.140625" style="89" customWidth="1"/>
    <col min="6447" max="6447" width="14" style="89" customWidth="1"/>
    <col min="6448" max="6448" width="15.140625" style="89" customWidth="1"/>
    <col min="6449" max="6449" width="11.42578125" style="89" customWidth="1"/>
    <col min="6450" max="6450" width="51.7109375" style="89" customWidth="1"/>
    <col min="6451" max="6452" width="29.5703125" style="89" customWidth="1"/>
    <col min="6453" max="6453" width="44.42578125" style="89" customWidth="1"/>
    <col min="6454" max="6454" width="36.28515625" style="89" customWidth="1"/>
    <col min="6455" max="6455" width="27.42578125" style="89" bestFit="1" customWidth="1"/>
    <col min="6456" max="6676" width="11.42578125" style="89"/>
    <col min="6677" max="6677" width="15.5703125" style="89" bestFit="1" customWidth="1"/>
    <col min="6678" max="6678" width="33.7109375" style="89" customWidth="1"/>
    <col min="6679" max="6679" width="19" style="89" customWidth="1"/>
    <col min="6680" max="6680" width="19.85546875" style="89" customWidth="1"/>
    <col min="6681" max="6681" width="18.5703125" style="89" customWidth="1"/>
    <col min="6682" max="6682" width="19.7109375" style="89" customWidth="1"/>
    <col min="6683" max="6683" width="14.85546875" style="89" customWidth="1"/>
    <col min="6684" max="6684" width="16.85546875" style="89" customWidth="1"/>
    <col min="6685" max="6687" width="11.42578125" style="89" customWidth="1"/>
    <col min="6688" max="6688" width="18.140625" style="89" customWidth="1"/>
    <col min="6689" max="6689" width="11.42578125" style="89" customWidth="1"/>
    <col min="6690" max="6690" width="12.5703125" style="89" customWidth="1"/>
    <col min="6691" max="6691" width="25" style="89" customWidth="1"/>
    <col min="6692" max="6692" width="16.5703125" style="89" bestFit="1" customWidth="1"/>
    <col min="6693" max="6693" width="24" style="89" customWidth="1"/>
    <col min="6694" max="6694" width="11.42578125" style="89" customWidth="1"/>
    <col min="6695" max="6695" width="20" style="89" customWidth="1"/>
    <col min="6696" max="6696" width="11.42578125" style="89" customWidth="1"/>
    <col min="6697" max="6697" width="19" style="89" customWidth="1"/>
    <col min="6698" max="6701" width="11.42578125" style="89" customWidth="1"/>
    <col min="6702" max="6702" width="15.140625" style="89" customWidth="1"/>
    <col min="6703" max="6703" width="14" style="89" customWidth="1"/>
    <col min="6704" max="6704" width="15.140625" style="89" customWidth="1"/>
    <col min="6705" max="6705" width="11.42578125" style="89" customWidth="1"/>
    <col min="6706" max="6706" width="51.7109375" style="89" customWidth="1"/>
    <col min="6707" max="6708" width="29.5703125" style="89" customWidth="1"/>
    <col min="6709" max="6709" width="44.42578125" style="89" customWidth="1"/>
    <col min="6710" max="6710" width="36.28515625" style="89" customWidth="1"/>
    <col min="6711" max="6711" width="27.42578125" style="89" bestFit="1" customWidth="1"/>
    <col min="6712" max="6932" width="11.42578125" style="89"/>
    <col min="6933" max="6933" width="15.5703125" style="89" bestFit="1" customWidth="1"/>
    <col min="6934" max="6934" width="33.7109375" style="89" customWidth="1"/>
    <col min="6935" max="6935" width="19" style="89" customWidth="1"/>
    <col min="6936" max="6936" width="19.85546875" style="89" customWidth="1"/>
    <col min="6937" max="6937" width="18.5703125" style="89" customWidth="1"/>
    <col min="6938" max="6938" width="19.7109375" style="89" customWidth="1"/>
    <col min="6939" max="6939" width="14.85546875" style="89" customWidth="1"/>
    <col min="6940" max="6940" width="16.85546875" style="89" customWidth="1"/>
    <col min="6941" max="6943" width="11.42578125" style="89" customWidth="1"/>
    <col min="6944" max="6944" width="18.140625" style="89" customWidth="1"/>
    <col min="6945" max="6945" width="11.42578125" style="89" customWidth="1"/>
    <col min="6946" max="6946" width="12.5703125" style="89" customWidth="1"/>
    <col min="6947" max="6947" width="25" style="89" customWidth="1"/>
    <col min="6948" max="6948" width="16.5703125" style="89" bestFit="1" customWidth="1"/>
    <col min="6949" max="6949" width="24" style="89" customWidth="1"/>
    <col min="6950" max="6950" width="11.42578125" style="89" customWidth="1"/>
    <col min="6951" max="6951" width="20" style="89" customWidth="1"/>
    <col min="6952" max="6952" width="11.42578125" style="89" customWidth="1"/>
    <col min="6953" max="6953" width="19" style="89" customWidth="1"/>
    <col min="6954" max="6957" width="11.42578125" style="89" customWidth="1"/>
    <col min="6958" max="6958" width="15.140625" style="89" customWidth="1"/>
    <col min="6959" max="6959" width="14" style="89" customWidth="1"/>
    <col min="6960" max="6960" width="15.140625" style="89" customWidth="1"/>
    <col min="6961" max="6961" width="11.42578125" style="89" customWidth="1"/>
    <col min="6962" max="6962" width="51.7109375" style="89" customWidth="1"/>
    <col min="6963" max="6964" width="29.5703125" style="89" customWidth="1"/>
    <col min="6965" max="6965" width="44.42578125" style="89" customWidth="1"/>
    <col min="6966" max="6966" width="36.28515625" style="89" customWidth="1"/>
    <col min="6967" max="6967" width="27.42578125" style="89" bestFit="1" customWidth="1"/>
    <col min="6968" max="7188" width="11.42578125" style="89"/>
    <col min="7189" max="7189" width="15.5703125" style="89" bestFit="1" customWidth="1"/>
    <col min="7190" max="7190" width="33.7109375" style="89" customWidth="1"/>
    <col min="7191" max="7191" width="19" style="89" customWidth="1"/>
    <col min="7192" max="7192" width="19.85546875" style="89" customWidth="1"/>
    <col min="7193" max="7193" width="18.5703125" style="89" customWidth="1"/>
    <col min="7194" max="7194" width="19.7109375" style="89" customWidth="1"/>
    <col min="7195" max="7195" width="14.85546875" style="89" customWidth="1"/>
    <col min="7196" max="7196" width="16.85546875" style="89" customWidth="1"/>
    <col min="7197" max="7199" width="11.42578125" style="89" customWidth="1"/>
    <col min="7200" max="7200" width="18.140625" style="89" customWidth="1"/>
    <col min="7201" max="7201" width="11.42578125" style="89" customWidth="1"/>
    <col min="7202" max="7202" width="12.5703125" style="89" customWidth="1"/>
    <col min="7203" max="7203" width="25" style="89" customWidth="1"/>
    <col min="7204" max="7204" width="16.5703125" style="89" bestFit="1" customWidth="1"/>
    <col min="7205" max="7205" width="24" style="89" customWidth="1"/>
    <col min="7206" max="7206" width="11.42578125" style="89" customWidth="1"/>
    <col min="7207" max="7207" width="20" style="89" customWidth="1"/>
    <col min="7208" max="7208" width="11.42578125" style="89" customWidth="1"/>
    <col min="7209" max="7209" width="19" style="89" customWidth="1"/>
    <col min="7210" max="7213" width="11.42578125" style="89" customWidth="1"/>
    <col min="7214" max="7214" width="15.140625" style="89" customWidth="1"/>
    <col min="7215" max="7215" width="14" style="89" customWidth="1"/>
    <col min="7216" max="7216" width="15.140625" style="89" customWidth="1"/>
    <col min="7217" max="7217" width="11.42578125" style="89" customWidth="1"/>
    <col min="7218" max="7218" width="51.7109375" style="89" customWidth="1"/>
    <col min="7219" max="7220" width="29.5703125" style="89" customWidth="1"/>
    <col min="7221" max="7221" width="44.42578125" style="89" customWidth="1"/>
    <col min="7222" max="7222" width="36.28515625" style="89" customWidth="1"/>
    <col min="7223" max="7223" width="27.42578125" style="89" bestFit="1" customWidth="1"/>
    <col min="7224" max="7444" width="11.42578125" style="89"/>
    <col min="7445" max="7445" width="15.5703125" style="89" bestFit="1" customWidth="1"/>
    <col min="7446" max="7446" width="33.7109375" style="89" customWidth="1"/>
    <col min="7447" max="7447" width="19" style="89" customWidth="1"/>
    <col min="7448" max="7448" width="19.85546875" style="89" customWidth="1"/>
    <col min="7449" max="7449" width="18.5703125" style="89" customWidth="1"/>
    <col min="7450" max="7450" width="19.7109375" style="89" customWidth="1"/>
    <col min="7451" max="7451" width="14.85546875" style="89" customWidth="1"/>
    <col min="7452" max="7452" width="16.85546875" style="89" customWidth="1"/>
    <col min="7453" max="7455" width="11.42578125" style="89" customWidth="1"/>
    <col min="7456" max="7456" width="18.140625" style="89" customWidth="1"/>
    <col min="7457" max="7457" width="11.42578125" style="89" customWidth="1"/>
    <col min="7458" max="7458" width="12.5703125" style="89" customWidth="1"/>
    <col min="7459" max="7459" width="25" style="89" customWidth="1"/>
    <col min="7460" max="7460" width="16.5703125" style="89" bestFit="1" customWidth="1"/>
    <col min="7461" max="7461" width="24" style="89" customWidth="1"/>
    <col min="7462" max="7462" width="11.42578125" style="89" customWidth="1"/>
    <col min="7463" max="7463" width="20" style="89" customWidth="1"/>
    <col min="7464" max="7464" width="11.42578125" style="89" customWidth="1"/>
    <col min="7465" max="7465" width="19" style="89" customWidth="1"/>
    <col min="7466" max="7469" width="11.42578125" style="89" customWidth="1"/>
    <col min="7470" max="7470" width="15.140625" style="89" customWidth="1"/>
    <col min="7471" max="7471" width="14" style="89" customWidth="1"/>
    <col min="7472" max="7472" width="15.140625" style="89" customWidth="1"/>
    <col min="7473" max="7473" width="11.42578125" style="89" customWidth="1"/>
    <col min="7474" max="7474" width="51.7109375" style="89" customWidth="1"/>
    <col min="7475" max="7476" width="29.5703125" style="89" customWidth="1"/>
    <col min="7477" max="7477" width="44.42578125" style="89" customWidth="1"/>
    <col min="7478" max="7478" width="36.28515625" style="89" customWidth="1"/>
    <col min="7479" max="7479" width="27.42578125" style="89" bestFit="1" customWidth="1"/>
    <col min="7480" max="7700" width="11.42578125" style="89"/>
    <col min="7701" max="7701" width="15.5703125" style="89" bestFit="1" customWidth="1"/>
    <col min="7702" max="7702" width="33.7109375" style="89" customWidth="1"/>
    <col min="7703" max="7703" width="19" style="89" customWidth="1"/>
    <col min="7704" max="7704" width="19.85546875" style="89" customWidth="1"/>
    <col min="7705" max="7705" width="18.5703125" style="89" customWidth="1"/>
    <col min="7706" max="7706" width="19.7109375" style="89" customWidth="1"/>
    <col min="7707" max="7707" width="14.85546875" style="89" customWidth="1"/>
    <col min="7708" max="7708" width="16.85546875" style="89" customWidth="1"/>
    <col min="7709" max="7711" width="11.42578125" style="89" customWidth="1"/>
    <col min="7712" max="7712" width="18.140625" style="89" customWidth="1"/>
    <col min="7713" max="7713" width="11.42578125" style="89" customWidth="1"/>
    <col min="7714" max="7714" width="12.5703125" style="89" customWidth="1"/>
    <col min="7715" max="7715" width="25" style="89" customWidth="1"/>
    <col min="7716" max="7716" width="16.5703125" style="89" bestFit="1" customWidth="1"/>
    <col min="7717" max="7717" width="24" style="89" customWidth="1"/>
    <col min="7718" max="7718" width="11.42578125" style="89" customWidth="1"/>
    <col min="7719" max="7719" width="20" style="89" customWidth="1"/>
    <col min="7720" max="7720" width="11.42578125" style="89" customWidth="1"/>
    <col min="7721" max="7721" width="19" style="89" customWidth="1"/>
    <col min="7722" max="7725" width="11.42578125" style="89" customWidth="1"/>
    <col min="7726" max="7726" width="15.140625" style="89" customWidth="1"/>
    <col min="7727" max="7727" width="14" style="89" customWidth="1"/>
    <col min="7728" max="7728" width="15.140625" style="89" customWidth="1"/>
    <col min="7729" max="7729" width="11.42578125" style="89" customWidth="1"/>
    <col min="7730" max="7730" width="51.7109375" style="89" customWidth="1"/>
    <col min="7731" max="7732" width="29.5703125" style="89" customWidth="1"/>
    <col min="7733" max="7733" width="44.42578125" style="89" customWidth="1"/>
    <col min="7734" max="7734" width="36.28515625" style="89" customWidth="1"/>
    <col min="7735" max="7735" width="27.42578125" style="89" bestFit="1" customWidth="1"/>
    <col min="7736" max="7956" width="11.42578125" style="89"/>
    <col min="7957" max="7957" width="15.5703125" style="89" bestFit="1" customWidth="1"/>
    <col min="7958" max="7958" width="33.7109375" style="89" customWidth="1"/>
    <col min="7959" max="7959" width="19" style="89" customWidth="1"/>
    <col min="7960" max="7960" width="19.85546875" style="89" customWidth="1"/>
    <col min="7961" max="7961" width="18.5703125" style="89" customWidth="1"/>
    <col min="7962" max="7962" width="19.7109375" style="89" customWidth="1"/>
    <col min="7963" max="7963" width="14.85546875" style="89" customWidth="1"/>
    <col min="7964" max="7964" width="16.85546875" style="89" customWidth="1"/>
    <col min="7965" max="7967" width="11.42578125" style="89" customWidth="1"/>
    <col min="7968" max="7968" width="18.140625" style="89" customWidth="1"/>
    <col min="7969" max="7969" width="11.42578125" style="89" customWidth="1"/>
    <col min="7970" max="7970" width="12.5703125" style="89" customWidth="1"/>
    <col min="7971" max="7971" width="25" style="89" customWidth="1"/>
    <col min="7972" max="7972" width="16.5703125" style="89" bestFit="1" customWidth="1"/>
    <col min="7973" max="7973" width="24" style="89" customWidth="1"/>
    <col min="7974" max="7974" width="11.42578125" style="89" customWidth="1"/>
    <col min="7975" max="7975" width="20" style="89" customWidth="1"/>
    <col min="7976" max="7976" width="11.42578125" style="89" customWidth="1"/>
    <col min="7977" max="7977" width="19" style="89" customWidth="1"/>
    <col min="7978" max="7981" width="11.42578125" style="89" customWidth="1"/>
    <col min="7982" max="7982" width="15.140625" style="89" customWidth="1"/>
    <col min="7983" max="7983" width="14" style="89" customWidth="1"/>
    <col min="7984" max="7984" width="15.140625" style="89" customWidth="1"/>
    <col min="7985" max="7985" width="11.42578125" style="89" customWidth="1"/>
    <col min="7986" max="7986" width="51.7109375" style="89" customWidth="1"/>
    <col min="7987" max="7988" width="29.5703125" style="89" customWidth="1"/>
    <col min="7989" max="7989" width="44.42578125" style="89" customWidth="1"/>
    <col min="7990" max="7990" width="36.28515625" style="89" customWidth="1"/>
    <col min="7991" max="7991" width="27.42578125" style="89" bestFit="1" customWidth="1"/>
    <col min="7992" max="8212" width="11.42578125" style="89"/>
    <col min="8213" max="8213" width="15.5703125" style="89" bestFit="1" customWidth="1"/>
    <col min="8214" max="8214" width="33.7109375" style="89" customWidth="1"/>
    <col min="8215" max="8215" width="19" style="89" customWidth="1"/>
    <col min="8216" max="8216" width="19.85546875" style="89" customWidth="1"/>
    <col min="8217" max="8217" width="18.5703125" style="89" customWidth="1"/>
    <col min="8218" max="8218" width="19.7109375" style="89" customWidth="1"/>
    <col min="8219" max="8219" width="14.85546875" style="89" customWidth="1"/>
    <col min="8220" max="8220" width="16.85546875" style="89" customWidth="1"/>
    <col min="8221" max="8223" width="11.42578125" style="89" customWidth="1"/>
    <col min="8224" max="8224" width="18.140625" style="89" customWidth="1"/>
    <col min="8225" max="8225" width="11.42578125" style="89" customWidth="1"/>
    <col min="8226" max="8226" width="12.5703125" style="89" customWidth="1"/>
    <col min="8227" max="8227" width="25" style="89" customWidth="1"/>
    <col min="8228" max="8228" width="16.5703125" style="89" bestFit="1" customWidth="1"/>
    <col min="8229" max="8229" width="24" style="89" customWidth="1"/>
    <col min="8230" max="8230" width="11.42578125" style="89" customWidth="1"/>
    <col min="8231" max="8231" width="20" style="89" customWidth="1"/>
    <col min="8232" max="8232" width="11.42578125" style="89" customWidth="1"/>
    <col min="8233" max="8233" width="19" style="89" customWidth="1"/>
    <col min="8234" max="8237" width="11.42578125" style="89" customWidth="1"/>
    <col min="8238" max="8238" width="15.140625" style="89" customWidth="1"/>
    <col min="8239" max="8239" width="14" style="89" customWidth="1"/>
    <col min="8240" max="8240" width="15.140625" style="89" customWidth="1"/>
    <col min="8241" max="8241" width="11.42578125" style="89" customWidth="1"/>
    <col min="8242" max="8242" width="51.7109375" style="89" customWidth="1"/>
    <col min="8243" max="8244" width="29.5703125" style="89" customWidth="1"/>
    <col min="8245" max="8245" width="44.42578125" style="89" customWidth="1"/>
    <col min="8246" max="8246" width="36.28515625" style="89" customWidth="1"/>
    <col min="8247" max="8247" width="27.42578125" style="89" bestFit="1" customWidth="1"/>
    <col min="8248" max="8468" width="11.42578125" style="89"/>
    <col min="8469" max="8469" width="15.5703125" style="89" bestFit="1" customWidth="1"/>
    <col min="8470" max="8470" width="33.7109375" style="89" customWidth="1"/>
    <col min="8471" max="8471" width="19" style="89" customWidth="1"/>
    <col min="8472" max="8472" width="19.85546875" style="89" customWidth="1"/>
    <col min="8473" max="8473" width="18.5703125" style="89" customWidth="1"/>
    <col min="8474" max="8474" width="19.7109375" style="89" customWidth="1"/>
    <col min="8475" max="8475" width="14.85546875" style="89" customWidth="1"/>
    <col min="8476" max="8476" width="16.85546875" style="89" customWidth="1"/>
    <col min="8477" max="8479" width="11.42578125" style="89" customWidth="1"/>
    <col min="8480" max="8480" width="18.140625" style="89" customWidth="1"/>
    <col min="8481" max="8481" width="11.42578125" style="89" customWidth="1"/>
    <col min="8482" max="8482" width="12.5703125" style="89" customWidth="1"/>
    <col min="8483" max="8483" width="25" style="89" customWidth="1"/>
    <col min="8484" max="8484" width="16.5703125" style="89" bestFit="1" customWidth="1"/>
    <col min="8485" max="8485" width="24" style="89" customWidth="1"/>
    <col min="8486" max="8486" width="11.42578125" style="89" customWidth="1"/>
    <col min="8487" max="8487" width="20" style="89" customWidth="1"/>
    <col min="8488" max="8488" width="11.42578125" style="89" customWidth="1"/>
    <col min="8489" max="8489" width="19" style="89" customWidth="1"/>
    <col min="8490" max="8493" width="11.42578125" style="89" customWidth="1"/>
    <col min="8494" max="8494" width="15.140625" style="89" customWidth="1"/>
    <col min="8495" max="8495" width="14" style="89" customWidth="1"/>
    <col min="8496" max="8496" width="15.140625" style="89" customWidth="1"/>
    <col min="8497" max="8497" width="11.42578125" style="89" customWidth="1"/>
    <col min="8498" max="8498" width="51.7109375" style="89" customWidth="1"/>
    <col min="8499" max="8500" width="29.5703125" style="89" customWidth="1"/>
    <col min="8501" max="8501" width="44.42578125" style="89" customWidth="1"/>
    <col min="8502" max="8502" width="36.28515625" style="89" customWidth="1"/>
    <col min="8503" max="8503" width="27.42578125" style="89" bestFit="1" customWidth="1"/>
    <col min="8504" max="8724" width="11.42578125" style="89"/>
    <col min="8725" max="8725" width="15.5703125" style="89" bestFit="1" customWidth="1"/>
    <col min="8726" max="8726" width="33.7109375" style="89" customWidth="1"/>
    <col min="8727" max="8727" width="19" style="89" customWidth="1"/>
    <col min="8728" max="8728" width="19.85546875" style="89" customWidth="1"/>
    <col min="8729" max="8729" width="18.5703125" style="89" customWidth="1"/>
    <col min="8730" max="8730" width="19.7109375" style="89" customWidth="1"/>
    <col min="8731" max="8731" width="14.85546875" style="89" customWidth="1"/>
    <col min="8732" max="8732" width="16.85546875" style="89" customWidth="1"/>
    <col min="8733" max="8735" width="11.42578125" style="89" customWidth="1"/>
    <col min="8736" max="8736" width="18.140625" style="89" customWidth="1"/>
    <col min="8737" max="8737" width="11.42578125" style="89" customWidth="1"/>
    <col min="8738" max="8738" width="12.5703125" style="89" customWidth="1"/>
    <col min="8739" max="8739" width="25" style="89" customWidth="1"/>
    <col min="8740" max="8740" width="16.5703125" style="89" bestFit="1" customWidth="1"/>
    <col min="8741" max="8741" width="24" style="89" customWidth="1"/>
    <col min="8742" max="8742" width="11.42578125" style="89" customWidth="1"/>
    <col min="8743" max="8743" width="20" style="89" customWidth="1"/>
    <col min="8744" max="8744" width="11.42578125" style="89" customWidth="1"/>
    <col min="8745" max="8745" width="19" style="89" customWidth="1"/>
    <col min="8746" max="8749" width="11.42578125" style="89" customWidth="1"/>
    <col min="8750" max="8750" width="15.140625" style="89" customWidth="1"/>
    <col min="8751" max="8751" width="14" style="89" customWidth="1"/>
    <col min="8752" max="8752" width="15.140625" style="89" customWidth="1"/>
    <col min="8753" max="8753" width="11.42578125" style="89" customWidth="1"/>
    <col min="8754" max="8754" width="51.7109375" style="89" customWidth="1"/>
    <col min="8755" max="8756" width="29.5703125" style="89" customWidth="1"/>
    <col min="8757" max="8757" width="44.42578125" style="89" customWidth="1"/>
    <col min="8758" max="8758" width="36.28515625" style="89" customWidth="1"/>
    <col min="8759" max="8759" width="27.42578125" style="89" bestFit="1" customWidth="1"/>
    <col min="8760" max="8980" width="11.42578125" style="89"/>
    <col min="8981" max="8981" width="15.5703125" style="89" bestFit="1" customWidth="1"/>
    <col min="8982" max="8982" width="33.7109375" style="89" customWidth="1"/>
    <col min="8983" max="8983" width="19" style="89" customWidth="1"/>
    <col min="8984" max="8984" width="19.85546875" style="89" customWidth="1"/>
    <col min="8985" max="8985" width="18.5703125" style="89" customWidth="1"/>
    <col min="8986" max="8986" width="19.7109375" style="89" customWidth="1"/>
    <col min="8987" max="8987" width="14.85546875" style="89" customWidth="1"/>
    <col min="8988" max="8988" width="16.85546875" style="89" customWidth="1"/>
    <col min="8989" max="8991" width="11.42578125" style="89" customWidth="1"/>
    <col min="8992" max="8992" width="18.140625" style="89" customWidth="1"/>
    <col min="8993" max="8993" width="11.42578125" style="89" customWidth="1"/>
    <col min="8994" max="8994" width="12.5703125" style="89" customWidth="1"/>
    <col min="8995" max="8995" width="25" style="89" customWidth="1"/>
    <col min="8996" max="8996" width="16.5703125" style="89" bestFit="1" customWidth="1"/>
    <col min="8997" max="8997" width="24" style="89" customWidth="1"/>
    <col min="8998" max="8998" width="11.42578125" style="89" customWidth="1"/>
    <col min="8999" max="8999" width="20" style="89" customWidth="1"/>
    <col min="9000" max="9000" width="11.42578125" style="89" customWidth="1"/>
    <col min="9001" max="9001" width="19" style="89" customWidth="1"/>
    <col min="9002" max="9005" width="11.42578125" style="89" customWidth="1"/>
    <col min="9006" max="9006" width="15.140625" style="89" customWidth="1"/>
    <col min="9007" max="9007" width="14" style="89" customWidth="1"/>
    <col min="9008" max="9008" width="15.140625" style="89" customWidth="1"/>
    <col min="9009" max="9009" width="11.42578125" style="89" customWidth="1"/>
    <col min="9010" max="9010" width="51.7109375" style="89" customWidth="1"/>
    <col min="9011" max="9012" width="29.5703125" style="89" customWidth="1"/>
    <col min="9013" max="9013" width="44.42578125" style="89" customWidth="1"/>
    <col min="9014" max="9014" width="36.28515625" style="89" customWidth="1"/>
    <col min="9015" max="9015" width="27.42578125" style="89" bestFit="1" customWidth="1"/>
    <col min="9016" max="9236" width="11.42578125" style="89"/>
    <col min="9237" max="9237" width="15.5703125" style="89" bestFit="1" customWidth="1"/>
    <col min="9238" max="9238" width="33.7109375" style="89" customWidth="1"/>
    <col min="9239" max="9239" width="19" style="89" customWidth="1"/>
    <col min="9240" max="9240" width="19.85546875" style="89" customWidth="1"/>
    <col min="9241" max="9241" width="18.5703125" style="89" customWidth="1"/>
    <col min="9242" max="9242" width="19.7109375" style="89" customWidth="1"/>
    <col min="9243" max="9243" width="14.85546875" style="89" customWidth="1"/>
    <col min="9244" max="9244" width="16.85546875" style="89" customWidth="1"/>
    <col min="9245" max="9247" width="11.42578125" style="89" customWidth="1"/>
    <col min="9248" max="9248" width="18.140625" style="89" customWidth="1"/>
    <col min="9249" max="9249" width="11.42578125" style="89" customWidth="1"/>
    <col min="9250" max="9250" width="12.5703125" style="89" customWidth="1"/>
    <col min="9251" max="9251" width="25" style="89" customWidth="1"/>
    <col min="9252" max="9252" width="16.5703125" style="89" bestFit="1" customWidth="1"/>
    <col min="9253" max="9253" width="24" style="89" customWidth="1"/>
    <col min="9254" max="9254" width="11.42578125" style="89" customWidth="1"/>
    <col min="9255" max="9255" width="20" style="89" customWidth="1"/>
    <col min="9256" max="9256" width="11.42578125" style="89" customWidth="1"/>
    <col min="9257" max="9257" width="19" style="89" customWidth="1"/>
    <col min="9258" max="9261" width="11.42578125" style="89" customWidth="1"/>
    <col min="9262" max="9262" width="15.140625" style="89" customWidth="1"/>
    <col min="9263" max="9263" width="14" style="89" customWidth="1"/>
    <col min="9264" max="9264" width="15.140625" style="89" customWidth="1"/>
    <col min="9265" max="9265" width="11.42578125" style="89" customWidth="1"/>
    <col min="9266" max="9266" width="51.7109375" style="89" customWidth="1"/>
    <col min="9267" max="9268" width="29.5703125" style="89" customWidth="1"/>
    <col min="9269" max="9269" width="44.42578125" style="89" customWidth="1"/>
    <col min="9270" max="9270" width="36.28515625" style="89" customWidth="1"/>
    <col min="9271" max="9271" width="27.42578125" style="89" bestFit="1" customWidth="1"/>
    <col min="9272" max="9492" width="11.42578125" style="89"/>
    <col min="9493" max="9493" width="15.5703125" style="89" bestFit="1" customWidth="1"/>
    <col min="9494" max="9494" width="33.7109375" style="89" customWidth="1"/>
    <col min="9495" max="9495" width="19" style="89" customWidth="1"/>
    <col min="9496" max="9496" width="19.85546875" style="89" customWidth="1"/>
    <col min="9497" max="9497" width="18.5703125" style="89" customWidth="1"/>
    <col min="9498" max="9498" width="19.7109375" style="89" customWidth="1"/>
    <col min="9499" max="9499" width="14.85546875" style="89" customWidth="1"/>
    <col min="9500" max="9500" width="16.85546875" style="89" customWidth="1"/>
    <col min="9501" max="9503" width="11.42578125" style="89" customWidth="1"/>
    <col min="9504" max="9504" width="18.140625" style="89" customWidth="1"/>
    <col min="9505" max="9505" width="11.42578125" style="89" customWidth="1"/>
    <col min="9506" max="9506" width="12.5703125" style="89" customWidth="1"/>
    <col min="9507" max="9507" width="25" style="89" customWidth="1"/>
    <col min="9508" max="9508" width="16.5703125" style="89" bestFit="1" customWidth="1"/>
    <col min="9509" max="9509" width="24" style="89" customWidth="1"/>
    <col min="9510" max="9510" width="11.42578125" style="89" customWidth="1"/>
    <col min="9511" max="9511" width="20" style="89" customWidth="1"/>
    <col min="9512" max="9512" width="11.42578125" style="89" customWidth="1"/>
    <col min="9513" max="9513" width="19" style="89" customWidth="1"/>
    <col min="9514" max="9517" width="11.42578125" style="89" customWidth="1"/>
    <col min="9518" max="9518" width="15.140625" style="89" customWidth="1"/>
    <col min="9519" max="9519" width="14" style="89" customWidth="1"/>
    <col min="9520" max="9520" width="15.140625" style="89" customWidth="1"/>
    <col min="9521" max="9521" width="11.42578125" style="89" customWidth="1"/>
    <col min="9522" max="9522" width="51.7109375" style="89" customWidth="1"/>
    <col min="9523" max="9524" width="29.5703125" style="89" customWidth="1"/>
    <col min="9525" max="9525" width="44.42578125" style="89" customWidth="1"/>
    <col min="9526" max="9526" width="36.28515625" style="89" customWidth="1"/>
    <col min="9527" max="9527" width="27.42578125" style="89" bestFit="1" customWidth="1"/>
    <col min="9528" max="9748" width="11.42578125" style="89"/>
    <col min="9749" max="9749" width="15.5703125" style="89" bestFit="1" customWidth="1"/>
    <col min="9750" max="9750" width="33.7109375" style="89" customWidth="1"/>
    <col min="9751" max="9751" width="19" style="89" customWidth="1"/>
    <col min="9752" max="9752" width="19.85546875" style="89" customWidth="1"/>
    <col min="9753" max="9753" width="18.5703125" style="89" customWidth="1"/>
    <col min="9754" max="9754" width="19.7109375" style="89" customWidth="1"/>
    <col min="9755" max="9755" width="14.85546875" style="89" customWidth="1"/>
    <col min="9756" max="9756" width="16.85546875" style="89" customWidth="1"/>
    <col min="9757" max="9759" width="11.42578125" style="89" customWidth="1"/>
    <col min="9760" max="9760" width="18.140625" style="89" customWidth="1"/>
    <col min="9761" max="9761" width="11.42578125" style="89" customWidth="1"/>
    <col min="9762" max="9762" width="12.5703125" style="89" customWidth="1"/>
    <col min="9763" max="9763" width="25" style="89" customWidth="1"/>
    <col min="9764" max="9764" width="16.5703125" style="89" bestFit="1" customWidth="1"/>
    <col min="9765" max="9765" width="24" style="89" customWidth="1"/>
    <col min="9766" max="9766" width="11.42578125" style="89" customWidth="1"/>
    <col min="9767" max="9767" width="20" style="89" customWidth="1"/>
    <col min="9768" max="9768" width="11.42578125" style="89" customWidth="1"/>
    <col min="9769" max="9769" width="19" style="89" customWidth="1"/>
    <col min="9770" max="9773" width="11.42578125" style="89" customWidth="1"/>
    <col min="9774" max="9774" width="15.140625" style="89" customWidth="1"/>
    <col min="9775" max="9775" width="14" style="89" customWidth="1"/>
    <col min="9776" max="9776" width="15.140625" style="89" customWidth="1"/>
    <col min="9777" max="9777" width="11.42578125" style="89" customWidth="1"/>
    <col min="9778" max="9778" width="51.7109375" style="89" customWidth="1"/>
    <col min="9779" max="9780" width="29.5703125" style="89" customWidth="1"/>
    <col min="9781" max="9781" width="44.42578125" style="89" customWidth="1"/>
    <col min="9782" max="9782" width="36.28515625" style="89" customWidth="1"/>
    <col min="9783" max="9783" width="27.42578125" style="89" bestFit="1" customWidth="1"/>
    <col min="9784" max="10004" width="11.42578125" style="89"/>
    <col min="10005" max="10005" width="15.5703125" style="89" bestFit="1" customWidth="1"/>
    <col min="10006" max="10006" width="33.7109375" style="89" customWidth="1"/>
    <col min="10007" max="10007" width="19" style="89" customWidth="1"/>
    <col min="10008" max="10008" width="19.85546875" style="89" customWidth="1"/>
    <col min="10009" max="10009" width="18.5703125" style="89" customWidth="1"/>
    <col min="10010" max="10010" width="19.7109375" style="89" customWidth="1"/>
    <col min="10011" max="10011" width="14.85546875" style="89" customWidth="1"/>
    <col min="10012" max="10012" width="16.85546875" style="89" customWidth="1"/>
    <col min="10013" max="10015" width="11.42578125" style="89" customWidth="1"/>
    <col min="10016" max="10016" width="18.140625" style="89" customWidth="1"/>
    <col min="10017" max="10017" width="11.42578125" style="89" customWidth="1"/>
    <col min="10018" max="10018" width="12.5703125" style="89" customWidth="1"/>
    <col min="10019" max="10019" width="25" style="89" customWidth="1"/>
    <col min="10020" max="10020" width="16.5703125" style="89" bestFit="1" customWidth="1"/>
    <col min="10021" max="10021" width="24" style="89" customWidth="1"/>
    <col min="10022" max="10022" width="11.42578125" style="89" customWidth="1"/>
    <col min="10023" max="10023" width="20" style="89" customWidth="1"/>
    <col min="10024" max="10024" width="11.42578125" style="89" customWidth="1"/>
    <col min="10025" max="10025" width="19" style="89" customWidth="1"/>
    <col min="10026" max="10029" width="11.42578125" style="89" customWidth="1"/>
    <col min="10030" max="10030" width="15.140625" style="89" customWidth="1"/>
    <col min="10031" max="10031" width="14" style="89" customWidth="1"/>
    <col min="10032" max="10032" width="15.140625" style="89" customWidth="1"/>
    <col min="10033" max="10033" width="11.42578125" style="89" customWidth="1"/>
    <col min="10034" max="10034" width="51.7109375" style="89" customWidth="1"/>
    <col min="10035" max="10036" width="29.5703125" style="89" customWidth="1"/>
    <col min="10037" max="10037" width="44.42578125" style="89" customWidth="1"/>
    <col min="10038" max="10038" width="36.28515625" style="89" customWidth="1"/>
    <col min="10039" max="10039" width="27.42578125" style="89" bestFit="1" customWidth="1"/>
    <col min="10040" max="10260" width="11.42578125" style="89"/>
    <col min="10261" max="10261" width="15.5703125" style="89" bestFit="1" customWidth="1"/>
    <col min="10262" max="10262" width="33.7109375" style="89" customWidth="1"/>
    <col min="10263" max="10263" width="19" style="89" customWidth="1"/>
    <col min="10264" max="10264" width="19.85546875" style="89" customWidth="1"/>
    <col min="10265" max="10265" width="18.5703125" style="89" customWidth="1"/>
    <col min="10266" max="10266" width="19.7109375" style="89" customWidth="1"/>
    <col min="10267" max="10267" width="14.85546875" style="89" customWidth="1"/>
    <col min="10268" max="10268" width="16.85546875" style="89" customWidth="1"/>
    <col min="10269" max="10271" width="11.42578125" style="89" customWidth="1"/>
    <col min="10272" max="10272" width="18.140625" style="89" customWidth="1"/>
    <col min="10273" max="10273" width="11.42578125" style="89" customWidth="1"/>
    <col min="10274" max="10274" width="12.5703125" style="89" customWidth="1"/>
    <col min="10275" max="10275" width="25" style="89" customWidth="1"/>
    <col min="10276" max="10276" width="16.5703125" style="89" bestFit="1" customWidth="1"/>
    <col min="10277" max="10277" width="24" style="89" customWidth="1"/>
    <col min="10278" max="10278" width="11.42578125" style="89" customWidth="1"/>
    <col min="10279" max="10279" width="20" style="89" customWidth="1"/>
    <col min="10280" max="10280" width="11.42578125" style="89" customWidth="1"/>
    <col min="10281" max="10281" width="19" style="89" customWidth="1"/>
    <col min="10282" max="10285" width="11.42578125" style="89" customWidth="1"/>
    <col min="10286" max="10286" width="15.140625" style="89" customWidth="1"/>
    <col min="10287" max="10287" width="14" style="89" customWidth="1"/>
    <col min="10288" max="10288" width="15.140625" style="89" customWidth="1"/>
    <col min="10289" max="10289" width="11.42578125" style="89" customWidth="1"/>
    <col min="10290" max="10290" width="51.7109375" style="89" customWidth="1"/>
    <col min="10291" max="10292" width="29.5703125" style="89" customWidth="1"/>
    <col min="10293" max="10293" width="44.42578125" style="89" customWidth="1"/>
    <col min="10294" max="10294" width="36.28515625" style="89" customWidth="1"/>
    <col min="10295" max="10295" width="27.42578125" style="89" bestFit="1" customWidth="1"/>
    <col min="10296" max="10516" width="11.42578125" style="89"/>
    <col min="10517" max="10517" width="15.5703125" style="89" bestFit="1" customWidth="1"/>
    <col min="10518" max="10518" width="33.7109375" style="89" customWidth="1"/>
    <col min="10519" max="10519" width="19" style="89" customWidth="1"/>
    <col min="10520" max="10520" width="19.85546875" style="89" customWidth="1"/>
    <col min="10521" max="10521" width="18.5703125" style="89" customWidth="1"/>
    <col min="10522" max="10522" width="19.7109375" style="89" customWidth="1"/>
    <col min="10523" max="10523" width="14.85546875" style="89" customWidth="1"/>
    <col min="10524" max="10524" width="16.85546875" style="89" customWidth="1"/>
    <col min="10525" max="10527" width="11.42578125" style="89" customWidth="1"/>
    <col min="10528" max="10528" width="18.140625" style="89" customWidth="1"/>
    <col min="10529" max="10529" width="11.42578125" style="89" customWidth="1"/>
    <col min="10530" max="10530" width="12.5703125" style="89" customWidth="1"/>
    <col min="10531" max="10531" width="25" style="89" customWidth="1"/>
    <col min="10532" max="10532" width="16.5703125" style="89" bestFit="1" customWidth="1"/>
    <col min="10533" max="10533" width="24" style="89" customWidth="1"/>
    <col min="10534" max="10534" width="11.42578125" style="89" customWidth="1"/>
    <col min="10535" max="10535" width="20" style="89" customWidth="1"/>
    <col min="10536" max="10536" width="11.42578125" style="89" customWidth="1"/>
    <col min="10537" max="10537" width="19" style="89" customWidth="1"/>
    <col min="10538" max="10541" width="11.42578125" style="89" customWidth="1"/>
    <col min="10542" max="10542" width="15.140625" style="89" customWidth="1"/>
    <col min="10543" max="10543" width="14" style="89" customWidth="1"/>
    <col min="10544" max="10544" width="15.140625" style="89" customWidth="1"/>
    <col min="10545" max="10545" width="11.42578125" style="89" customWidth="1"/>
    <col min="10546" max="10546" width="51.7109375" style="89" customWidth="1"/>
    <col min="10547" max="10548" width="29.5703125" style="89" customWidth="1"/>
    <col min="10549" max="10549" width="44.42578125" style="89" customWidth="1"/>
    <col min="10550" max="10550" width="36.28515625" style="89" customWidth="1"/>
    <col min="10551" max="10551" width="27.42578125" style="89" bestFit="1" customWidth="1"/>
    <col min="10552" max="10772" width="11.42578125" style="89"/>
    <col min="10773" max="10773" width="15.5703125" style="89" bestFit="1" customWidth="1"/>
    <col min="10774" max="10774" width="33.7109375" style="89" customWidth="1"/>
    <col min="10775" max="10775" width="19" style="89" customWidth="1"/>
    <col min="10776" max="10776" width="19.85546875" style="89" customWidth="1"/>
    <col min="10777" max="10777" width="18.5703125" style="89" customWidth="1"/>
    <col min="10778" max="10778" width="19.7109375" style="89" customWidth="1"/>
    <col min="10779" max="10779" width="14.85546875" style="89" customWidth="1"/>
    <col min="10780" max="10780" width="16.85546875" style="89" customWidth="1"/>
    <col min="10781" max="10783" width="11.42578125" style="89" customWidth="1"/>
    <col min="10784" max="10784" width="18.140625" style="89" customWidth="1"/>
    <col min="10785" max="10785" width="11.42578125" style="89" customWidth="1"/>
    <col min="10786" max="10786" width="12.5703125" style="89" customWidth="1"/>
    <col min="10787" max="10787" width="25" style="89" customWidth="1"/>
    <col min="10788" max="10788" width="16.5703125" style="89" bestFit="1" customWidth="1"/>
    <col min="10789" max="10789" width="24" style="89" customWidth="1"/>
    <col min="10790" max="10790" width="11.42578125" style="89" customWidth="1"/>
    <col min="10791" max="10791" width="20" style="89" customWidth="1"/>
    <col min="10792" max="10792" width="11.42578125" style="89" customWidth="1"/>
    <col min="10793" max="10793" width="19" style="89" customWidth="1"/>
    <col min="10794" max="10797" width="11.42578125" style="89" customWidth="1"/>
    <col min="10798" max="10798" width="15.140625" style="89" customWidth="1"/>
    <col min="10799" max="10799" width="14" style="89" customWidth="1"/>
    <col min="10800" max="10800" width="15.140625" style="89" customWidth="1"/>
    <col min="10801" max="10801" width="11.42578125" style="89" customWidth="1"/>
    <col min="10802" max="10802" width="51.7109375" style="89" customWidth="1"/>
    <col min="10803" max="10804" width="29.5703125" style="89" customWidth="1"/>
    <col min="10805" max="10805" width="44.42578125" style="89" customWidth="1"/>
    <col min="10806" max="10806" width="36.28515625" style="89" customWidth="1"/>
    <col min="10807" max="10807" width="27.42578125" style="89" bestFit="1" customWidth="1"/>
    <col min="10808" max="11028" width="11.42578125" style="89"/>
    <col min="11029" max="11029" width="15.5703125" style="89" bestFit="1" customWidth="1"/>
    <col min="11030" max="11030" width="33.7109375" style="89" customWidth="1"/>
    <col min="11031" max="11031" width="19" style="89" customWidth="1"/>
    <col min="11032" max="11032" width="19.85546875" style="89" customWidth="1"/>
    <col min="11033" max="11033" width="18.5703125" style="89" customWidth="1"/>
    <col min="11034" max="11034" width="19.7109375" style="89" customWidth="1"/>
    <col min="11035" max="11035" width="14.85546875" style="89" customWidth="1"/>
    <col min="11036" max="11036" width="16.85546875" style="89" customWidth="1"/>
    <col min="11037" max="11039" width="11.42578125" style="89" customWidth="1"/>
    <col min="11040" max="11040" width="18.140625" style="89" customWidth="1"/>
    <col min="11041" max="11041" width="11.42578125" style="89" customWidth="1"/>
    <col min="11042" max="11042" width="12.5703125" style="89" customWidth="1"/>
    <col min="11043" max="11043" width="25" style="89" customWidth="1"/>
    <col min="11044" max="11044" width="16.5703125" style="89" bestFit="1" customWidth="1"/>
    <col min="11045" max="11045" width="24" style="89" customWidth="1"/>
    <col min="11046" max="11046" width="11.42578125" style="89" customWidth="1"/>
    <col min="11047" max="11047" width="20" style="89" customWidth="1"/>
    <col min="11048" max="11048" width="11.42578125" style="89" customWidth="1"/>
    <col min="11049" max="11049" width="19" style="89" customWidth="1"/>
    <col min="11050" max="11053" width="11.42578125" style="89" customWidth="1"/>
    <col min="11054" max="11054" width="15.140625" style="89" customWidth="1"/>
    <col min="11055" max="11055" width="14" style="89" customWidth="1"/>
    <col min="11056" max="11056" width="15.140625" style="89" customWidth="1"/>
    <col min="11057" max="11057" width="11.42578125" style="89" customWidth="1"/>
    <col min="11058" max="11058" width="51.7109375" style="89" customWidth="1"/>
    <col min="11059" max="11060" width="29.5703125" style="89" customWidth="1"/>
    <col min="11061" max="11061" width="44.42578125" style="89" customWidth="1"/>
    <col min="11062" max="11062" width="36.28515625" style="89" customWidth="1"/>
    <col min="11063" max="11063" width="27.42578125" style="89" bestFit="1" customWidth="1"/>
    <col min="11064" max="11284" width="11.42578125" style="89"/>
    <col min="11285" max="11285" width="15.5703125" style="89" bestFit="1" customWidth="1"/>
    <col min="11286" max="11286" width="33.7109375" style="89" customWidth="1"/>
    <col min="11287" max="11287" width="19" style="89" customWidth="1"/>
    <col min="11288" max="11288" width="19.85546875" style="89" customWidth="1"/>
    <col min="11289" max="11289" width="18.5703125" style="89" customWidth="1"/>
    <col min="11290" max="11290" width="19.7109375" style="89" customWidth="1"/>
    <col min="11291" max="11291" width="14.85546875" style="89" customWidth="1"/>
    <col min="11292" max="11292" width="16.85546875" style="89" customWidth="1"/>
    <col min="11293" max="11295" width="11.42578125" style="89" customWidth="1"/>
    <col min="11296" max="11296" width="18.140625" style="89" customWidth="1"/>
    <col min="11297" max="11297" width="11.42578125" style="89" customWidth="1"/>
    <col min="11298" max="11298" width="12.5703125" style="89" customWidth="1"/>
    <col min="11299" max="11299" width="25" style="89" customWidth="1"/>
    <col min="11300" max="11300" width="16.5703125" style="89" bestFit="1" customWidth="1"/>
    <col min="11301" max="11301" width="24" style="89" customWidth="1"/>
    <col min="11302" max="11302" width="11.42578125" style="89" customWidth="1"/>
    <col min="11303" max="11303" width="20" style="89" customWidth="1"/>
    <col min="11304" max="11304" width="11.42578125" style="89" customWidth="1"/>
    <col min="11305" max="11305" width="19" style="89" customWidth="1"/>
    <col min="11306" max="11309" width="11.42578125" style="89" customWidth="1"/>
    <col min="11310" max="11310" width="15.140625" style="89" customWidth="1"/>
    <col min="11311" max="11311" width="14" style="89" customWidth="1"/>
    <col min="11312" max="11312" width="15.140625" style="89" customWidth="1"/>
    <col min="11313" max="11313" width="11.42578125" style="89" customWidth="1"/>
    <col min="11314" max="11314" width="51.7109375" style="89" customWidth="1"/>
    <col min="11315" max="11316" width="29.5703125" style="89" customWidth="1"/>
    <col min="11317" max="11317" width="44.42578125" style="89" customWidth="1"/>
    <col min="11318" max="11318" width="36.28515625" style="89" customWidth="1"/>
    <col min="11319" max="11319" width="27.42578125" style="89" bestFit="1" customWidth="1"/>
    <col min="11320" max="11540" width="11.42578125" style="89"/>
    <col min="11541" max="11541" width="15.5703125" style="89" bestFit="1" customWidth="1"/>
    <col min="11542" max="11542" width="33.7109375" style="89" customWidth="1"/>
    <col min="11543" max="11543" width="19" style="89" customWidth="1"/>
    <col min="11544" max="11544" width="19.85546875" style="89" customWidth="1"/>
    <col min="11545" max="11545" width="18.5703125" style="89" customWidth="1"/>
    <col min="11546" max="11546" width="19.7109375" style="89" customWidth="1"/>
    <col min="11547" max="11547" width="14.85546875" style="89" customWidth="1"/>
    <col min="11548" max="11548" width="16.85546875" style="89" customWidth="1"/>
    <col min="11549" max="11551" width="11.42578125" style="89" customWidth="1"/>
    <col min="11552" max="11552" width="18.140625" style="89" customWidth="1"/>
    <col min="11553" max="11553" width="11.42578125" style="89" customWidth="1"/>
    <col min="11554" max="11554" width="12.5703125" style="89" customWidth="1"/>
    <col min="11555" max="11555" width="25" style="89" customWidth="1"/>
    <col min="11556" max="11556" width="16.5703125" style="89" bestFit="1" customWidth="1"/>
    <col min="11557" max="11557" width="24" style="89" customWidth="1"/>
    <col min="11558" max="11558" width="11.42578125" style="89" customWidth="1"/>
    <col min="11559" max="11559" width="20" style="89" customWidth="1"/>
    <col min="11560" max="11560" width="11.42578125" style="89" customWidth="1"/>
    <col min="11561" max="11561" width="19" style="89" customWidth="1"/>
    <col min="11562" max="11565" width="11.42578125" style="89" customWidth="1"/>
    <col min="11566" max="11566" width="15.140625" style="89" customWidth="1"/>
    <col min="11567" max="11567" width="14" style="89" customWidth="1"/>
    <col min="11568" max="11568" width="15.140625" style="89" customWidth="1"/>
    <col min="11569" max="11569" width="11.42578125" style="89" customWidth="1"/>
    <col min="11570" max="11570" width="51.7109375" style="89" customWidth="1"/>
    <col min="11571" max="11572" width="29.5703125" style="89" customWidth="1"/>
    <col min="11573" max="11573" width="44.42578125" style="89" customWidth="1"/>
    <col min="11574" max="11574" width="36.28515625" style="89" customWidth="1"/>
    <col min="11575" max="11575" width="27.42578125" style="89" bestFit="1" customWidth="1"/>
    <col min="11576" max="11796" width="11.42578125" style="89"/>
    <col min="11797" max="11797" width="15.5703125" style="89" bestFit="1" customWidth="1"/>
    <col min="11798" max="11798" width="33.7109375" style="89" customWidth="1"/>
    <col min="11799" max="11799" width="19" style="89" customWidth="1"/>
    <col min="11800" max="11800" width="19.85546875" style="89" customWidth="1"/>
    <col min="11801" max="11801" width="18.5703125" style="89" customWidth="1"/>
    <col min="11802" max="11802" width="19.7109375" style="89" customWidth="1"/>
    <col min="11803" max="11803" width="14.85546875" style="89" customWidth="1"/>
    <col min="11804" max="11804" width="16.85546875" style="89" customWidth="1"/>
    <col min="11805" max="11807" width="11.42578125" style="89" customWidth="1"/>
    <col min="11808" max="11808" width="18.140625" style="89" customWidth="1"/>
    <col min="11809" max="11809" width="11.42578125" style="89" customWidth="1"/>
    <col min="11810" max="11810" width="12.5703125" style="89" customWidth="1"/>
    <col min="11811" max="11811" width="25" style="89" customWidth="1"/>
    <col min="11812" max="11812" width="16.5703125" style="89" bestFit="1" customWidth="1"/>
    <col min="11813" max="11813" width="24" style="89" customWidth="1"/>
    <col min="11814" max="11814" width="11.42578125" style="89" customWidth="1"/>
    <col min="11815" max="11815" width="20" style="89" customWidth="1"/>
    <col min="11816" max="11816" width="11.42578125" style="89" customWidth="1"/>
    <col min="11817" max="11817" width="19" style="89" customWidth="1"/>
    <col min="11818" max="11821" width="11.42578125" style="89" customWidth="1"/>
    <col min="11822" max="11822" width="15.140625" style="89" customWidth="1"/>
    <col min="11823" max="11823" width="14" style="89" customWidth="1"/>
    <col min="11824" max="11824" width="15.140625" style="89" customWidth="1"/>
    <col min="11825" max="11825" width="11.42578125" style="89" customWidth="1"/>
    <col min="11826" max="11826" width="51.7109375" style="89" customWidth="1"/>
    <col min="11827" max="11828" width="29.5703125" style="89" customWidth="1"/>
    <col min="11829" max="11829" width="44.42578125" style="89" customWidth="1"/>
    <col min="11830" max="11830" width="36.28515625" style="89" customWidth="1"/>
    <col min="11831" max="11831" width="27.42578125" style="89" bestFit="1" customWidth="1"/>
    <col min="11832" max="12052" width="11.42578125" style="89"/>
    <col min="12053" max="12053" width="15.5703125" style="89" bestFit="1" customWidth="1"/>
    <col min="12054" max="12054" width="33.7109375" style="89" customWidth="1"/>
    <col min="12055" max="12055" width="19" style="89" customWidth="1"/>
    <col min="12056" max="12056" width="19.85546875" style="89" customWidth="1"/>
    <col min="12057" max="12057" width="18.5703125" style="89" customWidth="1"/>
    <col min="12058" max="12058" width="19.7109375" style="89" customWidth="1"/>
    <col min="12059" max="12059" width="14.85546875" style="89" customWidth="1"/>
    <col min="12060" max="12060" width="16.85546875" style="89" customWidth="1"/>
    <col min="12061" max="12063" width="11.42578125" style="89" customWidth="1"/>
    <col min="12064" max="12064" width="18.140625" style="89" customWidth="1"/>
    <col min="12065" max="12065" width="11.42578125" style="89" customWidth="1"/>
    <col min="12066" max="12066" width="12.5703125" style="89" customWidth="1"/>
    <col min="12067" max="12067" width="25" style="89" customWidth="1"/>
    <col min="12068" max="12068" width="16.5703125" style="89" bestFit="1" customWidth="1"/>
    <col min="12069" max="12069" width="24" style="89" customWidth="1"/>
    <col min="12070" max="12070" width="11.42578125" style="89" customWidth="1"/>
    <col min="12071" max="12071" width="20" style="89" customWidth="1"/>
    <col min="12072" max="12072" width="11.42578125" style="89" customWidth="1"/>
    <col min="12073" max="12073" width="19" style="89" customWidth="1"/>
    <col min="12074" max="12077" width="11.42578125" style="89" customWidth="1"/>
    <col min="12078" max="12078" width="15.140625" style="89" customWidth="1"/>
    <col min="12079" max="12079" width="14" style="89" customWidth="1"/>
    <col min="12080" max="12080" width="15.140625" style="89" customWidth="1"/>
    <col min="12081" max="12081" width="11.42578125" style="89" customWidth="1"/>
    <col min="12082" max="12082" width="51.7109375" style="89" customWidth="1"/>
    <col min="12083" max="12084" width="29.5703125" style="89" customWidth="1"/>
    <col min="12085" max="12085" width="44.42578125" style="89" customWidth="1"/>
    <col min="12086" max="12086" width="36.28515625" style="89" customWidth="1"/>
    <col min="12087" max="12087" width="27.42578125" style="89" bestFit="1" customWidth="1"/>
    <col min="12088" max="12308" width="11.42578125" style="89"/>
    <col min="12309" max="12309" width="15.5703125" style="89" bestFit="1" customWidth="1"/>
    <col min="12310" max="12310" width="33.7109375" style="89" customWidth="1"/>
    <col min="12311" max="12311" width="19" style="89" customWidth="1"/>
    <col min="12312" max="12312" width="19.85546875" style="89" customWidth="1"/>
    <col min="12313" max="12313" width="18.5703125" style="89" customWidth="1"/>
    <col min="12314" max="12314" width="19.7109375" style="89" customWidth="1"/>
    <col min="12315" max="12315" width="14.85546875" style="89" customWidth="1"/>
    <col min="12316" max="12316" width="16.85546875" style="89" customWidth="1"/>
    <col min="12317" max="12319" width="11.42578125" style="89" customWidth="1"/>
    <col min="12320" max="12320" width="18.140625" style="89" customWidth="1"/>
    <col min="12321" max="12321" width="11.42578125" style="89" customWidth="1"/>
    <col min="12322" max="12322" width="12.5703125" style="89" customWidth="1"/>
    <col min="12323" max="12323" width="25" style="89" customWidth="1"/>
    <col min="12324" max="12324" width="16.5703125" style="89" bestFit="1" customWidth="1"/>
    <col min="12325" max="12325" width="24" style="89" customWidth="1"/>
    <col min="12326" max="12326" width="11.42578125" style="89" customWidth="1"/>
    <col min="12327" max="12327" width="20" style="89" customWidth="1"/>
    <col min="12328" max="12328" width="11.42578125" style="89" customWidth="1"/>
    <col min="12329" max="12329" width="19" style="89" customWidth="1"/>
    <col min="12330" max="12333" width="11.42578125" style="89" customWidth="1"/>
    <col min="12334" max="12334" width="15.140625" style="89" customWidth="1"/>
    <col min="12335" max="12335" width="14" style="89" customWidth="1"/>
    <col min="12336" max="12336" width="15.140625" style="89" customWidth="1"/>
    <col min="12337" max="12337" width="11.42578125" style="89" customWidth="1"/>
    <col min="12338" max="12338" width="51.7109375" style="89" customWidth="1"/>
    <col min="12339" max="12340" width="29.5703125" style="89" customWidth="1"/>
    <col min="12341" max="12341" width="44.42578125" style="89" customWidth="1"/>
    <col min="12342" max="12342" width="36.28515625" style="89" customWidth="1"/>
    <col min="12343" max="12343" width="27.42578125" style="89" bestFit="1" customWidth="1"/>
    <col min="12344" max="12564" width="11.42578125" style="89"/>
    <col min="12565" max="12565" width="15.5703125" style="89" bestFit="1" customWidth="1"/>
    <col min="12566" max="12566" width="33.7109375" style="89" customWidth="1"/>
    <col min="12567" max="12567" width="19" style="89" customWidth="1"/>
    <col min="12568" max="12568" width="19.85546875" style="89" customWidth="1"/>
    <col min="12569" max="12569" width="18.5703125" style="89" customWidth="1"/>
    <col min="12570" max="12570" width="19.7109375" style="89" customWidth="1"/>
    <col min="12571" max="12571" width="14.85546875" style="89" customWidth="1"/>
    <col min="12572" max="12572" width="16.85546875" style="89" customWidth="1"/>
    <col min="12573" max="12575" width="11.42578125" style="89" customWidth="1"/>
    <col min="12576" max="12576" width="18.140625" style="89" customWidth="1"/>
    <col min="12577" max="12577" width="11.42578125" style="89" customWidth="1"/>
    <col min="12578" max="12578" width="12.5703125" style="89" customWidth="1"/>
    <col min="12579" max="12579" width="25" style="89" customWidth="1"/>
    <col min="12580" max="12580" width="16.5703125" style="89" bestFit="1" customWidth="1"/>
    <col min="12581" max="12581" width="24" style="89" customWidth="1"/>
    <col min="12582" max="12582" width="11.42578125" style="89" customWidth="1"/>
    <col min="12583" max="12583" width="20" style="89" customWidth="1"/>
    <col min="12584" max="12584" width="11.42578125" style="89" customWidth="1"/>
    <col min="12585" max="12585" width="19" style="89" customWidth="1"/>
    <col min="12586" max="12589" width="11.42578125" style="89" customWidth="1"/>
    <col min="12590" max="12590" width="15.140625" style="89" customWidth="1"/>
    <col min="12591" max="12591" width="14" style="89" customWidth="1"/>
    <col min="12592" max="12592" width="15.140625" style="89" customWidth="1"/>
    <col min="12593" max="12593" width="11.42578125" style="89" customWidth="1"/>
    <col min="12594" max="12594" width="51.7109375" style="89" customWidth="1"/>
    <col min="12595" max="12596" width="29.5703125" style="89" customWidth="1"/>
    <col min="12597" max="12597" width="44.42578125" style="89" customWidth="1"/>
    <col min="12598" max="12598" width="36.28515625" style="89" customWidth="1"/>
    <col min="12599" max="12599" width="27.42578125" style="89" bestFit="1" customWidth="1"/>
    <col min="12600" max="12820" width="11.42578125" style="89"/>
    <col min="12821" max="12821" width="15.5703125" style="89" bestFit="1" customWidth="1"/>
    <col min="12822" max="12822" width="33.7109375" style="89" customWidth="1"/>
    <col min="12823" max="12823" width="19" style="89" customWidth="1"/>
    <col min="12824" max="12824" width="19.85546875" style="89" customWidth="1"/>
    <col min="12825" max="12825" width="18.5703125" style="89" customWidth="1"/>
    <col min="12826" max="12826" width="19.7109375" style="89" customWidth="1"/>
    <col min="12827" max="12827" width="14.85546875" style="89" customWidth="1"/>
    <col min="12828" max="12828" width="16.85546875" style="89" customWidth="1"/>
    <col min="12829" max="12831" width="11.42578125" style="89" customWidth="1"/>
    <col min="12832" max="12832" width="18.140625" style="89" customWidth="1"/>
    <col min="12833" max="12833" width="11.42578125" style="89" customWidth="1"/>
    <col min="12834" max="12834" width="12.5703125" style="89" customWidth="1"/>
    <col min="12835" max="12835" width="25" style="89" customWidth="1"/>
    <col min="12836" max="12836" width="16.5703125" style="89" bestFit="1" customWidth="1"/>
    <col min="12837" max="12837" width="24" style="89" customWidth="1"/>
    <col min="12838" max="12838" width="11.42578125" style="89" customWidth="1"/>
    <col min="12839" max="12839" width="20" style="89" customWidth="1"/>
    <col min="12840" max="12840" width="11.42578125" style="89" customWidth="1"/>
    <col min="12841" max="12841" width="19" style="89" customWidth="1"/>
    <col min="12842" max="12845" width="11.42578125" style="89" customWidth="1"/>
    <col min="12846" max="12846" width="15.140625" style="89" customWidth="1"/>
    <col min="12847" max="12847" width="14" style="89" customWidth="1"/>
    <col min="12848" max="12848" width="15.140625" style="89" customWidth="1"/>
    <col min="12849" max="12849" width="11.42578125" style="89" customWidth="1"/>
    <col min="12850" max="12850" width="51.7109375" style="89" customWidth="1"/>
    <col min="12851" max="12852" width="29.5703125" style="89" customWidth="1"/>
    <col min="12853" max="12853" width="44.42578125" style="89" customWidth="1"/>
    <col min="12854" max="12854" width="36.28515625" style="89" customWidth="1"/>
    <col min="12855" max="12855" width="27.42578125" style="89" bestFit="1" customWidth="1"/>
    <col min="12856" max="13076" width="11.42578125" style="89"/>
    <col min="13077" max="13077" width="15.5703125" style="89" bestFit="1" customWidth="1"/>
    <col min="13078" max="13078" width="33.7109375" style="89" customWidth="1"/>
    <col min="13079" max="13079" width="19" style="89" customWidth="1"/>
    <col min="13080" max="13080" width="19.85546875" style="89" customWidth="1"/>
    <col min="13081" max="13081" width="18.5703125" style="89" customWidth="1"/>
    <col min="13082" max="13082" width="19.7109375" style="89" customWidth="1"/>
    <col min="13083" max="13083" width="14.85546875" style="89" customWidth="1"/>
    <col min="13084" max="13084" width="16.85546875" style="89" customWidth="1"/>
    <col min="13085" max="13087" width="11.42578125" style="89" customWidth="1"/>
    <col min="13088" max="13088" width="18.140625" style="89" customWidth="1"/>
    <col min="13089" max="13089" width="11.42578125" style="89" customWidth="1"/>
    <col min="13090" max="13090" width="12.5703125" style="89" customWidth="1"/>
    <col min="13091" max="13091" width="25" style="89" customWidth="1"/>
    <col min="13092" max="13092" width="16.5703125" style="89" bestFit="1" customWidth="1"/>
    <col min="13093" max="13093" width="24" style="89" customWidth="1"/>
    <col min="13094" max="13094" width="11.42578125" style="89" customWidth="1"/>
    <col min="13095" max="13095" width="20" style="89" customWidth="1"/>
    <col min="13096" max="13096" width="11.42578125" style="89" customWidth="1"/>
    <col min="13097" max="13097" width="19" style="89" customWidth="1"/>
    <col min="13098" max="13101" width="11.42578125" style="89" customWidth="1"/>
    <col min="13102" max="13102" width="15.140625" style="89" customWidth="1"/>
    <col min="13103" max="13103" width="14" style="89" customWidth="1"/>
    <col min="13104" max="13104" width="15.140625" style="89" customWidth="1"/>
    <col min="13105" max="13105" width="11.42578125" style="89" customWidth="1"/>
    <col min="13106" max="13106" width="51.7109375" style="89" customWidth="1"/>
    <col min="13107" max="13108" width="29.5703125" style="89" customWidth="1"/>
    <col min="13109" max="13109" width="44.42578125" style="89" customWidth="1"/>
    <col min="13110" max="13110" width="36.28515625" style="89" customWidth="1"/>
    <col min="13111" max="13111" width="27.42578125" style="89" bestFit="1" customWidth="1"/>
    <col min="13112" max="13332" width="11.42578125" style="89"/>
    <col min="13333" max="13333" width="15.5703125" style="89" bestFit="1" customWidth="1"/>
    <col min="13334" max="13334" width="33.7109375" style="89" customWidth="1"/>
    <col min="13335" max="13335" width="19" style="89" customWidth="1"/>
    <col min="13336" max="13336" width="19.85546875" style="89" customWidth="1"/>
    <col min="13337" max="13337" width="18.5703125" style="89" customWidth="1"/>
    <col min="13338" max="13338" width="19.7109375" style="89" customWidth="1"/>
    <col min="13339" max="13339" width="14.85546875" style="89" customWidth="1"/>
    <col min="13340" max="13340" width="16.85546875" style="89" customWidth="1"/>
    <col min="13341" max="13343" width="11.42578125" style="89" customWidth="1"/>
    <col min="13344" max="13344" width="18.140625" style="89" customWidth="1"/>
    <col min="13345" max="13345" width="11.42578125" style="89" customWidth="1"/>
    <col min="13346" max="13346" width="12.5703125" style="89" customWidth="1"/>
    <col min="13347" max="13347" width="25" style="89" customWidth="1"/>
    <col min="13348" max="13348" width="16.5703125" style="89" bestFit="1" customWidth="1"/>
    <col min="13349" max="13349" width="24" style="89" customWidth="1"/>
    <col min="13350" max="13350" width="11.42578125" style="89" customWidth="1"/>
    <col min="13351" max="13351" width="20" style="89" customWidth="1"/>
    <col min="13352" max="13352" width="11.42578125" style="89" customWidth="1"/>
    <col min="13353" max="13353" width="19" style="89" customWidth="1"/>
    <col min="13354" max="13357" width="11.42578125" style="89" customWidth="1"/>
    <col min="13358" max="13358" width="15.140625" style="89" customWidth="1"/>
    <col min="13359" max="13359" width="14" style="89" customWidth="1"/>
    <col min="13360" max="13360" width="15.140625" style="89" customWidth="1"/>
    <col min="13361" max="13361" width="11.42578125" style="89" customWidth="1"/>
    <col min="13362" max="13362" width="51.7109375" style="89" customWidth="1"/>
    <col min="13363" max="13364" width="29.5703125" style="89" customWidth="1"/>
    <col min="13365" max="13365" width="44.42578125" style="89" customWidth="1"/>
    <col min="13366" max="13366" width="36.28515625" style="89" customWidth="1"/>
    <col min="13367" max="13367" width="27.42578125" style="89" bestFit="1" customWidth="1"/>
    <col min="13368" max="13588" width="11.42578125" style="89"/>
    <col min="13589" max="13589" width="15.5703125" style="89" bestFit="1" customWidth="1"/>
    <col min="13590" max="13590" width="33.7109375" style="89" customWidth="1"/>
    <col min="13591" max="13591" width="19" style="89" customWidth="1"/>
    <col min="13592" max="13592" width="19.85546875" style="89" customWidth="1"/>
    <col min="13593" max="13593" width="18.5703125" style="89" customWidth="1"/>
    <col min="13594" max="13594" width="19.7109375" style="89" customWidth="1"/>
    <col min="13595" max="13595" width="14.85546875" style="89" customWidth="1"/>
    <col min="13596" max="13596" width="16.85546875" style="89" customWidth="1"/>
    <col min="13597" max="13599" width="11.42578125" style="89" customWidth="1"/>
    <col min="13600" max="13600" width="18.140625" style="89" customWidth="1"/>
    <col min="13601" max="13601" width="11.42578125" style="89" customWidth="1"/>
    <col min="13602" max="13602" width="12.5703125" style="89" customWidth="1"/>
    <col min="13603" max="13603" width="25" style="89" customWidth="1"/>
    <col min="13604" max="13604" width="16.5703125" style="89" bestFit="1" customWidth="1"/>
    <col min="13605" max="13605" width="24" style="89" customWidth="1"/>
    <col min="13606" max="13606" width="11.42578125" style="89" customWidth="1"/>
    <col min="13607" max="13607" width="20" style="89" customWidth="1"/>
    <col min="13608" max="13608" width="11.42578125" style="89" customWidth="1"/>
    <col min="13609" max="13609" width="19" style="89" customWidth="1"/>
    <col min="13610" max="13613" width="11.42578125" style="89" customWidth="1"/>
    <col min="13614" max="13614" width="15.140625" style="89" customWidth="1"/>
    <col min="13615" max="13615" width="14" style="89" customWidth="1"/>
    <col min="13616" max="13616" width="15.140625" style="89" customWidth="1"/>
    <col min="13617" max="13617" width="11.42578125" style="89" customWidth="1"/>
    <col min="13618" max="13618" width="51.7109375" style="89" customWidth="1"/>
    <col min="13619" max="13620" width="29.5703125" style="89" customWidth="1"/>
    <col min="13621" max="13621" width="44.42578125" style="89" customWidth="1"/>
    <col min="13622" max="13622" width="36.28515625" style="89" customWidth="1"/>
    <col min="13623" max="13623" width="27.42578125" style="89" bestFit="1" customWidth="1"/>
    <col min="13624" max="13844" width="11.42578125" style="89"/>
    <col min="13845" max="13845" width="15.5703125" style="89" bestFit="1" customWidth="1"/>
    <col min="13846" max="13846" width="33.7109375" style="89" customWidth="1"/>
    <col min="13847" max="13847" width="19" style="89" customWidth="1"/>
    <col min="13848" max="13848" width="19.85546875" style="89" customWidth="1"/>
    <col min="13849" max="13849" width="18.5703125" style="89" customWidth="1"/>
    <col min="13850" max="13850" width="19.7109375" style="89" customWidth="1"/>
    <col min="13851" max="13851" width="14.85546875" style="89" customWidth="1"/>
    <col min="13852" max="13852" width="16.85546875" style="89" customWidth="1"/>
    <col min="13853" max="13855" width="11.42578125" style="89" customWidth="1"/>
    <col min="13856" max="13856" width="18.140625" style="89" customWidth="1"/>
    <col min="13857" max="13857" width="11.42578125" style="89" customWidth="1"/>
    <col min="13858" max="13858" width="12.5703125" style="89" customWidth="1"/>
    <col min="13859" max="13859" width="25" style="89" customWidth="1"/>
    <col min="13860" max="13860" width="16.5703125" style="89" bestFit="1" customWidth="1"/>
    <col min="13861" max="13861" width="24" style="89" customWidth="1"/>
    <col min="13862" max="13862" width="11.42578125" style="89" customWidth="1"/>
    <col min="13863" max="13863" width="20" style="89" customWidth="1"/>
    <col min="13864" max="13864" width="11.42578125" style="89" customWidth="1"/>
    <col min="13865" max="13865" width="19" style="89" customWidth="1"/>
    <col min="13866" max="13869" width="11.42578125" style="89" customWidth="1"/>
    <col min="13870" max="13870" width="15.140625" style="89" customWidth="1"/>
    <col min="13871" max="13871" width="14" style="89" customWidth="1"/>
    <col min="13872" max="13872" width="15.140625" style="89" customWidth="1"/>
    <col min="13873" max="13873" width="11.42578125" style="89" customWidth="1"/>
    <col min="13874" max="13874" width="51.7109375" style="89" customWidth="1"/>
    <col min="13875" max="13876" width="29.5703125" style="89" customWidth="1"/>
    <col min="13877" max="13877" width="44.42578125" style="89" customWidth="1"/>
    <col min="13878" max="13878" width="36.28515625" style="89" customWidth="1"/>
    <col min="13879" max="13879" width="27.42578125" style="89" bestFit="1" customWidth="1"/>
    <col min="13880" max="14100" width="11.42578125" style="89"/>
    <col min="14101" max="14101" width="15.5703125" style="89" bestFit="1" customWidth="1"/>
    <col min="14102" max="14102" width="33.7109375" style="89" customWidth="1"/>
    <col min="14103" max="14103" width="19" style="89" customWidth="1"/>
    <col min="14104" max="14104" width="19.85546875" style="89" customWidth="1"/>
    <col min="14105" max="14105" width="18.5703125" style="89" customWidth="1"/>
    <col min="14106" max="14106" width="19.7109375" style="89" customWidth="1"/>
    <col min="14107" max="14107" width="14.85546875" style="89" customWidth="1"/>
    <col min="14108" max="14108" width="16.85546875" style="89" customWidth="1"/>
    <col min="14109" max="14111" width="11.42578125" style="89" customWidth="1"/>
    <col min="14112" max="14112" width="18.140625" style="89" customWidth="1"/>
    <col min="14113" max="14113" width="11.42578125" style="89" customWidth="1"/>
    <col min="14114" max="14114" width="12.5703125" style="89" customWidth="1"/>
    <col min="14115" max="14115" width="25" style="89" customWidth="1"/>
    <col min="14116" max="14116" width="16.5703125" style="89" bestFit="1" customWidth="1"/>
    <col min="14117" max="14117" width="24" style="89" customWidth="1"/>
    <col min="14118" max="14118" width="11.42578125" style="89" customWidth="1"/>
    <col min="14119" max="14119" width="20" style="89" customWidth="1"/>
    <col min="14120" max="14120" width="11.42578125" style="89" customWidth="1"/>
    <col min="14121" max="14121" width="19" style="89" customWidth="1"/>
    <col min="14122" max="14125" width="11.42578125" style="89" customWidth="1"/>
    <col min="14126" max="14126" width="15.140625" style="89" customWidth="1"/>
    <col min="14127" max="14127" width="14" style="89" customWidth="1"/>
    <col min="14128" max="14128" width="15.140625" style="89" customWidth="1"/>
    <col min="14129" max="14129" width="11.42578125" style="89" customWidth="1"/>
    <col min="14130" max="14130" width="51.7109375" style="89" customWidth="1"/>
    <col min="14131" max="14132" width="29.5703125" style="89" customWidth="1"/>
    <col min="14133" max="14133" width="44.42578125" style="89" customWidth="1"/>
    <col min="14134" max="14134" width="36.28515625" style="89" customWidth="1"/>
    <col min="14135" max="14135" width="27.42578125" style="89" bestFit="1" customWidth="1"/>
    <col min="14136" max="14356" width="11.42578125" style="89"/>
    <col min="14357" max="14357" width="15.5703125" style="89" bestFit="1" customWidth="1"/>
    <col min="14358" max="14358" width="33.7109375" style="89" customWidth="1"/>
    <col min="14359" max="14359" width="19" style="89" customWidth="1"/>
    <col min="14360" max="14360" width="19.85546875" style="89" customWidth="1"/>
    <col min="14361" max="14361" width="18.5703125" style="89" customWidth="1"/>
    <col min="14362" max="14362" width="19.7109375" style="89" customWidth="1"/>
    <col min="14363" max="14363" width="14.85546875" style="89" customWidth="1"/>
    <col min="14364" max="14364" width="16.85546875" style="89" customWidth="1"/>
    <col min="14365" max="14367" width="11.42578125" style="89" customWidth="1"/>
    <col min="14368" max="14368" width="18.140625" style="89" customWidth="1"/>
    <col min="14369" max="14369" width="11.42578125" style="89" customWidth="1"/>
    <col min="14370" max="14370" width="12.5703125" style="89" customWidth="1"/>
    <col min="14371" max="14371" width="25" style="89" customWidth="1"/>
    <col min="14372" max="14372" width="16.5703125" style="89" bestFit="1" customWidth="1"/>
    <col min="14373" max="14373" width="24" style="89" customWidth="1"/>
    <col min="14374" max="14374" width="11.42578125" style="89" customWidth="1"/>
    <col min="14375" max="14375" width="20" style="89" customWidth="1"/>
    <col min="14376" max="14376" width="11.42578125" style="89" customWidth="1"/>
    <col min="14377" max="14377" width="19" style="89" customWidth="1"/>
    <col min="14378" max="14381" width="11.42578125" style="89" customWidth="1"/>
    <col min="14382" max="14382" width="15.140625" style="89" customWidth="1"/>
    <col min="14383" max="14383" width="14" style="89" customWidth="1"/>
    <col min="14384" max="14384" width="15.140625" style="89" customWidth="1"/>
    <col min="14385" max="14385" width="11.42578125" style="89" customWidth="1"/>
    <col min="14386" max="14386" width="51.7109375" style="89" customWidth="1"/>
    <col min="14387" max="14388" width="29.5703125" style="89" customWidth="1"/>
    <col min="14389" max="14389" width="44.42578125" style="89" customWidth="1"/>
    <col min="14390" max="14390" width="36.28515625" style="89" customWidth="1"/>
    <col min="14391" max="14391" width="27.42578125" style="89" bestFit="1" customWidth="1"/>
    <col min="14392" max="14612" width="11.42578125" style="89"/>
    <col min="14613" max="14613" width="15.5703125" style="89" bestFit="1" customWidth="1"/>
    <col min="14614" max="14614" width="33.7109375" style="89" customWidth="1"/>
    <col min="14615" max="14615" width="19" style="89" customWidth="1"/>
    <col min="14616" max="14616" width="19.85546875" style="89" customWidth="1"/>
    <col min="14617" max="14617" width="18.5703125" style="89" customWidth="1"/>
    <col min="14618" max="14618" width="19.7109375" style="89" customWidth="1"/>
    <col min="14619" max="14619" width="14.85546875" style="89" customWidth="1"/>
    <col min="14620" max="14620" width="16.85546875" style="89" customWidth="1"/>
    <col min="14621" max="14623" width="11.42578125" style="89" customWidth="1"/>
    <col min="14624" max="14624" width="18.140625" style="89" customWidth="1"/>
    <col min="14625" max="14625" width="11.42578125" style="89" customWidth="1"/>
    <col min="14626" max="14626" width="12.5703125" style="89" customWidth="1"/>
    <col min="14627" max="14627" width="25" style="89" customWidth="1"/>
    <col min="14628" max="14628" width="16.5703125" style="89" bestFit="1" customWidth="1"/>
    <col min="14629" max="14629" width="24" style="89" customWidth="1"/>
    <col min="14630" max="14630" width="11.42578125" style="89" customWidth="1"/>
    <col min="14631" max="14631" width="20" style="89" customWidth="1"/>
    <col min="14632" max="14632" width="11.42578125" style="89" customWidth="1"/>
    <col min="14633" max="14633" width="19" style="89" customWidth="1"/>
    <col min="14634" max="14637" width="11.42578125" style="89" customWidth="1"/>
    <col min="14638" max="14638" width="15.140625" style="89" customWidth="1"/>
    <col min="14639" max="14639" width="14" style="89" customWidth="1"/>
    <col min="14640" max="14640" width="15.140625" style="89" customWidth="1"/>
    <col min="14641" max="14641" width="11.42578125" style="89" customWidth="1"/>
    <col min="14642" max="14642" width="51.7109375" style="89" customWidth="1"/>
    <col min="14643" max="14644" width="29.5703125" style="89" customWidth="1"/>
    <col min="14645" max="14645" width="44.42578125" style="89" customWidth="1"/>
    <col min="14646" max="14646" width="36.28515625" style="89" customWidth="1"/>
    <col min="14647" max="14647" width="27.42578125" style="89" bestFit="1" customWidth="1"/>
    <col min="14648" max="14868" width="11.42578125" style="89"/>
    <col min="14869" max="14869" width="15.5703125" style="89" bestFit="1" customWidth="1"/>
    <col min="14870" max="14870" width="33.7109375" style="89" customWidth="1"/>
    <col min="14871" max="14871" width="19" style="89" customWidth="1"/>
    <col min="14872" max="14872" width="19.85546875" style="89" customWidth="1"/>
    <col min="14873" max="14873" width="18.5703125" style="89" customWidth="1"/>
    <col min="14874" max="14874" width="19.7109375" style="89" customWidth="1"/>
    <col min="14875" max="14875" width="14.85546875" style="89" customWidth="1"/>
    <col min="14876" max="14876" width="16.85546875" style="89" customWidth="1"/>
    <col min="14877" max="14879" width="11.42578125" style="89" customWidth="1"/>
    <col min="14880" max="14880" width="18.140625" style="89" customWidth="1"/>
    <col min="14881" max="14881" width="11.42578125" style="89" customWidth="1"/>
    <col min="14882" max="14882" width="12.5703125" style="89" customWidth="1"/>
    <col min="14883" max="14883" width="25" style="89" customWidth="1"/>
    <col min="14884" max="14884" width="16.5703125" style="89" bestFit="1" customWidth="1"/>
    <col min="14885" max="14885" width="24" style="89" customWidth="1"/>
    <col min="14886" max="14886" width="11.42578125" style="89" customWidth="1"/>
    <col min="14887" max="14887" width="20" style="89" customWidth="1"/>
    <col min="14888" max="14888" width="11.42578125" style="89" customWidth="1"/>
    <col min="14889" max="14889" width="19" style="89" customWidth="1"/>
    <col min="14890" max="14893" width="11.42578125" style="89" customWidth="1"/>
    <col min="14894" max="14894" width="15.140625" style="89" customWidth="1"/>
    <col min="14895" max="14895" width="14" style="89" customWidth="1"/>
    <col min="14896" max="14896" width="15.140625" style="89" customWidth="1"/>
    <col min="14897" max="14897" width="11.42578125" style="89" customWidth="1"/>
    <col min="14898" max="14898" width="51.7109375" style="89" customWidth="1"/>
    <col min="14899" max="14900" width="29.5703125" style="89" customWidth="1"/>
    <col min="14901" max="14901" width="44.42578125" style="89" customWidth="1"/>
    <col min="14902" max="14902" width="36.28515625" style="89" customWidth="1"/>
    <col min="14903" max="14903" width="27.42578125" style="89" bestFit="1" customWidth="1"/>
    <col min="14904" max="15124" width="11.42578125" style="89"/>
    <col min="15125" max="15125" width="15.5703125" style="89" bestFit="1" customWidth="1"/>
    <col min="15126" max="15126" width="33.7109375" style="89" customWidth="1"/>
    <col min="15127" max="15127" width="19" style="89" customWidth="1"/>
    <col min="15128" max="15128" width="19.85546875" style="89" customWidth="1"/>
    <col min="15129" max="15129" width="18.5703125" style="89" customWidth="1"/>
    <col min="15130" max="15130" width="19.7109375" style="89" customWidth="1"/>
    <col min="15131" max="15131" width="14.85546875" style="89" customWidth="1"/>
    <col min="15132" max="15132" width="16.85546875" style="89" customWidth="1"/>
    <col min="15133" max="15135" width="11.42578125" style="89" customWidth="1"/>
    <col min="15136" max="15136" width="18.140625" style="89" customWidth="1"/>
    <col min="15137" max="15137" width="11.42578125" style="89" customWidth="1"/>
    <col min="15138" max="15138" width="12.5703125" style="89" customWidth="1"/>
    <col min="15139" max="15139" width="25" style="89" customWidth="1"/>
    <col min="15140" max="15140" width="16.5703125" style="89" bestFit="1" customWidth="1"/>
    <col min="15141" max="15141" width="24" style="89" customWidth="1"/>
    <col min="15142" max="15142" width="11.42578125" style="89" customWidth="1"/>
    <col min="15143" max="15143" width="20" style="89" customWidth="1"/>
    <col min="15144" max="15144" width="11.42578125" style="89" customWidth="1"/>
    <col min="15145" max="15145" width="19" style="89" customWidth="1"/>
    <col min="15146" max="15149" width="11.42578125" style="89" customWidth="1"/>
    <col min="15150" max="15150" width="15.140625" style="89" customWidth="1"/>
    <col min="15151" max="15151" width="14" style="89" customWidth="1"/>
    <col min="15152" max="15152" width="15.140625" style="89" customWidth="1"/>
    <col min="15153" max="15153" width="11.42578125" style="89" customWidth="1"/>
    <col min="15154" max="15154" width="51.7109375" style="89" customWidth="1"/>
    <col min="15155" max="15156" width="29.5703125" style="89" customWidth="1"/>
    <col min="15157" max="15157" width="44.42578125" style="89" customWidth="1"/>
    <col min="15158" max="15158" width="36.28515625" style="89" customWidth="1"/>
    <col min="15159" max="15159" width="27.42578125" style="89" bestFit="1" customWidth="1"/>
    <col min="15160" max="15380" width="11.42578125" style="89"/>
    <col min="15381" max="15381" width="15.5703125" style="89" bestFit="1" customWidth="1"/>
    <col min="15382" max="15382" width="33.7109375" style="89" customWidth="1"/>
    <col min="15383" max="15383" width="19" style="89" customWidth="1"/>
    <col min="15384" max="15384" width="19.85546875" style="89" customWidth="1"/>
    <col min="15385" max="15385" width="18.5703125" style="89" customWidth="1"/>
    <col min="15386" max="15386" width="19.7109375" style="89" customWidth="1"/>
    <col min="15387" max="15387" width="14.85546875" style="89" customWidth="1"/>
    <col min="15388" max="15388" width="16.85546875" style="89" customWidth="1"/>
    <col min="15389" max="15391" width="11.42578125" style="89" customWidth="1"/>
    <col min="15392" max="15392" width="18.140625" style="89" customWidth="1"/>
    <col min="15393" max="15393" width="11.42578125" style="89" customWidth="1"/>
    <col min="15394" max="15394" width="12.5703125" style="89" customWidth="1"/>
    <col min="15395" max="15395" width="25" style="89" customWidth="1"/>
    <col min="15396" max="15396" width="16.5703125" style="89" bestFit="1" customWidth="1"/>
    <col min="15397" max="15397" width="24" style="89" customWidth="1"/>
    <col min="15398" max="15398" width="11.42578125" style="89" customWidth="1"/>
    <col min="15399" max="15399" width="20" style="89" customWidth="1"/>
    <col min="15400" max="15400" width="11.42578125" style="89" customWidth="1"/>
    <col min="15401" max="15401" width="19" style="89" customWidth="1"/>
    <col min="15402" max="15405" width="11.42578125" style="89" customWidth="1"/>
    <col min="15406" max="15406" width="15.140625" style="89" customWidth="1"/>
    <col min="15407" max="15407" width="14" style="89" customWidth="1"/>
    <col min="15408" max="15408" width="15.140625" style="89" customWidth="1"/>
    <col min="15409" max="15409" width="11.42578125" style="89" customWidth="1"/>
    <col min="15410" max="15410" width="51.7109375" style="89" customWidth="1"/>
    <col min="15411" max="15412" width="29.5703125" style="89" customWidth="1"/>
    <col min="15413" max="15413" width="44.42578125" style="89" customWidth="1"/>
    <col min="15414" max="15414" width="36.28515625" style="89" customWidth="1"/>
    <col min="15415" max="15415" width="27.42578125" style="89" bestFit="1" customWidth="1"/>
    <col min="15416" max="15636" width="11.42578125" style="89"/>
    <col min="15637" max="15637" width="15.5703125" style="89" bestFit="1" customWidth="1"/>
    <col min="15638" max="15638" width="33.7109375" style="89" customWidth="1"/>
    <col min="15639" max="15639" width="19" style="89" customWidth="1"/>
    <col min="15640" max="15640" width="19.85546875" style="89" customWidth="1"/>
    <col min="15641" max="15641" width="18.5703125" style="89" customWidth="1"/>
    <col min="15642" max="15642" width="19.7109375" style="89" customWidth="1"/>
    <col min="15643" max="15643" width="14.85546875" style="89" customWidth="1"/>
    <col min="15644" max="15644" width="16.85546875" style="89" customWidth="1"/>
    <col min="15645" max="15647" width="11.42578125" style="89" customWidth="1"/>
    <col min="15648" max="15648" width="18.140625" style="89" customWidth="1"/>
    <col min="15649" max="15649" width="11.42578125" style="89" customWidth="1"/>
    <col min="15650" max="15650" width="12.5703125" style="89" customWidth="1"/>
    <col min="15651" max="15651" width="25" style="89" customWidth="1"/>
    <col min="15652" max="15652" width="16.5703125" style="89" bestFit="1" customWidth="1"/>
    <col min="15653" max="15653" width="24" style="89" customWidth="1"/>
    <col min="15654" max="15654" width="11.42578125" style="89" customWidth="1"/>
    <col min="15655" max="15655" width="20" style="89" customWidth="1"/>
    <col min="15656" max="15656" width="11.42578125" style="89" customWidth="1"/>
    <col min="15657" max="15657" width="19" style="89" customWidth="1"/>
    <col min="15658" max="15661" width="11.42578125" style="89" customWidth="1"/>
    <col min="15662" max="15662" width="15.140625" style="89" customWidth="1"/>
    <col min="15663" max="15663" width="14" style="89" customWidth="1"/>
    <col min="15664" max="15664" width="15.140625" style="89" customWidth="1"/>
    <col min="15665" max="15665" width="11.42578125" style="89" customWidth="1"/>
    <col min="15666" max="15666" width="51.7109375" style="89" customWidth="1"/>
    <col min="15667" max="15668" width="29.5703125" style="89" customWidth="1"/>
    <col min="15669" max="15669" width="44.42578125" style="89" customWidth="1"/>
    <col min="15670" max="15670" width="36.28515625" style="89" customWidth="1"/>
    <col min="15671" max="15671" width="27.42578125" style="89" bestFit="1" customWidth="1"/>
    <col min="15672" max="15892" width="11.42578125" style="89"/>
    <col min="15893" max="15893" width="15.5703125" style="89" bestFit="1" customWidth="1"/>
    <col min="15894" max="15894" width="33.7109375" style="89" customWidth="1"/>
    <col min="15895" max="15895" width="19" style="89" customWidth="1"/>
    <col min="15896" max="15896" width="19.85546875" style="89" customWidth="1"/>
    <col min="15897" max="15897" width="18.5703125" style="89" customWidth="1"/>
    <col min="15898" max="15898" width="19.7109375" style="89" customWidth="1"/>
    <col min="15899" max="15899" width="14.85546875" style="89" customWidth="1"/>
    <col min="15900" max="15900" width="16.85546875" style="89" customWidth="1"/>
    <col min="15901" max="15903" width="11.42578125" style="89" customWidth="1"/>
    <col min="15904" max="15904" width="18.140625" style="89" customWidth="1"/>
    <col min="15905" max="15905" width="11.42578125" style="89" customWidth="1"/>
    <col min="15906" max="15906" width="12.5703125" style="89" customWidth="1"/>
    <col min="15907" max="15907" width="25" style="89" customWidth="1"/>
    <col min="15908" max="15908" width="16.5703125" style="89" bestFit="1" customWidth="1"/>
    <col min="15909" max="15909" width="24" style="89" customWidth="1"/>
    <col min="15910" max="15910" width="11.42578125" style="89" customWidth="1"/>
    <col min="15911" max="15911" width="20" style="89" customWidth="1"/>
    <col min="15912" max="15912" width="11.42578125" style="89" customWidth="1"/>
    <col min="15913" max="15913" width="19" style="89" customWidth="1"/>
    <col min="15914" max="15917" width="11.42578125" style="89" customWidth="1"/>
    <col min="15918" max="15918" width="15.140625" style="89" customWidth="1"/>
    <col min="15919" max="15919" width="14" style="89" customWidth="1"/>
    <col min="15920" max="15920" width="15.140625" style="89" customWidth="1"/>
    <col min="15921" max="15921" width="11.42578125" style="89" customWidth="1"/>
    <col min="15922" max="15922" width="51.7109375" style="89" customWidth="1"/>
    <col min="15923" max="15924" width="29.5703125" style="89" customWidth="1"/>
    <col min="15925" max="15925" width="44.42578125" style="89" customWidth="1"/>
    <col min="15926" max="15926" width="36.28515625" style="89" customWidth="1"/>
    <col min="15927" max="15927" width="27.42578125" style="89" bestFit="1" customWidth="1"/>
    <col min="15928" max="16148" width="11.42578125" style="89"/>
    <col min="16149" max="16149" width="15.5703125" style="89" bestFit="1" customWidth="1"/>
    <col min="16150" max="16150" width="33.7109375" style="89" customWidth="1"/>
    <col min="16151" max="16151" width="19" style="89" customWidth="1"/>
    <col min="16152" max="16152" width="19.85546875" style="89" customWidth="1"/>
    <col min="16153" max="16153" width="18.5703125" style="89" customWidth="1"/>
    <col min="16154" max="16154" width="19.7109375" style="89" customWidth="1"/>
    <col min="16155" max="16155" width="14.85546875" style="89" customWidth="1"/>
    <col min="16156" max="16156" width="16.85546875" style="89" customWidth="1"/>
    <col min="16157" max="16159" width="11.42578125" style="89" customWidth="1"/>
    <col min="16160" max="16160" width="18.140625" style="89" customWidth="1"/>
    <col min="16161" max="16161" width="11.42578125" style="89" customWidth="1"/>
    <col min="16162" max="16162" width="12.5703125" style="89" customWidth="1"/>
    <col min="16163" max="16163" width="25" style="89" customWidth="1"/>
    <col min="16164" max="16164" width="16.5703125" style="89" bestFit="1" customWidth="1"/>
    <col min="16165" max="16165" width="24" style="89" customWidth="1"/>
    <col min="16166" max="16166" width="11.42578125" style="89" customWidth="1"/>
    <col min="16167" max="16167" width="20" style="89" customWidth="1"/>
    <col min="16168" max="16168" width="11.42578125" style="89" customWidth="1"/>
    <col min="16169" max="16169" width="19" style="89" customWidth="1"/>
    <col min="16170" max="16173" width="11.42578125" style="89" customWidth="1"/>
    <col min="16174" max="16174" width="15.140625" style="89" customWidth="1"/>
    <col min="16175" max="16175" width="14" style="89" customWidth="1"/>
    <col min="16176" max="16176" width="15.140625" style="89" customWidth="1"/>
    <col min="16177" max="16177" width="11.42578125" style="89" customWidth="1"/>
    <col min="16178" max="16178" width="51.7109375" style="89" customWidth="1"/>
    <col min="16179" max="16180" width="29.5703125" style="89" customWidth="1"/>
    <col min="16181" max="16181" width="44.42578125" style="89" customWidth="1"/>
    <col min="16182" max="16182" width="36.28515625" style="89" customWidth="1"/>
    <col min="16183" max="16183" width="27.42578125" style="89" bestFit="1" customWidth="1"/>
    <col min="16184" max="16384" width="11.42578125" style="89"/>
  </cols>
  <sheetData>
    <row r="1" spans="1:76" s="90" customFormat="1" ht="34.5" customHeight="1" x14ac:dyDescent="0.6">
      <c r="AD1" s="238"/>
      <c r="AH1" s="238"/>
      <c r="AI1" s="238"/>
      <c r="AJ1" s="238"/>
      <c r="AR1" s="238"/>
      <c r="BL1" s="242" t="s">
        <v>218</v>
      </c>
      <c r="BM1" s="243"/>
      <c r="BN1" s="243"/>
      <c r="BO1" s="243"/>
      <c r="BP1" s="243"/>
      <c r="BQ1" s="243"/>
      <c r="BR1" s="243"/>
      <c r="BS1" s="243"/>
      <c r="BT1" s="243"/>
      <c r="BU1" s="243"/>
    </row>
    <row r="2" spans="1:76" ht="76.5" x14ac:dyDescent="0.25">
      <c r="A2" s="233" t="s">
        <v>176</v>
      </c>
      <c r="B2" s="234" t="s">
        <v>89</v>
      </c>
      <c r="C2" s="235" t="s">
        <v>90</v>
      </c>
      <c r="D2" s="235" t="s">
        <v>91</v>
      </c>
      <c r="E2" s="235" t="s">
        <v>92</v>
      </c>
      <c r="F2" s="236" t="s">
        <v>93</v>
      </c>
      <c r="G2" s="236" t="s">
        <v>94</v>
      </c>
      <c r="H2" s="236" t="s">
        <v>206</v>
      </c>
      <c r="I2" s="229" t="s">
        <v>95</v>
      </c>
      <c r="J2" s="226" t="s">
        <v>96</v>
      </c>
      <c r="K2" s="230" t="s">
        <v>97</v>
      </c>
      <c r="L2" s="226" t="s">
        <v>98</v>
      </c>
      <c r="M2" s="231" t="s">
        <v>99</v>
      </c>
      <c r="N2" s="231" t="s">
        <v>100</v>
      </c>
      <c r="O2" s="231" t="s">
        <v>101</v>
      </c>
      <c r="P2" s="226" t="s">
        <v>102</v>
      </c>
      <c r="Q2" s="226" t="s">
        <v>103</v>
      </c>
      <c r="R2" s="231" t="s">
        <v>145</v>
      </c>
      <c r="S2" s="237" t="s">
        <v>157</v>
      </c>
      <c r="T2" s="237" t="s">
        <v>158</v>
      </c>
      <c r="U2" s="237" t="s">
        <v>159</v>
      </c>
      <c r="V2" s="237" t="s">
        <v>160</v>
      </c>
      <c r="W2" s="237" t="s">
        <v>161</v>
      </c>
      <c r="X2" s="237" t="s">
        <v>211</v>
      </c>
      <c r="Y2" s="237" t="s">
        <v>212</v>
      </c>
      <c r="Z2" s="237" t="s">
        <v>213</v>
      </c>
      <c r="AA2" s="237" t="s">
        <v>162</v>
      </c>
      <c r="AB2" s="237" t="s">
        <v>163</v>
      </c>
      <c r="AC2" s="237" t="s">
        <v>164</v>
      </c>
      <c r="AD2" s="237" t="s">
        <v>165</v>
      </c>
      <c r="AE2" s="237" t="s">
        <v>166</v>
      </c>
      <c r="AF2" s="237" t="s">
        <v>167</v>
      </c>
      <c r="AG2" s="237" t="s">
        <v>178</v>
      </c>
      <c r="AH2" s="237" t="s">
        <v>179</v>
      </c>
      <c r="AI2" s="237" t="s">
        <v>104</v>
      </c>
      <c r="AJ2" s="237" t="s">
        <v>150</v>
      </c>
      <c r="AK2" s="237" t="s">
        <v>207</v>
      </c>
      <c r="AL2" s="237" t="s">
        <v>184</v>
      </c>
      <c r="AM2" s="231" t="s">
        <v>185</v>
      </c>
      <c r="AN2" s="231" t="s">
        <v>168</v>
      </c>
      <c r="AO2" s="231" t="s">
        <v>169</v>
      </c>
      <c r="AP2" s="237" t="s">
        <v>172</v>
      </c>
      <c r="AQ2" s="237" t="s">
        <v>173</v>
      </c>
      <c r="AR2" s="237" t="s">
        <v>181</v>
      </c>
      <c r="AS2" s="237" t="s">
        <v>180</v>
      </c>
      <c r="AT2" s="237" t="s">
        <v>170</v>
      </c>
      <c r="AU2" s="237" t="s">
        <v>171</v>
      </c>
      <c r="AV2" s="237" t="s">
        <v>182</v>
      </c>
      <c r="AW2" s="237" t="s">
        <v>183</v>
      </c>
      <c r="AX2" s="232" t="s">
        <v>105</v>
      </c>
      <c r="AY2" s="232" t="s">
        <v>106</v>
      </c>
      <c r="AZ2" s="226" t="s">
        <v>107</v>
      </c>
      <c r="BA2" s="232" t="s">
        <v>65</v>
      </c>
      <c r="BB2" s="226" t="s">
        <v>108</v>
      </c>
      <c r="BC2" s="226" t="s">
        <v>146</v>
      </c>
      <c r="BD2" s="226" t="s">
        <v>220</v>
      </c>
      <c r="BE2" s="227" t="s">
        <v>186</v>
      </c>
      <c r="BF2" s="227" t="s">
        <v>187</v>
      </c>
      <c r="BG2" s="227" t="s">
        <v>188</v>
      </c>
      <c r="BH2" s="228" t="s">
        <v>216</v>
      </c>
      <c r="BI2" s="228" t="s">
        <v>217</v>
      </c>
      <c r="BK2" s="239" t="s">
        <v>219</v>
      </c>
      <c r="BL2" s="239" t="s">
        <v>219</v>
      </c>
      <c r="BM2" s="239" t="s">
        <v>219</v>
      </c>
      <c r="BN2" s="239" t="s">
        <v>219</v>
      </c>
      <c r="BO2" s="239" t="s">
        <v>219</v>
      </c>
      <c r="BP2" s="239" t="s">
        <v>219</v>
      </c>
      <c r="BQ2" s="239" t="s">
        <v>219</v>
      </c>
      <c r="BR2" s="239" t="s">
        <v>219</v>
      </c>
      <c r="BS2" s="239" t="s">
        <v>219</v>
      </c>
      <c r="BT2" s="239" t="s">
        <v>219</v>
      </c>
      <c r="BU2" s="239" t="s">
        <v>219</v>
      </c>
      <c r="BV2" s="239" t="s">
        <v>219</v>
      </c>
      <c r="BW2" s="239" t="s">
        <v>219</v>
      </c>
      <c r="BX2" s="239" t="s">
        <v>219</v>
      </c>
    </row>
    <row r="3" spans="1:76" x14ac:dyDescent="0.25">
      <c r="A3" s="169" t="s">
        <v>138</v>
      </c>
      <c r="B3" s="170">
        <v>860069</v>
      </c>
      <c r="C3" s="165" t="s">
        <v>198</v>
      </c>
      <c r="D3" s="171" t="s">
        <v>109</v>
      </c>
      <c r="E3" s="189">
        <v>43830</v>
      </c>
      <c r="F3" s="188" t="s">
        <v>115</v>
      </c>
      <c r="G3" s="189" t="s">
        <v>114</v>
      </c>
      <c r="H3" s="189" t="s">
        <v>208</v>
      </c>
      <c r="I3" s="189">
        <v>43899</v>
      </c>
      <c r="J3" s="189">
        <v>43937</v>
      </c>
      <c r="K3" s="190">
        <f>IF(I3="","",MONTH(I3))</f>
        <v>3</v>
      </c>
      <c r="L3" s="190">
        <f>IF(I3="","",DAYS360(E3,I3))</f>
        <v>69</v>
      </c>
      <c r="M3" s="188"/>
      <c r="N3" s="188"/>
      <c r="O3" s="188"/>
      <c r="P3" s="188"/>
      <c r="Q3" s="188"/>
      <c r="R3" s="188"/>
      <c r="S3" s="213">
        <v>100</v>
      </c>
      <c r="T3" s="207">
        <v>50</v>
      </c>
      <c r="U3" s="219"/>
      <c r="V3" s="213">
        <v>200</v>
      </c>
      <c r="W3" s="219">
        <v>200</v>
      </c>
      <c r="X3" s="219">
        <v>300</v>
      </c>
      <c r="Y3" s="219">
        <v>20</v>
      </c>
      <c r="Z3" s="219"/>
      <c r="AA3" s="219">
        <v>200</v>
      </c>
      <c r="AB3" s="219">
        <v>100</v>
      </c>
      <c r="AC3" s="219">
        <v>2000</v>
      </c>
      <c r="AD3" s="219">
        <v>200</v>
      </c>
      <c r="AE3" s="219">
        <v>600</v>
      </c>
      <c r="AF3" s="219">
        <v>500</v>
      </c>
      <c r="AG3" s="219">
        <v>4470</v>
      </c>
      <c r="AH3" s="225">
        <f>SUM(PORTEFEUILLE_DELPHINE[[#This Row],[PCR COMPTABLE €]:[MONTANT
RESPONSABLE RELATION CLIENT €]])-PORTEFEUILLE_DELPHINE[[#This Row],[MONTANT TOTAL LETTRE DE MISION €]]</f>
        <v>0</v>
      </c>
      <c r="AI3" s="191" t="s">
        <v>152</v>
      </c>
      <c r="AJ3" s="188" t="s">
        <v>155</v>
      </c>
      <c r="AK3" s="188" t="s">
        <v>153</v>
      </c>
      <c r="AL3" s="188" t="s">
        <v>199</v>
      </c>
      <c r="AM3" s="188" t="s">
        <v>200</v>
      </c>
      <c r="AN3" s="188">
        <v>36</v>
      </c>
      <c r="AO3" s="188">
        <v>16</v>
      </c>
      <c r="AP3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Q3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400</v>
      </c>
      <c r="AR3" s="188" t="str">
        <f>IF(PORTEFEUILLE_DELPHINE[[#This Row],[BONI AAC]]&lt;&gt;0,1,"")</f>
        <v/>
      </c>
      <c r="AS3" s="188">
        <f>IF(PORTEFEUILLE_DELPHINE[[#This Row],[MALI AAC]]&lt;&gt;0,1,"")</f>
        <v>1</v>
      </c>
      <c r="AT3" s="225">
        <f>IF(AN3&lt;&gt;"",IF((AN3*Paramètres!$H$4)-PORTEFEUILLE_DELPHINE[[#This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€]]-(DELPHINE!AN3*Paramètres!$H$4),0),0)</f>
        <v>0</v>
      </c>
      <c r="AU3" s="225">
        <f>IF(AN3&lt;&gt;"",IF(((AN3*Paramètres!$H$4)-PORTEFEUILLE_DELPHINE[[#This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€]])&gt;0,(AN3*Paramètres!$H$4)-PORTEFEUILLE_DELPHINE[[#This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V3" s="190" t="str">
        <f>IF(PORTEFEUILLE_DELPHINE[[#This Row],[BONI COMPTABLE]]&lt;&gt;0,1,"")</f>
        <v/>
      </c>
      <c r="AW3" s="190" t="str">
        <f>IF(PORTEFEUILLE_DELPHINE[[#This Row],[MALI COMPTABLE]]&lt;&gt;0,1,"")</f>
        <v/>
      </c>
      <c r="AX3" s="188">
        <v>2</v>
      </c>
      <c r="AY3" s="188" t="s">
        <v>209</v>
      </c>
      <c r="AZ3" s="188" t="s">
        <v>209</v>
      </c>
      <c r="BA3" s="188"/>
      <c r="BB3" s="188"/>
      <c r="BC3" s="188"/>
      <c r="BD3" s="188"/>
      <c r="BE3" s="192" t="s">
        <v>214</v>
      </c>
      <c r="BF3" s="192" t="s">
        <v>191</v>
      </c>
      <c r="BG3" s="192" t="s">
        <v>205</v>
      </c>
      <c r="BH3" s="193"/>
      <c r="BI3" s="192"/>
    </row>
    <row r="4" spans="1:76" x14ac:dyDescent="0.25">
      <c r="A4" s="172" t="s">
        <v>138</v>
      </c>
      <c r="B4" s="170">
        <v>860070</v>
      </c>
      <c r="C4" s="165" t="s">
        <v>210</v>
      </c>
      <c r="D4" s="171" t="s">
        <v>109</v>
      </c>
      <c r="E4" s="189">
        <v>43830</v>
      </c>
      <c r="F4" s="188" t="s">
        <v>112</v>
      </c>
      <c r="G4" s="189" t="s">
        <v>111</v>
      </c>
      <c r="H4" s="189"/>
      <c r="I4" s="189">
        <v>43873</v>
      </c>
      <c r="J4" s="189">
        <v>43938</v>
      </c>
      <c r="K4" s="190">
        <f t="shared" ref="K4:K60" si="0">IF(I4="","",MONTH(I4))</f>
        <v>2</v>
      </c>
      <c r="L4" s="190">
        <f t="shared" ref="L4:L60" si="1">IF(I4="","",DAYS360(E4,I4))</f>
        <v>42</v>
      </c>
      <c r="M4" s="188" t="s">
        <v>200</v>
      </c>
      <c r="N4" s="188"/>
      <c r="O4" s="188"/>
      <c r="P4" s="188"/>
      <c r="Q4" s="188"/>
      <c r="R4" s="188"/>
      <c r="S4" s="213">
        <v>0</v>
      </c>
      <c r="T4" s="207">
        <v>100</v>
      </c>
      <c r="U4" s="219"/>
      <c r="V4" s="219">
        <v>50</v>
      </c>
      <c r="W4" s="219">
        <v>550</v>
      </c>
      <c r="X4" s="219"/>
      <c r="Y4" s="219"/>
      <c r="Z4" s="219"/>
      <c r="AA4" s="219"/>
      <c r="AB4" s="219"/>
      <c r="AC4" s="219"/>
      <c r="AD4" s="219"/>
      <c r="AE4" s="219"/>
      <c r="AF4" s="219"/>
      <c r="AG4" s="219">
        <v>700</v>
      </c>
      <c r="AH4" s="225">
        <f>SUM(PORTEFEUILLE_DELPHINE[[#This Row],[PCR COMPTABLE €]:[MONTANT
RESPONSABLE RELATION CLIENT €]])-PORTEFEUILLE_DELPHINE[[#This Row],[MONTANT TOTAL LETTRE DE MISION €]]</f>
        <v>0</v>
      </c>
      <c r="AI4" s="191" t="s">
        <v>153</v>
      </c>
      <c r="AJ4" s="188" t="s">
        <v>154</v>
      </c>
      <c r="AK4" s="188"/>
      <c r="AL4" s="188" t="s">
        <v>199</v>
      </c>
      <c r="AM4" s="188"/>
      <c r="AN4" s="188">
        <v>30</v>
      </c>
      <c r="AO4" s="188">
        <v>20</v>
      </c>
      <c r="AP4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Q4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1000</v>
      </c>
      <c r="AR4" s="188" t="str">
        <f>IF(PORTEFEUILLE_DELPHINE[[#This Row],[BONI AAC]]&lt;&gt;0,1,"")</f>
        <v/>
      </c>
      <c r="AS4" s="188">
        <f>IF(PORTEFEUILLE_DELPHINE[[#This Row],[MALI AAC]]&lt;&gt;0,1,"")</f>
        <v>1</v>
      </c>
      <c r="AT4" s="225">
        <f>IF(AN4&lt;&gt;"",IF((AN4*Paramètres!$H$4)-PORTEFEUILLE_DELPHINE[[#This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€]]-(DELPHINE!AN4*Paramètres!$H$4),0),0)</f>
        <v>0</v>
      </c>
      <c r="AU4" s="225">
        <f>IF(AN4&lt;&gt;"",IF(((AN4*Paramètres!$H$4)-PORTEFEUILLE_DELPHINE[[#This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€]])&gt;0,(AN4*Paramètres!$H$4)-PORTEFEUILLE_DELPHINE[[#This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3000</v>
      </c>
      <c r="AV4" s="190" t="str">
        <f>IF(PORTEFEUILLE_DELPHINE[[#This Row],[BONI COMPTABLE]]&lt;&gt;0,1,"")</f>
        <v/>
      </c>
      <c r="AW4" s="190">
        <f>IF(PORTEFEUILLE_DELPHINE[[#This Row],[MALI COMPTABLE]]&lt;&gt;0,1,"")</f>
        <v>1</v>
      </c>
      <c r="AX4" s="188">
        <v>4</v>
      </c>
      <c r="AY4" s="188" t="s">
        <v>209</v>
      </c>
      <c r="AZ4" s="188" t="s">
        <v>209</v>
      </c>
      <c r="BA4" s="188"/>
      <c r="BB4" s="188"/>
      <c r="BC4" s="188"/>
      <c r="BD4" s="188"/>
      <c r="BE4" s="192" t="s">
        <v>214</v>
      </c>
      <c r="BF4" s="194" t="s">
        <v>138</v>
      </c>
      <c r="BG4" s="194" t="s">
        <v>215</v>
      </c>
      <c r="BH4" s="195"/>
      <c r="BI4" s="194"/>
    </row>
    <row r="5" spans="1:76" x14ac:dyDescent="0.25">
      <c r="A5" s="172" t="s">
        <v>138</v>
      </c>
      <c r="B5" s="170">
        <v>860071</v>
      </c>
      <c r="C5" s="165" t="s">
        <v>204</v>
      </c>
      <c r="D5" s="171" t="s">
        <v>109</v>
      </c>
      <c r="E5" s="189">
        <v>43830</v>
      </c>
      <c r="F5" s="188" t="s">
        <v>130</v>
      </c>
      <c r="G5" s="189" t="s">
        <v>114</v>
      </c>
      <c r="H5" s="189" t="s">
        <v>208</v>
      </c>
      <c r="I5" s="189"/>
      <c r="J5" s="189"/>
      <c r="K5" s="190" t="str">
        <f t="shared" si="0"/>
        <v/>
      </c>
      <c r="L5" s="190" t="str">
        <f t="shared" si="1"/>
        <v/>
      </c>
      <c r="M5" s="188"/>
      <c r="N5" s="188"/>
      <c r="O5" s="188"/>
      <c r="P5" s="188"/>
      <c r="Q5" s="188"/>
      <c r="R5" s="188"/>
      <c r="S5" s="213">
        <v>85</v>
      </c>
      <c r="T5" s="207">
        <v>85</v>
      </c>
      <c r="U5" s="219">
        <v>200</v>
      </c>
      <c r="V5" s="219">
        <v>200</v>
      </c>
      <c r="W5" s="219">
        <v>400</v>
      </c>
      <c r="X5" s="219"/>
      <c r="Y5" s="219">
        <v>400</v>
      </c>
      <c r="Z5" s="219"/>
      <c r="AA5" s="219">
        <v>600</v>
      </c>
      <c r="AB5" s="219"/>
      <c r="AC5" s="219">
        <v>1500</v>
      </c>
      <c r="AD5" s="219">
        <v>200</v>
      </c>
      <c r="AE5" s="219">
        <v>0</v>
      </c>
      <c r="AF5" s="219">
        <v>65</v>
      </c>
      <c r="AG5" s="219">
        <v>3735</v>
      </c>
      <c r="AH5" s="225">
        <f>SUM(PORTEFEUILLE_DELPHINE[[#This Row],[PCR COMPTABLE €]:[MONTANT
RESPONSABLE RELATION CLIENT €]])-PORTEFEUILLE_DELPHINE[[#This Row],[MONTANT TOTAL LETTRE DE MISION €]]</f>
        <v>0</v>
      </c>
      <c r="AI5" s="191" t="s">
        <v>153</v>
      </c>
      <c r="AJ5" s="188" t="s">
        <v>156</v>
      </c>
      <c r="AK5" s="188" t="s">
        <v>153</v>
      </c>
      <c r="AL5" s="188"/>
      <c r="AM5" s="188"/>
      <c r="AN5" s="188">
        <v>60</v>
      </c>
      <c r="AO5" s="188">
        <v>60</v>
      </c>
      <c r="AP5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Q5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2200</v>
      </c>
      <c r="AR5" s="188" t="str">
        <f>IF(PORTEFEUILLE_DELPHINE[[#This Row],[BONI AAC]]&lt;&gt;0,1,"")</f>
        <v/>
      </c>
      <c r="AS5" s="188">
        <f>IF(PORTEFEUILLE_DELPHINE[[#This Row],[MALI AAC]]&lt;&gt;0,1,"")</f>
        <v>1</v>
      </c>
      <c r="AT5" s="225">
        <f>IF(AN5&lt;&gt;"",IF((AN5*Paramètres!$H$4)-PORTEFEUILLE_DELPHINE[[#This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€]]-(DELPHINE!AN5*Paramètres!$H$4),0),0)</f>
        <v>0</v>
      </c>
      <c r="AU5" s="225">
        <f>IF(AN5&lt;&gt;"",IF(((AN5*Paramètres!$H$4)-PORTEFEUILLE_DELPHINE[[#This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€]])&gt;0,(AN5*Paramètres!$H$4)-PORTEFEUILLE_DELPHINE[[#This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4150</v>
      </c>
      <c r="AV5" s="190" t="str">
        <f>IF(PORTEFEUILLE_DELPHINE[[#This Row],[BONI COMPTABLE]]&lt;&gt;0,1,"")</f>
        <v/>
      </c>
      <c r="AW5" s="190">
        <f>IF(PORTEFEUILLE_DELPHINE[[#This Row],[MALI COMPTABLE]]&lt;&gt;0,1,"")</f>
        <v>1</v>
      </c>
      <c r="AX5" s="188"/>
      <c r="AY5" s="188"/>
      <c r="AZ5" s="188"/>
      <c r="BA5" s="188"/>
      <c r="BB5" s="188"/>
      <c r="BC5" s="188"/>
      <c r="BD5" s="188"/>
      <c r="BE5" s="192" t="s">
        <v>214</v>
      </c>
      <c r="BF5" s="194" t="s">
        <v>140</v>
      </c>
      <c r="BG5" s="194" t="s">
        <v>205</v>
      </c>
      <c r="BH5" s="195" t="s">
        <v>200</v>
      </c>
      <c r="BI5" s="194"/>
    </row>
    <row r="6" spans="1:76" x14ac:dyDescent="0.25">
      <c r="A6" s="172"/>
      <c r="B6" s="170"/>
      <c r="C6" s="165"/>
      <c r="D6" s="171"/>
      <c r="E6" s="189"/>
      <c r="F6" s="188"/>
      <c r="G6" s="189"/>
      <c r="H6" s="189"/>
      <c r="I6" s="189"/>
      <c r="J6" s="189"/>
      <c r="K6" s="190" t="str">
        <f t="shared" si="0"/>
        <v/>
      </c>
      <c r="L6" s="190" t="str">
        <f t="shared" si="1"/>
        <v/>
      </c>
      <c r="M6" s="188"/>
      <c r="N6" s="188"/>
      <c r="O6" s="188"/>
      <c r="P6" s="188"/>
      <c r="Q6" s="188"/>
      <c r="R6" s="188"/>
      <c r="S6" s="213"/>
      <c r="T6" s="207"/>
      <c r="U6" s="219"/>
      <c r="V6" s="219"/>
      <c r="W6" s="219"/>
      <c r="X6" s="219"/>
      <c r="Y6" s="219"/>
      <c r="Z6" s="219"/>
      <c r="AA6" s="219"/>
      <c r="AB6" s="219"/>
      <c r="AC6" s="219"/>
      <c r="AD6" s="219"/>
      <c r="AE6" s="219"/>
      <c r="AF6" s="219"/>
      <c r="AG6" s="219"/>
      <c r="AH6" s="225">
        <f>SUM(PORTEFEUILLE_DELPHINE[[#This Row],[PCR COMPTABLE €]:[MONTANT
RESPONSABLE RELATION CLIENT €]])-PORTEFEUILLE_DELPHINE[[#This Row],[MONTANT TOTAL LETTRE DE MISION €]]</f>
        <v>0</v>
      </c>
      <c r="AI6" s="191"/>
      <c r="AJ6" s="188"/>
      <c r="AK6" s="188"/>
      <c r="AL6" s="188"/>
      <c r="AM6" s="188"/>
      <c r="AN6" s="188"/>
      <c r="AO6" s="188"/>
      <c r="AP6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Q6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R6" s="188" t="str">
        <f>IF(PORTEFEUILLE_DELPHINE[[#This Row],[BONI AAC]]&lt;&gt;0,1,"")</f>
        <v/>
      </c>
      <c r="AS6" s="188" t="str">
        <f>IF(PORTEFEUILLE_DELPHINE[[#This Row],[MALI AAC]]&lt;&gt;0,1,"")</f>
        <v/>
      </c>
      <c r="AT6" s="225">
        <f>IF(AN6&lt;&gt;"",IF((AN6*Paramètres!$H$4)-PORTEFEUILLE_DELPHINE[[#This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€]]-(DELPHINE!AN6*Paramètres!$H$4),0),0)</f>
        <v>0</v>
      </c>
      <c r="AU6" s="225">
        <f>IF(AN6&lt;&gt;"",IF(((AN6*Paramètres!$H$4)-PORTEFEUILLE_DELPHINE[[#This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€]])&gt;0,(AN6*Paramètres!$H$4)-PORTEFEUILLE_DELPHINE[[#This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V6" s="190" t="str">
        <f>IF(PORTEFEUILLE_DELPHINE[[#This Row],[BONI COMPTABLE]]&lt;&gt;0,1,"")</f>
        <v/>
      </c>
      <c r="AW6" s="190" t="str">
        <f>IF(PORTEFEUILLE_DELPHINE[[#This Row],[MALI COMPTABLE]]&lt;&gt;0,1,"")</f>
        <v/>
      </c>
      <c r="AX6" s="188"/>
      <c r="AY6" s="188"/>
      <c r="AZ6" s="188"/>
      <c r="BA6" s="188"/>
      <c r="BB6" s="188"/>
      <c r="BC6" s="188"/>
      <c r="BD6" s="188"/>
      <c r="BE6" s="192"/>
      <c r="BF6" s="194"/>
      <c r="BG6" s="194"/>
      <c r="BH6" s="195"/>
      <c r="BI6" s="194"/>
    </row>
    <row r="7" spans="1:76" x14ac:dyDescent="0.25">
      <c r="A7" s="172"/>
      <c r="B7" s="173"/>
      <c r="C7" s="165"/>
      <c r="D7" s="171"/>
      <c r="E7" s="189"/>
      <c r="F7" s="188"/>
      <c r="G7" s="189"/>
      <c r="H7" s="189"/>
      <c r="I7" s="189"/>
      <c r="J7" s="189"/>
      <c r="K7" s="190" t="str">
        <f t="shared" si="0"/>
        <v/>
      </c>
      <c r="L7" s="190" t="str">
        <f t="shared" si="1"/>
        <v/>
      </c>
      <c r="M7" s="188"/>
      <c r="N7" s="188"/>
      <c r="O7" s="188"/>
      <c r="P7" s="188"/>
      <c r="Q7" s="188"/>
      <c r="R7" s="188"/>
      <c r="S7" s="213"/>
      <c r="T7" s="207"/>
      <c r="U7" s="219"/>
      <c r="V7" s="219"/>
      <c r="W7" s="219"/>
      <c r="X7" s="219"/>
      <c r="Y7" s="219"/>
      <c r="Z7" s="219"/>
      <c r="AA7" s="219"/>
      <c r="AB7" s="219"/>
      <c r="AC7" s="219"/>
      <c r="AD7" s="219"/>
      <c r="AE7" s="219"/>
      <c r="AF7" s="219"/>
      <c r="AG7" s="219"/>
      <c r="AH7" s="225">
        <f>SUM(PORTEFEUILLE_DELPHINE[[#This Row],[PCR COMPTABLE €]:[MONTANT
RESPONSABLE RELATION CLIENT €]])-PORTEFEUILLE_DELPHINE[[#This Row],[MONTANT TOTAL LETTRE DE MISION €]]</f>
        <v>0</v>
      </c>
      <c r="AI7" s="191"/>
      <c r="AJ7" s="188"/>
      <c r="AK7" s="188"/>
      <c r="AL7" s="188"/>
      <c r="AM7" s="188"/>
      <c r="AN7" s="188"/>
      <c r="AO7" s="188"/>
      <c r="AP7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Q7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R7" s="188" t="str">
        <f>IF(PORTEFEUILLE_DELPHINE[[#This Row],[BONI AAC]]&lt;&gt;0,1,"")</f>
        <v/>
      </c>
      <c r="AS7" s="188" t="str">
        <f>IF(PORTEFEUILLE_DELPHINE[[#This Row],[MALI AAC]]&lt;&gt;0,1,"")</f>
        <v/>
      </c>
      <c r="AT7" s="225">
        <f>IF(AN7&lt;&gt;"",IF((AN7*Paramètres!$H$4)-PORTEFEUILLE_DELPHINE[[#This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€]]-(DELPHINE!AN7*Paramètres!$H$4),0),0)</f>
        <v>0</v>
      </c>
      <c r="AU7" s="225">
        <f>IF(AN7&lt;&gt;"",IF(((AN7*Paramètres!$H$4)-PORTEFEUILLE_DELPHINE[[#This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€]])&gt;0,(AN7*Paramètres!$H$4)-PORTEFEUILLE_DELPHINE[[#This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V7" s="190" t="str">
        <f>IF(PORTEFEUILLE_DELPHINE[[#This Row],[BONI COMPTABLE]]&lt;&gt;0,1,"")</f>
        <v/>
      </c>
      <c r="AW7" s="190" t="str">
        <f>IF(PORTEFEUILLE_DELPHINE[[#This Row],[MALI COMPTABLE]]&lt;&gt;0,1,"")</f>
        <v/>
      </c>
      <c r="AX7" s="188"/>
      <c r="AY7" s="188"/>
      <c r="AZ7" s="188"/>
      <c r="BA7" s="188"/>
      <c r="BB7" s="196"/>
      <c r="BC7" s="196"/>
      <c r="BD7" s="196"/>
      <c r="BE7" s="192"/>
      <c r="BF7" s="194"/>
      <c r="BG7" s="194"/>
      <c r="BH7" s="195"/>
      <c r="BI7" s="194"/>
    </row>
    <row r="8" spans="1:76" x14ac:dyDescent="0.25">
      <c r="A8" s="172"/>
      <c r="B8" s="170"/>
      <c r="C8" s="165"/>
      <c r="D8" s="171"/>
      <c r="E8" s="189"/>
      <c r="F8" s="188"/>
      <c r="G8" s="189"/>
      <c r="H8" s="189"/>
      <c r="I8" s="189"/>
      <c r="J8" s="189"/>
      <c r="K8" s="190" t="str">
        <f t="shared" si="0"/>
        <v/>
      </c>
      <c r="L8" s="190" t="str">
        <f t="shared" si="1"/>
        <v/>
      </c>
      <c r="M8" s="188"/>
      <c r="N8" s="188"/>
      <c r="O8" s="188"/>
      <c r="P8" s="188"/>
      <c r="Q8" s="188"/>
      <c r="R8" s="188"/>
      <c r="S8" s="213"/>
      <c r="T8" s="207"/>
      <c r="U8" s="219"/>
      <c r="V8" s="219"/>
      <c r="W8" s="219"/>
      <c r="X8" s="219"/>
      <c r="Y8" s="219"/>
      <c r="Z8" s="219"/>
      <c r="AA8" s="219"/>
      <c r="AB8" s="219"/>
      <c r="AC8" s="219"/>
      <c r="AD8" s="219"/>
      <c r="AE8" s="219"/>
      <c r="AF8" s="219"/>
      <c r="AG8" s="219"/>
      <c r="AH8" s="225">
        <f>SUM(PORTEFEUILLE_DELPHINE[[#This Row],[PCR COMPTABLE €]:[MONTANT
RESPONSABLE RELATION CLIENT €]])-PORTEFEUILLE_DELPHINE[[#This Row],[MONTANT TOTAL LETTRE DE MISION €]]</f>
        <v>0</v>
      </c>
      <c r="AI8" s="191"/>
      <c r="AJ8" s="188"/>
      <c r="AK8" s="188"/>
      <c r="AL8" s="188"/>
      <c r="AM8" s="188"/>
      <c r="AN8" s="188"/>
      <c r="AO8" s="188"/>
      <c r="AP8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Q8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R8" s="188" t="str">
        <f>IF(PORTEFEUILLE_DELPHINE[[#This Row],[BONI AAC]]&lt;&gt;0,1,"")</f>
        <v/>
      </c>
      <c r="AS8" s="188" t="str">
        <f>IF(PORTEFEUILLE_DELPHINE[[#This Row],[MALI AAC]]&lt;&gt;0,1,"")</f>
        <v/>
      </c>
      <c r="AT8" s="225">
        <f>IF(AN8&lt;&gt;"",IF((AN8*Paramètres!$H$4)-PORTEFEUILLE_DELPHINE[[#This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€]]-(DELPHINE!AN8*Paramètres!$H$4),0),0)</f>
        <v>0</v>
      </c>
      <c r="AU8" s="225">
        <f>IF(AN8&lt;&gt;"",IF(((AN8*Paramètres!$H$4)-PORTEFEUILLE_DELPHINE[[#This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€]])&gt;0,(AN8*Paramètres!$H$4)-PORTEFEUILLE_DELPHINE[[#This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V8" s="190" t="str">
        <f>IF(PORTEFEUILLE_DELPHINE[[#This Row],[BONI COMPTABLE]]&lt;&gt;0,1,"")</f>
        <v/>
      </c>
      <c r="AW8" s="190" t="str">
        <f>IF(PORTEFEUILLE_DELPHINE[[#This Row],[MALI COMPTABLE]]&lt;&gt;0,1,"")</f>
        <v/>
      </c>
      <c r="AX8" s="188"/>
      <c r="AY8" s="188"/>
      <c r="AZ8" s="188"/>
      <c r="BA8" s="188"/>
      <c r="BB8" s="188"/>
      <c r="BC8" s="188"/>
      <c r="BD8" s="188"/>
      <c r="BE8" s="192"/>
      <c r="BF8" s="194"/>
      <c r="BG8" s="194"/>
      <c r="BH8" s="195"/>
      <c r="BI8" s="194"/>
    </row>
    <row r="9" spans="1:76" x14ac:dyDescent="0.25">
      <c r="A9" s="172"/>
      <c r="B9" s="170"/>
      <c r="C9" s="165"/>
      <c r="D9" s="171"/>
      <c r="E9" s="189"/>
      <c r="F9" s="188"/>
      <c r="G9" s="188"/>
      <c r="H9" s="189"/>
      <c r="I9" s="189"/>
      <c r="J9" s="189"/>
      <c r="K9" s="190" t="str">
        <f t="shared" si="0"/>
        <v/>
      </c>
      <c r="L9" s="190" t="str">
        <f t="shared" si="1"/>
        <v/>
      </c>
      <c r="M9" s="188"/>
      <c r="N9" s="188"/>
      <c r="O9" s="188"/>
      <c r="P9" s="188"/>
      <c r="Q9" s="188"/>
      <c r="R9" s="188"/>
      <c r="S9" s="214"/>
      <c r="T9" s="208"/>
      <c r="U9" s="220"/>
      <c r="V9" s="220"/>
      <c r="W9" s="220"/>
      <c r="X9" s="220"/>
      <c r="Y9" s="220"/>
      <c r="Z9" s="220"/>
      <c r="AA9" s="220"/>
      <c r="AB9" s="220"/>
      <c r="AC9" s="220"/>
      <c r="AD9" s="220"/>
      <c r="AE9" s="220"/>
      <c r="AF9" s="220"/>
      <c r="AG9" s="219"/>
      <c r="AH9" s="225">
        <f>SUM(PORTEFEUILLE_DELPHINE[[#This Row],[PCR COMPTABLE €]:[MONTANT
RESPONSABLE RELATION CLIENT €]])-PORTEFEUILLE_DELPHINE[[#This Row],[MONTANT TOTAL LETTRE DE MISION €]]</f>
        <v>0</v>
      </c>
      <c r="AI9" s="191"/>
      <c r="AJ9" s="188"/>
      <c r="AK9" s="188"/>
      <c r="AL9" s="196"/>
      <c r="AM9" s="196"/>
      <c r="AN9" s="196"/>
      <c r="AO9" s="196"/>
      <c r="AP9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Q9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R9" s="188" t="str">
        <f>IF(PORTEFEUILLE_DELPHINE[[#This Row],[BONI AAC]]&lt;&gt;0,1,"")</f>
        <v/>
      </c>
      <c r="AS9" s="188" t="str">
        <f>IF(PORTEFEUILLE_DELPHINE[[#This Row],[MALI AAC]]&lt;&gt;0,1,"")</f>
        <v/>
      </c>
      <c r="AT9" s="225">
        <f>IF(AN9&lt;&gt;"",IF((AN9*Paramètres!$H$4)-PORTEFEUILLE_DELPHINE[[#This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€]]-(DELPHINE!AN9*Paramètres!$H$4),0),0)</f>
        <v>0</v>
      </c>
      <c r="AU9" s="225">
        <f>IF(AN9&lt;&gt;"",IF(((AN9*Paramètres!$H$4)-PORTEFEUILLE_DELPHINE[[#This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€]])&gt;0,(AN9*Paramètres!$H$4)-PORTEFEUILLE_DELPHINE[[#This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V9" s="190" t="str">
        <f>IF(PORTEFEUILLE_DELPHINE[[#This Row],[BONI COMPTABLE]]&lt;&gt;0,1,"")</f>
        <v/>
      </c>
      <c r="AW9" s="190" t="str">
        <f>IF(PORTEFEUILLE_DELPHINE[[#This Row],[MALI COMPTABLE]]&lt;&gt;0,1,"")</f>
        <v/>
      </c>
      <c r="AX9" s="196"/>
      <c r="AY9" s="188"/>
      <c r="AZ9" s="188"/>
      <c r="BA9" s="188"/>
      <c r="BB9" s="188"/>
      <c r="BC9" s="188"/>
      <c r="BD9" s="188"/>
      <c r="BE9" s="192"/>
      <c r="BF9" s="194"/>
      <c r="BG9" s="194"/>
      <c r="BH9" s="195"/>
      <c r="BI9" s="194"/>
    </row>
    <row r="10" spans="1:76" x14ac:dyDescent="0.25">
      <c r="A10" s="172"/>
      <c r="B10" s="170"/>
      <c r="C10" s="165"/>
      <c r="D10" s="171"/>
      <c r="E10" s="189"/>
      <c r="F10" s="188"/>
      <c r="G10" s="189"/>
      <c r="H10" s="189"/>
      <c r="I10" s="189"/>
      <c r="J10" s="189"/>
      <c r="K10" s="190" t="str">
        <f t="shared" si="0"/>
        <v/>
      </c>
      <c r="L10" s="190" t="str">
        <f t="shared" si="1"/>
        <v/>
      </c>
      <c r="M10" s="188"/>
      <c r="N10" s="188"/>
      <c r="O10" s="188"/>
      <c r="P10" s="188"/>
      <c r="Q10" s="188"/>
      <c r="R10" s="188"/>
      <c r="S10" s="213"/>
      <c r="T10" s="207"/>
      <c r="U10" s="219"/>
      <c r="V10" s="219"/>
      <c r="W10" s="219"/>
      <c r="X10" s="219"/>
      <c r="Y10" s="219"/>
      <c r="Z10" s="219"/>
      <c r="AA10" s="219"/>
      <c r="AB10" s="219"/>
      <c r="AC10" s="219"/>
      <c r="AD10" s="219"/>
      <c r="AE10" s="219"/>
      <c r="AF10" s="219"/>
      <c r="AG10" s="219"/>
      <c r="AH10" s="225">
        <f>SUM(PORTEFEUILLE_DELPHINE[[#This Row],[PCR COMPTABLE €]:[MONTANT
RESPONSABLE RELATION CLIENT €]])-PORTEFEUILLE_DELPHINE[[#This Row],[MONTANT TOTAL LETTRE DE MISION €]]</f>
        <v>0</v>
      </c>
      <c r="AI10" s="191"/>
      <c r="AJ10" s="188"/>
      <c r="AK10" s="188"/>
      <c r="AL10" s="188"/>
      <c r="AM10" s="188"/>
      <c r="AN10" s="188"/>
      <c r="AO10" s="188"/>
      <c r="AP10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Q10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R10" s="188" t="str">
        <f>IF(PORTEFEUILLE_DELPHINE[[#This Row],[BONI AAC]]&lt;&gt;0,1,"")</f>
        <v/>
      </c>
      <c r="AS10" s="188" t="str">
        <f>IF(PORTEFEUILLE_DELPHINE[[#This Row],[MALI AAC]]&lt;&gt;0,1,"")</f>
        <v/>
      </c>
      <c r="AT10" s="225">
        <f>IF(AN10&lt;&gt;"",IF((AN10*Paramètres!$H$4)-PORTEFEUILLE_DELPHINE[[#This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€]]-(DELPHINE!AN10*Paramètres!$H$4),0),0)</f>
        <v>0</v>
      </c>
      <c r="AU10" s="225">
        <f>IF(AN10&lt;&gt;"",IF(((AN10*Paramètres!$H$4)-PORTEFEUILLE_DELPHINE[[#This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€]])&gt;0,(AN10*Paramètres!$H$4)-PORTEFEUILLE_DELPHINE[[#This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V10" s="190" t="str">
        <f>IF(PORTEFEUILLE_DELPHINE[[#This Row],[BONI COMPTABLE]]&lt;&gt;0,1,"")</f>
        <v/>
      </c>
      <c r="AW10" s="190" t="str">
        <f>IF(PORTEFEUILLE_DELPHINE[[#This Row],[MALI COMPTABLE]]&lt;&gt;0,1,"")</f>
        <v/>
      </c>
      <c r="AX10" s="188"/>
      <c r="AY10" s="188"/>
      <c r="AZ10" s="188"/>
      <c r="BA10" s="188"/>
      <c r="BB10" s="188"/>
      <c r="BC10" s="188"/>
      <c r="BD10" s="188"/>
      <c r="BE10" s="192"/>
      <c r="BF10" s="194"/>
      <c r="BG10" s="194"/>
      <c r="BH10" s="195"/>
      <c r="BI10" s="194"/>
    </row>
    <row r="11" spans="1:76" x14ac:dyDescent="0.25">
      <c r="A11" s="172"/>
      <c r="B11" s="173"/>
      <c r="C11" s="165"/>
      <c r="D11" s="171"/>
      <c r="E11" s="189"/>
      <c r="F11" s="188"/>
      <c r="G11" s="189"/>
      <c r="H11" s="189"/>
      <c r="I11" s="189"/>
      <c r="J11" s="189"/>
      <c r="K11" s="190" t="str">
        <f t="shared" si="0"/>
        <v/>
      </c>
      <c r="L11" s="190" t="str">
        <f t="shared" si="1"/>
        <v/>
      </c>
      <c r="M11" s="188"/>
      <c r="N11" s="188"/>
      <c r="O11" s="188"/>
      <c r="P11" s="188"/>
      <c r="Q11" s="188"/>
      <c r="R11" s="188"/>
      <c r="S11" s="213"/>
      <c r="T11" s="207"/>
      <c r="U11" s="219"/>
      <c r="V11" s="219"/>
      <c r="W11" s="219"/>
      <c r="X11" s="219"/>
      <c r="Y11" s="219"/>
      <c r="Z11" s="219"/>
      <c r="AA11" s="219"/>
      <c r="AB11" s="219"/>
      <c r="AC11" s="219"/>
      <c r="AD11" s="219"/>
      <c r="AE11" s="219"/>
      <c r="AF11" s="219"/>
      <c r="AG11" s="219"/>
      <c r="AH11" s="225">
        <f>SUM(PORTEFEUILLE_DELPHINE[[#This Row],[PCR COMPTABLE €]:[MONTANT
RESPONSABLE RELATION CLIENT €]])-PORTEFEUILLE_DELPHINE[[#This Row],[MONTANT TOTAL LETTRE DE MISION €]]</f>
        <v>0</v>
      </c>
      <c r="AI11" s="191"/>
      <c r="AJ11" s="188"/>
      <c r="AK11" s="188"/>
      <c r="AL11" s="188"/>
      <c r="AM11" s="188"/>
      <c r="AN11" s="188"/>
      <c r="AO11" s="188"/>
      <c r="AP11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Q11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R11" s="188" t="str">
        <f>IF(PORTEFEUILLE_DELPHINE[[#This Row],[BONI AAC]]&lt;&gt;0,1,"")</f>
        <v/>
      </c>
      <c r="AS11" s="188" t="str">
        <f>IF(PORTEFEUILLE_DELPHINE[[#This Row],[MALI AAC]]&lt;&gt;0,1,"")</f>
        <v/>
      </c>
      <c r="AT11" s="225">
        <f>IF(AN11&lt;&gt;"",IF((AN11*Paramètres!$H$4)-PORTEFEUILLE_DELPHINE[[#This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€]]-(DELPHINE!AN11*Paramètres!$H$4),0),0)</f>
        <v>0</v>
      </c>
      <c r="AU11" s="225">
        <f>IF(AN11&lt;&gt;"",IF(((AN11*Paramètres!$H$4)-PORTEFEUILLE_DELPHINE[[#This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€]])&gt;0,(AN11*Paramètres!$H$4)-PORTEFEUILLE_DELPHINE[[#This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V11" s="190" t="str">
        <f>IF(PORTEFEUILLE_DELPHINE[[#This Row],[BONI COMPTABLE]]&lt;&gt;0,1,"")</f>
        <v/>
      </c>
      <c r="AW11" s="190" t="str">
        <f>IF(PORTEFEUILLE_DELPHINE[[#This Row],[MALI COMPTABLE]]&lt;&gt;0,1,"")</f>
        <v/>
      </c>
      <c r="AX11" s="188"/>
      <c r="AY11" s="188"/>
      <c r="AZ11" s="188"/>
      <c r="BA11" s="188"/>
      <c r="BB11" s="188"/>
      <c r="BC11" s="188"/>
      <c r="BD11" s="188"/>
      <c r="BE11" s="192"/>
      <c r="BF11" s="194"/>
      <c r="BG11" s="194"/>
      <c r="BH11" s="195"/>
      <c r="BI11" s="194"/>
    </row>
    <row r="12" spans="1:76" x14ac:dyDescent="0.25">
      <c r="A12" s="172"/>
      <c r="B12" s="170"/>
      <c r="C12" s="165"/>
      <c r="D12" s="171"/>
      <c r="E12" s="189"/>
      <c r="F12" s="188"/>
      <c r="G12" s="189"/>
      <c r="H12" s="189"/>
      <c r="I12" s="189"/>
      <c r="J12" s="189"/>
      <c r="K12" s="190" t="str">
        <f t="shared" si="0"/>
        <v/>
      </c>
      <c r="L12" s="190" t="str">
        <f t="shared" si="1"/>
        <v/>
      </c>
      <c r="M12" s="188"/>
      <c r="N12" s="188"/>
      <c r="O12" s="188"/>
      <c r="P12" s="188"/>
      <c r="Q12" s="188"/>
      <c r="R12" s="188"/>
      <c r="S12" s="213"/>
      <c r="T12" s="207"/>
      <c r="U12" s="219"/>
      <c r="V12" s="219"/>
      <c r="W12" s="219"/>
      <c r="X12" s="219"/>
      <c r="Y12" s="219"/>
      <c r="Z12" s="219"/>
      <c r="AA12" s="219"/>
      <c r="AB12" s="219"/>
      <c r="AC12" s="219"/>
      <c r="AD12" s="219"/>
      <c r="AE12" s="219"/>
      <c r="AF12" s="219"/>
      <c r="AG12" s="219"/>
      <c r="AH12" s="225">
        <f>SUM(PORTEFEUILLE_DELPHINE[[#This Row],[PCR COMPTABLE €]:[MONTANT
RESPONSABLE RELATION CLIENT €]])-PORTEFEUILLE_DELPHINE[[#This Row],[MONTANT TOTAL LETTRE DE MISION €]]</f>
        <v>0</v>
      </c>
      <c r="AI12" s="191"/>
      <c r="AJ12" s="188"/>
      <c r="AK12" s="188"/>
      <c r="AL12" s="188"/>
      <c r="AM12" s="188"/>
      <c r="AN12" s="188"/>
      <c r="AO12" s="188"/>
      <c r="AP12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Q12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R12" s="188" t="str">
        <f>IF(PORTEFEUILLE_DELPHINE[[#This Row],[BONI AAC]]&lt;&gt;0,1,"")</f>
        <v/>
      </c>
      <c r="AS12" s="188" t="str">
        <f>IF(PORTEFEUILLE_DELPHINE[[#This Row],[MALI AAC]]&lt;&gt;0,1,"")</f>
        <v/>
      </c>
      <c r="AT12" s="225">
        <f>IF(AN12&lt;&gt;"",IF((AN12*Paramètres!$H$4)-PORTEFEUILLE_DELPHINE[[#This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€]]-(DELPHINE!AN12*Paramètres!$H$4),0),0)</f>
        <v>0</v>
      </c>
      <c r="AU12" s="225">
        <f>IF(AN12&lt;&gt;"",IF(((AN12*Paramètres!$H$4)-PORTEFEUILLE_DELPHINE[[#This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€]])&gt;0,(AN12*Paramètres!$H$4)-PORTEFEUILLE_DELPHINE[[#This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V12" s="190" t="str">
        <f>IF(PORTEFEUILLE_DELPHINE[[#This Row],[BONI COMPTABLE]]&lt;&gt;0,1,"")</f>
        <v/>
      </c>
      <c r="AW12" s="190" t="str">
        <f>IF(PORTEFEUILLE_DELPHINE[[#This Row],[MALI COMPTABLE]]&lt;&gt;0,1,"")</f>
        <v/>
      </c>
      <c r="AX12" s="188"/>
      <c r="AY12" s="188"/>
      <c r="AZ12" s="188"/>
      <c r="BA12" s="188"/>
      <c r="BB12" s="188"/>
      <c r="BC12" s="188"/>
      <c r="BD12" s="188"/>
      <c r="BE12" s="192"/>
      <c r="BF12" s="194"/>
      <c r="BG12" s="194"/>
      <c r="BH12" s="195"/>
      <c r="BI12" s="194"/>
    </row>
    <row r="13" spans="1:76" x14ac:dyDescent="0.25">
      <c r="A13" s="172"/>
      <c r="B13" s="170"/>
      <c r="C13" s="165"/>
      <c r="D13" s="171"/>
      <c r="E13" s="189"/>
      <c r="F13" s="188"/>
      <c r="G13" s="189"/>
      <c r="H13" s="189"/>
      <c r="I13" s="189"/>
      <c r="J13" s="189"/>
      <c r="K13" s="190" t="str">
        <f t="shared" si="0"/>
        <v/>
      </c>
      <c r="L13" s="190" t="str">
        <f t="shared" si="1"/>
        <v/>
      </c>
      <c r="M13" s="188"/>
      <c r="N13" s="188"/>
      <c r="O13" s="188"/>
      <c r="P13" s="188"/>
      <c r="Q13" s="188"/>
      <c r="R13" s="188"/>
      <c r="S13" s="213"/>
      <c r="T13" s="207"/>
      <c r="U13" s="219"/>
      <c r="V13" s="219"/>
      <c r="W13" s="219"/>
      <c r="X13" s="219"/>
      <c r="Y13" s="219"/>
      <c r="Z13" s="219"/>
      <c r="AA13" s="219"/>
      <c r="AB13" s="219"/>
      <c r="AC13" s="219"/>
      <c r="AD13" s="219"/>
      <c r="AE13" s="219"/>
      <c r="AF13" s="219"/>
      <c r="AG13" s="219"/>
      <c r="AH13" s="225">
        <f>SUM(PORTEFEUILLE_DELPHINE[[#This Row],[PCR COMPTABLE €]:[MONTANT
RESPONSABLE RELATION CLIENT €]])-PORTEFEUILLE_DELPHINE[[#This Row],[MONTANT TOTAL LETTRE DE MISION €]]</f>
        <v>0</v>
      </c>
      <c r="AI13" s="191"/>
      <c r="AJ13" s="188"/>
      <c r="AK13" s="188"/>
      <c r="AL13" s="188"/>
      <c r="AM13" s="188"/>
      <c r="AN13" s="188"/>
      <c r="AO13" s="188"/>
      <c r="AP13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Q13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R13" s="188" t="str">
        <f>IF(PORTEFEUILLE_DELPHINE[[#This Row],[BONI AAC]]&lt;&gt;0,1,"")</f>
        <v/>
      </c>
      <c r="AS13" s="188" t="str">
        <f>IF(PORTEFEUILLE_DELPHINE[[#This Row],[MALI AAC]]&lt;&gt;0,1,"")</f>
        <v/>
      </c>
      <c r="AT13" s="225">
        <f>IF(AN13&lt;&gt;"",IF((AN13*Paramètres!$H$4)-PORTEFEUILLE_DELPHINE[[#This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€]]-(DELPHINE!AN13*Paramètres!$H$4),0),0)</f>
        <v>0</v>
      </c>
      <c r="AU13" s="225">
        <f>IF(AN13&lt;&gt;"",IF(((AN13*Paramètres!$H$4)-PORTEFEUILLE_DELPHINE[[#This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€]])&gt;0,(AN13*Paramètres!$H$4)-PORTEFEUILLE_DELPHINE[[#This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V13" s="190" t="str">
        <f>IF(PORTEFEUILLE_DELPHINE[[#This Row],[BONI COMPTABLE]]&lt;&gt;0,1,"")</f>
        <v/>
      </c>
      <c r="AW13" s="190" t="str">
        <f>IF(PORTEFEUILLE_DELPHINE[[#This Row],[MALI COMPTABLE]]&lt;&gt;0,1,"")</f>
        <v/>
      </c>
      <c r="AX13" s="188"/>
      <c r="AY13" s="188"/>
      <c r="AZ13" s="188"/>
      <c r="BA13" s="188"/>
      <c r="BB13" s="188"/>
      <c r="BC13" s="188"/>
      <c r="BD13" s="188"/>
      <c r="BE13" s="192"/>
      <c r="BF13" s="194"/>
      <c r="BG13" s="194"/>
      <c r="BH13" s="195"/>
      <c r="BI13" s="194"/>
    </row>
    <row r="14" spans="1:76" x14ac:dyDescent="0.25">
      <c r="A14" s="172"/>
      <c r="B14" s="170"/>
      <c r="C14" s="165"/>
      <c r="D14" s="171"/>
      <c r="E14" s="189"/>
      <c r="F14" s="188"/>
      <c r="G14" s="189"/>
      <c r="H14" s="189"/>
      <c r="I14" s="189"/>
      <c r="J14" s="189"/>
      <c r="K14" s="190" t="str">
        <f t="shared" si="0"/>
        <v/>
      </c>
      <c r="L14" s="190" t="str">
        <f t="shared" si="1"/>
        <v/>
      </c>
      <c r="M14" s="188"/>
      <c r="N14" s="188"/>
      <c r="O14" s="188"/>
      <c r="P14" s="188"/>
      <c r="Q14" s="188"/>
      <c r="R14" s="188"/>
      <c r="S14" s="213"/>
      <c r="T14" s="207"/>
      <c r="U14" s="219"/>
      <c r="V14" s="219"/>
      <c r="W14" s="219"/>
      <c r="X14" s="219"/>
      <c r="Y14" s="219"/>
      <c r="Z14" s="219"/>
      <c r="AA14" s="219"/>
      <c r="AB14" s="219"/>
      <c r="AC14" s="219"/>
      <c r="AD14" s="219"/>
      <c r="AE14" s="219"/>
      <c r="AF14" s="219"/>
      <c r="AG14" s="219"/>
      <c r="AH14" s="225">
        <f>SUM(PORTEFEUILLE_DELPHINE[[#This Row],[PCR COMPTABLE €]:[MONTANT
RESPONSABLE RELATION CLIENT €]])-PORTEFEUILLE_DELPHINE[[#This Row],[MONTANT TOTAL LETTRE DE MISION €]]</f>
        <v>0</v>
      </c>
      <c r="AI14" s="191"/>
      <c r="AJ14" s="188"/>
      <c r="AK14" s="188"/>
      <c r="AL14" s="188"/>
      <c r="AM14" s="188"/>
      <c r="AN14" s="188"/>
      <c r="AO14" s="188"/>
      <c r="AP14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Q14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R14" s="188" t="str">
        <f>IF(PORTEFEUILLE_DELPHINE[[#This Row],[BONI AAC]]&lt;&gt;0,1,"")</f>
        <v/>
      </c>
      <c r="AS14" s="188" t="str">
        <f>IF(PORTEFEUILLE_DELPHINE[[#This Row],[MALI AAC]]&lt;&gt;0,1,"")</f>
        <v/>
      </c>
      <c r="AT14" s="225">
        <f>IF(AN14&lt;&gt;"",IF((AN14*Paramètres!$H$4)-PORTEFEUILLE_DELPHINE[[#This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€]]-(DELPHINE!AN14*Paramètres!$H$4),0),0)</f>
        <v>0</v>
      </c>
      <c r="AU14" s="225">
        <f>IF(AN14&lt;&gt;"",IF(((AN14*Paramètres!$H$4)-PORTEFEUILLE_DELPHINE[[#This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€]])&gt;0,(AN14*Paramètres!$H$4)-PORTEFEUILLE_DELPHINE[[#This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V14" s="190" t="str">
        <f>IF(PORTEFEUILLE_DELPHINE[[#This Row],[BONI COMPTABLE]]&lt;&gt;0,1,"")</f>
        <v/>
      </c>
      <c r="AW14" s="190" t="str">
        <f>IF(PORTEFEUILLE_DELPHINE[[#This Row],[MALI COMPTABLE]]&lt;&gt;0,1,"")</f>
        <v/>
      </c>
      <c r="AX14" s="188"/>
      <c r="AY14" s="188"/>
      <c r="AZ14" s="188"/>
      <c r="BA14" s="188"/>
      <c r="BB14" s="188"/>
      <c r="BC14" s="188"/>
      <c r="BD14" s="188"/>
      <c r="BE14" s="192"/>
      <c r="BF14" s="194"/>
      <c r="BG14" s="194"/>
      <c r="BH14" s="195"/>
      <c r="BI14" s="194"/>
    </row>
    <row r="15" spans="1:76" x14ac:dyDescent="0.25">
      <c r="A15" s="172"/>
      <c r="B15" s="170"/>
      <c r="C15" s="170"/>
      <c r="D15" s="171"/>
      <c r="E15" s="189"/>
      <c r="F15" s="188"/>
      <c r="G15" s="189"/>
      <c r="H15" s="189"/>
      <c r="I15" s="189"/>
      <c r="J15" s="189"/>
      <c r="K15" s="190" t="str">
        <f t="shared" si="0"/>
        <v/>
      </c>
      <c r="L15" s="190" t="str">
        <f t="shared" si="1"/>
        <v/>
      </c>
      <c r="M15" s="188"/>
      <c r="N15" s="188"/>
      <c r="O15" s="188"/>
      <c r="P15" s="188"/>
      <c r="Q15" s="188"/>
      <c r="R15" s="188"/>
      <c r="S15" s="213"/>
      <c r="T15" s="207"/>
      <c r="U15" s="219"/>
      <c r="V15" s="219"/>
      <c r="W15" s="219"/>
      <c r="X15" s="219"/>
      <c r="Y15" s="219"/>
      <c r="Z15" s="219"/>
      <c r="AA15" s="219"/>
      <c r="AB15" s="219"/>
      <c r="AC15" s="219"/>
      <c r="AD15" s="219"/>
      <c r="AE15" s="219"/>
      <c r="AF15" s="219"/>
      <c r="AG15" s="219"/>
      <c r="AH15" s="225">
        <f>SUM(PORTEFEUILLE_DELPHINE[[#This Row],[PCR COMPTABLE €]:[MONTANT
RESPONSABLE RELATION CLIENT €]])-PORTEFEUILLE_DELPHINE[[#This Row],[MONTANT TOTAL LETTRE DE MISION €]]</f>
        <v>0</v>
      </c>
      <c r="AI15" s="191"/>
      <c r="AJ15" s="188"/>
      <c r="AK15" s="188"/>
      <c r="AL15" s="188"/>
      <c r="AM15" s="188"/>
      <c r="AN15" s="188"/>
      <c r="AO15" s="188"/>
      <c r="AP15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Q15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R15" s="188" t="str">
        <f>IF(PORTEFEUILLE_DELPHINE[[#This Row],[BONI AAC]]&lt;&gt;0,1,"")</f>
        <v/>
      </c>
      <c r="AS15" s="188" t="str">
        <f>IF(PORTEFEUILLE_DELPHINE[[#This Row],[MALI AAC]]&lt;&gt;0,1,"")</f>
        <v/>
      </c>
      <c r="AT15" s="225">
        <f>IF(AN15&lt;&gt;"",IF((AN15*Paramètres!$H$4)-PORTEFEUILLE_DELPHINE[[#This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€]]-(DELPHINE!AN15*Paramètres!$H$4),0),0)</f>
        <v>0</v>
      </c>
      <c r="AU15" s="225">
        <f>IF(AN15&lt;&gt;"",IF(((AN15*Paramètres!$H$4)-PORTEFEUILLE_DELPHINE[[#This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€]])&gt;0,(AN15*Paramètres!$H$4)-PORTEFEUILLE_DELPHINE[[#This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V15" s="190" t="str">
        <f>IF(PORTEFEUILLE_DELPHINE[[#This Row],[BONI COMPTABLE]]&lt;&gt;0,1,"")</f>
        <v/>
      </c>
      <c r="AW15" s="190" t="str">
        <f>IF(PORTEFEUILLE_DELPHINE[[#This Row],[MALI COMPTABLE]]&lt;&gt;0,1,"")</f>
        <v/>
      </c>
      <c r="AX15" s="188"/>
      <c r="AY15" s="188"/>
      <c r="AZ15" s="188"/>
      <c r="BA15" s="188"/>
      <c r="BB15" s="188"/>
      <c r="BC15" s="188"/>
      <c r="BD15" s="188"/>
      <c r="BE15" s="192"/>
      <c r="BF15" s="194"/>
      <c r="BG15" s="194"/>
      <c r="BH15" s="195"/>
      <c r="BI15" s="194"/>
    </row>
    <row r="16" spans="1:76" x14ac:dyDescent="0.25">
      <c r="A16" s="172"/>
      <c r="B16" s="170"/>
      <c r="C16" s="174"/>
      <c r="D16" s="171"/>
      <c r="E16" s="189"/>
      <c r="F16" s="188"/>
      <c r="G16" s="189"/>
      <c r="H16" s="189"/>
      <c r="I16" s="189"/>
      <c r="J16" s="189"/>
      <c r="K16" s="190" t="str">
        <f t="shared" si="0"/>
        <v/>
      </c>
      <c r="L16" s="190" t="str">
        <f t="shared" si="1"/>
        <v/>
      </c>
      <c r="M16" s="188"/>
      <c r="N16" s="188"/>
      <c r="O16" s="188"/>
      <c r="P16" s="188"/>
      <c r="Q16" s="188"/>
      <c r="R16" s="188"/>
      <c r="S16" s="213"/>
      <c r="T16" s="207"/>
      <c r="U16" s="219"/>
      <c r="V16" s="219"/>
      <c r="W16" s="219"/>
      <c r="X16" s="219"/>
      <c r="Y16" s="219"/>
      <c r="Z16" s="219"/>
      <c r="AA16" s="219"/>
      <c r="AB16" s="219"/>
      <c r="AC16" s="219"/>
      <c r="AD16" s="219"/>
      <c r="AE16" s="219"/>
      <c r="AF16" s="219"/>
      <c r="AG16" s="219"/>
      <c r="AH16" s="225">
        <f>SUM(PORTEFEUILLE_DELPHINE[[#This Row],[PCR COMPTABLE €]:[MONTANT
RESPONSABLE RELATION CLIENT €]])-PORTEFEUILLE_DELPHINE[[#This Row],[MONTANT TOTAL LETTRE DE MISION €]]</f>
        <v>0</v>
      </c>
      <c r="AI16" s="191"/>
      <c r="AJ16" s="188"/>
      <c r="AK16" s="188"/>
      <c r="AL16" s="188"/>
      <c r="AM16" s="188"/>
      <c r="AN16" s="188"/>
      <c r="AO16" s="188"/>
      <c r="AP16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Q16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R16" s="188" t="str">
        <f>IF(PORTEFEUILLE_DELPHINE[[#This Row],[BONI AAC]]&lt;&gt;0,1,"")</f>
        <v/>
      </c>
      <c r="AS16" s="188" t="str">
        <f>IF(PORTEFEUILLE_DELPHINE[[#This Row],[MALI AAC]]&lt;&gt;0,1,"")</f>
        <v/>
      </c>
      <c r="AT16" s="225">
        <f>IF(AN16&lt;&gt;"",IF((AN16*Paramètres!$H$4)-PORTEFEUILLE_DELPHINE[[#This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€]]-(DELPHINE!AN16*Paramètres!$H$4),0),0)</f>
        <v>0</v>
      </c>
      <c r="AU16" s="225">
        <f>IF(AN16&lt;&gt;"",IF(((AN16*Paramètres!$H$4)-PORTEFEUILLE_DELPHINE[[#This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€]])&gt;0,(AN16*Paramètres!$H$4)-PORTEFEUILLE_DELPHINE[[#This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V16" s="190" t="str">
        <f>IF(PORTEFEUILLE_DELPHINE[[#This Row],[BONI COMPTABLE]]&lt;&gt;0,1,"")</f>
        <v/>
      </c>
      <c r="AW16" s="190" t="str">
        <f>IF(PORTEFEUILLE_DELPHINE[[#This Row],[MALI COMPTABLE]]&lt;&gt;0,1,"")</f>
        <v/>
      </c>
      <c r="AX16" s="188"/>
      <c r="AY16" s="188"/>
      <c r="AZ16" s="188"/>
      <c r="BA16" s="188"/>
      <c r="BB16" s="188"/>
      <c r="BC16" s="188"/>
      <c r="BD16" s="188"/>
      <c r="BE16" s="192"/>
      <c r="BF16" s="194"/>
      <c r="BG16" s="194"/>
      <c r="BH16" s="195"/>
      <c r="BI16" s="194"/>
    </row>
    <row r="17" spans="1:61" x14ac:dyDescent="0.25">
      <c r="A17" s="172"/>
      <c r="B17" s="170"/>
      <c r="C17" s="175"/>
      <c r="D17" s="171"/>
      <c r="E17" s="189"/>
      <c r="F17" s="188"/>
      <c r="G17" s="189"/>
      <c r="H17" s="189"/>
      <c r="I17" s="189"/>
      <c r="J17" s="189"/>
      <c r="K17" s="190" t="str">
        <f t="shared" si="0"/>
        <v/>
      </c>
      <c r="L17" s="190" t="str">
        <f t="shared" si="1"/>
        <v/>
      </c>
      <c r="M17" s="188"/>
      <c r="N17" s="188"/>
      <c r="O17" s="188"/>
      <c r="P17" s="188"/>
      <c r="Q17" s="188"/>
      <c r="R17" s="188"/>
      <c r="S17" s="213"/>
      <c r="T17" s="207"/>
      <c r="U17" s="219"/>
      <c r="V17" s="219"/>
      <c r="W17" s="219"/>
      <c r="X17" s="219"/>
      <c r="Y17" s="219"/>
      <c r="Z17" s="219"/>
      <c r="AA17" s="219"/>
      <c r="AB17" s="219"/>
      <c r="AC17" s="219"/>
      <c r="AD17" s="219"/>
      <c r="AE17" s="219"/>
      <c r="AF17" s="219"/>
      <c r="AG17" s="219"/>
      <c r="AH17" s="225">
        <f>SUM(PORTEFEUILLE_DELPHINE[[#This Row],[PCR COMPTABLE €]:[MONTANT
RESPONSABLE RELATION CLIENT €]])-PORTEFEUILLE_DELPHINE[[#This Row],[MONTANT TOTAL LETTRE DE MISION €]]</f>
        <v>0</v>
      </c>
      <c r="AI17" s="191"/>
      <c r="AJ17" s="188"/>
      <c r="AK17" s="188"/>
      <c r="AL17" s="188"/>
      <c r="AM17" s="188"/>
      <c r="AN17" s="188"/>
      <c r="AO17" s="188"/>
      <c r="AP17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Q17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R17" s="188" t="str">
        <f>IF(PORTEFEUILLE_DELPHINE[[#This Row],[BONI AAC]]&lt;&gt;0,1,"")</f>
        <v/>
      </c>
      <c r="AS17" s="188" t="str">
        <f>IF(PORTEFEUILLE_DELPHINE[[#This Row],[MALI AAC]]&lt;&gt;0,1,"")</f>
        <v/>
      </c>
      <c r="AT17" s="225">
        <f>IF(AN17&lt;&gt;"",IF((AN17*Paramètres!$H$4)-PORTEFEUILLE_DELPHINE[[#This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€]]-(DELPHINE!AN17*Paramètres!$H$4),0),0)</f>
        <v>0</v>
      </c>
      <c r="AU17" s="225">
        <f>IF(AN17&lt;&gt;"",IF(((AN17*Paramètres!$H$4)-PORTEFEUILLE_DELPHINE[[#This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€]])&gt;0,(AN17*Paramètres!$H$4)-PORTEFEUILLE_DELPHINE[[#This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V17" s="190" t="str">
        <f>IF(PORTEFEUILLE_DELPHINE[[#This Row],[BONI COMPTABLE]]&lt;&gt;0,1,"")</f>
        <v/>
      </c>
      <c r="AW17" s="190" t="str">
        <f>IF(PORTEFEUILLE_DELPHINE[[#This Row],[MALI COMPTABLE]]&lt;&gt;0,1,"")</f>
        <v/>
      </c>
      <c r="AX17" s="188"/>
      <c r="AY17" s="188"/>
      <c r="AZ17" s="188"/>
      <c r="BA17" s="188"/>
      <c r="BB17" s="188"/>
      <c r="BC17" s="188"/>
      <c r="BD17" s="188"/>
      <c r="BE17" s="192"/>
      <c r="BF17" s="194"/>
      <c r="BG17" s="194"/>
      <c r="BH17" s="195"/>
      <c r="BI17" s="194"/>
    </row>
    <row r="18" spans="1:61" customFormat="1" x14ac:dyDescent="0.25">
      <c r="A18" s="172"/>
      <c r="B18" s="170"/>
      <c r="C18" s="165"/>
      <c r="D18" s="171"/>
      <c r="E18" s="189"/>
      <c r="F18" s="188"/>
      <c r="G18" s="189"/>
      <c r="H18" s="189"/>
      <c r="I18" s="189"/>
      <c r="J18" s="189"/>
      <c r="K18" s="190" t="str">
        <f t="shared" si="0"/>
        <v/>
      </c>
      <c r="L18" s="190" t="str">
        <f t="shared" si="1"/>
        <v/>
      </c>
      <c r="M18" s="188"/>
      <c r="N18" s="188"/>
      <c r="O18" s="188"/>
      <c r="P18" s="188"/>
      <c r="Q18" s="188"/>
      <c r="R18" s="188"/>
      <c r="S18" s="213"/>
      <c r="T18" s="207"/>
      <c r="U18" s="219"/>
      <c r="V18" s="219"/>
      <c r="W18" s="219"/>
      <c r="X18" s="219"/>
      <c r="Y18" s="219"/>
      <c r="Z18" s="219"/>
      <c r="AA18" s="219"/>
      <c r="AB18" s="219"/>
      <c r="AC18" s="219"/>
      <c r="AD18" s="219"/>
      <c r="AE18" s="219"/>
      <c r="AF18" s="219"/>
      <c r="AG18" s="219"/>
      <c r="AH18" s="225">
        <f>SUM(PORTEFEUILLE_DELPHINE[[#This Row],[PCR COMPTABLE €]:[MONTANT
RESPONSABLE RELATION CLIENT €]])-PORTEFEUILLE_DELPHINE[[#This Row],[MONTANT TOTAL LETTRE DE MISION €]]</f>
        <v>0</v>
      </c>
      <c r="AI18" s="191"/>
      <c r="AJ18" s="188"/>
      <c r="AK18" s="188"/>
      <c r="AL18" s="188"/>
      <c r="AM18" s="188"/>
      <c r="AN18" s="188"/>
      <c r="AO18" s="188"/>
      <c r="AP18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Q18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R18" s="188" t="str">
        <f>IF(PORTEFEUILLE_DELPHINE[[#This Row],[BONI AAC]]&lt;&gt;0,1,"")</f>
        <v/>
      </c>
      <c r="AS18" s="188" t="str">
        <f>IF(PORTEFEUILLE_DELPHINE[[#This Row],[MALI AAC]]&lt;&gt;0,1,"")</f>
        <v/>
      </c>
      <c r="AT18" s="225">
        <f>IF(AN18&lt;&gt;"",IF((AN18*Paramètres!$H$4)-PORTEFEUILLE_DELPHINE[[#This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€]]-(DELPHINE!AN18*Paramètres!$H$4),0),0)</f>
        <v>0</v>
      </c>
      <c r="AU18" s="225">
        <f>IF(AN18&lt;&gt;"",IF(((AN18*Paramètres!$H$4)-PORTEFEUILLE_DELPHINE[[#This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€]])&gt;0,(AN18*Paramètres!$H$4)-PORTEFEUILLE_DELPHINE[[#This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V18" s="190" t="str">
        <f>IF(PORTEFEUILLE_DELPHINE[[#This Row],[BONI COMPTABLE]]&lt;&gt;0,1,"")</f>
        <v/>
      </c>
      <c r="AW18" s="190" t="str">
        <f>IF(PORTEFEUILLE_DELPHINE[[#This Row],[MALI COMPTABLE]]&lt;&gt;0,1,"")</f>
        <v/>
      </c>
      <c r="AX18" s="188"/>
      <c r="AY18" s="188"/>
      <c r="AZ18" s="188"/>
      <c r="BA18" s="188"/>
      <c r="BB18" s="188"/>
      <c r="BC18" s="188"/>
      <c r="BD18" s="188"/>
      <c r="BE18" s="192"/>
      <c r="BF18" s="194"/>
      <c r="BG18" s="194"/>
      <c r="BH18" s="195"/>
      <c r="BI18" s="194"/>
    </row>
    <row r="19" spans="1:61" x14ac:dyDescent="0.25">
      <c r="A19" s="172"/>
      <c r="B19" s="170"/>
      <c r="C19" s="165"/>
      <c r="D19" s="171"/>
      <c r="E19" s="189"/>
      <c r="F19" s="188"/>
      <c r="G19" s="189"/>
      <c r="H19" s="189"/>
      <c r="I19" s="189"/>
      <c r="J19" s="189"/>
      <c r="K19" s="190" t="str">
        <f t="shared" si="0"/>
        <v/>
      </c>
      <c r="L19" s="190" t="str">
        <f t="shared" si="1"/>
        <v/>
      </c>
      <c r="M19" s="188"/>
      <c r="N19" s="188"/>
      <c r="O19" s="188"/>
      <c r="P19" s="188"/>
      <c r="Q19" s="188"/>
      <c r="R19" s="188"/>
      <c r="S19" s="213"/>
      <c r="T19" s="207"/>
      <c r="U19" s="219"/>
      <c r="V19" s="219"/>
      <c r="W19" s="219"/>
      <c r="X19" s="219"/>
      <c r="Y19" s="219"/>
      <c r="Z19" s="219"/>
      <c r="AA19" s="219"/>
      <c r="AB19" s="219"/>
      <c r="AC19" s="219"/>
      <c r="AD19" s="219"/>
      <c r="AE19" s="219"/>
      <c r="AF19" s="219"/>
      <c r="AG19" s="219"/>
      <c r="AH19" s="225">
        <f>SUM(PORTEFEUILLE_DELPHINE[[#This Row],[PCR COMPTABLE €]:[MONTANT
RESPONSABLE RELATION CLIENT €]])-PORTEFEUILLE_DELPHINE[[#This Row],[MONTANT TOTAL LETTRE DE MISION €]]</f>
        <v>0</v>
      </c>
      <c r="AI19" s="191"/>
      <c r="AJ19" s="188"/>
      <c r="AK19" s="188"/>
      <c r="AL19" s="188"/>
      <c r="AM19" s="188"/>
      <c r="AN19" s="188"/>
      <c r="AO19" s="188"/>
      <c r="AP19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Q19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R19" s="188" t="str">
        <f>IF(PORTEFEUILLE_DELPHINE[[#This Row],[BONI AAC]]&lt;&gt;0,1,"")</f>
        <v/>
      </c>
      <c r="AS19" s="188" t="str">
        <f>IF(PORTEFEUILLE_DELPHINE[[#This Row],[MALI AAC]]&lt;&gt;0,1,"")</f>
        <v/>
      </c>
      <c r="AT19" s="225">
        <f>IF(AN19&lt;&gt;"",IF((AN19*Paramètres!$H$4)-PORTEFEUILLE_DELPHINE[[#This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€]]-(DELPHINE!AN19*Paramètres!$H$4),0),0)</f>
        <v>0</v>
      </c>
      <c r="AU19" s="225">
        <f>IF(AN19&lt;&gt;"",IF(((AN19*Paramètres!$H$4)-PORTEFEUILLE_DELPHINE[[#This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€]])&gt;0,(AN19*Paramètres!$H$4)-PORTEFEUILLE_DELPHINE[[#This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V19" s="190" t="str">
        <f>IF(PORTEFEUILLE_DELPHINE[[#This Row],[BONI COMPTABLE]]&lt;&gt;0,1,"")</f>
        <v/>
      </c>
      <c r="AW19" s="190" t="str">
        <f>IF(PORTEFEUILLE_DELPHINE[[#This Row],[MALI COMPTABLE]]&lt;&gt;0,1,"")</f>
        <v/>
      </c>
      <c r="AX19" s="188"/>
      <c r="AY19" s="188"/>
      <c r="AZ19" s="188"/>
      <c r="BA19" s="188"/>
      <c r="BB19" s="188"/>
      <c r="BC19" s="188"/>
      <c r="BD19" s="188"/>
      <c r="BE19" s="192"/>
      <c r="BF19" s="194"/>
      <c r="BG19" s="194"/>
      <c r="BH19" s="195"/>
      <c r="BI19" s="194"/>
    </row>
    <row r="20" spans="1:61" x14ac:dyDescent="0.25">
      <c r="A20" s="172"/>
      <c r="B20" s="170"/>
      <c r="C20" s="165"/>
      <c r="D20" s="171"/>
      <c r="E20" s="189"/>
      <c r="F20" s="188"/>
      <c r="G20" s="188"/>
      <c r="H20" s="189"/>
      <c r="I20" s="189"/>
      <c r="J20" s="189"/>
      <c r="K20" s="190" t="str">
        <f t="shared" si="0"/>
        <v/>
      </c>
      <c r="L20" s="190" t="str">
        <f t="shared" si="1"/>
        <v/>
      </c>
      <c r="M20" s="188"/>
      <c r="N20" s="188"/>
      <c r="O20" s="188"/>
      <c r="P20" s="188"/>
      <c r="Q20" s="188"/>
      <c r="R20" s="188"/>
      <c r="S20" s="214"/>
      <c r="T20" s="208"/>
      <c r="U20" s="220"/>
      <c r="V20" s="220"/>
      <c r="W20" s="220"/>
      <c r="X20" s="220"/>
      <c r="Y20" s="220"/>
      <c r="Z20" s="220"/>
      <c r="AA20" s="220"/>
      <c r="AB20" s="220"/>
      <c r="AC20" s="220"/>
      <c r="AD20" s="220"/>
      <c r="AE20" s="220"/>
      <c r="AF20" s="220"/>
      <c r="AG20" s="219"/>
      <c r="AH20" s="225">
        <f>SUM(PORTEFEUILLE_DELPHINE[[#This Row],[PCR COMPTABLE €]:[MONTANT
RESPONSABLE RELATION CLIENT €]])-PORTEFEUILLE_DELPHINE[[#This Row],[MONTANT TOTAL LETTRE DE MISION €]]</f>
        <v>0</v>
      </c>
      <c r="AI20" s="191"/>
      <c r="AJ20" s="188"/>
      <c r="AK20" s="188"/>
      <c r="AL20" s="196"/>
      <c r="AM20" s="196"/>
      <c r="AN20" s="196"/>
      <c r="AO20" s="196"/>
      <c r="AP20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Q20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R20" s="188" t="str">
        <f>IF(PORTEFEUILLE_DELPHINE[[#This Row],[BONI AAC]]&lt;&gt;0,1,"")</f>
        <v/>
      </c>
      <c r="AS20" s="188" t="str">
        <f>IF(PORTEFEUILLE_DELPHINE[[#This Row],[MALI AAC]]&lt;&gt;0,1,"")</f>
        <v/>
      </c>
      <c r="AT20" s="225">
        <f>IF(AN20&lt;&gt;"",IF((AN20*Paramètres!$H$4)-PORTEFEUILLE_DELPHINE[[#This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€]]-(DELPHINE!AN20*Paramètres!$H$4),0),0)</f>
        <v>0</v>
      </c>
      <c r="AU20" s="225">
        <f>IF(AN20&lt;&gt;"",IF(((AN20*Paramètres!$H$4)-PORTEFEUILLE_DELPHINE[[#This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€]])&gt;0,(AN20*Paramètres!$H$4)-PORTEFEUILLE_DELPHINE[[#This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V20" s="190" t="str">
        <f>IF(PORTEFEUILLE_DELPHINE[[#This Row],[BONI COMPTABLE]]&lt;&gt;0,1,"")</f>
        <v/>
      </c>
      <c r="AW20" s="190" t="str">
        <f>IF(PORTEFEUILLE_DELPHINE[[#This Row],[MALI COMPTABLE]]&lt;&gt;0,1,"")</f>
        <v/>
      </c>
      <c r="AX20" s="196"/>
      <c r="AY20" s="188"/>
      <c r="AZ20" s="188"/>
      <c r="BA20" s="188"/>
      <c r="BB20" s="196"/>
      <c r="BC20" s="196"/>
      <c r="BD20" s="196"/>
      <c r="BE20" s="192"/>
      <c r="BF20" s="194"/>
      <c r="BG20" s="194"/>
      <c r="BH20" s="195"/>
      <c r="BI20" s="194"/>
    </row>
    <row r="21" spans="1:61" x14ac:dyDescent="0.25">
      <c r="A21" s="172"/>
      <c r="B21" s="170"/>
      <c r="C21" s="165"/>
      <c r="D21" s="171"/>
      <c r="E21" s="189"/>
      <c r="F21" s="188"/>
      <c r="G21" s="189"/>
      <c r="H21" s="189"/>
      <c r="I21" s="189"/>
      <c r="J21" s="189"/>
      <c r="K21" s="190" t="str">
        <f t="shared" si="0"/>
        <v/>
      </c>
      <c r="L21" s="190" t="str">
        <f t="shared" si="1"/>
        <v/>
      </c>
      <c r="M21" s="188"/>
      <c r="N21" s="188"/>
      <c r="O21" s="188"/>
      <c r="P21" s="188"/>
      <c r="Q21" s="188"/>
      <c r="R21" s="188"/>
      <c r="S21" s="213"/>
      <c r="T21" s="207"/>
      <c r="U21" s="219"/>
      <c r="V21" s="219"/>
      <c r="W21" s="219"/>
      <c r="X21" s="219"/>
      <c r="Y21" s="219"/>
      <c r="Z21" s="219"/>
      <c r="AA21" s="219"/>
      <c r="AB21" s="219"/>
      <c r="AC21" s="219"/>
      <c r="AD21" s="219"/>
      <c r="AE21" s="219"/>
      <c r="AF21" s="219"/>
      <c r="AG21" s="219"/>
      <c r="AH21" s="225">
        <f>SUM(PORTEFEUILLE_DELPHINE[[#This Row],[PCR COMPTABLE €]:[MONTANT
RESPONSABLE RELATION CLIENT €]])-PORTEFEUILLE_DELPHINE[[#This Row],[MONTANT TOTAL LETTRE DE MISION €]]</f>
        <v>0</v>
      </c>
      <c r="AI21" s="191"/>
      <c r="AJ21" s="188"/>
      <c r="AK21" s="188"/>
      <c r="AL21" s="188"/>
      <c r="AM21" s="188"/>
      <c r="AN21" s="188"/>
      <c r="AO21" s="188"/>
      <c r="AP21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Q21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R21" s="188" t="str">
        <f>IF(PORTEFEUILLE_DELPHINE[[#This Row],[BONI AAC]]&lt;&gt;0,1,"")</f>
        <v/>
      </c>
      <c r="AS21" s="188" t="str">
        <f>IF(PORTEFEUILLE_DELPHINE[[#This Row],[MALI AAC]]&lt;&gt;0,1,"")</f>
        <v/>
      </c>
      <c r="AT21" s="225">
        <f>IF(AN21&lt;&gt;"",IF((AN21*Paramètres!$H$4)-PORTEFEUILLE_DELPHINE[[#This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€]]-(DELPHINE!AN21*Paramètres!$H$4),0),0)</f>
        <v>0</v>
      </c>
      <c r="AU21" s="225">
        <f>IF(AN21&lt;&gt;"",IF(((AN21*Paramètres!$H$4)-PORTEFEUILLE_DELPHINE[[#This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€]])&gt;0,(AN21*Paramètres!$H$4)-PORTEFEUILLE_DELPHINE[[#This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V21" s="190" t="str">
        <f>IF(PORTEFEUILLE_DELPHINE[[#This Row],[BONI COMPTABLE]]&lt;&gt;0,1,"")</f>
        <v/>
      </c>
      <c r="AW21" s="190" t="str">
        <f>IF(PORTEFEUILLE_DELPHINE[[#This Row],[MALI COMPTABLE]]&lt;&gt;0,1,"")</f>
        <v/>
      </c>
      <c r="AX21" s="188"/>
      <c r="AY21" s="188"/>
      <c r="AZ21" s="188"/>
      <c r="BA21" s="188"/>
      <c r="BB21" s="196"/>
      <c r="BC21" s="196"/>
      <c r="BD21" s="196"/>
      <c r="BE21" s="192"/>
      <c r="BF21" s="194"/>
      <c r="BG21" s="194"/>
      <c r="BH21" s="195"/>
      <c r="BI21" s="194"/>
    </row>
    <row r="22" spans="1:61" x14ac:dyDescent="0.25">
      <c r="A22" s="172"/>
      <c r="B22" s="170"/>
      <c r="C22" s="165"/>
      <c r="D22" s="171"/>
      <c r="E22" s="189"/>
      <c r="F22" s="188"/>
      <c r="G22" s="189"/>
      <c r="H22" s="189"/>
      <c r="I22" s="189"/>
      <c r="J22" s="189"/>
      <c r="K22" s="190" t="str">
        <f t="shared" si="0"/>
        <v/>
      </c>
      <c r="L22" s="190" t="str">
        <f t="shared" si="1"/>
        <v/>
      </c>
      <c r="M22" s="188"/>
      <c r="N22" s="188"/>
      <c r="O22" s="188"/>
      <c r="P22" s="188"/>
      <c r="Q22" s="188"/>
      <c r="R22" s="188"/>
      <c r="S22" s="215"/>
      <c r="T22" s="209"/>
      <c r="U22" s="221"/>
      <c r="V22" s="221"/>
      <c r="W22" s="221"/>
      <c r="X22" s="221"/>
      <c r="Y22" s="221"/>
      <c r="Z22" s="221"/>
      <c r="AA22" s="221"/>
      <c r="AB22" s="221"/>
      <c r="AC22" s="221"/>
      <c r="AD22" s="221"/>
      <c r="AE22" s="221"/>
      <c r="AF22" s="221"/>
      <c r="AG22" s="219"/>
      <c r="AH22" s="225">
        <f>SUM(PORTEFEUILLE_DELPHINE[[#This Row],[PCR COMPTABLE €]:[MONTANT
RESPONSABLE RELATION CLIENT €]])-PORTEFEUILLE_DELPHINE[[#This Row],[MONTANT TOTAL LETTRE DE MISION €]]</f>
        <v>0</v>
      </c>
      <c r="AI22" s="191"/>
      <c r="AJ22" s="188"/>
      <c r="AK22" s="188"/>
      <c r="AL22" s="197"/>
      <c r="AM22" s="197"/>
      <c r="AN22" s="197"/>
      <c r="AO22" s="197"/>
      <c r="AP22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Q22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R22" s="188" t="str">
        <f>IF(PORTEFEUILLE_DELPHINE[[#This Row],[BONI AAC]]&lt;&gt;0,1,"")</f>
        <v/>
      </c>
      <c r="AS22" s="188" t="str">
        <f>IF(PORTEFEUILLE_DELPHINE[[#This Row],[MALI AAC]]&lt;&gt;0,1,"")</f>
        <v/>
      </c>
      <c r="AT22" s="225">
        <f>IF(AN22&lt;&gt;"",IF((AN22*Paramètres!$H$4)-PORTEFEUILLE_DELPHINE[[#This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€]]-(DELPHINE!AN22*Paramètres!$H$4),0),0)</f>
        <v>0</v>
      </c>
      <c r="AU22" s="225">
        <f>IF(AN22&lt;&gt;"",IF(((AN22*Paramètres!$H$4)-PORTEFEUILLE_DELPHINE[[#This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€]])&gt;0,(AN22*Paramètres!$H$4)-PORTEFEUILLE_DELPHINE[[#This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V22" s="190" t="str">
        <f>IF(PORTEFEUILLE_DELPHINE[[#This Row],[BONI COMPTABLE]]&lt;&gt;0,1,"")</f>
        <v/>
      </c>
      <c r="AW22" s="190" t="str">
        <f>IF(PORTEFEUILLE_DELPHINE[[#This Row],[MALI COMPTABLE]]&lt;&gt;0,1,"")</f>
        <v/>
      </c>
      <c r="AX22" s="188"/>
      <c r="AY22" s="188"/>
      <c r="AZ22" s="188"/>
      <c r="BA22" s="188"/>
      <c r="BB22" s="196"/>
      <c r="BC22" s="196"/>
      <c r="BD22" s="196"/>
      <c r="BE22" s="192"/>
      <c r="BF22" s="194"/>
      <c r="BG22" s="194"/>
      <c r="BH22" s="195"/>
      <c r="BI22" s="194"/>
    </row>
    <row r="23" spans="1:61" x14ac:dyDescent="0.25">
      <c r="A23" s="172"/>
      <c r="B23" s="170"/>
      <c r="C23" s="165"/>
      <c r="D23" s="171"/>
      <c r="E23" s="189"/>
      <c r="F23" s="188"/>
      <c r="G23" s="189"/>
      <c r="H23" s="189"/>
      <c r="I23" s="189"/>
      <c r="J23" s="189"/>
      <c r="K23" s="190" t="str">
        <f t="shared" si="0"/>
        <v/>
      </c>
      <c r="L23" s="190" t="str">
        <f t="shared" si="1"/>
        <v/>
      </c>
      <c r="M23" s="188"/>
      <c r="N23" s="188"/>
      <c r="O23" s="188"/>
      <c r="P23" s="188"/>
      <c r="Q23" s="188"/>
      <c r="R23" s="188"/>
      <c r="S23" s="213"/>
      <c r="T23" s="207"/>
      <c r="U23" s="219"/>
      <c r="V23" s="219"/>
      <c r="W23" s="219"/>
      <c r="X23" s="219"/>
      <c r="Y23" s="219"/>
      <c r="Z23" s="219"/>
      <c r="AA23" s="219"/>
      <c r="AB23" s="219"/>
      <c r="AC23" s="219"/>
      <c r="AD23" s="219"/>
      <c r="AE23" s="219"/>
      <c r="AF23" s="219"/>
      <c r="AG23" s="219"/>
      <c r="AH23" s="225">
        <f>SUM(PORTEFEUILLE_DELPHINE[[#This Row],[PCR COMPTABLE €]:[MONTANT
RESPONSABLE RELATION CLIENT €]])-PORTEFEUILLE_DELPHINE[[#This Row],[MONTANT TOTAL LETTRE DE MISION €]]</f>
        <v>0</v>
      </c>
      <c r="AI23" s="191"/>
      <c r="AJ23" s="188"/>
      <c r="AK23" s="188"/>
      <c r="AL23" s="188"/>
      <c r="AM23" s="188"/>
      <c r="AN23" s="188"/>
      <c r="AO23" s="188"/>
      <c r="AP23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Q23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R23" s="188" t="str">
        <f>IF(PORTEFEUILLE_DELPHINE[[#This Row],[BONI AAC]]&lt;&gt;0,1,"")</f>
        <v/>
      </c>
      <c r="AS23" s="188" t="str">
        <f>IF(PORTEFEUILLE_DELPHINE[[#This Row],[MALI AAC]]&lt;&gt;0,1,"")</f>
        <v/>
      </c>
      <c r="AT23" s="225">
        <f>IF(AN23&lt;&gt;"",IF((AN23*Paramètres!$H$4)-PORTEFEUILLE_DELPHINE[[#This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€]]-(DELPHINE!AN23*Paramètres!$H$4),0),0)</f>
        <v>0</v>
      </c>
      <c r="AU23" s="225">
        <f>IF(AN23&lt;&gt;"",IF(((AN23*Paramètres!$H$4)-PORTEFEUILLE_DELPHINE[[#This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€]])&gt;0,(AN23*Paramètres!$H$4)-PORTEFEUILLE_DELPHINE[[#This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V23" s="190" t="str">
        <f>IF(PORTEFEUILLE_DELPHINE[[#This Row],[BONI COMPTABLE]]&lt;&gt;0,1,"")</f>
        <v/>
      </c>
      <c r="AW23" s="190" t="str">
        <f>IF(PORTEFEUILLE_DELPHINE[[#This Row],[MALI COMPTABLE]]&lt;&gt;0,1,"")</f>
        <v/>
      </c>
      <c r="AX23" s="188"/>
      <c r="AY23" s="188"/>
      <c r="AZ23" s="188"/>
      <c r="BA23" s="188"/>
      <c r="BB23" s="188"/>
      <c r="BC23" s="188"/>
      <c r="BD23" s="188"/>
      <c r="BE23" s="192"/>
      <c r="BF23" s="194"/>
      <c r="BG23" s="194"/>
      <c r="BH23" s="195"/>
      <c r="BI23" s="194"/>
    </row>
    <row r="24" spans="1:61" x14ac:dyDescent="0.25">
      <c r="A24" s="172"/>
      <c r="B24" s="170"/>
      <c r="C24" s="165"/>
      <c r="D24" s="171"/>
      <c r="E24" s="189"/>
      <c r="F24" s="188"/>
      <c r="G24" s="188"/>
      <c r="H24" s="189"/>
      <c r="I24" s="189"/>
      <c r="J24" s="189"/>
      <c r="K24" s="190" t="str">
        <f t="shared" si="0"/>
        <v/>
      </c>
      <c r="L24" s="190" t="str">
        <f t="shared" si="1"/>
        <v/>
      </c>
      <c r="M24" s="188"/>
      <c r="N24" s="188"/>
      <c r="O24" s="188"/>
      <c r="P24" s="188"/>
      <c r="Q24" s="188"/>
      <c r="R24" s="188"/>
      <c r="S24" s="214"/>
      <c r="T24" s="208"/>
      <c r="U24" s="220"/>
      <c r="V24" s="220"/>
      <c r="W24" s="220"/>
      <c r="X24" s="220"/>
      <c r="Y24" s="220"/>
      <c r="Z24" s="220"/>
      <c r="AA24" s="220"/>
      <c r="AB24" s="220"/>
      <c r="AC24" s="220"/>
      <c r="AD24" s="220"/>
      <c r="AE24" s="220"/>
      <c r="AF24" s="220"/>
      <c r="AG24" s="219"/>
      <c r="AH24" s="225">
        <f>SUM(PORTEFEUILLE_DELPHINE[[#This Row],[PCR COMPTABLE €]:[MONTANT
RESPONSABLE RELATION CLIENT €]])-PORTEFEUILLE_DELPHINE[[#This Row],[MONTANT TOTAL LETTRE DE MISION €]]</f>
        <v>0</v>
      </c>
      <c r="AI24" s="191"/>
      <c r="AJ24" s="188"/>
      <c r="AK24" s="188"/>
      <c r="AL24" s="196"/>
      <c r="AM24" s="196"/>
      <c r="AN24" s="196"/>
      <c r="AO24" s="196"/>
      <c r="AP24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Q24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R24" s="188" t="str">
        <f>IF(PORTEFEUILLE_DELPHINE[[#This Row],[BONI AAC]]&lt;&gt;0,1,"")</f>
        <v/>
      </c>
      <c r="AS24" s="188" t="str">
        <f>IF(PORTEFEUILLE_DELPHINE[[#This Row],[MALI AAC]]&lt;&gt;0,1,"")</f>
        <v/>
      </c>
      <c r="AT24" s="225">
        <f>IF(AN24&lt;&gt;"",IF((AN24*Paramètres!$H$4)-PORTEFEUILLE_DELPHINE[[#This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€]]-(DELPHINE!AN24*Paramètres!$H$4),0),0)</f>
        <v>0</v>
      </c>
      <c r="AU24" s="225">
        <f>IF(AN24&lt;&gt;"",IF(((AN24*Paramètres!$H$4)-PORTEFEUILLE_DELPHINE[[#This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€]])&gt;0,(AN24*Paramètres!$H$4)-PORTEFEUILLE_DELPHINE[[#This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V24" s="190" t="str">
        <f>IF(PORTEFEUILLE_DELPHINE[[#This Row],[BONI COMPTABLE]]&lt;&gt;0,1,"")</f>
        <v/>
      </c>
      <c r="AW24" s="190" t="str">
        <f>IF(PORTEFEUILLE_DELPHINE[[#This Row],[MALI COMPTABLE]]&lt;&gt;0,1,"")</f>
        <v/>
      </c>
      <c r="AX24" s="196"/>
      <c r="AY24" s="188"/>
      <c r="AZ24" s="188"/>
      <c r="BA24" s="188"/>
      <c r="BB24" s="188"/>
      <c r="BC24" s="188"/>
      <c r="BD24" s="188"/>
      <c r="BE24" s="192"/>
      <c r="BF24" s="194"/>
      <c r="BG24" s="194"/>
      <c r="BH24" s="195"/>
      <c r="BI24" s="194"/>
    </row>
    <row r="25" spans="1:61" x14ac:dyDescent="0.25">
      <c r="A25" s="172"/>
      <c r="B25" s="170"/>
      <c r="C25" s="165"/>
      <c r="D25" s="171"/>
      <c r="E25" s="189"/>
      <c r="F25" s="188"/>
      <c r="G25" s="188"/>
      <c r="H25" s="189"/>
      <c r="I25" s="189"/>
      <c r="J25" s="189"/>
      <c r="K25" s="190" t="str">
        <f t="shared" si="0"/>
        <v/>
      </c>
      <c r="L25" s="190" t="str">
        <f t="shared" si="1"/>
        <v/>
      </c>
      <c r="M25" s="188"/>
      <c r="N25" s="188"/>
      <c r="O25" s="188"/>
      <c r="P25" s="188"/>
      <c r="Q25" s="188"/>
      <c r="R25" s="188"/>
      <c r="S25" s="214"/>
      <c r="T25" s="208"/>
      <c r="U25" s="220"/>
      <c r="V25" s="220"/>
      <c r="W25" s="220"/>
      <c r="X25" s="220"/>
      <c r="Y25" s="220"/>
      <c r="Z25" s="220"/>
      <c r="AA25" s="220"/>
      <c r="AB25" s="220"/>
      <c r="AC25" s="220"/>
      <c r="AD25" s="220"/>
      <c r="AE25" s="220"/>
      <c r="AF25" s="220"/>
      <c r="AG25" s="219"/>
      <c r="AH25" s="225">
        <f>SUM(PORTEFEUILLE_DELPHINE[[#This Row],[PCR COMPTABLE €]:[MONTANT
RESPONSABLE RELATION CLIENT €]])-PORTEFEUILLE_DELPHINE[[#This Row],[MONTANT TOTAL LETTRE DE MISION €]]</f>
        <v>0</v>
      </c>
      <c r="AI25" s="191"/>
      <c r="AJ25" s="188"/>
      <c r="AK25" s="188"/>
      <c r="AL25" s="196"/>
      <c r="AM25" s="196"/>
      <c r="AN25" s="196"/>
      <c r="AO25" s="196"/>
      <c r="AP25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Q25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R25" s="188" t="str">
        <f>IF(PORTEFEUILLE_DELPHINE[[#This Row],[BONI AAC]]&lt;&gt;0,1,"")</f>
        <v/>
      </c>
      <c r="AS25" s="188" t="str">
        <f>IF(PORTEFEUILLE_DELPHINE[[#This Row],[MALI AAC]]&lt;&gt;0,1,"")</f>
        <v/>
      </c>
      <c r="AT25" s="225">
        <f>IF(AN25&lt;&gt;"",IF((AN25*Paramètres!$H$4)-PORTEFEUILLE_DELPHINE[[#This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€]]-(DELPHINE!AN25*Paramètres!$H$4),0),0)</f>
        <v>0</v>
      </c>
      <c r="AU25" s="225">
        <f>IF(AN25&lt;&gt;"",IF(((AN25*Paramètres!$H$4)-PORTEFEUILLE_DELPHINE[[#This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€]])&gt;0,(AN25*Paramètres!$H$4)-PORTEFEUILLE_DELPHINE[[#This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V25" s="190" t="str">
        <f>IF(PORTEFEUILLE_DELPHINE[[#This Row],[BONI COMPTABLE]]&lt;&gt;0,1,"")</f>
        <v/>
      </c>
      <c r="AW25" s="190" t="str">
        <f>IF(PORTEFEUILLE_DELPHINE[[#This Row],[MALI COMPTABLE]]&lt;&gt;0,1,"")</f>
        <v/>
      </c>
      <c r="AX25" s="196"/>
      <c r="AY25" s="188"/>
      <c r="AZ25" s="188"/>
      <c r="BA25" s="188"/>
      <c r="BB25" s="188"/>
      <c r="BC25" s="188"/>
      <c r="BD25" s="188"/>
      <c r="BE25" s="192"/>
      <c r="BF25" s="194"/>
      <c r="BG25" s="194"/>
      <c r="BH25" s="195"/>
      <c r="BI25" s="194"/>
    </row>
    <row r="26" spans="1:61" x14ac:dyDescent="0.25">
      <c r="A26" s="172"/>
      <c r="B26" s="170"/>
      <c r="C26" s="165"/>
      <c r="D26" s="171"/>
      <c r="E26" s="189"/>
      <c r="F26" s="188"/>
      <c r="G26" s="188"/>
      <c r="H26" s="189"/>
      <c r="I26" s="189"/>
      <c r="J26" s="189"/>
      <c r="K26" s="190" t="str">
        <f t="shared" si="0"/>
        <v/>
      </c>
      <c r="L26" s="190" t="str">
        <f t="shared" si="1"/>
        <v/>
      </c>
      <c r="M26" s="188"/>
      <c r="N26" s="188"/>
      <c r="O26" s="188"/>
      <c r="P26" s="188"/>
      <c r="Q26" s="188"/>
      <c r="R26" s="188"/>
      <c r="S26" s="214"/>
      <c r="T26" s="208"/>
      <c r="U26" s="220"/>
      <c r="V26" s="220"/>
      <c r="W26" s="220"/>
      <c r="X26" s="220"/>
      <c r="Y26" s="220"/>
      <c r="Z26" s="220"/>
      <c r="AA26" s="220"/>
      <c r="AB26" s="220"/>
      <c r="AC26" s="220"/>
      <c r="AD26" s="220"/>
      <c r="AE26" s="220"/>
      <c r="AF26" s="220"/>
      <c r="AG26" s="219"/>
      <c r="AH26" s="225">
        <f>SUM(PORTEFEUILLE_DELPHINE[[#This Row],[PCR COMPTABLE €]:[MONTANT
RESPONSABLE RELATION CLIENT €]])-PORTEFEUILLE_DELPHINE[[#This Row],[MONTANT TOTAL LETTRE DE MISION €]]</f>
        <v>0</v>
      </c>
      <c r="AI26" s="191"/>
      <c r="AJ26" s="188"/>
      <c r="AK26" s="188"/>
      <c r="AL26" s="196"/>
      <c r="AM26" s="196"/>
      <c r="AN26" s="196"/>
      <c r="AO26" s="196"/>
      <c r="AP26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Q26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R26" s="188" t="str">
        <f>IF(PORTEFEUILLE_DELPHINE[[#This Row],[BONI AAC]]&lt;&gt;0,1,"")</f>
        <v/>
      </c>
      <c r="AS26" s="188" t="str">
        <f>IF(PORTEFEUILLE_DELPHINE[[#This Row],[MALI AAC]]&lt;&gt;0,1,"")</f>
        <v/>
      </c>
      <c r="AT26" s="225">
        <f>IF(AN26&lt;&gt;"",IF((AN26*Paramètres!$H$4)-PORTEFEUILLE_DELPHINE[[#This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€]]-(DELPHINE!AN26*Paramètres!$H$4),0),0)</f>
        <v>0</v>
      </c>
      <c r="AU26" s="225">
        <f>IF(AN26&lt;&gt;"",IF(((AN26*Paramètres!$H$4)-PORTEFEUILLE_DELPHINE[[#This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€]])&gt;0,(AN26*Paramètres!$H$4)-PORTEFEUILLE_DELPHINE[[#This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V26" s="190" t="str">
        <f>IF(PORTEFEUILLE_DELPHINE[[#This Row],[BONI COMPTABLE]]&lt;&gt;0,1,"")</f>
        <v/>
      </c>
      <c r="AW26" s="190" t="str">
        <f>IF(PORTEFEUILLE_DELPHINE[[#This Row],[MALI COMPTABLE]]&lt;&gt;0,1,"")</f>
        <v/>
      </c>
      <c r="AX26" s="196"/>
      <c r="AY26" s="188"/>
      <c r="AZ26" s="188"/>
      <c r="BA26" s="188"/>
      <c r="BB26" s="188"/>
      <c r="BC26" s="188"/>
      <c r="BD26" s="188"/>
      <c r="BE26" s="192"/>
      <c r="BF26" s="194"/>
      <c r="BG26" s="194"/>
      <c r="BH26" s="195"/>
      <c r="BI26" s="194"/>
    </row>
    <row r="27" spans="1:61" x14ac:dyDescent="0.25">
      <c r="A27" s="172"/>
      <c r="B27" s="170"/>
      <c r="C27" s="165"/>
      <c r="D27" s="171"/>
      <c r="E27" s="189"/>
      <c r="F27" s="188"/>
      <c r="G27" s="188"/>
      <c r="H27" s="189"/>
      <c r="I27" s="189"/>
      <c r="J27" s="189"/>
      <c r="K27" s="190" t="str">
        <f t="shared" si="0"/>
        <v/>
      </c>
      <c r="L27" s="190" t="str">
        <f t="shared" si="1"/>
        <v/>
      </c>
      <c r="M27" s="188"/>
      <c r="N27" s="188"/>
      <c r="O27" s="188"/>
      <c r="P27" s="188"/>
      <c r="Q27" s="188"/>
      <c r="R27" s="188"/>
      <c r="S27" s="214"/>
      <c r="T27" s="208"/>
      <c r="U27" s="220"/>
      <c r="V27" s="220"/>
      <c r="W27" s="220"/>
      <c r="X27" s="220"/>
      <c r="Y27" s="220"/>
      <c r="Z27" s="220"/>
      <c r="AA27" s="220"/>
      <c r="AB27" s="220"/>
      <c r="AC27" s="220"/>
      <c r="AD27" s="220"/>
      <c r="AE27" s="220"/>
      <c r="AF27" s="220"/>
      <c r="AG27" s="219"/>
      <c r="AH27" s="225">
        <f>SUM(PORTEFEUILLE_DELPHINE[[#This Row],[PCR COMPTABLE €]:[MONTANT
RESPONSABLE RELATION CLIENT €]])-PORTEFEUILLE_DELPHINE[[#This Row],[MONTANT TOTAL LETTRE DE MISION €]]</f>
        <v>0</v>
      </c>
      <c r="AI27" s="191"/>
      <c r="AJ27" s="188"/>
      <c r="AK27" s="188"/>
      <c r="AL27" s="196"/>
      <c r="AM27" s="196"/>
      <c r="AN27" s="196"/>
      <c r="AO27" s="196"/>
      <c r="AP27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Q27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R27" s="188" t="str">
        <f>IF(PORTEFEUILLE_DELPHINE[[#This Row],[BONI AAC]]&lt;&gt;0,1,"")</f>
        <v/>
      </c>
      <c r="AS27" s="188" t="str">
        <f>IF(PORTEFEUILLE_DELPHINE[[#This Row],[MALI AAC]]&lt;&gt;0,1,"")</f>
        <v/>
      </c>
      <c r="AT27" s="225">
        <f>IF(AN27&lt;&gt;"",IF((AN27*Paramètres!$H$4)-PORTEFEUILLE_DELPHINE[[#This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€]]-(DELPHINE!AN27*Paramètres!$H$4),0),0)</f>
        <v>0</v>
      </c>
      <c r="AU27" s="225">
        <f>IF(AN27&lt;&gt;"",IF(((AN27*Paramètres!$H$4)-PORTEFEUILLE_DELPHINE[[#This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€]])&gt;0,(AN27*Paramètres!$H$4)-PORTEFEUILLE_DELPHINE[[#This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V27" s="190" t="str">
        <f>IF(PORTEFEUILLE_DELPHINE[[#This Row],[BONI COMPTABLE]]&lt;&gt;0,1,"")</f>
        <v/>
      </c>
      <c r="AW27" s="190" t="str">
        <f>IF(PORTEFEUILLE_DELPHINE[[#This Row],[MALI COMPTABLE]]&lt;&gt;0,1,"")</f>
        <v/>
      </c>
      <c r="AX27" s="196"/>
      <c r="AY27" s="188"/>
      <c r="AZ27" s="188"/>
      <c r="BA27" s="188"/>
      <c r="BB27" s="188"/>
      <c r="BC27" s="188"/>
      <c r="BD27" s="188"/>
      <c r="BE27" s="192"/>
      <c r="BF27" s="194"/>
      <c r="BG27" s="194"/>
      <c r="BH27" s="195"/>
      <c r="BI27" s="194"/>
    </row>
    <row r="28" spans="1:61" s="90" customFormat="1" x14ac:dyDescent="0.25">
      <c r="A28" s="176"/>
      <c r="B28" s="170"/>
      <c r="C28" s="165"/>
      <c r="D28" s="171"/>
      <c r="E28" s="189"/>
      <c r="F28" s="188"/>
      <c r="G28" s="189"/>
      <c r="H28" s="189"/>
      <c r="I28" s="189"/>
      <c r="J28" s="189"/>
      <c r="K28" s="190" t="str">
        <f t="shared" si="0"/>
        <v/>
      </c>
      <c r="L28" s="190" t="str">
        <f t="shared" si="1"/>
        <v/>
      </c>
      <c r="M28" s="188"/>
      <c r="N28" s="188"/>
      <c r="O28" s="188"/>
      <c r="P28" s="188"/>
      <c r="Q28" s="188"/>
      <c r="R28" s="188"/>
      <c r="S28" s="213"/>
      <c r="T28" s="207"/>
      <c r="U28" s="219"/>
      <c r="V28" s="219"/>
      <c r="W28" s="219"/>
      <c r="X28" s="219"/>
      <c r="Y28" s="219"/>
      <c r="Z28" s="219"/>
      <c r="AA28" s="219"/>
      <c r="AB28" s="219"/>
      <c r="AC28" s="219"/>
      <c r="AD28" s="219"/>
      <c r="AE28" s="219"/>
      <c r="AF28" s="219"/>
      <c r="AG28" s="219"/>
      <c r="AH28" s="225">
        <f>SUM(PORTEFEUILLE_DELPHINE[[#This Row],[PCR COMPTABLE €]:[MONTANT
RESPONSABLE RELATION CLIENT €]])-PORTEFEUILLE_DELPHINE[[#This Row],[MONTANT TOTAL LETTRE DE MISION €]]</f>
        <v>0</v>
      </c>
      <c r="AI28" s="191"/>
      <c r="AJ28" s="188"/>
      <c r="AK28" s="188"/>
      <c r="AL28" s="188"/>
      <c r="AM28" s="188"/>
      <c r="AN28" s="188"/>
      <c r="AO28" s="188"/>
      <c r="AP28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Q28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R28" s="188" t="str">
        <f>IF(PORTEFEUILLE_DELPHINE[[#This Row],[BONI AAC]]&lt;&gt;0,1,"")</f>
        <v/>
      </c>
      <c r="AS28" s="188" t="str">
        <f>IF(PORTEFEUILLE_DELPHINE[[#This Row],[MALI AAC]]&lt;&gt;0,1,"")</f>
        <v/>
      </c>
      <c r="AT28" s="225">
        <f>IF(AN28&lt;&gt;"",IF((AN28*Paramètres!$H$4)-PORTEFEUILLE_DELPHINE[[#This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€]]-(DELPHINE!AN28*Paramètres!$H$4),0),0)</f>
        <v>0</v>
      </c>
      <c r="AU28" s="225">
        <f>IF(AN28&lt;&gt;"",IF(((AN28*Paramètres!$H$4)-PORTEFEUILLE_DELPHINE[[#This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€]])&gt;0,(AN28*Paramètres!$H$4)-PORTEFEUILLE_DELPHINE[[#This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V28" s="190" t="str">
        <f>IF(PORTEFEUILLE_DELPHINE[[#This Row],[BONI COMPTABLE]]&lt;&gt;0,1,"")</f>
        <v/>
      </c>
      <c r="AW28" s="190" t="str">
        <f>IF(PORTEFEUILLE_DELPHINE[[#This Row],[MALI COMPTABLE]]&lt;&gt;0,1,"")</f>
        <v/>
      </c>
      <c r="AX28" s="188"/>
      <c r="AY28" s="188"/>
      <c r="AZ28" s="188"/>
      <c r="BA28" s="188"/>
      <c r="BB28" s="196"/>
      <c r="BC28" s="196"/>
      <c r="BD28" s="196"/>
      <c r="BE28" s="192"/>
      <c r="BF28" s="196"/>
      <c r="BG28" s="196"/>
      <c r="BH28" s="198"/>
      <c r="BI28" s="196"/>
    </row>
    <row r="29" spans="1:61" x14ac:dyDescent="0.25">
      <c r="A29" s="172"/>
      <c r="B29" s="170"/>
      <c r="C29" s="165"/>
      <c r="D29" s="171"/>
      <c r="E29" s="189"/>
      <c r="F29" s="188"/>
      <c r="G29" s="189"/>
      <c r="H29" s="189"/>
      <c r="I29" s="189"/>
      <c r="J29" s="189"/>
      <c r="K29" s="190" t="str">
        <f t="shared" si="0"/>
        <v/>
      </c>
      <c r="L29" s="190" t="str">
        <f t="shared" si="1"/>
        <v/>
      </c>
      <c r="M29" s="188"/>
      <c r="N29" s="188"/>
      <c r="O29" s="188"/>
      <c r="P29" s="188"/>
      <c r="Q29" s="188"/>
      <c r="R29" s="188"/>
      <c r="S29" s="213"/>
      <c r="T29" s="207"/>
      <c r="U29" s="219"/>
      <c r="V29" s="219"/>
      <c r="W29" s="219"/>
      <c r="X29" s="219"/>
      <c r="Y29" s="219"/>
      <c r="Z29" s="219"/>
      <c r="AA29" s="219"/>
      <c r="AB29" s="219"/>
      <c r="AC29" s="219"/>
      <c r="AD29" s="219"/>
      <c r="AE29" s="219"/>
      <c r="AF29" s="219"/>
      <c r="AG29" s="219"/>
      <c r="AH29" s="225">
        <f>SUM(PORTEFEUILLE_DELPHINE[[#This Row],[PCR COMPTABLE €]:[MONTANT
RESPONSABLE RELATION CLIENT €]])-PORTEFEUILLE_DELPHINE[[#This Row],[MONTANT TOTAL LETTRE DE MISION €]]</f>
        <v>0</v>
      </c>
      <c r="AI29" s="191"/>
      <c r="AJ29" s="188"/>
      <c r="AK29" s="188"/>
      <c r="AL29" s="188"/>
      <c r="AM29" s="188"/>
      <c r="AN29" s="188"/>
      <c r="AO29" s="188"/>
      <c r="AP29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Q29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R29" s="188" t="str">
        <f>IF(PORTEFEUILLE_DELPHINE[[#This Row],[BONI AAC]]&lt;&gt;0,1,"")</f>
        <v/>
      </c>
      <c r="AS29" s="188" t="str">
        <f>IF(PORTEFEUILLE_DELPHINE[[#This Row],[MALI AAC]]&lt;&gt;0,1,"")</f>
        <v/>
      </c>
      <c r="AT29" s="225">
        <f>IF(AN29&lt;&gt;"",IF((AN29*Paramètres!$H$4)-PORTEFEUILLE_DELPHINE[[#This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€]]-(DELPHINE!AN29*Paramètres!$H$4),0),0)</f>
        <v>0</v>
      </c>
      <c r="AU29" s="225">
        <f>IF(AN29&lt;&gt;"",IF(((AN29*Paramètres!$H$4)-PORTEFEUILLE_DELPHINE[[#This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€]])&gt;0,(AN29*Paramètres!$H$4)-PORTEFEUILLE_DELPHINE[[#This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V29" s="190" t="str">
        <f>IF(PORTEFEUILLE_DELPHINE[[#This Row],[BONI COMPTABLE]]&lt;&gt;0,1,"")</f>
        <v/>
      </c>
      <c r="AW29" s="190" t="str">
        <f>IF(PORTEFEUILLE_DELPHINE[[#This Row],[MALI COMPTABLE]]&lt;&gt;0,1,"")</f>
        <v/>
      </c>
      <c r="AX29" s="188"/>
      <c r="AY29" s="188"/>
      <c r="AZ29" s="188"/>
      <c r="BA29" s="188"/>
      <c r="BB29" s="196"/>
      <c r="BC29" s="196"/>
      <c r="BD29" s="196"/>
      <c r="BE29" s="192"/>
      <c r="BF29" s="194"/>
      <c r="BG29" s="194"/>
      <c r="BH29" s="195"/>
      <c r="BI29" s="194"/>
    </row>
    <row r="30" spans="1:61" x14ac:dyDescent="0.25">
      <c r="A30" s="172"/>
      <c r="B30" s="170"/>
      <c r="C30" s="165"/>
      <c r="D30" s="171"/>
      <c r="E30" s="189"/>
      <c r="F30" s="188"/>
      <c r="G30" s="189"/>
      <c r="H30" s="189"/>
      <c r="I30" s="189"/>
      <c r="J30" s="189"/>
      <c r="K30" s="190" t="str">
        <f t="shared" si="0"/>
        <v/>
      </c>
      <c r="L30" s="190" t="str">
        <f t="shared" si="1"/>
        <v/>
      </c>
      <c r="M30" s="188"/>
      <c r="N30" s="188"/>
      <c r="O30" s="188"/>
      <c r="P30" s="188"/>
      <c r="Q30" s="188"/>
      <c r="R30" s="188"/>
      <c r="S30" s="213"/>
      <c r="T30" s="207"/>
      <c r="U30" s="219"/>
      <c r="V30" s="219"/>
      <c r="W30" s="219"/>
      <c r="X30" s="219"/>
      <c r="Y30" s="219"/>
      <c r="Z30" s="219"/>
      <c r="AA30" s="219"/>
      <c r="AB30" s="219"/>
      <c r="AC30" s="219"/>
      <c r="AD30" s="219"/>
      <c r="AE30" s="219"/>
      <c r="AF30" s="219"/>
      <c r="AG30" s="219"/>
      <c r="AH30" s="225">
        <f>SUM(PORTEFEUILLE_DELPHINE[[#This Row],[PCR COMPTABLE €]:[MONTANT
RESPONSABLE RELATION CLIENT €]])-PORTEFEUILLE_DELPHINE[[#This Row],[MONTANT TOTAL LETTRE DE MISION €]]</f>
        <v>0</v>
      </c>
      <c r="AI30" s="191"/>
      <c r="AJ30" s="188"/>
      <c r="AK30" s="188"/>
      <c r="AL30" s="188"/>
      <c r="AM30" s="188"/>
      <c r="AN30" s="188"/>
      <c r="AO30" s="188"/>
      <c r="AP30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Q30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R30" s="188" t="str">
        <f>IF(PORTEFEUILLE_DELPHINE[[#This Row],[BONI AAC]]&lt;&gt;0,1,"")</f>
        <v/>
      </c>
      <c r="AS30" s="188" t="str">
        <f>IF(PORTEFEUILLE_DELPHINE[[#This Row],[MALI AAC]]&lt;&gt;0,1,"")</f>
        <v/>
      </c>
      <c r="AT30" s="225">
        <f>IF(AN30&lt;&gt;"",IF((AN30*Paramètres!$H$4)-PORTEFEUILLE_DELPHINE[[#This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€]]-(DELPHINE!AN30*Paramètres!$H$4),0),0)</f>
        <v>0</v>
      </c>
      <c r="AU30" s="225">
        <f>IF(AN30&lt;&gt;"",IF(((AN30*Paramètres!$H$4)-PORTEFEUILLE_DELPHINE[[#This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€]])&gt;0,(AN30*Paramètres!$H$4)-PORTEFEUILLE_DELPHINE[[#This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V30" s="190" t="str">
        <f>IF(PORTEFEUILLE_DELPHINE[[#This Row],[BONI COMPTABLE]]&lt;&gt;0,1,"")</f>
        <v/>
      </c>
      <c r="AW30" s="190" t="str">
        <f>IF(PORTEFEUILLE_DELPHINE[[#This Row],[MALI COMPTABLE]]&lt;&gt;0,1,"")</f>
        <v/>
      </c>
      <c r="AX30" s="188"/>
      <c r="AY30" s="188"/>
      <c r="AZ30" s="188"/>
      <c r="BA30" s="188"/>
      <c r="BB30" s="188"/>
      <c r="BC30" s="188"/>
      <c r="BD30" s="188"/>
      <c r="BE30" s="192"/>
      <c r="BF30" s="194"/>
      <c r="BG30" s="194"/>
      <c r="BH30" s="195"/>
      <c r="BI30" s="194"/>
    </row>
    <row r="31" spans="1:61" x14ac:dyDescent="0.25">
      <c r="A31" s="172"/>
      <c r="B31" s="170"/>
      <c r="C31" s="165"/>
      <c r="D31" s="171"/>
      <c r="E31" s="189"/>
      <c r="F31" s="188"/>
      <c r="G31" s="189"/>
      <c r="H31" s="189"/>
      <c r="I31" s="189"/>
      <c r="J31" s="189"/>
      <c r="K31" s="190" t="str">
        <f t="shared" si="0"/>
        <v/>
      </c>
      <c r="L31" s="190" t="str">
        <f t="shared" si="1"/>
        <v/>
      </c>
      <c r="M31" s="188"/>
      <c r="N31" s="188"/>
      <c r="O31" s="188"/>
      <c r="P31" s="188"/>
      <c r="Q31" s="188"/>
      <c r="R31" s="188"/>
      <c r="S31" s="213"/>
      <c r="T31" s="207"/>
      <c r="U31" s="219"/>
      <c r="V31" s="219"/>
      <c r="W31" s="219"/>
      <c r="X31" s="219"/>
      <c r="Y31" s="219"/>
      <c r="Z31" s="219"/>
      <c r="AA31" s="219"/>
      <c r="AB31" s="219"/>
      <c r="AC31" s="219"/>
      <c r="AD31" s="219"/>
      <c r="AE31" s="219"/>
      <c r="AF31" s="219"/>
      <c r="AG31" s="219"/>
      <c r="AH31" s="225">
        <f>SUM(PORTEFEUILLE_DELPHINE[[#This Row],[PCR COMPTABLE €]:[MONTANT
RESPONSABLE RELATION CLIENT €]])-PORTEFEUILLE_DELPHINE[[#This Row],[MONTANT TOTAL LETTRE DE MISION €]]</f>
        <v>0</v>
      </c>
      <c r="AI31" s="191"/>
      <c r="AJ31" s="188"/>
      <c r="AK31" s="188"/>
      <c r="AL31" s="188"/>
      <c r="AM31" s="188"/>
      <c r="AN31" s="188"/>
      <c r="AO31" s="188"/>
      <c r="AP31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Q31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R31" s="188" t="str">
        <f>IF(PORTEFEUILLE_DELPHINE[[#This Row],[BONI AAC]]&lt;&gt;0,1,"")</f>
        <v/>
      </c>
      <c r="AS31" s="188" t="str">
        <f>IF(PORTEFEUILLE_DELPHINE[[#This Row],[MALI AAC]]&lt;&gt;0,1,"")</f>
        <v/>
      </c>
      <c r="AT31" s="225">
        <f>IF(AN31&lt;&gt;"",IF((AN31*Paramètres!$H$4)-PORTEFEUILLE_DELPHINE[[#This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€]]-(DELPHINE!AN31*Paramètres!$H$4),0),0)</f>
        <v>0</v>
      </c>
      <c r="AU31" s="225">
        <f>IF(AN31&lt;&gt;"",IF(((AN31*Paramètres!$H$4)-PORTEFEUILLE_DELPHINE[[#This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€]])&gt;0,(AN31*Paramètres!$H$4)-PORTEFEUILLE_DELPHINE[[#This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V31" s="190" t="str">
        <f>IF(PORTEFEUILLE_DELPHINE[[#This Row],[BONI COMPTABLE]]&lt;&gt;0,1,"")</f>
        <v/>
      </c>
      <c r="AW31" s="190" t="str">
        <f>IF(PORTEFEUILLE_DELPHINE[[#This Row],[MALI COMPTABLE]]&lt;&gt;0,1,"")</f>
        <v/>
      </c>
      <c r="AX31" s="188"/>
      <c r="AY31" s="188"/>
      <c r="AZ31" s="188"/>
      <c r="BA31" s="188"/>
      <c r="BB31" s="196"/>
      <c r="BC31" s="196"/>
      <c r="BD31" s="196"/>
      <c r="BE31" s="192"/>
      <c r="BF31" s="194"/>
      <c r="BG31" s="194"/>
      <c r="BH31" s="195"/>
      <c r="BI31" s="194"/>
    </row>
    <row r="32" spans="1:61" x14ac:dyDescent="0.25">
      <c r="A32" s="172"/>
      <c r="B32" s="177"/>
      <c r="C32" s="165"/>
      <c r="D32" s="171"/>
      <c r="E32" s="189"/>
      <c r="F32" s="188"/>
      <c r="G32" s="189"/>
      <c r="H32" s="189"/>
      <c r="I32" s="189"/>
      <c r="J32" s="189"/>
      <c r="K32" s="190" t="str">
        <f t="shared" si="0"/>
        <v/>
      </c>
      <c r="L32" s="190" t="str">
        <f t="shared" si="1"/>
        <v/>
      </c>
      <c r="M32" s="188"/>
      <c r="N32" s="188"/>
      <c r="O32" s="188"/>
      <c r="P32" s="188"/>
      <c r="Q32" s="188"/>
      <c r="R32" s="188"/>
      <c r="S32" s="213"/>
      <c r="T32" s="207"/>
      <c r="U32" s="219"/>
      <c r="V32" s="219"/>
      <c r="W32" s="219"/>
      <c r="X32" s="219"/>
      <c r="Y32" s="219"/>
      <c r="Z32" s="219"/>
      <c r="AA32" s="219"/>
      <c r="AB32" s="219"/>
      <c r="AC32" s="219"/>
      <c r="AD32" s="219"/>
      <c r="AE32" s="219"/>
      <c r="AF32" s="219"/>
      <c r="AG32" s="219"/>
      <c r="AH32" s="225">
        <f>SUM(PORTEFEUILLE_DELPHINE[[#This Row],[PCR COMPTABLE €]:[MONTANT
RESPONSABLE RELATION CLIENT €]])-PORTEFEUILLE_DELPHINE[[#This Row],[MONTANT TOTAL LETTRE DE MISION €]]</f>
        <v>0</v>
      </c>
      <c r="AI32" s="191"/>
      <c r="AJ32" s="188"/>
      <c r="AK32" s="188"/>
      <c r="AL32" s="188"/>
      <c r="AM32" s="188"/>
      <c r="AN32" s="188"/>
      <c r="AO32" s="188"/>
      <c r="AP32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Q32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R32" s="188" t="str">
        <f>IF(PORTEFEUILLE_DELPHINE[[#This Row],[BONI AAC]]&lt;&gt;0,1,"")</f>
        <v/>
      </c>
      <c r="AS32" s="188" t="str">
        <f>IF(PORTEFEUILLE_DELPHINE[[#This Row],[MALI AAC]]&lt;&gt;0,1,"")</f>
        <v/>
      </c>
      <c r="AT32" s="225">
        <f>IF(AN32&lt;&gt;"",IF((AN32*Paramètres!$H$4)-PORTEFEUILLE_DELPHINE[[#This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€]]-(DELPHINE!AN32*Paramètres!$H$4),0),0)</f>
        <v>0</v>
      </c>
      <c r="AU32" s="225">
        <f>IF(AN32&lt;&gt;"",IF(((AN32*Paramètres!$H$4)-PORTEFEUILLE_DELPHINE[[#This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€]])&gt;0,(AN32*Paramètres!$H$4)-PORTEFEUILLE_DELPHINE[[#This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V32" s="190" t="str">
        <f>IF(PORTEFEUILLE_DELPHINE[[#This Row],[BONI COMPTABLE]]&lt;&gt;0,1,"")</f>
        <v/>
      </c>
      <c r="AW32" s="190" t="str">
        <f>IF(PORTEFEUILLE_DELPHINE[[#This Row],[MALI COMPTABLE]]&lt;&gt;0,1,"")</f>
        <v/>
      </c>
      <c r="AX32" s="188"/>
      <c r="AY32" s="188"/>
      <c r="AZ32" s="188"/>
      <c r="BA32" s="188"/>
      <c r="BB32" s="188"/>
      <c r="BC32" s="188"/>
      <c r="BD32" s="188"/>
      <c r="BE32" s="192"/>
      <c r="BF32" s="194"/>
      <c r="BG32" s="194"/>
      <c r="BH32" s="195"/>
      <c r="BI32" s="194"/>
    </row>
    <row r="33" spans="1:61" x14ac:dyDescent="0.25">
      <c r="A33" s="172"/>
      <c r="B33" s="177"/>
      <c r="C33" s="165"/>
      <c r="D33" s="171"/>
      <c r="E33" s="189"/>
      <c r="F33" s="188"/>
      <c r="G33" s="188"/>
      <c r="H33" s="189"/>
      <c r="I33" s="188"/>
      <c r="J33" s="189"/>
      <c r="K33" s="190" t="str">
        <f t="shared" si="0"/>
        <v/>
      </c>
      <c r="L33" s="190" t="str">
        <f t="shared" si="1"/>
        <v/>
      </c>
      <c r="M33" s="188"/>
      <c r="N33" s="188"/>
      <c r="O33" s="188"/>
      <c r="P33" s="188"/>
      <c r="Q33" s="188"/>
      <c r="R33" s="188"/>
      <c r="S33" s="214"/>
      <c r="T33" s="208"/>
      <c r="U33" s="220"/>
      <c r="V33" s="220"/>
      <c r="W33" s="220"/>
      <c r="X33" s="220"/>
      <c r="Y33" s="220"/>
      <c r="Z33" s="220"/>
      <c r="AA33" s="220"/>
      <c r="AB33" s="220"/>
      <c r="AC33" s="220"/>
      <c r="AD33" s="220"/>
      <c r="AE33" s="220"/>
      <c r="AF33" s="220"/>
      <c r="AG33" s="219"/>
      <c r="AH33" s="225">
        <f>SUM(PORTEFEUILLE_DELPHINE[[#This Row],[PCR COMPTABLE €]:[MONTANT
RESPONSABLE RELATION CLIENT €]])-PORTEFEUILLE_DELPHINE[[#This Row],[MONTANT TOTAL LETTRE DE MISION €]]</f>
        <v>0</v>
      </c>
      <c r="AI33" s="191"/>
      <c r="AJ33" s="188"/>
      <c r="AK33" s="188"/>
      <c r="AL33" s="196"/>
      <c r="AM33" s="196"/>
      <c r="AN33" s="196"/>
      <c r="AO33" s="196"/>
      <c r="AP33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Q33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R33" s="188" t="str">
        <f>IF(PORTEFEUILLE_DELPHINE[[#This Row],[BONI AAC]]&lt;&gt;0,1,"")</f>
        <v/>
      </c>
      <c r="AS33" s="188" t="str">
        <f>IF(PORTEFEUILLE_DELPHINE[[#This Row],[MALI AAC]]&lt;&gt;0,1,"")</f>
        <v/>
      </c>
      <c r="AT33" s="225">
        <f>IF(AN33&lt;&gt;"",IF((AN33*Paramètres!$H$4)-PORTEFEUILLE_DELPHINE[[#This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€]]-(DELPHINE!AN33*Paramètres!$H$4),0),0)</f>
        <v>0</v>
      </c>
      <c r="AU33" s="225">
        <f>IF(AN33&lt;&gt;"",IF(((AN33*Paramètres!$H$4)-PORTEFEUILLE_DELPHINE[[#This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€]])&gt;0,(AN33*Paramètres!$H$4)-PORTEFEUILLE_DELPHINE[[#This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V33" s="190" t="str">
        <f>IF(PORTEFEUILLE_DELPHINE[[#This Row],[BONI COMPTABLE]]&lt;&gt;0,1,"")</f>
        <v/>
      </c>
      <c r="AW33" s="190" t="str">
        <f>IF(PORTEFEUILLE_DELPHINE[[#This Row],[MALI COMPTABLE]]&lt;&gt;0,1,"")</f>
        <v/>
      </c>
      <c r="AX33" s="196"/>
      <c r="AY33" s="188"/>
      <c r="AZ33" s="188"/>
      <c r="BA33" s="188"/>
      <c r="BB33" s="196"/>
      <c r="BC33" s="196"/>
      <c r="BD33" s="196"/>
      <c r="BE33" s="192"/>
      <c r="BF33" s="194"/>
      <c r="BG33" s="194"/>
      <c r="BH33" s="195"/>
      <c r="BI33" s="194"/>
    </row>
    <row r="34" spans="1:61" x14ac:dyDescent="0.25">
      <c r="A34" s="172"/>
      <c r="B34" s="177"/>
      <c r="C34" s="165"/>
      <c r="D34" s="171"/>
      <c r="E34" s="189"/>
      <c r="F34" s="188"/>
      <c r="G34" s="188"/>
      <c r="H34" s="189"/>
      <c r="I34" s="189"/>
      <c r="J34" s="189"/>
      <c r="K34" s="190" t="str">
        <f t="shared" si="0"/>
        <v/>
      </c>
      <c r="L34" s="190" t="str">
        <f t="shared" si="1"/>
        <v/>
      </c>
      <c r="M34" s="188"/>
      <c r="N34" s="188"/>
      <c r="O34" s="188"/>
      <c r="P34" s="188"/>
      <c r="Q34" s="188"/>
      <c r="R34" s="188"/>
      <c r="S34" s="214"/>
      <c r="T34" s="208"/>
      <c r="U34" s="220"/>
      <c r="V34" s="220"/>
      <c r="W34" s="220"/>
      <c r="X34" s="220"/>
      <c r="Y34" s="220"/>
      <c r="Z34" s="220"/>
      <c r="AA34" s="220"/>
      <c r="AB34" s="220"/>
      <c r="AC34" s="220"/>
      <c r="AD34" s="220"/>
      <c r="AE34" s="220"/>
      <c r="AF34" s="220"/>
      <c r="AG34" s="219"/>
      <c r="AH34" s="225">
        <f>SUM(PORTEFEUILLE_DELPHINE[[#This Row],[PCR COMPTABLE €]:[MONTANT
RESPONSABLE RELATION CLIENT €]])-PORTEFEUILLE_DELPHINE[[#This Row],[MONTANT TOTAL LETTRE DE MISION €]]</f>
        <v>0</v>
      </c>
      <c r="AI34" s="191"/>
      <c r="AJ34" s="188"/>
      <c r="AK34" s="188"/>
      <c r="AL34" s="196"/>
      <c r="AM34" s="196"/>
      <c r="AN34" s="196"/>
      <c r="AO34" s="196"/>
      <c r="AP34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Q34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R34" s="188" t="str">
        <f>IF(PORTEFEUILLE_DELPHINE[[#This Row],[BONI AAC]]&lt;&gt;0,1,"")</f>
        <v/>
      </c>
      <c r="AS34" s="188" t="str">
        <f>IF(PORTEFEUILLE_DELPHINE[[#This Row],[MALI AAC]]&lt;&gt;0,1,"")</f>
        <v/>
      </c>
      <c r="AT34" s="225">
        <f>IF(AN34&lt;&gt;"",IF((AN34*Paramètres!$H$4)-PORTEFEUILLE_DELPHINE[[#This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€]]-(DELPHINE!AN34*Paramètres!$H$4),0),0)</f>
        <v>0</v>
      </c>
      <c r="AU34" s="225">
        <f>IF(AN34&lt;&gt;"",IF(((AN34*Paramètres!$H$4)-PORTEFEUILLE_DELPHINE[[#This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€]])&gt;0,(AN34*Paramètres!$H$4)-PORTEFEUILLE_DELPHINE[[#This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V34" s="190" t="str">
        <f>IF(PORTEFEUILLE_DELPHINE[[#This Row],[BONI COMPTABLE]]&lt;&gt;0,1,"")</f>
        <v/>
      </c>
      <c r="AW34" s="190" t="str">
        <f>IF(PORTEFEUILLE_DELPHINE[[#This Row],[MALI COMPTABLE]]&lt;&gt;0,1,"")</f>
        <v/>
      </c>
      <c r="AX34" s="196"/>
      <c r="AY34" s="188"/>
      <c r="AZ34" s="188"/>
      <c r="BA34" s="188"/>
      <c r="BB34" s="188"/>
      <c r="BC34" s="188"/>
      <c r="BD34" s="188"/>
      <c r="BE34" s="192"/>
      <c r="BF34" s="194"/>
      <c r="BG34" s="194"/>
      <c r="BH34" s="195"/>
      <c r="BI34" s="194"/>
    </row>
    <row r="35" spans="1:61" x14ac:dyDescent="0.25">
      <c r="A35" s="172"/>
      <c r="B35" s="177"/>
      <c r="C35" s="165"/>
      <c r="D35" s="171"/>
      <c r="E35" s="189"/>
      <c r="F35" s="188"/>
      <c r="G35" s="189"/>
      <c r="H35" s="189"/>
      <c r="I35" s="189"/>
      <c r="J35" s="189"/>
      <c r="K35" s="190" t="str">
        <f t="shared" si="0"/>
        <v/>
      </c>
      <c r="L35" s="190" t="str">
        <f t="shared" si="1"/>
        <v/>
      </c>
      <c r="M35" s="188"/>
      <c r="N35" s="188"/>
      <c r="O35" s="188"/>
      <c r="P35" s="188"/>
      <c r="Q35" s="188"/>
      <c r="R35" s="188"/>
      <c r="S35" s="213"/>
      <c r="T35" s="207"/>
      <c r="U35" s="219"/>
      <c r="V35" s="219"/>
      <c r="W35" s="219"/>
      <c r="X35" s="219"/>
      <c r="Y35" s="219"/>
      <c r="Z35" s="219"/>
      <c r="AA35" s="219"/>
      <c r="AB35" s="219"/>
      <c r="AC35" s="219"/>
      <c r="AD35" s="219"/>
      <c r="AE35" s="219"/>
      <c r="AF35" s="219"/>
      <c r="AG35" s="219"/>
      <c r="AH35" s="225">
        <f>SUM(PORTEFEUILLE_DELPHINE[[#This Row],[PCR COMPTABLE €]:[MONTANT
RESPONSABLE RELATION CLIENT €]])-PORTEFEUILLE_DELPHINE[[#This Row],[MONTANT TOTAL LETTRE DE MISION €]]</f>
        <v>0</v>
      </c>
      <c r="AI35" s="191"/>
      <c r="AJ35" s="188"/>
      <c r="AK35" s="188"/>
      <c r="AL35" s="188"/>
      <c r="AM35" s="188"/>
      <c r="AN35" s="188"/>
      <c r="AO35" s="188"/>
      <c r="AP35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Q35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R35" s="188" t="str">
        <f>IF(PORTEFEUILLE_DELPHINE[[#This Row],[BONI AAC]]&lt;&gt;0,1,"")</f>
        <v/>
      </c>
      <c r="AS35" s="188" t="str">
        <f>IF(PORTEFEUILLE_DELPHINE[[#This Row],[MALI AAC]]&lt;&gt;0,1,"")</f>
        <v/>
      </c>
      <c r="AT35" s="225">
        <f>IF(AN35&lt;&gt;"",IF((AN35*Paramètres!$H$4)-PORTEFEUILLE_DELPHINE[[#This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€]]-(DELPHINE!AN35*Paramètres!$H$4),0),0)</f>
        <v>0</v>
      </c>
      <c r="AU35" s="225">
        <f>IF(AN35&lt;&gt;"",IF(((AN35*Paramètres!$H$4)-PORTEFEUILLE_DELPHINE[[#This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€]])&gt;0,(AN35*Paramètres!$H$4)-PORTEFEUILLE_DELPHINE[[#This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V35" s="190" t="str">
        <f>IF(PORTEFEUILLE_DELPHINE[[#This Row],[BONI COMPTABLE]]&lt;&gt;0,1,"")</f>
        <v/>
      </c>
      <c r="AW35" s="190" t="str">
        <f>IF(PORTEFEUILLE_DELPHINE[[#This Row],[MALI COMPTABLE]]&lt;&gt;0,1,"")</f>
        <v/>
      </c>
      <c r="AX35" s="188"/>
      <c r="AY35" s="188"/>
      <c r="AZ35" s="188"/>
      <c r="BA35" s="188"/>
      <c r="BB35" s="188"/>
      <c r="BC35" s="188"/>
      <c r="BD35" s="188"/>
      <c r="BE35" s="192"/>
      <c r="BF35" s="194"/>
      <c r="BG35" s="194"/>
      <c r="BH35" s="195"/>
      <c r="BI35" s="194"/>
    </row>
    <row r="36" spans="1:61" x14ac:dyDescent="0.25">
      <c r="A36" s="172"/>
      <c r="B36" s="178"/>
      <c r="C36" s="165"/>
      <c r="D36" s="171"/>
      <c r="E36" s="189"/>
      <c r="F36" s="188"/>
      <c r="G36" s="189"/>
      <c r="H36" s="189"/>
      <c r="I36" s="189"/>
      <c r="J36" s="189"/>
      <c r="K36" s="190" t="str">
        <f t="shared" si="0"/>
        <v/>
      </c>
      <c r="L36" s="190" t="str">
        <f t="shared" si="1"/>
        <v/>
      </c>
      <c r="M36" s="188"/>
      <c r="N36" s="188"/>
      <c r="O36" s="188"/>
      <c r="P36" s="188"/>
      <c r="Q36" s="188"/>
      <c r="R36" s="188"/>
      <c r="S36" s="213"/>
      <c r="T36" s="207"/>
      <c r="U36" s="219"/>
      <c r="V36" s="219"/>
      <c r="W36" s="219"/>
      <c r="X36" s="219"/>
      <c r="Y36" s="219"/>
      <c r="Z36" s="219"/>
      <c r="AA36" s="219"/>
      <c r="AB36" s="219"/>
      <c r="AC36" s="219"/>
      <c r="AD36" s="219"/>
      <c r="AE36" s="219"/>
      <c r="AF36" s="219"/>
      <c r="AG36" s="219"/>
      <c r="AH36" s="225">
        <f>SUM(PORTEFEUILLE_DELPHINE[[#This Row],[PCR COMPTABLE €]:[MONTANT
RESPONSABLE RELATION CLIENT €]])-PORTEFEUILLE_DELPHINE[[#This Row],[MONTANT TOTAL LETTRE DE MISION €]]</f>
        <v>0</v>
      </c>
      <c r="AI36" s="191"/>
      <c r="AJ36" s="188"/>
      <c r="AK36" s="188"/>
      <c r="AL36" s="188"/>
      <c r="AM36" s="188"/>
      <c r="AN36" s="188"/>
      <c r="AO36" s="188"/>
      <c r="AP36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Q36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R36" s="188" t="str">
        <f>IF(PORTEFEUILLE_DELPHINE[[#This Row],[BONI AAC]]&lt;&gt;0,1,"")</f>
        <v/>
      </c>
      <c r="AS36" s="188" t="str">
        <f>IF(PORTEFEUILLE_DELPHINE[[#This Row],[MALI AAC]]&lt;&gt;0,1,"")</f>
        <v/>
      </c>
      <c r="AT36" s="225">
        <f>IF(AN36&lt;&gt;"",IF((AN36*Paramètres!$H$4)-PORTEFEUILLE_DELPHINE[[#This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€]]-(DELPHINE!AN36*Paramètres!$H$4),0),0)</f>
        <v>0</v>
      </c>
      <c r="AU36" s="225">
        <f>IF(AN36&lt;&gt;"",IF(((AN36*Paramètres!$H$4)-PORTEFEUILLE_DELPHINE[[#This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€]])&gt;0,(AN36*Paramètres!$H$4)-PORTEFEUILLE_DELPHINE[[#This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V36" s="190" t="str">
        <f>IF(PORTEFEUILLE_DELPHINE[[#This Row],[BONI COMPTABLE]]&lt;&gt;0,1,"")</f>
        <v/>
      </c>
      <c r="AW36" s="190" t="str">
        <f>IF(PORTEFEUILLE_DELPHINE[[#This Row],[MALI COMPTABLE]]&lt;&gt;0,1,"")</f>
        <v/>
      </c>
      <c r="AX36" s="188"/>
      <c r="AY36" s="188"/>
      <c r="AZ36" s="188"/>
      <c r="BA36" s="188"/>
      <c r="BB36" s="196"/>
      <c r="BC36" s="196"/>
      <c r="BD36" s="196"/>
      <c r="BE36" s="192"/>
      <c r="BF36" s="194"/>
      <c r="BG36" s="194"/>
      <c r="BH36" s="195"/>
      <c r="BI36" s="194"/>
    </row>
    <row r="37" spans="1:61" x14ac:dyDescent="0.25">
      <c r="A37" s="172"/>
      <c r="B37" s="178"/>
      <c r="C37" s="165"/>
      <c r="D37" s="171"/>
      <c r="E37" s="189"/>
      <c r="F37" s="188"/>
      <c r="G37" s="189"/>
      <c r="H37" s="189"/>
      <c r="I37" s="189"/>
      <c r="J37" s="189"/>
      <c r="K37" s="190" t="str">
        <f t="shared" si="0"/>
        <v/>
      </c>
      <c r="L37" s="190" t="str">
        <f t="shared" si="1"/>
        <v/>
      </c>
      <c r="M37" s="188"/>
      <c r="N37" s="188"/>
      <c r="O37" s="188"/>
      <c r="P37" s="188"/>
      <c r="Q37" s="188"/>
      <c r="R37" s="188"/>
      <c r="S37" s="213"/>
      <c r="T37" s="207"/>
      <c r="U37" s="219"/>
      <c r="V37" s="219"/>
      <c r="W37" s="219"/>
      <c r="X37" s="219"/>
      <c r="Y37" s="219"/>
      <c r="Z37" s="219"/>
      <c r="AA37" s="219"/>
      <c r="AB37" s="219"/>
      <c r="AC37" s="219"/>
      <c r="AD37" s="219"/>
      <c r="AE37" s="219"/>
      <c r="AF37" s="219"/>
      <c r="AG37" s="219"/>
      <c r="AH37" s="225">
        <f>SUM(PORTEFEUILLE_DELPHINE[[#This Row],[PCR COMPTABLE €]:[MONTANT
RESPONSABLE RELATION CLIENT €]])-PORTEFEUILLE_DELPHINE[[#This Row],[MONTANT TOTAL LETTRE DE MISION €]]</f>
        <v>0</v>
      </c>
      <c r="AI37" s="191"/>
      <c r="AJ37" s="188"/>
      <c r="AK37" s="188"/>
      <c r="AL37" s="188"/>
      <c r="AM37" s="188"/>
      <c r="AN37" s="188"/>
      <c r="AO37" s="188"/>
      <c r="AP37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Q37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R37" s="188" t="str">
        <f>IF(PORTEFEUILLE_DELPHINE[[#This Row],[BONI AAC]]&lt;&gt;0,1,"")</f>
        <v/>
      </c>
      <c r="AS37" s="188" t="str">
        <f>IF(PORTEFEUILLE_DELPHINE[[#This Row],[MALI AAC]]&lt;&gt;0,1,"")</f>
        <v/>
      </c>
      <c r="AT37" s="225">
        <f>IF(AN37&lt;&gt;"",IF((AN37*Paramètres!$H$4)-PORTEFEUILLE_DELPHINE[[#This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€]]-(DELPHINE!AN37*Paramètres!$H$4),0),0)</f>
        <v>0</v>
      </c>
      <c r="AU37" s="225">
        <f>IF(AN37&lt;&gt;"",IF(((AN37*Paramètres!$H$4)-PORTEFEUILLE_DELPHINE[[#This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€]])&gt;0,(AN37*Paramètres!$H$4)-PORTEFEUILLE_DELPHINE[[#This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V37" s="190" t="str">
        <f>IF(PORTEFEUILLE_DELPHINE[[#This Row],[BONI COMPTABLE]]&lt;&gt;0,1,"")</f>
        <v/>
      </c>
      <c r="AW37" s="190" t="str">
        <f>IF(PORTEFEUILLE_DELPHINE[[#This Row],[MALI COMPTABLE]]&lt;&gt;0,1,"")</f>
        <v/>
      </c>
      <c r="AX37" s="188"/>
      <c r="AY37" s="188"/>
      <c r="AZ37" s="188"/>
      <c r="BA37" s="188"/>
      <c r="BB37" s="196"/>
      <c r="BC37" s="196"/>
      <c r="BD37" s="196"/>
      <c r="BE37" s="192"/>
      <c r="BF37" s="194"/>
      <c r="BG37" s="194"/>
      <c r="BH37" s="195"/>
      <c r="BI37" s="194"/>
    </row>
    <row r="38" spans="1:61" x14ac:dyDescent="0.25">
      <c r="A38" s="172"/>
      <c r="B38" s="179"/>
      <c r="C38" s="165"/>
      <c r="D38" s="171"/>
      <c r="E38" s="189"/>
      <c r="F38" s="188"/>
      <c r="G38" s="188"/>
      <c r="H38" s="189"/>
      <c r="I38" s="189"/>
      <c r="J38" s="199"/>
      <c r="K38" s="190" t="str">
        <f t="shared" si="0"/>
        <v/>
      </c>
      <c r="L38" s="190" t="str">
        <f t="shared" si="1"/>
        <v/>
      </c>
      <c r="M38" s="188"/>
      <c r="N38" s="188"/>
      <c r="O38" s="188"/>
      <c r="P38" s="188"/>
      <c r="Q38" s="188"/>
      <c r="R38" s="188"/>
      <c r="S38" s="213"/>
      <c r="T38" s="207"/>
      <c r="U38" s="219"/>
      <c r="V38" s="219"/>
      <c r="W38" s="219"/>
      <c r="X38" s="219"/>
      <c r="Y38" s="219"/>
      <c r="Z38" s="219"/>
      <c r="AA38" s="219"/>
      <c r="AB38" s="219"/>
      <c r="AC38" s="219"/>
      <c r="AD38" s="219"/>
      <c r="AE38" s="219"/>
      <c r="AF38" s="219"/>
      <c r="AG38" s="219"/>
      <c r="AH38" s="225">
        <f>SUM(PORTEFEUILLE_DELPHINE[[#This Row],[PCR COMPTABLE €]:[MONTANT
RESPONSABLE RELATION CLIENT €]])-PORTEFEUILLE_DELPHINE[[#This Row],[MONTANT TOTAL LETTRE DE MISION €]]</f>
        <v>0</v>
      </c>
      <c r="AI38" s="191"/>
      <c r="AJ38" s="188"/>
      <c r="AK38" s="188"/>
      <c r="AL38" s="188"/>
      <c r="AM38" s="188"/>
      <c r="AN38" s="188"/>
      <c r="AO38" s="188"/>
      <c r="AP38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Q38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R38" s="188" t="str">
        <f>IF(PORTEFEUILLE_DELPHINE[[#This Row],[BONI AAC]]&lt;&gt;0,1,"")</f>
        <v/>
      </c>
      <c r="AS38" s="188" t="str">
        <f>IF(PORTEFEUILLE_DELPHINE[[#This Row],[MALI AAC]]&lt;&gt;0,1,"")</f>
        <v/>
      </c>
      <c r="AT38" s="225">
        <f>IF(AN38&lt;&gt;"",IF((AN38*Paramètres!$H$4)-PORTEFEUILLE_DELPHINE[[#This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€]]-(DELPHINE!AN38*Paramètres!$H$4),0),0)</f>
        <v>0</v>
      </c>
      <c r="AU38" s="225">
        <f>IF(AN38&lt;&gt;"",IF(((AN38*Paramètres!$H$4)-PORTEFEUILLE_DELPHINE[[#This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€]])&gt;0,(AN38*Paramètres!$H$4)-PORTEFEUILLE_DELPHINE[[#This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V38" s="190" t="str">
        <f>IF(PORTEFEUILLE_DELPHINE[[#This Row],[BONI COMPTABLE]]&lt;&gt;0,1,"")</f>
        <v/>
      </c>
      <c r="AW38" s="190" t="str">
        <f>IF(PORTEFEUILLE_DELPHINE[[#This Row],[MALI COMPTABLE]]&lt;&gt;0,1,"")</f>
        <v/>
      </c>
      <c r="AX38" s="188"/>
      <c r="AY38" s="188"/>
      <c r="AZ38" s="188"/>
      <c r="BA38" s="188"/>
      <c r="BB38" s="196"/>
      <c r="BC38" s="196"/>
      <c r="BD38" s="196"/>
      <c r="BE38" s="192"/>
      <c r="BF38" s="194"/>
      <c r="BG38" s="194"/>
      <c r="BH38" s="195"/>
      <c r="BI38" s="194"/>
    </row>
    <row r="39" spans="1:61" x14ac:dyDescent="0.25">
      <c r="A39" s="172"/>
      <c r="B39" s="180"/>
      <c r="C39" s="165"/>
      <c r="D39" s="171"/>
      <c r="E39" s="189"/>
      <c r="F39" s="188"/>
      <c r="G39" s="189"/>
      <c r="H39" s="189"/>
      <c r="I39" s="189"/>
      <c r="J39" s="189"/>
      <c r="K39" s="190" t="str">
        <f t="shared" si="0"/>
        <v/>
      </c>
      <c r="L39" s="190" t="str">
        <f t="shared" si="1"/>
        <v/>
      </c>
      <c r="M39" s="188"/>
      <c r="N39" s="188"/>
      <c r="O39" s="188"/>
      <c r="P39" s="188"/>
      <c r="Q39" s="188"/>
      <c r="R39" s="188"/>
      <c r="S39" s="213"/>
      <c r="T39" s="207"/>
      <c r="U39" s="219"/>
      <c r="V39" s="219"/>
      <c r="W39" s="219"/>
      <c r="X39" s="219"/>
      <c r="Y39" s="219"/>
      <c r="Z39" s="219"/>
      <c r="AA39" s="219"/>
      <c r="AB39" s="219"/>
      <c r="AC39" s="219"/>
      <c r="AD39" s="219"/>
      <c r="AE39" s="219"/>
      <c r="AF39" s="219"/>
      <c r="AG39" s="219"/>
      <c r="AH39" s="225">
        <f>SUM(PORTEFEUILLE_DELPHINE[[#This Row],[PCR COMPTABLE €]:[MONTANT
RESPONSABLE RELATION CLIENT €]])-PORTEFEUILLE_DELPHINE[[#This Row],[MONTANT TOTAL LETTRE DE MISION €]]</f>
        <v>0</v>
      </c>
      <c r="AI39" s="191"/>
      <c r="AJ39" s="188"/>
      <c r="AK39" s="188"/>
      <c r="AL39" s="188"/>
      <c r="AM39" s="188"/>
      <c r="AN39" s="188"/>
      <c r="AO39" s="188"/>
      <c r="AP39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Q39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R39" s="188" t="str">
        <f>IF(PORTEFEUILLE_DELPHINE[[#This Row],[BONI AAC]]&lt;&gt;0,1,"")</f>
        <v/>
      </c>
      <c r="AS39" s="188" t="str">
        <f>IF(PORTEFEUILLE_DELPHINE[[#This Row],[MALI AAC]]&lt;&gt;0,1,"")</f>
        <v/>
      </c>
      <c r="AT39" s="225">
        <f>IF(AN39&lt;&gt;"",IF((AN39*Paramètres!$H$4)-PORTEFEUILLE_DELPHINE[[#This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€]]-(DELPHINE!AN39*Paramètres!$H$4),0),0)</f>
        <v>0</v>
      </c>
      <c r="AU39" s="225">
        <f>IF(AN39&lt;&gt;"",IF(((AN39*Paramètres!$H$4)-PORTEFEUILLE_DELPHINE[[#This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€]])&gt;0,(AN39*Paramètres!$H$4)-PORTEFEUILLE_DELPHINE[[#This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V39" s="190" t="str">
        <f>IF(PORTEFEUILLE_DELPHINE[[#This Row],[BONI COMPTABLE]]&lt;&gt;0,1,"")</f>
        <v/>
      </c>
      <c r="AW39" s="190" t="str">
        <f>IF(PORTEFEUILLE_DELPHINE[[#This Row],[MALI COMPTABLE]]&lt;&gt;0,1,"")</f>
        <v/>
      </c>
      <c r="AX39" s="188"/>
      <c r="AY39" s="188"/>
      <c r="AZ39" s="188"/>
      <c r="BA39" s="188"/>
      <c r="BB39" s="188"/>
      <c r="BC39" s="188"/>
      <c r="BD39" s="188"/>
      <c r="BE39" s="192"/>
      <c r="BF39" s="194"/>
      <c r="BG39" s="194"/>
      <c r="BH39" s="195"/>
      <c r="BI39" s="194"/>
    </row>
    <row r="40" spans="1:61" x14ac:dyDescent="0.25">
      <c r="A40" s="172"/>
      <c r="B40" s="178"/>
      <c r="C40" s="165"/>
      <c r="D40" s="171"/>
      <c r="E40" s="189"/>
      <c r="F40" s="188"/>
      <c r="G40" s="189"/>
      <c r="H40" s="189"/>
      <c r="I40" s="189"/>
      <c r="J40" s="189"/>
      <c r="K40" s="190" t="str">
        <f t="shared" si="0"/>
        <v/>
      </c>
      <c r="L40" s="190" t="str">
        <f t="shared" si="1"/>
        <v/>
      </c>
      <c r="M40" s="188"/>
      <c r="N40" s="188"/>
      <c r="O40" s="188"/>
      <c r="P40" s="188"/>
      <c r="Q40" s="188"/>
      <c r="R40" s="188"/>
      <c r="S40" s="213"/>
      <c r="T40" s="207"/>
      <c r="U40" s="219"/>
      <c r="V40" s="219"/>
      <c r="W40" s="219"/>
      <c r="X40" s="219"/>
      <c r="Y40" s="219"/>
      <c r="Z40" s="219"/>
      <c r="AA40" s="219"/>
      <c r="AB40" s="219"/>
      <c r="AC40" s="219"/>
      <c r="AD40" s="219"/>
      <c r="AE40" s="219"/>
      <c r="AF40" s="219"/>
      <c r="AG40" s="219"/>
      <c r="AH40" s="225">
        <f>SUM(PORTEFEUILLE_DELPHINE[[#This Row],[PCR COMPTABLE €]:[MONTANT
RESPONSABLE RELATION CLIENT €]])-PORTEFEUILLE_DELPHINE[[#This Row],[MONTANT TOTAL LETTRE DE MISION €]]</f>
        <v>0</v>
      </c>
      <c r="AI40" s="191"/>
      <c r="AJ40" s="188"/>
      <c r="AK40" s="188"/>
      <c r="AL40" s="188"/>
      <c r="AM40" s="188"/>
      <c r="AN40" s="188"/>
      <c r="AO40" s="188"/>
      <c r="AP40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Q40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R40" s="188" t="str">
        <f>IF(PORTEFEUILLE_DELPHINE[[#This Row],[BONI AAC]]&lt;&gt;0,1,"")</f>
        <v/>
      </c>
      <c r="AS40" s="188" t="str">
        <f>IF(PORTEFEUILLE_DELPHINE[[#This Row],[MALI AAC]]&lt;&gt;0,1,"")</f>
        <v/>
      </c>
      <c r="AT40" s="225">
        <f>IF(AN40&lt;&gt;"",IF((AN40*Paramètres!$H$4)-PORTEFEUILLE_DELPHINE[[#This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€]]-(DELPHINE!AN40*Paramètres!$H$4),0),0)</f>
        <v>0</v>
      </c>
      <c r="AU40" s="225">
        <f>IF(AN40&lt;&gt;"",IF(((AN40*Paramètres!$H$4)-PORTEFEUILLE_DELPHINE[[#This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€]])&gt;0,(AN40*Paramètres!$H$4)-PORTEFEUILLE_DELPHINE[[#This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V40" s="190" t="str">
        <f>IF(PORTEFEUILLE_DELPHINE[[#This Row],[BONI COMPTABLE]]&lt;&gt;0,1,"")</f>
        <v/>
      </c>
      <c r="AW40" s="190" t="str">
        <f>IF(PORTEFEUILLE_DELPHINE[[#This Row],[MALI COMPTABLE]]&lt;&gt;0,1,"")</f>
        <v/>
      </c>
      <c r="AX40" s="188"/>
      <c r="AY40" s="188"/>
      <c r="AZ40" s="188"/>
      <c r="BA40" s="188"/>
      <c r="BB40" s="188"/>
      <c r="BC40" s="188"/>
      <c r="BD40" s="188"/>
      <c r="BE40" s="192"/>
      <c r="BF40" s="194"/>
      <c r="BG40" s="194"/>
      <c r="BH40" s="195"/>
      <c r="BI40" s="194"/>
    </row>
    <row r="41" spans="1:61" x14ac:dyDescent="0.25">
      <c r="A41" s="172"/>
      <c r="B41" s="178"/>
      <c r="C41" s="165"/>
      <c r="D41" s="171"/>
      <c r="E41" s="189"/>
      <c r="F41" s="188"/>
      <c r="G41" s="188"/>
      <c r="H41" s="189"/>
      <c r="I41" s="189"/>
      <c r="J41" s="189"/>
      <c r="K41" s="190" t="str">
        <f t="shared" si="0"/>
        <v/>
      </c>
      <c r="L41" s="190" t="str">
        <f t="shared" si="1"/>
        <v/>
      </c>
      <c r="M41" s="188"/>
      <c r="N41" s="188"/>
      <c r="O41" s="188"/>
      <c r="P41" s="188"/>
      <c r="Q41" s="188"/>
      <c r="R41" s="188"/>
      <c r="S41" s="214"/>
      <c r="T41" s="208"/>
      <c r="U41" s="220"/>
      <c r="V41" s="220"/>
      <c r="W41" s="220"/>
      <c r="X41" s="220"/>
      <c r="Y41" s="220"/>
      <c r="Z41" s="220"/>
      <c r="AA41" s="220"/>
      <c r="AB41" s="220"/>
      <c r="AC41" s="220"/>
      <c r="AD41" s="220"/>
      <c r="AE41" s="220"/>
      <c r="AF41" s="220"/>
      <c r="AG41" s="219"/>
      <c r="AH41" s="225">
        <f>SUM(PORTEFEUILLE_DELPHINE[[#This Row],[PCR COMPTABLE €]:[MONTANT
RESPONSABLE RELATION CLIENT €]])-PORTEFEUILLE_DELPHINE[[#This Row],[MONTANT TOTAL LETTRE DE MISION €]]</f>
        <v>0</v>
      </c>
      <c r="AI41" s="191"/>
      <c r="AJ41" s="188"/>
      <c r="AK41" s="188"/>
      <c r="AL41" s="196"/>
      <c r="AM41" s="196"/>
      <c r="AN41" s="196"/>
      <c r="AO41" s="196"/>
      <c r="AP41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Q41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R41" s="188" t="str">
        <f>IF(PORTEFEUILLE_DELPHINE[[#This Row],[BONI AAC]]&lt;&gt;0,1,"")</f>
        <v/>
      </c>
      <c r="AS41" s="188" t="str">
        <f>IF(PORTEFEUILLE_DELPHINE[[#This Row],[MALI AAC]]&lt;&gt;0,1,"")</f>
        <v/>
      </c>
      <c r="AT41" s="225">
        <f>IF(AN41&lt;&gt;"",IF((AN41*Paramètres!$H$4)-PORTEFEUILLE_DELPHINE[[#This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€]]-(DELPHINE!AN41*Paramètres!$H$4),0),0)</f>
        <v>0</v>
      </c>
      <c r="AU41" s="225">
        <f>IF(AN41&lt;&gt;"",IF(((AN41*Paramètres!$H$4)-PORTEFEUILLE_DELPHINE[[#This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€]])&gt;0,(AN41*Paramètres!$H$4)-PORTEFEUILLE_DELPHINE[[#This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V41" s="190" t="str">
        <f>IF(PORTEFEUILLE_DELPHINE[[#This Row],[BONI COMPTABLE]]&lt;&gt;0,1,"")</f>
        <v/>
      </c>
      <c r="AW41" s="190" t="str">
        <f>IF(PORTEFEUILLE_DELPHINE[[#This Row],[MALI COMPTABLE]]&lt;&gt;0,1,"")</f>
        <v/>
      </c>
      <c r="AX41" s="196"/>
      <c r="AY41" s="188"/>
      <c r="AZ41" s="188"/>
      <c r="BA41" s="188"/>
      <c r="BB41" s="188"/>
      <c r="BC41" s="188"/>
      <c r="BD41" s="188"/>
      <c r="BE41" s="192"/>
      <c r="BF41" s="194"/>
      <c r="BG41" s="194"/>
      <c r="BH41" s="195"/>
      <c r="BI41" s="194"/>
    </row>
    <row r="42" spans="1:61" x14ac:dyDescent="0.25">
      <c r="A42" s="172"/>
      <c r="B42" s="178"/>
      <c r="C42" s="165"/>
      <c r="D42" s="171"/>
      <c r="E42" s="189"/>
      <c r="F42" s="188"/>
      <c r="G42" s="188"/>
      <c r="H42" s="189"/>
      <c r="I42" s="188"/>
      <c r="J42" s="189"/>
      <c r="K42" s="190" t="str">
        <f t="shared" si="0"/>
        <v/>
      </c>
      <c r="L42" s="190" t="str">
        <f t="shared" si="1"/>
        <v/>
      </c>
      <c r="M42" s="188"/>
      <c r="N42" s="188"/>
      <c r="O42" s="188"/>
      <c r="P42" s="188"/>
      <c r="Q42" s="188"/>
      <c r="R42" s="188"/>
      <c r="S42" s="214"/>
      <c r="T42" s="208"/>
      <c r="U42" s="220"/>
      <c r="V42" s="220"/>
      <c r="W42" s="220"/>
      <c r="X42" s="220"/>
      <c r="Y42" s="220"/>
      <c r="Z42" s="220"/>
      <c r="AA42" s="220"/>
      <c r="AB42" s="220"/>
      <c r="AC42" s="220"/>
      <c r="AD42" s="220"/>
      <c r="AE42" s="220"/>
      <c r="AF42" s="220"/>
      <c r="AG42" s="219"/>
      <c r="AH42" s="225">
        <f>SUM(PORTEFEUILLE_DELPHINE[[#This Row],[PCR COMPTABLE €]:[MONTANT
RESPONSABLE RELATION CLIENT €]])-PORTEFEUILLE_DELPHINE[[#This Row],[MONTANT TOTAL LETTRE DE MISION €]]</f>
        <v>0</v>
      </c>
      <c r="AI42" s="191"/>
      <c r="AJ42" s="188"/>
      <c r="AK42" s="188"/>
      <c r="AL42" s="196"/>
      <c r="AM42" s="196"/>
      <c r="AN42" s="196"/>
      <c r="AO42" s="196"/>
      <c r="AP42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Q42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R42" s="188" t="str">
        <f>IF(PORTEFEUILLE_DELPHINE[[#This Row],[BONI AAC]]&lt;&gt;0,1,"")</f>
        <v/>
      </c>
      <c r="AS42" s="188" t="str">
        <f>IF(PORTEFEUILLE_DELPHINE[[#This Row],[MALI AAC]]&lt;&gt;0,1,"")</f>
        <v/>
      </c>
      <c r="AT42" s="225">
        <f>IF(AN42&lt;&gt;"",IF((AN42*Paramètres!$H$4)-PORTEFEUILLE_DELPHINE[[#This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€]]-(DELPHINE!AN42*Paramètres!$H$4),0),0)</f>
        <v>0</v>
      </c>
      <c r="AU42" s="225">
        <f>IF(AN42&lt;&gt;"",IF(((AN42*Paramètres!$H$4)-PORTEFEUILLE_DELPHINE[[#This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€]])&gt;0,(AN42*Paramètres!$H$4)-PORTEFEUILLE_DELPHINE[[#This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V42" s="190" t="str">
        <f>IF(PORTEFEUILLE_DELPHINE[[#This Row],[BONI COMPTABLE]]&lt;&gt;0,1,"")</f>
        <v/>
      </c>
      <c r="AW42" s="190" t="str">
        <f>IF(PORTEFEUILLE_DELPHINE[[#This Row],[MALI COMPTABLE]]&lt;&gt;0,1,"")</f>
        <v/>
      </c>
      <c r="AX42" s="196"/>
      <c r="AY42" s="188"/>
      <c r="AZ42" s="188"/>
      <c r="BA42" s="188"/>
      <c r="BB42" s="196"/>
      <c r="BC42" s="196"/>
      <c r="BD42" s="196"/>
      <c r="BE42" s="192"/>
      <c r="BF42" s="194"/>
      <c r="BG42" s="194"/>
      <c r="BH42" s="195"/>
      <c r="BI42" s="194"/>
    </row>
    <row r="43" spans="1:61" x14ac:dyDescent="0.25">
      <c r="A43" s="172"/>
      <c r="B43" s="178"/>
      <c r="C43" s="165"/>
      <c r="D43" s="171"/>
      <c r="E43" s="189"/>
      <c r="F43" s="188"/>
      <c r="G43" s="189"/>
      <c r="H43" s="189"/>
      <c r="I43" s="189"/>
      <c r="J43" s="189"/>
      <c r="K43" s="190" t="str">
        <f t="shared" si="0"/>
        <v/>
      </c>
      <c r="L43" s="190" t="str">
        <f t="shared" si="1"/>
        <v/>
      </c>
      <c r="M43" s="188"/>
      <c r="N43" s="188"/>
      <c r="O43" s="188"/>
      <c r="P43" s="188"/>
      <c r="Q43" s="188"/>
      <c r="R43" s="188"/>
      <c r="S43" s="213"/>
      <c r="T43" s="207"/>
      <c r="U43" s="219"/>
      <c r="V43" s="219"/>
      <c r="W43" s="219"/>
      <c r="X43" s="219"/>
      <c r="Y43" s="219"/>
      <c r="Z43" s="219"/>
      <c r="AA43" s="219"/>
      <c r="AB43" s="219"/>
      <c r="AC43" s="219"/>
      <c r="AD43" s="219"/>
      <c r="AE43" s="219"/>
      <c r="AF43" s="219"/>
      <c r="AG43" s="219"/>
      <c r="AH43" s="225">
        <f>SUM(PORTEFEUILLE_DELPHINE[[#This Row],[PCR COMPTABLE €]:[MONTANT
RESPONSABLE RELATION CLIENT €]])-PORTEFEUILLE_DELPHINE[[#This Row],[MONTANT TOTAL LETTRE DE MISION €]]</f>
        <v>0</v>
      </c>
      <c r="AI43" s="191"/>
      <c r="AJ43" s="188"/>
      <c r="AK43" s="188"/>
      <c r="AL43" s="188"/>
      <c r="AM43" s="188"/>
      <c r="AN43" s="188"/>
      <c r="AO43" s="188"/>
      <c r="AP43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Q43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R43" s="188" t="str">
        <f>IF(PORTEFEUILLE_DELPHINE[[#This Row],[BONI AAC]]&lt;&gt;0,1,"")</f>
        <v/>
      </c>
      <c r="AS43" s="188" t="str">
        <f>IF(PORTEFEUILLE_DELPHINE[[#This Row],[MALI AAC]]&lt;&gt;0,1,"")</f>
        <v/>
      </c>
      <c r="AT43" s="225">
        <f>IF(AN43&lt;&gt;"",IF((AN43*Paramètres!$H$4)-PORTEFEUILLE_DELPHINE[[#This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€]]-(DELPHINE!AN43*Paramètres!$H$4),0),0)</f>
        <v>0</v>
      </c>
      <c r="AU43" s="225">
        <f>IF(AN43&lt;&gt;"",IF(((AN43*Paramètres!$H$4)-PORTEFEUILLE_DELPHINE[[#This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€]])&gt;0,(AN43*Paramètres!$H$4)-PORTEFEUILLE_DELPHINE[[#This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V43" s="190" t="str">
        <f>IF(PORTEFEUILLE_DELPHINE[[#This Row],[BONI COMPTABLE]]&lt;&gt;0,1,"")</f>
        <v/>
      </c>
      <c r="AW43" s="190" t="str">
        <f>IF(PORTEFEUILLE_DELPHINE[[#This Row],[MALI COMPTABLE]]&lt;&gt;0,1,"")</f>
        <v/>
      </c>
      <c r="AX43" s="188"/>
      <c r="AY43" s="188"/>
      <c r="AZ43" s="188"/>
      <c r="BA43" s="188"/>
      <c r="BB43" s="196"/>
      <c r="BC43" s="196"/>
      <c r="BD43" s="196"/>
      <c r="BE43" s="192"/>
      <c r="BF43" s="194"/>
      <c r="BG43" s="194"/>
      <c r="BH43" s="195"/>
      <c r="BI43" s="194"/>
    </row>
    <row r="44" spans="1:61" customFormat="1" x14ac:dyDescent="0.25">
      <c r="A44" s="172"/>
      <c r="B44" s="181"/>
      <c r="C44" s="165"/>
      <c r="D44" s="165"/>
      <c r="E44" s="189"/>
      <c r="F44" s="188"/>
      <c r="G44" s="189"/>
      <c r="H44" s="189"/>
      <c r="I44" s="189"/>
      <c r="J44" s="199"/>
      <c r="K44" s="190" t="str">
        <f t="shared" si="0"/>
        <v/>
      </c>
      <c r="L44" s="190" t="str">
        <f t="shared" si="1"/>
        <v/>
      </c>
      <c r="M44" s="188"/>
      <c r="N44" s="188"/>
      <c r="O44" s="188"/>
      <c r="P44" s="188"/>
      <c r="Q44" s="188"/>
      <c r="R44" s="188"/>
      <c r="S44" s="213"/>
      <c r="T44" s="207"/>
      <c r="U44" s="219"/>
      <c r="V44" s="219"/>
      <c r="W44" s="219"/>
      <c r="X44" s="219"/>
      <c r="Y44" s="219"/>
      <c r="Z44" s="219"/>
      <c r="AA44" s="219"/>
      <c r="AB44" s="219"/>
      <c r="AC44" s="219"/>
      <c r="AD44" s="219"/>
      <c r="AE44" s="219"/>
      <c r="AF44" s="219"/>
      <c r="AG44" s="219"/>
      <c r="AH44" s="225">
        <f>SUM(PORTEFEUILLE_DELPHINE[[#This Row],[PCR COMPTABLE €]:[MONTANT
RESPONSABLE RELATION CLIENT €]])-PORTEFEUILLE_DELPHINE[[#This Row],[MONTANT TOTAL LETTRE DE MISION €]]</f>
        <v>0</v>
      </c>
      <c r="AI44" s="191"/>
      <c r="AJ44" s="188"/>
      <c r="AK44" s="188"/>
      <c r="AL44" s="188"/>
      <c r="AM44" s="188"/>
      <c r="AN44" s="188"/>
      <c r="AO44" s="188"/>
      <c r="AP44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Q44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R44" s="188" t="str">
        <f>IF(PORTEFEUILLE_DELPHINE[[#This Row],[BONI AAC]]&lt;&gt;0,1,"")</f>
        <v/>
      </c>
      <c r="AS44" s="188" t="str">
        <f>IF(PORTEFEUILLE_DELPHINE[[#This Row],[MALI AAC]]&lt;&gt;0,1,"")</f>
        <v/>
      </c>
      <c r="AT44" s="225">
        <f>IF(AN44&lt;&gt;"",IF((AN44*Paramètres!$H$4)-PORTEFEUILLE_DELPHINE[[#This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€]]-(DELPHINE!AN44*Paramètres!$H$4),0),0)</f>
        <v>0</v>
      </c>
      <c r="AU44" s="225">
        <f>IF(AN44&lt;&gt;"",IF(((AN44*Paramètres!$H$4)-PORTEFEUILLE_DELPHINE[[#This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€]])&gt;0,(AN44*Paramètres!$H$4)-PORTEFEUILLE_DELPHINE[[#This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V44" s="190" t="str">
        <f>IF(PORTEFEUILLE_DELPHINE[[#This Row],[BONI COMPTABLE]]&lt;&gt;0,1,"")</f>
        <v/>
      </c>
      <c r="AW44" s="190" t="str">
        <f>IF(PORTEFEUILLE_DELPHINE[[#This Row],[MALI COMPTABLE]]&lt;&gt;0,1,"")</f>
        <v/>
      </c>
      <c r="AX44" s="188"/>
      <c r="AY44" s="188"/>
      <c r="AZ44" s="188"/>
      <c r="BA44" s="188"/>
      <c r="BB44" s="196"/>
      <c r="BC44" s="196"/>
      <c r="BD44" s="196"/>
      <c r="BE44" s="192"/>
      <c r="BF44" s="194"/>
      <c r="BG44" s="194"/>
      <c r="BH44" s="195"/>
      <c r="BI44" s="194"/>
    </row>
    <row r="45" spans="1:61" x14ac:dyDescent="0.25">
      <c r="A45" s="172"/>
      <c r="B45" s="181"/>
      <c r="C45" s="165"/>
      <c r="D45" s="165"/>
      <c r="E45" s="189"/>
      <c r="F45" s="188"/>
      <c r="G45" s="189"/>
      <c r="H45" s="189"/>
      <c r="I45" s="189"/>
      <c r="J45" s="189"/>
      <c r="K45" s="190" t="str">
        <f t="shared" si="0"/>
        <v/>
      </c>
      <c r="L45" s="190" t="str">
        <f t="shared" si="1"/>
        <v/>
      </c>
      <c r="M45" s="188"/>
      <c r="N45" s="188"/>
      <c r="O45" s="188"/>
      <c r="P45" s="188"/>
      <c r="Q45" s="188"/>
      <c r="R45" s="188"/>
      <c r="S45" s="213"/>
      <c r="T45" s="207"/>
      <c r="U45" s="219"/>
      <c r="V45" s="219"/>
      <c r="W45" s="219"/>
      <c r="X45" s="219"/>
      <c r="Y45" s="219"/>
      <c r="Z45" s="219"/>
      <c r="AA45" s="219"/>
      <c r="AB45" s="219"/>
      <c r="AC45" s="219"/>
      <c r="AD45" s="219"/>
      <c r="AE45" s="219"/>
      <c r="AF45" s="219"/>
      <c r="AG45" s="219"/>
      <c r="AH45" s="225">
        <f>SUM(PORTEFEUILLE_DELPHINE[[#This Row],[PCR COMPTABLE €]:[MONTANT
RESPONSABLE RELATION CLIENT €]])-PORTEFEUILLE_DELPHINE[[#This Row],[MONTANT TOTAL LETTRE DE MISION €]]</f>
        <v>0</v>
      </c>
      <c r="AI45" s="191"/>
      <c r="AJ45" s="188"/>
      <c r="AK45" s="188"/>
      <c r="AL45" s="188"/>
      <c r="AM45" s="188"/>
      <c r="AN45" s="188"/>
      <c r="AO45" s="188"/>
      <c r="AP45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Q45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R45" s="188" t="str">
        <f>IF(PORTEFEUILLE_DELPHINE[[#This Row],[BONI AAC]]&lt;&gt;0,1,"")</f>
        <v/>
      </c>
      <c r="AS45" s="188" t="str">
        <f>IF(PORTEFEUILLE_DELPHINE[[#This Row],[MALI AAC]]&lt;&gt;0,1,"")</f>
        <v/>
      </c>
      <c r="AT45" s="225">
        <f>IF(AN45&lt;&gt;"",IF((AN45*Paramètres!$H$4)-PORTEFEUILLE_DELPHINE[[#This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€]]-(DELPHINE!AN45*Paramètres!$H$4),0),0)</f>
        <v>0</v>
      </c>
      <c r="AU45" s="225">
        <f>IF(AN45&lt;&gt;"",IF(((AN45*Paramètres!$H$4)-PORTEFEUILLE_DELPHINE[[#This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€]])&gt;0,(AN45*Paramètres!$H$4)-PORTEFEUILLE_DELPHINE[[#This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V45" s="190" t="str">
        <f>IF(PORTEFEUILLE_DELPHINE[[#This Row],[BONI COMPTABLE]]&lt;&gt;0,1,"")</f>
        <v/>
      </c>
      <c r="AW45" s="190" t="str">
        <f>IF(PORTEFEUILLE_DELPHINE[[#This Row],[MALI COMPTABLE]]&lt;&gt;0,1,"")</f>
        <v/>
      </c>
      <c r="AX45" s="188"/>
      <c r="AY45" s="188"/>
      <c r="AZ45" s="188"/>
      <c r="BA45" s="188"/>
      <c r="BB45" s="188"/>
      <c r="BC45" s="188"/>
      <c r="BD45" s="188"/>
      <c r="BE45" s="192"/>
      <c r="BF45" s="194"/>
      <c r="BG45" s="194"/>
      <c r="BH45" s="195"/>
      <c r="BI45" s="194"/>
    </row>
    <row r="46" spans="1:61" x14ac:dyDescent="0.25">
      <c r="A46" s="172"/>
      <c r="B46" s="181"/>
      <c r="C46" s="165"/>
      <c r="D46" s="171"/>
      <c r="E46" s="189"/>
      <c r="F46" s="188"/>
      <c r="G46" s="188"/>
      <c r="H46" s="189"/>
      <c r="I46" s="188"/>
      <c r="J46" s="189"/>
      <c r="K46" s="190" t="str">
        <f t="shared" si="0"/>
        <v/>
      </c>
      <c r="L46" s="190" t="str">
        <f t="shared" si="1"/>
        <v/>
      </c>
      <c r="M46" s="188"/>
      <c r="N46" s="188"/>
      <c r="O46" s="188"/>
      <c r="P46" s="188"/>
      <c r="Q46" s="188"/>
      <c r="R46" s="188"/>
      <c r="S46" s="214"/>
      <c r="T46" s="208"/>
      <c r="U46" s="220"/>
      <c r="V46" s="220"/>
      <c r="W46" s="220"/>
      <c r="X46" s="220"/>
      <c r="Y46" s="220"/>
      <c r="Z46" s="220"/>
      <c r="AA46" s="220"/>
      <c r="AB46" s="220"/>
      <c r="AC46" s="220"/>
      <c r="AD46" s="220"/>
      <c r="AE46" s="220"/>
      <c r="AF46" s="220"/>
      <c r="AG46" s="219"/>
      <c r="AH46" s="225">
        <f>SUM(PORTEFEUILLE_DELPHINE[[#This Row],[PCR COMPTABLE €]:[MONTANT
RESPONSABLE RELATION CLIENT €]])-PORTEFEUILLE_DELPHINE[[#This Row],[MONTANT TOTAL LETTRE DE MISION €]]</f>
        <v>0</v>
      </c>
      <c r="AI46" s="191"/>
      <c r="AJ46" s="188"/>
      <c r="AK46" s="188"/>
      <c r="AL46" s="196"/>
      <c r="AM46" s="196"/>
      <c r="AN46" s="196"/>
      <c r="AO46" s="196"/>
      <c r="AP46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Q46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R46" s="188" t="str">
        <f>IF(PORTEFEUILLE_DELPHINE[[#This Row],[BONI AAC]]&lt;&gt;0,1,"")</f>
        <v/>
      </c>
      <c r="AS46" s="188" t="str">
        <f>IF(PORTEFEUILLE_DELPHINE[[#This Row],[MALI AAC]]&lt;&gt;0,1,"")</f>
        <v/>
      </c>
      <c r="AT46" s="225">
        <f>IF(AN46&lt;&gt;"",IF((AN46*Paramètres!$H$4)-PORTEFEUILLE_DELPHINE[[#This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€]]-(DELPHINE!AN46*Paramètres!$H$4),0),0)</f>
        <v>0</v>
      </c>
      <c r="AU46" s="225">
        <f>IF(AN46&lt;&gt;"",IF(((AN46*Paramètres!$H$4)-PORTEFEUILLE_DELPHINE[[#This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€]])&gt;0,(AN46*Paramètres!$H$4)-PORTEFEUILLE_DELPHINE[[#This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V46" s="190" t="str">
        <f>IF(PORTEFEUILLE_DELPHINE[[#This Row],[BONI COMPTABLE]]&lt;&gt;0,1,"")</f>
        <v/>
      </c>
      <c r="AW46" s="190" t="str">
        <f>IF(PORTEFEUILLE_DELPHINE[[#This Row],[MALI COMPTABLE]]&lt;&gt;0,1,"")</f>
        <v/>
      </c>
      <c r="AX46" s="196"/>
      <c r="AY46" s="188"/>
      <c r="AZ46" s="188"/>
      <c r="BA46" s="188"/>
      <c r="BB46" s="188"/>
      <c r="BC46" s="188"/>
      <c r="BD46" s="188"/>
      <c r="BE46" s="192"/>
      <c r="BF46" s="194"/>
      <c r="BG46" s="194"/>
      <c r="BH46" s="195"/>
      <c r="BI46" s="194"/>
    </row>
    <row r="47" spans="1:61" x14ac:dyDescent="0.25">
      <c r="A47" s="172"/>
      <c r="B47" s="181"/>
      <c r="C47" s="165"/>
      <c r="D47" s="171"/>
      <c r="E47" s="189"/>
      <c r="F47" s="188"/>
      <c r="G47" s="189"/>
      <c r="H47" s="189"/>
      <c r="I47" s="189"/>
      <c r="J47" s="189"/>
      <c r="K47" s="190" t="str">
        <f t="shared" si="0"/>
        <v/>
      </c>
      <c r="L47" s="190" t="str">
        <f t="shared" si="1"/>
        <v/>
      </c>
      <c r="M47" s="188"/>
      <c r="N47" s="188"/>
      <c r="O47" s="188"/>
      <c r="P47" s="188"/>
      <c r="Q47" s="188"/>
      <c r="R47" s="188"/>
      <c r="S47" s="213"/>
      <c r="T47" s="207"/>
      <c r="U47" s="219"/>
      <c r="V47" s="219"/>
      <c r="W47" s="219"/>
      <c r="X47" s="219"/>
      <c r="Y47" s="219"/>
      <c r="Z47" s="219"/>
      <c r="AA47" s="219"/>
      <c r="AB47" s="219"/>
      <c r="AC47" s="219"/>
      <c r="AD47" s="219"/>
      <c r="AE47" s="219"/>
      <c r="AF47" s="219"/>
      <c r="AG47" s="219"/>
      <c r="AH47" s="225">
        <f>SUM(PORTEFEUILLE_DELPHINE[[#This Row],[PCR COMPTABLE €]:[MONTANT
RESPONSABLE RELATION CLIENT €]])-PORTEFEUILLE_DELPHINE[[#This Row],[MONTANT TOTAL LETTRE DE MISION €]]</f>
        <v>0</v>
      </c>
      <c r="AI47" s="191"/>
      <c r="AJ47" s="188"/>
      <c r="AK47" s="188"/>
      <c r="AL47" s="188"/>
      <c r="AM47" s="188"/>
      <c r="AN47" s="188"/>
      <c r="AO47" s="188"/>
      <c r="AP47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Q47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R47" s="188" t="str">
        <f>IF(PORTEFEUILLE_DELPHINE[[#This Row],[BONI AAC]]&lt;&gt;0,1,"")</f>
        <v/>
      </c>
      <c r="AS47" s="188" t="str">
        <f>IF(PORTEFEUILLE_DELPHINE[[#This Row],[MALI AAC]]&lt;&gt;0,1,"")</f>
        <v/>
      </c>
      <c r="AT47" s="225">
        <f>IF(AN47&lt;&gt;"",IF((AN47*Paramètres!$H$4)-PORTEFEUILLE_DELPHINE[[#This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€]]-(DELPHINE!AN47*Paramètres!$H$4),0),0)</f>
        <v>0</v>
      </c>
      <c r="AU47" s="225">
        <f>IF(AN47&lt;&gt;"",IF(((AN47*Paramètres!$H$4)-PORTEFEUILLE_DELPHINE[[#This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€]])&gt;0,(AN47*Paramètres!$H$4)-PORTEFEUILLE_DELPHINE[[#This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V47" s="190" t="str">
        <f>IF(PORTEFEUILLE_DELPHINE[[#This Row],[BONI COMPTABLE]]&lt;&gt;0,1,"")</f>
        <v/>
      </c>
      <c r="AW47" s="190" t="str">
        <f>IF(PORTEFEUILLE_DELPHINE[[#This Row],[MALI COMPTABLE]]&lt;&gt;0,1,"")</f>
        <v/>
      </c>
      <c r="AX47" s="188"/>
      <c r="AY47" s="188"/>
      <c r="AZ47" s="188"/>
      <c r="BA47" s="188"/>
      <c r="BB47" s="188"/>
      <c r="BC47" s="188"/>
      <c r="BD47" s="188"/>
      <c r="BE47" s="192"/>
      <c r="BF47" s="194"/>
      <c r="BG47" s="194"/>
      <c r="BH47" s="195"/>
      <c r="BI47" s="194"/>
    </row>
    <row r="48" spans="1:61" x14ac:dyDescent="0.25">
      <c r="A48" s="172"/>
      <c r="B48" s="180"/>
      <c r="C48" s="165"/>
      <c r="D48" s="171"/>
      <c r="E48" s="189"/>
      <c r="F48" s="188"/>
      <c r="G48" s="188"/>
      <c r="H48" s="189"/>
      <c r="I48" s="189"/>
      <c r="J48" s="189"/>
      <c r="K48" s="190" t="str">
        <f t="shared" si="0"/>
        <v/>
      </c>
      <c r="L48" s="190" t="str">
        <f t="shared" si="1"/>
        <v/>
      </c>
      <c r="M48" s="188"/>
      <c r="N48" s="188"/>
      <c r="O48" s="188"/>
      <c r="P48" s="188"/>
      <c r="Q48" s="188"/>
      <c r="R48" s="188"/>
      <c r="S48" s="214"/>
      <c r="T48" s="208"/>
      <c r="U48" s="220"/>
      <c r="V48" s="220"/>
      <c r="W48" s="220"/>
      <c r="X48" s="220"/>
      <c r="Y48" s="220"/>
      <c r="Z48" s="220"/>
      <c r="AA48" s="220"/>
      <c r="AB48" s="220"/>
      <c r="AC48" s="220"/>
      <c r="AD48" s="220"/>
      <c r="AE48" s="220"/>
      <c r="AF48" s="220"/>
      <c r="AG48" s="219"/>
      <c r="AH48" s="225">
        <f>SUM(PORTEFEUILLE_DELPHINE[[#This Row],[PCR COMPTABLE €]:[MONTANT
RESPONSABLE RELATION CLIENT €]])-PORTEFEUILLE_DELPHINE[[#This Row],[MONTANT TOTAL LETTRE DE MISION €]]</f>
        <v>0</v>
      </c>
      <c r="AI48" s="191"/>
      <c r="AJ48" s="188"/>
      <c r="AK48" s="188"/>
      <c r="AL48" s="196"/>
      <c r="AM48" s="196"/>
      <c r="AN48" s="196"/>
      <c r="AO48" s="196"/>
      <c r="AP48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Q48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R48" s="188" t="str">
        <f>IF(PORTEFEUILLE_DELPHINE[[#This Row],[BONI AAC]]&lt;&gt;0,1,"")</f>
        <v/>
      </c>
      <c r="AS48" s="188" t="str">
        <f>IF(PORTEFEUILLE_DELPHINE[[#This Row],[MALI AAC]]&lt;&gt;0,1,"")</f>
        <v/>
      </c>
      <c r="AT48" s="225">
        <f>IF(AN48&lt;&gt;"",IF((AN48*Paramètres!$H$4)-PORTEFEUILLE_DELPHINE[[#This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€]]-(DELPHINE!AN48*Paramètres!$H$4),0),0)</f>
        <v>0</v>
      </c>
      <c r="AU48" s="225">
        <f>IF(AN48&lt;&gt;"",IF(((AN48*Paramètres!$H$4)-PORTEFEUILLE_DELPHINE[[#This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€]])&gt;0,(AN48*Paramètres!$H$4)-PORTEFEUILLE_DELPHINE[[#This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V48" s="190" t="str">
        <f>IF(PORTEFEUILLE_DELPHINE[[#This Row],[BONI COMPTABLE]]&lt;&gt;0,1,"")</f>
        <v/>
      </c>
      <c r="AW48" s="190" t="str">
        <f>IF(PORTEFEUILLE_DELPHINE[[#This Row],[MALI COMPTABLE]]&lt;&gt;0,1,"")</f>
        <v/>
      </c>
      <c r="AX48" s="196"/>
      <c r="AY48" s="188"/>
      <c r="AZ48" s="188"/>
      <c r="BA48" s="188"/>
      <c r="BB48" s="188"/>
      <c r="BC48" s="188"/>
      <c r="BD48" s="188"/>
      <c r="BE48" s="192"/>
      <c r="BF48" s="194"/>
      <c r="BG48" s="194"/>
      <c r="BH48" s="195"/>
      <c r="BI48" s="194"/>
    </row>
    <row r="49" spans="1:61" x14ac:dyDescent="0.25">
      <c r="A49" s="172"/>
      <c r="B49" s="180"/>
      <c r="C49" s="165"/>
      <c r="D49" s="171"/>
      <c r="E49" s="189"/>
      <c r="F49" s="188"/>
      <c r="G49" s="189"/>
      <c r="H49" s="189"/>
      <c r="I49" s="189"/>
      <c r="J49" s="189"/>
      <c r="K49" s="190" t="str">
        <f t="shared" si="0"/>
        <v/>
      </c>
      <c r="L49" s="190" t="str">
        <f t="shared" si="1"/>
        <v/>
      </c>
      <c r="M49" s="188"/>
      <c r="N49" s="188"/>
      <c r="O49" s="188"/>
      <c r="P49" s="188"/>
      <c r="Q49" s="188"/>
      <c r="R49" s="188"/>
      <c r="S49" s="213"/>
      <c r="T49" s="207"/>
      <c r="U49" s="219"/>
      <c r="V49" s="219"/>
      <c r="W49" s="219"/>
      <c r="X49" s="219"/>
      <c r="Y49" s="219"/>
      <c r="Z49" s="219"/>
      <c r="AA49" s="219"/>
      <c r="AB49" s="219"/>
      <c r="AC49" s="219"/>
      <c r="AD49" s="219"/>
      <c r="AE49" s="219"/>
      <c r="AF49" s="219"/>
      <c r="AG49" s="219"/>
      <c r="AH49" s="225">
        <f>SUM(PORTEFEUILLE_DELPHINE[[#This Row],[PCR COMPTABLE €]:[MONTANT
RESPONSABLE RELATION CLIENT €]])-PORTEFEUILLE_DELPHINE[[#This Row],[MONTANT TOTAL LETTRE DE MISION €]]</f>
        <v>0</v>
      </c>
      <c r="AI49" s="191"/>
      <c r="AJ49" s="188"/>
      <c r="AK49" s="188"/>
      <c r="AL49" s="188"/>
      <c r="AM49" s="188"/>
      <c r="AN49" s="188"/>
      <c r="AO49" s="188"/>
      <c r="AP49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Q49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R49" s="188" t="str">
        <f>IF(PORTEFEUILLE_DELPHINE[[#This Row],[BONI AAC]]&lt;&gt;0,1,"")</f>
        <v/>
      </c>
      <c r="AS49" s="188" t="str">
        <f>IF(PORTEFEUILLE_DELPHINE[[#This Row],[MALI AAC]]&lt;&gt;0,1,"")</f>
        <v/>
      </c>
      <c r="AT49" s="225">
        <f>IF(AN49&lt;&gt;"",IF((AN49*Paramètres!$H$4)-PORTEFEUILLE_DELPHINE[[#This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€]]-(DELPHINE!AN49*Paramètres!$H$4),0),0)</f>
        <v>0</v>
      </c>
      <c r="AU49" s="225">
        <f>IF(AN49&lt;&gt;"",IF(((AN49*Paramètres!$H$4)-PORTEFEUILLE_DELPHINE[[#This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€]])&gt;0,(AN49*Paramètres!$H$4)-PORTEFEUILLE_DELPHINE[[#This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V49" s="190" t="str">
        <f>IF(PORTEFEUILLE_DELPHINE[[#This Row],[BONI COMPTABLE]]&lt;&gt;0,1,"")</f>
        <v/>
      </c>
      <c r="AW49" s="190" t="str">
        <f>IF(PORTEFEUILLE_DELPHINE[[#This Row],[MALI COMPTABLE]]&lt;&gt;0,1,"")</f>
        <v/>
      </c>
      <c r="AX49" s="188"/>
      <c r="AY49" s="188"/>
      <c r="AZ49" s="188"/>
      <c r="BA49" s="188"/>
      <c r="BB49" s="196"/>
      <c r="BC49" s="188"/>
      <c r="BD49" s="188"/>
      <c r="BE49" s="192"/>
      <c r="BF49" s="194"/>
      <c r="BG49" s="194"/>
      <c r="BH49" s="195"/>
      <c r="BI49" s="194"/>
    </row>
    <row r="50" spans="1:61" x14ac:dyDescent="0.25">
      <c r="A50" s="172"/>
      <c r="B50" s="170"/>
      <c r="C50" s="165"/>
      <c r="D50" s="171"/>
      <c r="E50" s="189"/>
      <c r="F50" s="188"/>
      <c r="G50" s="188"/>
      <c r="H50" s="189"/>
      <c r="I50" s="188"/>
      <c r="J50" s="188"/>
      <c r="K50" s="190" t="str">
        <f t="shared" si="0"/>
        <v/>
      </c>
      <c r="L50" s="190" t="str">
        <f t="shared" si="1"/>
        <v/>
      </c>
      <c r="M50" s="188"/>
      <c r="N50" s="188"/>
      <c r="O50" s="188"/>
      <c r="P50" s="188"/>
      <c r="Q50" s="188"/>
      <c r="R50" s="188"/>
      <c r="S50" s="214"/>
      <c r="T50" s="208"/>
      <c r="U50" s="220"/>
      <c r="V50" s="220"/>
      <c r="W50" s="220"/>
      <c r="X50" s="220"/>
      <c r="Y50" s="220"/>
      <c r="Z50" s="220"/>
      <c r="AA50" s="220"/>
      <c r="AB50" s="220"/>
      <c r="AC50" s="220"/>
      <c r="AD50" s="220"/>
      <c r="AE50" s="220"/>
      <c r="AF50" s="220"/>
      <c r="AG50" s="219"/>
      <c r="AH50" s="225">
        <f>SUM(PORTEFEUILLE_DELPHINE[[#This Row],[PCR COMPTABLE €]:[MONTANT
RESPONSABLE RELATION CLIENT €]])-PORTEFEUILLE_DELPHINE[[#This Row],[MONTANT TOTAL LETTRE DE MISION €]]</f>
        <v>0</v>
      </c>
      <c r="AI50" s="191"/>
      <c r="AJ50" s="188"/>
      <c r="AK50" s="188"/>
      <c r="AL50" s="196"/>
      <c r="AM50" s="196"/>
      <c r="AN50" s="196"/>
      <c r="AO50" s="196"/>
      <c r="AP50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Q50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R50" s="188" t="str">
        <f>IF(PORTEFEUILLE_DELPHINE[[#This Row],[BONI AAC]]&lt;&gt;0,1,"")</f>
        <v/>
      </c>
      <c r="AS50" s="188" t="str">
        <f>IF(PORTEFEUILLE_DELPHINE[[#This Row],[MALI AAC]]&lt;&gt;0,1,"")</f>
        <v/>
      </c>
      <c r="AT50" s="225">
        <f>IF(AN50&lt;&gt;"",IF((AN50*Paramètres!$H$4)-PORTEFEUILLE_DELPHINE[[#This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€]]-(DELPHINE!AN50*Paramètres!$H$4),0),0)</f>
        <v>0</v>
      </c>
      <c r="AU50" s="225">
        <f>IF(AN50&lt;&gt;"",IF(((AN50*Paramètres!$H$4)-PORTEFEUILLE_DELPHINE[[#This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€]])&gt;0,(AN50*Paramètres!$H$4)-PORTEFEUILLE_DELPHINE[[#This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V50" s="190" t="str">
        <f>IF(PORTEFEUILLE_DELPHINE[[#This Row],[BONI COMPTABLE]]&lt;&gt;0,1,"")</f>
        <v/>
      </c>
      <c r="AW50" s="190" t="str">
        <f>IF(PORTEFEUILLE_DELPHINE[[#This Row],[MALI COMPTABLE]]&lt;&gt;0,1,"")</f>
        <v/>
      </c>
      <c r="AX50" s="196"/>
      <c r="AY50" s="188"/>
      <c r="AZ50" s="188"/>
      <c r="BA50" s="188"/>
      <c r="BB50" s="196"/>
      <c r="BC50" s="196"/>
      <c r="BD50" s="196"/>
      <c r="BE50" s="192"/>
      <c r="BF50" s="194"/>
      <c r="BG50" s="194"/>
      <c r="BH50" s="195"/>
      <c r="BI50" s="194"/>
    </row>
    <row r="51" spans="1:61" x14ac:dyDescent="0.25">
      <c r="A51" s="172"/>
      <c r="B51" s="170"/>
      <c r="C51" s="165"/>
      <c r="D51" s="171"/>
      <c r="E51" s="189"/>
      <c r="F51" s="188"/>
      <c r="G51" s="188"/>
      <c r="H51" s="189"/>
      <c r="I51" s="188"/>
      <c r="J51" s="189"/>
      <c r="K51" s="190" t="str">
        <f t="shared" si="0"/>
        <v/>
      </c>
      <c r="L51" s="190" t="str">
        <f t="shared" si="1"/>
        <v/>
      </c>
      <c r="M51" s="188"/>
      <c r="N51" s="188"/>
      <c r="O51" s="188"/>
      <c r="P51" s="188"/>
      <c r="Q51" s="188"/>
      <c r="R51" s="188"/>
      <c r="S51" s="214"/>
      <c r="T51" s="208"/>
      <c r="U51" s="220"/>
      <c r="V51" s="220"/>
      <c r="W51" s="220"/>
      <c r="X51" s="220"/>
      <c r="Y51" s="220"/>
      <c r="Z51" s="220"/>
      <c r="AA51" s="220"/>
      <c r="AB51" s="220"/>
      <c r="AC51" s="220"/>
      <c r="AD51" s="220"/>
      <c r="AE51" s="220"/>
      <c r="AF51" s="220"/>
      <c r="AG51" s="219"/>
      <c r="AH51" s="225">
        <f>SUM(PORTEFEUILLE_DELPHINE[[#This Row],[PCR COMPTABLE €]:[MONTANT
RESPONSABLE RELATION CLIENT €]])-PORTEFEUILLE_DELPHINE[[#This Row],[MONTANT TOTAL LETTRE DE MISION €]]</f>
        <v>0</v>
      </c>
      <c r="AI51" s="191"/>
      <c r="AJ51" s="188"/>
      <c r="AK51" s="188"/>
      <c r="AL51" s="196"/>
      <c r="AM51" s="196"/>
      <c r="AN51" s="196"/>
      <c r="AO51" s="196"/>
      <c r="AP51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Q51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R51" s="188" t="str">
        <f>IF(PORTEFEUILLE_DELPHINE[[#This Row],[BONI AAC]]&lt;&gt;0,1,"")</f>
        <v/>
      </c>
      <c r="AS51" s="188" t="str">
        <f>IF(PORTEFEUILLE_DELPHINE[[#This Row],[MALI AAC]]&lt;&gt;0,1,"")</f>
        <v/>
      </c>
      <c r="AT51" s="225">
        <f>IF(AN51&lt;&gt;"",IF((AN51*Paramètres!$H$4)-PORTEFEUILLE_DELPHINE[[#This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€]]-(DELPHINE!AN51*Paramètres!$H$4),0),0)</f>
        <v>0</v>
      </c>
      <c r="AU51" s="225">
        <f>IF(AN51&lt;&gt;"",IF(((AN51*Paramètres!$H$4)-PORTEFEUILLE_DELPHINE[[#This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€]])&gt;0,(AN51*Paramètres!$H$4)-PORTEFEUILLE_DELPHINE[[#This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V51" s="190" t="str">
        <f>IF(PORTEFEUILLE_DELPHINE[[#This Row],[BONI COMPTABLE]]&lt;&gt;0,1,"")</f>
        <v/>
      </c>
      <c r="AW51" s="190" t="str">
        <f>IF(PORTEFEUILLE_DELPHINE[[#This Row],[MALI COMPTABLE]]&lt;&gt;0,1,"")</f>
        <v/>
      </c>
      <c r="AX51" s="196"/>
      <c r="AY51" s="188"/>
      <c r="AZ51" s="188"/>
      <c r="BA51" s="188"/>
      <c r="BB51" s="196"/>
      <c r="BC51" s="196"/>
      <c r="BD51" s="196"/>
      <c r="BE51" s="192"/>
      <c r="BF51" s="194"/>
      <c r="BG51" s="194"/>
      <c r="BH51" s="195"/>
      <c r="BI51" s="194"/>
    </row>
    <row r="52" spans="1:61" x14ac:dyDescent="0.25">
      <c r="A52" s="172"/>
      <c r="B52" s="170"/>
      <c r="C52" s="165"/>
      <c r="D52" s="171"/>
      <c r="E52" s="189"/>
      <c r="F52" s="188"/>
      <c r="G52" s="188"/>
      <c r="H52" s="189"/>
      <c r="I52" s="188"/>
      <c r="J52" s="189"/>
      <c r="K52" s="190" t="str">
        <f t="shared" si="0"/>
        <v/>
      </c>
      <c r="L52" s="190" t="str">
        <f t="shared" si="1"/>
        <v/>
      </c>
      <c r="M52" s="188"/>
      <c r="N52" s="188"/>
      <c r="O52" s="188"/>
      <c r="P52" s="188"/>
      <c r="Q52" s="188"/>
      <c r="R52" s="188"/>
      <c r="S52" s="214"/>
      <c r="T52" s="208"/>
      <c r="U52" s="220"/>
      <c r="V52" s="220"/>
      <c r="W52" s="220"/>
      <c r="X52" s="220"/>
      <c r="Y52" s="220"/>
      <c r="Z52" s="220"/>
      <c r="AA52" s="220"/>
      <c r="AB52" s="220"/>
      <c r="AC52" s="220"/>
      <c r="AD52" s="220"/>
      <c r="AE52" s="220"/>
      <c r="AF52" s="220"/>
      <c r="AG52" s="219"/>
      <c r="AH52" s="225">
        <f>SUM(PORTEFEUILLE_DELPHINE[[#This Row],[PCR COMPTABLE €]:[MONTANT
RESPONSABLE RELATION CLIENT €]])-PORTEFEUILLE_DELPHINE[[#This Row],[MONTANT TOTAL LETTRE DE MISION €]]</f>
        <v>0</v>
      </c>
      <c r="AI52" s="191"/>
      <c r="AJ52" s="188"/>
      <c r="AK52" s="188"/>
      <c r="AL52" s="196"/>
      <c r="AM52" s="196"/>
      <c r="AN52" s="196"/>
      <c r="AO52" s="196"/>
      <c r="AP52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Q52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R52" s="188" t="str">
        <f>IF(PORTEFEUILLE_DELPHINE[[#This Row],[BONI AAC]]&lt;&gt;0,1,"")</f>
        <v/>
      </c>
      <c r="AS52" s="188" t="str">
        <f>IF(PORTEFEUILLE_DELPHINE[[#This Row],[MALI AAC]]&lt;&gt;0,1,"")</f>
        <v/>
      </c>
      <c r="AT52" s="225">
        <f>IF(AN52&lt;&gt;"",IF((AN52*Paramètres!$H$4)-PORTEFEUILLE_DELPHINE[[#This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€]]-(DELPHINE!AN52*Paramètres!$H$4),0),0)</f>
        <v>0</v>
      </c>
      <c r="AU52" s="225">
        <f>IF(AN52&lt;&gt;"",IF(((AN52*Paramètres!$H$4)-PORTEFEUILLE_DELPHINE[[#This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€]])&gt;0,(AN52*Paramètres!$H$4)-PORTEFEUILLE_DELPHINE[[#This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V52" s="190" t="str">
        <f>IF(PORTEFEUILLE_DELPHINE[[#This Row],[BONI COMPTABLE]]&lt;&gt;0,1,"")</f>
        <v/>
      </c>
      <c r="AW52" s="190" t="str">
        <f>IF(PORTEFEUILLE_DELPHINE[[#This Row],[MALI COMPTABLE]]&lt;&gt;0,1,"")</f>
        <v/>
      </c>
      <c r="AX52" s="196"/>
      <c r="AY52" s="188"/>
      <c r="AZ52" s="188"/>
      <c r="BA52" s="188"/>
      <c r="BB52" s="196"/>
      <c r="BC52" s="196"/>
      <c r="BD52" s="196"/>
      <c r="BE52" s="192"/>
      <c r="BF52" s="194"/>
      <c r="BG52" s="194"/>
      <c r="BH52" s="195"/>
      <c r="BI52" s="194"/>
    </row>
    <row r="53" spans="1:61" x14ac:dyDescent="0.25">
      <c r="A53" s="172"/>
      <c r="B53" s="182"/>
      <c r="C53" s="183"/>
      <c r="D53" s="184"/>
      <c r="E53" s="200"/>
      <c r="F53" s="201"/>
      <c r="G53" s="201"/>
      <c r="H53" s="189"/>
      <c r="I53" s="201"/>
      <c r="J53" s="201"/>
      <c r="K53" s="190" t="str">
        <f t="shared" si="0"/>
        <v/>
      </c>
      <c r="L53" s="190" t="str">
        <f t="shared" si="1"/>
        <v/>
      </c>
      <c r="M53" s="188"/>
      <c r="N53" s="188"/>
      <c r="O53" s="188"/>
      <c r="P53" s="188"/>
      <c r="Q53" s="188"/>
      <c r="R53" s="188"/>
      <c r="S53" s="216"/>
      <c r="T53" s="210"/>
      <c r="U53" s="222"/>
      <c r="V53" s="222"/>
      <c r="W53" s="222"/>
      <c r="X53" s="222"/>
      <c r="Y53" s="222"/>
      <c r="Z53" s="222"/>
      <c r="AA53" s="222"/>
      <c r="AB53" s="222"/>
      <c r="AC53" s="222"/>
      <c r="AD53" s="222"/>
      <c r="AE53" s="222"/>
      <c r="AF53" s="222"/>
      <c r="AG53" s="219"/>
      <c r="AH53" s="225">
        <f>SUM(PORTEFEUILLE_DELPHINE[[#This Row],[PCR COMPTABLE €]:[MONTANT
RESPONSABLE RELATION CLIENT €]])-PORTEFEUILLE_DELPHINE[[#This Row],[MONTANT TOTAL LETTRE DE MISION €]]</f>
        <v>0</v>
      </c>
      <c r="AI53" s="191"/>
      <c r="AJ53" s="188"/>
      <c r="AK53" s="201"/>
      <c r="AL53" s="202"/>
      <c r="AM53" s="202"/>
      <c r="AN53" s="202"/>
      <c r="AO53" s="202"/>
      <c r="AP53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Q53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R53" s="188" t="str">
        <f>IF(PORTEFEUILLE_DELPHINE[[#This Row],[BONI AAC]]&lt;&gt;0,1,"")</f>
        <v/>
      </c>
      <c r="AS53" s="188" t="str">
        <f>IF(PORTEFEUILLE_DELPHINE[[#This Row],[MALI AAC]]&lt;&gt;0,1,"")</f>
        <v/>
      </c>
      <c r="AT53" s="225">
        <f>IF(AN53&lt;&gt;"",IF((AN53*Paramètres!$H$4)-PORTEFEUILLE_DELPHINE[[#This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€]]-(DELPHINE!AN53*Paramètres!$H$4),0),0)</f>
        <v>0</v>
      </c>
      <c r="AU53" s="225">
        <f>IF(AN53&lt;&gt;"",IF(((AN53*Paramètres!$H$4)-PORTEFEUILLE_DELPHINE[[#This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€]])&gt;0,(AN53*Paramètres!$H$4)-PORTEFEUILLE_DELPHINE[[#This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V53" s="190" t="str">
        <f>IF(PORTEFEUILLE_DELPHINE[[#This Row],[BONI COMPTABLE]]&lt;&gt;0,1,"")</f>
        <v/>
      </c>
      <c r="AW53" s="190" t="str">
        <f>IF(PORTEFEUILLE_DELPHINE[[#This Row],[MALI COMPTABLE]]&lt;&gt;0,1,"")</f>
        <v/>
      </c>
      <c r="AX53" s="202"/>
      <c r="AY53" s="188"/>
      <c r="AZ53" s="188"/>
      <c r="BA53" s="188"/>
      <c r="BB53" s="202"/>
      <c r="BC53" s="202"/>
      <c r="BD53" s="202"/>
      <c r="BE53" s="192"/>
      <c r="BF53" s="194"/>
      <c r="BG53" s="194"/>
      <c r="BH53" s="195"/>
      <c r="BI53" s="194"/>
    </row>
    <row r="54" spans="1:61" x14ac:dyDescent="0.25">
      <c r="A54" s="172"/>
      <c r="B54" s="185"/>
      <c r="C54" s="172"/>
      <c r="D54" s="172"/>
      <c r="E54" s="203"/>
      <c r="F54" s="194"/>
      <c r="G54" s="194"/>
      <c r="H54" s="189"/>
      <c r="I54" s="194"/>
      <c r="J54" s="194"/>
      <c r="K54" s="190" t="str">
        <f t="shared" si="0"/>
        <v/>
      </c>
      <c r="L54" s="190" t="str">
        <f t="shared" si="1"/>
        <v/>
      </c>
      <c r="M54" s="188"/>
      <c r="N54" s="188"/>
      <c r="O54" s="188"/>
      <c r="P54" s="188"/>
      <c r="Q54" s="188"/>
      <c r="R54" s="188"/>
      <c r="S54" s="217"/>
      <c r="T54" s="211"/>
      <c r="U54" s="223"/>
      <c r="V54" s="223"/>
      <c r="W54" s="223"/>
      <c r="X54" s="223"/>
      <c r="Y54" s="223"/>
      <c r="Z54" s="223"/>
      <c r="AA54" s="223"/>
      <c r="AB54" s="223"/>
      <c r="AC54" s="223"/>
      <c r="AD54" s="223"/>
      <c r="AE54" s="223"/>
      <c r="AF54" s="223"/>
      <c r="AG54" s="219"/>
      <c r="AH54" s="225">
        <f>SUM(PORTEFEUILLE_DELPHINE[[#This Row],[PCR COMPTABLE €]:[MONTANT
RESPONSABLE RELATION CLIENT €]])-PORTEFEUILLE_DELPHINE[[#This Row],[MONTANT TOTAL LETTRE DE MISION €]]</f>
        <v>0</v>
      </c>
      <c r="AI54" s="191"/>
      <c r="AJ54" s="188"/>
      <c r="AK54" s="188"/>
      <c r="AL54" s="194"/>
      <c r="AM54" s="194"/>
      <c r="AN54" s="194"/>
      <c r="AO54" s="194"/>
      <c r="AP54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Q54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R54" s="188" t="str">
        <f>IF(PORTEFEUILLE_DELPHINE[[#This Row],[BONI AAC]]&lt;&gt;0,1,"")</f>
        <v/>
      </c>
      <c r="AS54" s="188" t="str">
        <f>IF(PORTEFEUILLE_DELPHINE[[#This Row],[MALI AAC]]&lt;&gt;0,1,"")</f>
        <v/>
      </c>
      <c r="AT54" s="225">
        <f>IF(AN54&lt;&gt;"",IF((AN54*Paramètres!$H$4)-PORTEFEUILLE_DELPHINE[[#This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€]]-(DELPHINE!AN54*Paramètres!$H$4),0),0)</f>
        <v>0</v>
      </c>
      <c r="AU54" s="225">
        <f>IF(AN54&lt;&gt;"",IF(((AN54*Paramètres!$H$4)-PORTEFEUILLE_DELPHINE[[#This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€]])&gt;0,(AN54*Paramètres!$H$4)-PORTEFEUILLE_DELPHINE[[#This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V54" s="190" t="str">
        <f>IF(PORTEFEUILLE_DELPHINE[[#This Row],[BONI COMPTABLE]]&lt;&gt;0,1,"")</f>
        <v/>
      </c>
      <c r="AW54" s="190" t="str">
        <f>IF(PORTEFEUILLE_DELPHINE[[#This Row],[MALI COMPTABLE]]&lt;&gt;0,1,"")</f>
        <v/>
      </c>
      <c r="AX54" s="194"/>
      <c r="AY54" s="188"/>
      <c r="AZ54" s="188"/>
      <c r="BA54" s="188"/>
      <c r="BB54" s="194"/>
      <c r="BC54" s="194"/>
      <c r="BD54" s="194"/>
      <c r="BE54" s="192"/>
      <c r="BF54" s="194"/>
      <c r="BG54" s="194"/>
      <c r="BH54" s="195"/>
      <c r="BI54" s="194"/>
    </row>
    <row r="55" spans="1:61" x14ac:dyDescent="0.25">
      <c r="A55" s="172"/>
      <c r="B55" s="185"/>
      <c r="C55" s="172"/>
      <c r="D55" s="172"/>
      <c r="E55" s="203"/>
      <c r="F55" s="194"/>
      <c r="G55" s="194"/>
      <c r="H55" s="189"/>
      <c r="I55" s="194"/>
      <c r="J55" s="194"/>
      <c r="K55" s="190" t="str">
        <f t="shared" si="0"/>
        <v/>
      </c>
      <c r="L55" s="190" t="str">
        <f t="shared" si="1"/>
        <v/>
      </c>
      <c r="M55" s="188"/>
      <c r="N55" s="188"/>
      <c r="O55" s="188"/>
      <c r="P55" s="188"/>
      <c r="Q55" s="188"/>
      <c r="R55" s="188"/>
      <c r="S55" s="217"/>
      <c r="T55" s="211"/>
      <c r="U55" s="223"/>
      <c r="V55" s="223"/>
      <c r="W55" s="223"/>
      <c r="X55" s="223"/>
      <c r="Y55" s="223"/>
      <c r="Z55" s="223"/>
      <c r="AA55" s="223"/>
      <c r="AB55" s="223"/>
      <c r="AC55" s="223"/>
      <c r="AD55" s="223"/>
      <c r="AE55" s="223"/>
      <c r="AF55" s="223"/>
      <c r="AG55" s="219"/>
      <c r="AH55" s="225">
        <f>SUM(PORTEFEUILLE_DELPHINE[[#This Row],[PCR COMPTABLE €]:[MONTANT
RESPONSABLE RELATION CLIENT €]])-PORTEFEUILLE_DELPHINE[[#This Row],[MONTANT TOTAL LETTRE DE MISION €]]</f>
        <v>0</v>
      </c>
      <c r="AI55" s="191"/>
      <c r="AJ55" s="188"/>
      <c r="AK55" s="188"/>
      <c r="AL55" s="194"/>
      <c r="AM55" s="194"/>
      <c r="AN55" s="194"/>
      <c r="AO55" s="194"/>
      <c r="AP55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Q55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R55" s="188" t="str">
        <f>IF(PORTEFEUILLE_DELPHINE[[#This Row],[BONI AAC]]&lt;&gt;0,1,"")</f>
        <v/>
      </c>
      <c r="AS55" s="188" t="str">
        <f>IF(PORTEFEUILLE_DELPHINE[[#This Row],[MALI AAC]]&lt;&gt;0,1,"")</f>
        <v/>
      </c>
      <c r="AT55" s="225">
        <f>IF(AN55&lt;&gt;"",IF((AN55*Paramètres!$H$4)-PORTEFEUILLE_DELPHINE[[#This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€]]-(DELPHINE!AN55*Paramètres!$H$4),0),0)</f>
        <v>0</v>
      </c>
      <c r="AU55" s="225">
        <f>IF(AN55&lt;&gt;"",IF(((AN55*Paramètres!$H$4)-PORTEFEUILLE_DELPHINE[[#This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€]])&gt;0,(AN55*Paramètres!$H$4)-PORTEFEUILLE_DELPHINE[[#This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V55" s="190" t="str">
        <f>IF(PORTEFEUILLE_DELPHINE[[#This Row],[BONI COMPTABLE]]&lt;&gt;0,1,"")</f>
        <v/>
      </c>
      <c r="AW55" s="190" t="str">
        <f>IF(PORTEFEUILLE_DELPHINE[[#This Row],[MALI COMPTABLE]]&lt;&gt;0,1,"")</f>
        <v/>
      </c>
      <c r="AX55" s="194"/>
      <c r="AY55" s="188"/>
      <c r="AZ55" s="188"/>
      <c r="BA55" s="188"/>
      <c r="BB55" s="194"/>
      <c r="BC55" s="194"/>
      <c r="BD55" s="194"/>
      <c r="BE55" s="192"/>
      <c r="BF55" s="194"/>
      <c r="BG55" s="194"/>
      <c r="BH55" s="195"/>
      <c r="BI55" s="194"/>
    </row>
    <row r="56" spans="1:61" x14ac:dyDescent="0.25">
      <c r="A56" s="172"/>
      <c r="B56" s="185"/>
      <c r="C56" s="172"/>
      <c r="D56" s="172"/>
      <c r="E56" s="203"/>
      <c r="F56" s="194"/>
      <c r="G56" s="194"/>
      <c r="H56" s="189"/>
      <c r="I56" s="194"/>
      <c r="J56" s="194"/>
      <c r="K56" s="190" t="str">
        <f t="shared" si="0"/>
        <v/>
      </c>
      <c r="L56" s="190" t="str">
        <f t="shared" si="1"/>
        <v/>
      </c>
      <c r="M56" s="188"/>
      <c r="N56" s="188"/>
      <c r="O56" s="188"/>
      <c r="P56" s="188"/>
      <c r="Q56" s="188"/>
      <c r="R56" s="188"/>
      <c r="S56" s="217"/>
      <c r="T56" s="211"/>
      <c r="U56" s="223"/>
      <c r="V56" s="223"/>
      <c r="W56" s="223"/>
      <c r="X56" s="223"/>
      <c r="Y56" s="223"/>
      <c r="Z56" s="223"/>
      <c r="AA56" s="223"/>
      <c r="AB56" s="223"/>
      <c r="AC56" s="223"/>
      <c r="AD56" s="223"/>
      <c r="AE56" s="223"/>
      <c r="AF56" s="223"/>
      <c r="AG56" s="219"/>
      <c r="AH56" s="225">
        <f>SUM(PORTEFEUILLE_DELPHINE[[#This Row],[PCR COMPTABLE €]:[MONTANT
RESPONSABLE RELATION CLIENT €]])-PORTEFEUILLE_DELPHINE[[#This Row],[MONTANT TOTAL LETTRE DE MISION €]]</f>
        <v>0</v>
      </c>
      <c r="AI56" s="191"/>
      <c r="AJ56" s="188"/>
      <c r="AK56" s="188"/>
      <c r="AL56" s="194"/>
      <c r="AM56" s="194"/>
      <c r="AN56" s="194"/>
      <c r="AO56" s="194"/>
      <c r="AP56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Q56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R56" s="188" t="str">
        <f>IF(PORTEFEUILLE_DELPHINE[[#This Row],[BONI AAC]]&lt;&gt;0,1,"")</f>
        <v/>
      </c>
      <c r="AS56" s="188" t="str">
        <f>IF(PORTEFEUILLE_DELPHINE[[#This Row],[MALI AAC]]&lt;&gt;0,1,"")</f>
        <v/>
      </c>
      <c r="AT56" s="225">
        <f>IF(AN56&lt;&gt;"",IF((AN56*Paramètres!$H$4)-PORTEFEUILLE_DELPHINE[[#This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€]]-(DELPHINE!AN56*Paramètres!$H$4),0),0)</f>
        <v>0</v>
      </c>
      <c r="AU56" s="225">
        <f>IF(AN56&lt;&gt;"",IF(((AN56*Paramètres!$H$4)-PORTEFEUILLE_DELPHINE[[#This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€]])&gt;0,(AN56*Paramètres!$H$4)-PORTEFEUILLE_DELPHINE[[#This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V56" s="190" t="str">
        <f>IF(PORTEFEUILLE_DELPHINE[[#This Row],[BONI COMPTABLE]]&lt;&gt;0,1,"")</f>
        <v/>
      </c>
      <c r="AW56" s="190" t="str">
        <f>IF(PORTEFEUILLE_DELPHINE[[#This Row],[MALI COMPTABLE]]&lt;&gt;0,1,"")</f>
        <v/>
      </c>
      <c r="AX56" s="194"/>
      <c r="AY56" s="188"/>
      <c r="AZ56" s="188"/>
      <c r="BA56" s="188"/>
      <c r="BB56" s="194"/>
      <c r="BC56" s="194"/>
      <c r="BD56" s="194"/>
      <c r="BE56" s="192"/>
      <c r="BF56" s="194"/>
      <c r="BG56" s="194"/>
      <c r="BH56" s="195"/>
      <c r="BI56" s="194"/>
    </row>
    <row r="57" spans="1:61" x14ac:dyDescent="0.25">
      <c r="A57" s="172"/>
      <c r="B57" s="185"/>
      <c r="C57" s="172"/>
      <c r="D57" s="172"/>
      <c r="E57" s="203"/>
      <c r="F57" s="194"/>
      <c r="G57" s="194"/>
      <c r="H57" s="189"/>
      <c r="I57" s="194"/>
      <c r="J57" s="194"/>
      <c r="K57" s="190" t="str">
        <f t="shared" si="0"/>
        <v/>
      </c>
      <c r="L57" s="190" t="str">
        <f t="shared" si="1"/>
        <v/>
      </c>
      <c r="M57" s="188"/>
      <c r="N57" s="188"/>
      <c r="O57" s="188"/>
      <c r="P57" s="188"/>
      <c r="Q57" s="188"/>
      <c r="R57" s="188"/>
      <c r="S57" s="217"/>
      <c r="T57" s="211"/>
      <c r="U57" s="223"/>
      <c r="V57" s="223"/>
      <c r="W57" s="223"/>
      <c r="X57" s="223"/>
      <c r="Y57" s="223"/>
      <c r="Z57" s="223"/>
      <c r="AA57" s="223"/>
      <c r="AB57" s="223"/>
      <c r="AC57" s="223"/>
      <c r="AD57" s="223"/>
      <c r="AE57" s="223"/>
      <c r="AF57" s="223"/>
      <c r="AG57" s="219"/>
      <c r="AH57" s="225">
        <f>SUM(PORTEFEUILLE_DELPHINE[[#This Row],[PCR COMPTABLE €]:[MONTANT
RESPONSABLE RELATION CLIENT €]])-PORTEFEUILLE_DELPHINE[[#This Row],[MONTANT TOTAL LETTRE DE MISION €]]</f>
        <v>0</v>
      </c>
      <c r="AI57" s="191"/>
      <c r="AJ57" s="188"/>
      <c r="AK57" s="188"/>
      <c r="AL57" s="194"/>
      <c r="AM57" s="194"/>
      <c r="AN57" s="194"/>
      <c r="AO57" s="194"/>
      <c r="AP57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Q57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R57" s="188" t="str">
        <f>IF(PORTEFEUILLE_DELPHINE[[#This Row],[BONI AAC]]&lt;&gt;0,1,"")</f>
        <v/>
      </c>
      <c r="AS57" s="188" t="str">
        <f>IF(PORTEFEUILLE_DELPHINE[[#This Row],[MALI AAC]]&lt;&gt;0,1,"")</f>
        <v/>
      </c>
      <c r="AT57" s="225">
        <f>IF(AN57&lt;&gt;"",IF((AN57*Paramètres!$H$4)-PORTEFEUILLE_DELPHINE[[#This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€]]-(DELPHINE!AN57*Paramètres!$H$4),0),0)</f>
        <v>0</v>
      </c>
      <c r="AU57" s="225">
        <f>IF(AN57&lt;&gt;"",IF(((AN57*Paramètres!$H$4)-PORTEFEUILLE_DELPHINE[[#This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€]])&gt;0,(AN57*Paramètres!$H$4)-PORTEFEUILLE_DELPHINE[[#This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V57" s="190" t="str">
        <f>IF(PORTEFEUILLE_DELPHINE[[#This Row],[BONI COMPTABLE]]&lt;&gt;0,1,"")</f>
        <v/>
      </c>
      <c r="AW57" s="190" t="str">
        <f>IF(PORTEFEUILLE_DELPHINE[[#This Row],[MALI COMPTABLE]]&lt;&gt;0,1,"")</f>
        <v/>
      </c>
      <c r="AX57" s="194"/>
      <c r="AY57" s="188"/>
      <c r="AZ57" s="188"/>
      <c r="BA57" s="188"/>
      <c r="BB57" s="194"/>
      <c r="BC57" s="194"/>
      <c r="BD57" s="194"/>
      <c r="BE57" s="192"/>
      <c r="BF57" s="194"/>
      <c r="BG57" s="194"/>
      <c r="BH57" s="195"/>
      <c r="BI57" s="194"/>
    </row>
    <row r="58" spans="1:61" x14ac:dyDescent="0.25">
      <c r="A58" s="172"/>
      <c r="B58" s="179"/>
      <c r="C58" s="176"/>
      <c r="D58" s="172"/>
      <c r="E58" s="203"/>
      <c r="F58" s="194"/>
      <c r="G58" s="194"/>
      <c r="H58" s="189"/>
      <c r="I58" s="194"/>
      <c r="J58" s="194"/>
      <c r="K58" s="190" t="str">
        <f t="shared" si="0"/>
        <v/>
      </c>
      <c r="L58" s="190" t="str">
        <f t="shared" si="1"/>
        <v/>
      </c>
      <c r="M58" s="188"/>
      <c r="N58" s="188"/>
      <c r="O58" s="188"/>
      <c r="P58" s="188"/>
      <c r="Q58" s="188"/>
      <c r="R58" s="188"/>
      <c r="S58" s="217"/>
      <c r="T58" s="211"/>
      <c r="U58" s="223"/>
      <c r="V58" s="223"/>
      <c r="W58" s="223"/>
      <c r="X58" s="223"/>
      <c r="Y58" s="223"/>
      <c r="Z58" s="223"/>
      <c r="AA58" s="223"/>
      <c r="AB58" s="223"/>
      <c r="AC58" s="223"/>
      <c r="AD58" s="223"/>
      <c r="AE58" s="223"/>
      <c r="AF58" s="223"/>
      <c r="AG58" s="219"/>
      <c r="AH58" s="225">
        <f>SUM(PORTEFEUILLE_DELPHINE[[#This Row],[PCR COMPTABLE €]:[MONTANT
RESPONSABLE RELATION CLIENT €]])-PORTEFEUILLE_DELPHINE[[#This Row],[MONTANT TOTAL LETTRE DE MISION €]]</f>
        <v>0</v>
      </c>
      <c r="AI58" s="191"/>
      <c r="AJ58" s="188"/>
      <c r="AK58" s="188"/>
      <c r="AL58" s="194"/>
      <c r="AM58" s="194"/>
      <c r="AN58" s="194"/>
      <c r="AO58" s="194"/>
      <c r="AP58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Q58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R58" s="188" t="str">
        <f>IF(PORTEFEUILLE_DELPHINE[[#This Row],[BONI AAC]]&lt;&gt;0,1,"")</f>
        <v/>
      </c>
      <c r="AS58" s="188" t="str">
        <f>IF(PORTEFEUILLE_DELPHINE[[#This Row],[MALI AAC]]&lt;&gt;0,1,"")</f>
        <v/>
      </c>
      <c r="AT58" s="225">
        <f>IF(AN58&lt;&gt;"",IF((AN58*Paramètres!$H$4)-PORTEFEUILLE_DELPHINE[[#This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€]]-(DELPHINE!AN58*Paramètres!$H$4),0),0)</f>
        <v>0</v>
      </c>
      <c r="AU58" s="225">
        <f>IF(AN58&lt;&gt;"",IF(((AN58*Paramètres!$H$4)-PORTEFEUILLE_DELPHINE[[#This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€]])&gt;0,(AN58*Paramètres!$H$4)-PORTEFEUILLE_DELPHINE[[#This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V58" s="190" t="str">
        <f>IF(PORTEFEUILLE_DELPHINE[[#This Row],[BONI COMPTABLE]]&lt;&gt;0,1,"")</f>
        <v/>
      </c>
      <c r="AW58" s="190" t="str">
        <f>IF(PORTEFEUILLE_DELPHINE[[#This Row],[MALI COMPTABLE]]&lt;&gt;0,1,"")</f>
        <v/>
      </c>
      <c r="AX58" s="194"/>
      <c r="AY58" s="188"/>
      <c r="AZ58" s="188"/>
      <c r="BA58" s="188"/>
      <c r="BB58" s="194"/>
      <c r="BC58" s="194"/>
      <c r="BD58" s="194"/>
      <c r="BE58" s="192"/>
      <c r="BF58" s="194"/>
      <c r="BG58" s="194"/>
      <c r="BH58" s="195"/>
      <c r="BI58" s="194"/>
    </row>
    <row r="59" spans="1:61" x14ac:dyDescent="0.25">
      <c r="A59" s="172"/>
      <c r="B59" s="179"/>
      <c r="C59" s="176"/>
      <c r="D59" s="172"/>
      <c r="E59" s="203"/>
      <c r="F59" s="194"/>
      <c r="G59" s="194"/>
      <c r="H59" s="189"/>
      <c r="I59" s="194"/>
      <c r="J59" s="194"/>
      <c r="K59" s="190" t="str">
        <f t="shared" si="0"/>
        <v/>
      </c>
      <c r="L59" s="190" t="str">
        <f t="shared" si="1"/>
        <v/>
      </c>
      <c r="M59" s="188"/>
      <c r="N59" s="188"/>
      <c r="O59" s="188"/>
      <c r="P59" s="188"/>
      <c r="Q59" s="188"/>
      <c r="R59" s="188"/>
      <c r="S59" s="217"/>
      <c r="T59" s="211"/>
      <c r="U59" s="223"/>
      <c r="V59" s="223"/>
      <c r="W59" s="223"/>
      <c r="X59" s="223"/>
      <c r="Y59" s="223"/>
      <c r="Z59" s="223"/>
      <c r="AA59" s="223"/>
      <c r="AB59" s="223"/>
      <c r="AC59" s="223"/>
      <c r="AD59" s="223"/>
      <c r="AE59" s="223"/>
      <c r="AF59" s="223"/>
      <c r="AG59" s="219"/>
      <c r="AH59" s="225">
        <f>SUM(PORTEFEUILLE_DELPHINE[[#This Row],[PCR COMPTABLE €]:[MONTANT
RESPONSABLE RELATION CLIENT €]])-PORTEFEUILLE_DELPHINE[[#This Row],[MONTANT TOTAL LETTRE DE MISION €]]</f>
        <v>0</v>
      </c>
      <c r="AI59" s="191"/>
      <c r="AJ59" s="188"/>
      <c r="AK59" s="188"/>
      <c r="AL59" s="194"/>
      <c r="AM59" s="194"/>
      <c r="AN59" s="194"/>
      <c r="AO59" s="194"/>
      <c r="AP59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Q59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R59" s="188" t="str">
        <f>IF(PORTEFEUILLE_DELPHINE[[#This Row],[BONI AAC]]&lt;&gt;0,1,"")</f>
        <v/>
      </c>
      <c r="AS59" s="188" t="str">
        <f>IF(PORTEFEUILLE_DELPHINE[[#This Row],[MALI AAC]]&lt;&gt;0,1,"")</f>
        <v/>
      </c>
      <c r="AT59" s="225">
        <f>IF(AN59&lt;&gt;"",IF((AN59*Paramètres!$H$4)-PORTEFEUILLE_DELPHINE[[#This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€]]-(DELPHINE!AN59*Paramètres!$H$4),0),0)</f>
        <v>0</v>
      </c>
      <c r="AU59" s="225">
        <f>IF(AN59&lt;&gt;"",IF(((AN59*Paramètres!$H$4)-PORTEFEUILLE_DELPHINE[[#This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€]])&gt;0,(AN59*Paramètres!$H$4)-PORTEFEUILLE_DELPHINE[[#This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V59" s="190" t="str">
        <f>IF(PORTEFEUILLE_DELPHINE[[#This Row],[BONI COMPTABLE]]&lt;&gt;0,1,"")</f>
        <v/>
      </c>
      <c r="AW59" s="190" t="str">
        <f>IF(PORTEFEUILLE_DELPHINE[[#This Row],[MALI COMPTABLE]]&lt;&gt;0,1,"")</f>
        <v/>
      </c>
      <c r="AX59" s="194"/>
      <c r="AY59" s="188"/>
      <c r="AZ59" s="188"/>
      <c r="BA59" s="188"/>
      <c r="BB59" s="194"/>
      <c r="BC59" s="194"/>
      <c r="BD59" s="194"/>
      <c r="BE59" s="192"/>
      <c r="BF59" s="194"/>
      <c r="BG59" s="194"/>
      <c r="BH59" s="195"/>
      <c r="BI59" s="194"/>
    </row>
    <row r="60" spans="1:61" x14ac:dyDescent="0.25">
      <c r="A60" s="186"/>
      <c r="B60" s="187"/>
      <c r="C60" s="186"/>
      <c r="D60" s="186"/>
      <c r="E60" s="204"/>
      <c r="F60" s="205"/>
      <c r="G60" s="205"/>
      <c r="H60" s="189"/>
      <c r="I60" s="205"/>
      <c r="J60" s="205"/>
      <c r="K60" s="190" t="str">
        <f t="shared" si="0"/>
        <v/>
      </c>
      <c r="L60" s="190" t="str">
        <f t="shared" si="1"/>
        <v/>
      </c>
      <c r="M60" s="188"/>
      <c r="N60" s="188"/>
      <c r="O60" s="188"/>
      <c r="P60" s="188"/>
      <c r="Q60" s="188"/>
      <c r="R60" s="188"/>
      <c r="S60" s="218"/>
      <c r="T60" s="212"/>
      <c r="U60" s="224"/>
      <c r="V60" s="224"/>
      <c r="W60" s="224"/>
      <c r="X60" s="224"/>
      <c r="Y60" s="224"/>
      <c r="Z60" s="224"/>
      <c r="AA60" s="224"/>
      <c r="AB60" s="224"/>
      <c r="AC60" s="224"/>
      <c r="AD60" s="224"/>
      <c r="AE60" s="224"/>
      <c r="AF60" s="224"/>
      <c r="AG60" s="219"/>
      <c r="AH60" s="225">
        <f>SUM(PORTEFEUILLE_DELPHINE[[#This Row],[PCR COMPTABLE €]:[MONTANT
RESPONSABLE RELATION CLIENT €]])-PORTEFEUILLE_DELPHINE[[#This Row],[MONTANT TOTAL LETTRE DE MISION €]]</f>
        <v>0</v>
      </c>
      <c r="AI60" s="191"/>
      <c r="AJ60" s="188"/>
      <c r="AK60" s="201"/>
      <c r="AL60" s="205"/>
      <c r="AM60" s="205"/>
      <c r="AN60" s="205"/>
      <c r="AO60" s="205"/>
      <c r="AP60" s="225">
        <f>IF(PORTEFEUILLE_DELPHINE[[#This Row],[TPS PASSE 
AAC H]]&lt;&gt;"",IF((PORTEFEUILLE_DELPHINE[[#This Row],[TPS PASSE 
AAC H]]*Paramètres!$I$4)&lt;(PORTEFEUILLE_DELPHINE[[#This Row],[SAISIE PAR UNE AAC €]]+PORTEFEUILLE_DELPHINE[[#This Row],[DECLARATION TVA AAC €]]),PORTEFEUILLE_DELPHINE[[#This Row],[SAISIE PAR UNE AAC €]]+PORTEFEUILLE_DELPHINE[[#This Row],[DECLARATION TVA AAC €]]-(PORTEFEUILLE_DELPHINE[[#This Row],[TPS PASSE 
AAC H]]*Paramètres!$I$4),0),0)</f>
        <v>0</v>
      </c>
      <c r="AQ60" s="225">
        <f>IF(PORTEFEUILLE_DELPHINE[[#This Row],[TPS PASSE 
AAC H]]&lt;&gt;"",IF((Paramètres!$I$4*PORTEFEUILLE_DELPHINE[[#This Row],[TPS PASSE 
AAC H]])&gt;(PORTEFEUILLE_DELPHINE[[#This Row],[SAISIE PAR UNE AAC €]]+PORTEFEUILLE_DELPHINE[[#This Row],[DECLARATION TVA AAC €]]),(PORTEFEUILLE_DELPHINE[[#This Row],[TPS PASSE 
AAC H]]*Paramètres!$I$4)-(PORTEFEUILLE_DELPHINE[[#This Row],[SAISIE PAR UNE AAC €]]+PORTEFEUILLE_DELPHINE[[#This Row],[DECLARATION TVA AAC €]]),0),0)</f>
        <v>0</v>
      </c>
      <c r="AR60" s="188" t="str">
        <f>IF(PORTEFEUILLE_DELPHINE[[#This Row],[BONI AAC]]&lt;&gt;0,1,"")</f>
        <v/>
      </c>
      <c r="AS60" s="188" t="str">
        <f>IF(PORTEFEUILLE_DELPHINE[[#This Row],[MALI AAC]]&lt;&gt;0,1,"")</f>
        <v/>
      </c>
      <c r="AT60" s="225">
        <f>IF(AN60&lt;&gt;"",IF((AN60*Paramètres!$H$4)-PORTEFEUILLE_DELPHINE[[#This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€]]&lt;0,PORTEFEUILLE_DELPHINE[[#This Row],[PCR COMPTABLE €]]+PORTEFEUILLE_DELPHINE[[#This Row],[RA FAIT PAR LE
COMPTABLE €]]+PORTEFEUILLE_DELPHINE[[#This Row],[AGOA COMPTABLE €]]+PORTEFEUILLE_DELPHINE[[#This Row],[SAISIE PAR LE COMPTABLE €]]+PORTEFEUILLE_DELPHINE[[#This Row],[TRAVAUX 
DE REVISION €]]+PORTEFEUILLE_DELPHINE[[#This Row],[DECLARATION TVA COMPTABLE €]]+PORTEFEUILLE_DELPHINE[[#This Row],[MONTANT
RESPONSABLE RELATION CLIENT €]]-(DELPHINE!AN60*Paramètres!$H$4),0),0)</f>
        <v>0</v>
      </c>
      <c r="AU60" s="225">
        <f>IF(AN60&lt;&gt;"",IF(((AN60*Paramètres!$H$4)-PORTEFEUILLE_DELPHINE[[#This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€]])&gt;0,(AN60*Paramètres!$H$4)-PORTEFEUILLE_DELPHINE[[#This Row],[PCR COMPTABLE €]]-PORTEFEUILLE_DELPHINE[[#This Row],[RA FAIT PAR LE
COMPTABLE €]]-PORTEFEUILLE_DELPHINE[[#This Row],[AGOA COMPTABLE €]]-PORTEFEUILLE_DELPHINE[[#This Row],[SAISIE PAR LE COMPTABLE €]]-PORTEFEUILLE_DELPHINE[[#This Row],[TRAVAUX 
DE REVISION €]]-PORTEFEUILLE_DELPHINE[[#This Row],[DECLARATION TVA COMPTABLE €]]-PORTEFEUILLE_DELPHINE[[#This Row],[MONTANT
RESPONSABLE RELATION CLIENT €]],0),0)</f>
        <v>0</v>
      </c>
      <c r="AV60" s="190" t="str">
        <f>IF(PORTEFEUILLE_DELPHINE[[#This Row],[BONI COMPTABLE]]&lt;&gt;0,1,"")</f>
        <v/>
      </c>
      <c r="AW60" s="190" t="str">
        <f>IF(PORTEFEUILLE_DELPHINE[[#This Row],[MALI COMPTABLE]]&lt;&gt;0,1,"")</f>
        <v/>
      </c>
      <c r="AX60" s="205"/>
      <c r="AY60" s="188"/>
      <c r="AZ60" s="188"/>
      <c r="BA60" s="188"/>
      <c r="BB60" s="205"/>
      <c r="BC60" s="205"/>
      <c r="BD60" s="205"/>
      <c r="BE60" s="192"/>
      <c r="BF60" s="205"/>
      <c r="BG60" s="205"/>
      <c r="BH60" s="206"/>
      <c r="BI60" s="205"/>
    </row>
    <row r="63" spans="1:61" x14ac:dyDescent="0.25">
      <c r="B63" s="89" t="s">
        <v>120</v>
      </c>
    </row>
    <row r="65" spans="2:50" x14ac:dyDescent="0.25">
      <c r="B65" s="274" t="s">
        <v>120</v>
      </c>
      <c r="C65" s="122"/>
      <c r="D65" s="122"/>
      <c r="E65" s="125" t="s">
        <v>112</v>
      </c>
      <c r="F65" s="121" t="s">
        <v>115</v>
      </c>
      <c r="G65" s="126" t="s">
        <v>118</v>
      </c>
      <c r="H65" s="127" t="s">
        <v>116</v>
      </c>
      <c r="I65" s="127" t="s">
        <v>136</v>
      </c>
      <c r="J65" s="128" t="s">
        <v>125</v>
      </c>
      <c r="K65" s="128" t="s">
        <v>110</v>
      </c>
      <c r="L65" s="128" t="s">
        <v>119</v>
      </c>
      <c r="M65" s="128" t="s">
        <v>126</v>
      </c>
      <c r="N65" s="128" t="s">
        <v>127</v>
      </c>
      <c r="O65" s="128" t="s">
        <v>128</v>
      </c>
      <c r="P65" s="128" t="s">
        <v>129</v>
      </c>
      <c r="Q65" s="128" t="s">
        <v>130</v>
      </c>
      <c r="R65" s="128" t="s">
        <v>137</v>
      </c>
      <c r="S65" s="128"/>
      <c r="T65" s="121"/>
      <c r="U65" s="164"/>
      <c r="V65" s="164"/>
      <c r="W65" s="164"/>
      <c r="X65" s="164"/>
      <c r="Y65" s="164"/>
      <c r="Z65" s="164"/>
      <c r="AA65" s="164"/>
      <c r="AB65" s="164"/>
      <c r="AC65" s="164"/>
      <c r="AE65" s="164"/>
      <c r="AF65" s="164"/>
      <c r="AG65" s="164"/>
      <c r="AH65" s="164"/>
      <c r="AI65" s="164"/>
      <c r="AJ65" s="164"/>
      <c r="AK65" s="164"/>
      <c r="AL65" s="164"/>
      <c r="AM65" s="164"/>
      <c r="AN65" s="164"/>
      <c r="AO65" s="164"/>
      <c r="AP65" s="164"/>
      <c r="AQ65" s="164"/>
      <c r="AR65" s="164"/>
      <c r="AS65" s="164"/>
      <c r="AT65" s="164"/>
      <c r="AU65" s="164"/>
      <c r="AV65" s="164"/>
      <c r="AW65" s="164"/>
      <c r="AX65" s="164"/>
    </row>
    <row r="66" spans="2:50" x14ac:dyDescent="0.25">
      <c r="B66" s="275"/>
      <c r="C66" s="120" t="s">
        <v>109</v>
      </c>
      <c r="D66" s="122">
        <f>COUNTIF($D$3:$D$60,"ACS")</f>
        <v>3</v>
      </c>
      <c r="E66" s="129">
        <f>+COUNTIF($F$3:$F$60,"SARL")</f>
        <v>1</v>
      </c>
      <c r="F66" s="121">
        <f>+COUNTIF($F$3:$F$60,"EURL")</f>
        <v>1</v>
      </c>
      <c r="G66" s="124">
        <f>COUNTIFS($F$3:$F$60,"SAS",$D$3:$D$60,"ACS")</f>
        <v>0</v>
      </c>
      <c r="H66" s="122">
        <f>COUNTIFS($F$3:$F$60,"INDIVIDUEL",$D$3:$D$60,"ACS")</f>
        <v>0</v>
      </c>
      <c r="I66" s="122">
        <f>COUNTIF($F$3:$F$60,"ASSOCIATION")</f>
        <v>0</v>
      </c>
      <c r="J66" s="122"/>
      <c r="K66" s="122">
        <f>COUNTIF($F$3:$F$60,"SNC")</f>
        <v>0</v>
      </c>
      <c r="L66" s="122">
        <f>+COUNTIF($F$3:$F$60,"SCI")</f>
        <v>0</v>
      </c>
      <c r="M66" s="130"/>
      <c r="N66" s="131"/>
      <c r="O66" s="132"/>
      <c r="P66" s="122">
        <f>+COUNTIF($F$3:$F$60,"GROUPEMENT")</f>
        <v>0</v>
      </c>
      <c r="Q66" s="121">
        <f>COUNTIF($F$3:$F$60,"EIRL")</f>
        <v>1</v>
      </c>
      <c r="R66" s="121">
        <f>COUNTIF($F$3:$F$60,"AUTRE")</f>
        <v>0</v>
      </c>
      <c r="S66" s="121"/>
      <c r="T66" s="122">
        <f>+SUM(E66:P66)</f>
        <v>2</v>
      </c>
      <c r="U66" s="164"/>
      <c r="V66" s="164"/>
      <c r="W66" s="164"/>
      <c r="X66" s="164"/>
      <c r="Y66" s="164"/>
      <c r="Z66" s="164"/>
      <c r="AA66" s="164"/>
      <c r="AB66" s="164"/>
      <c r="AC66" s="164"/>
      <c r="AE66" s="164"/>
      <c r="AF66" s="164"/>
      <c r="AG66" s="164"/>
      <c r="AH66" s="164"/>
      <c r="AI66" s="164"/>
      <c r="AJ66" s="164"/>
      <c r="AK66" s="164"/>
      <c r="AL66" s="164"/>
      <c r="AM66" s="164"/>
      <c r="AN66" s="164"/>
      <c r="AO66" s="164"/>
      <c r="AP66" s="164"/>
      <c r="AQ66" s="164"/>
      <c r="AR66" s="164"/>
      <c r="AS66" s="164"/>
      <c r="AT66" s="164"/>
      <c r="AU66" s="164"/>
      <c r="AV66" s="164"/>
      <c r="AW66" s="164"/>
      <c r="AX66" s="164"/>
    </row>
    <row r="67" spans="2:50" x14ac:dyDescent="0.25">
      <c r="B67" s="275"/>
      <c r="C67" s="120" t="s">
        <v>121</v>
      </c>
      <c r="D67" s="122">
        <f>COUNTIF($D$3:$D$60,"BNC")</f>
        <v>0</v>
      </c>
      <c r="E67" s="133"/>
      <c r="F67" s="121"/>
      <c r="G67" s="134"/>
      <c r="H67" s="135"/>
      <c r="I67" s="132"/>
      <c r="J67" s="122">
        <f>+COUNTIF($F$3:$F$60,"PROFESSION LIBERALE")</f>
        <v>0</v>
      </c>
      <c r="K67" s="122"/>
      <c r="L67" s="122"/>
      <c r="M67" s="122"/>
      <c r="N67" s="122"/>
      <c r="O67" s="122"/>
      <c r="P67" s="122"/>
      <c r="Q67" s="121"/>
      <c r="R67" s="121"/>
      <c r="S67" s="121"/>
      <c r="T67" s="122">
        <f>+SUM(E67:P67)</f>
        <v>0</v>
      </c>
      <c r="U67" s="164"/>
      <c r="V67" s="164"/>
      <c r="W67" s="164"/>
      <c r="X67" s="164"/>
      <c r="Y67" s="164"/>
      <c r="Z67" s="164"/>
      <c r="AA67" s="164"/>
      <c r="AB67" s="164"/>
      <c r="AC67" s="164"/>
      <c r="AE67" s="164"/>
      <c r="AF67" s="164"/>
      <c r="AG67" s="164"/>
      <c r="AH67" s="164"/>
      <c r="AI67" s="164"/>
      <c r="AJ67" s="164"/>
      <c r="AK67" s="164"/>
      <c r="AL67" s="164"/>
      <c r="AM67" s="164"/>
      <c r="AN67" s="164"/>
      <c r="AO67" s="164"/>
      <c r="AP67" s="164"/>
      <c r="AQ67" s="164"/>
      <c r="AR67" s="164"/>
      <c r="AS67" s="164"/>
      <c r="AT67" s="164"/>
      <c r="AU67" s="164"/>
      <c r="AV67" s="164"/>
      <c r="AW67" s="164"/>
      <c r="AX67" s="164"/>
    </row>
    <row r="68" spans="2:50" x14ac:dyDescent="0.25">
      <c r="B68" s="276"/>
      <c r="C68" s="122" t="s">
        <v>122</v>
      </c>
      <c r="D68" s="122">
        <f>COUNTIF($D$3:$D$60,"AGRI")</f>
        <v>0</v>
      </c>
      <c r="E68" s="129"/>
      <c r="F68" s="121"/>
      <c r="G68" s="124">
        <f>COUNTIFS($F$3:$F$60,"SAS",$D$3:$D$60,"AGRI")</f>
        <v>0</v>
      </c>
      <c r="H68" s="122">
        <f>COUNTIFS($F$3:$F$60,"INDIVIDUEL",$D$3:$D$60,"AGRI")</f>
        <v>0</v>
      </c>
      <c r="I68" s="122"/>
      <c r="J68" s="122"/>
      <c r="K68" s="122"/>
      <c r="L68" s="122"/>
      <c r="M68" s="122">
        <f>COUNTIF($F$5:$F$62,"EARL")</f>
        <v>0</v>
      </c>
      <c r="N68" s="122">
        <f>COUNTIF($F$5:$F$62,"ETA")</f>
        <v>0</v>
      </c>
      <c r="O68" s="122">
        <f>COUNTIF($F$5:$F$62,"SCEA")</f>
        <v>0</v>
      </c>
      <c r="P68" s="122"/>
      <c r="Q68" s="121"/>
      <c r="R68" s="121"/>
      <c r="S68" s="121"/>
      <c r="T68" s="122">
        <f>+SUM(E68:P68)</f>
        <v>0</v>
      </c>
      <c r="U68" s="164"/>
      <c r="V68" s="164"/>
      <c r="W68" s="164"/>
      <c r="X68" s="164"/>
      <c r="Y68" s="164"/>
      <c r="Z68" s="164"/>
      <c r="AA68" s="164"/>
      <c r="AB68" s="164"/>
      <c r="AC68" s="164"/>
      <c r="AE68" s="164"/>
      <c r="AF68" s="164"/>
      <c r="AG68" s="164"/>
      <c r="AH68" s="164"/>
      <c r="AI68" s="164"/>
      <c r="AJ68" s="164"/>
      <c r="AK68" s="164"/>
      <c r="AL68" s="164"/>
      <c r="AM68" s="164"/>
      <c r="AN68" s="164"/>
      <c r="AO68" s="164"/>
      <c r="AP68" s="164"/>
      <c r="AQ68" s="164"/>
      <c r="AR68" s="164"/>
      <c r="AS68" s="164"/>
      <c r="AT68" s="164"/>
      <c r="AU68" s="164"/>
      <c r="AV68" s="164"/>
      <c r="AW68" s="164"/>
      <c r="AX68" s="164"/>
    </row>
    <row r="69" spans="2:50" x14ac:dyDescent="0.25">
      <c r="B69" s="277" t="s">
        <v>123</v>
      </c>
      <c r="C69" s="277"/>
      <c r="D69" s="122">
        <f>+SUM(D66:D68)</f>
        <v>3</v>
      </c>
      <c r="E69" s="129">
        <f>+SUM(E66:E68)</f>
        <v>1</v>
      </c>
      <c r="F69" s="129">
        <f t="shared" ref="F69:R69" si="2">+SUM(F66:F68)</f>
        <v>1</v>
      </c>
      <c r="G69" s="129">
        <f t="shared" si="2"/>
        <v>0</v>
      </c>
      <c r="H69" s="129">
        <f t="shared" si="2"/>
        <v>0</v>
      </c>
      <c r="I69" s="129">
        <f t="shared" si="2"/>
        <v>0</v>
      </c>
      <c r="J69" s="129">
        <f t="shared" si="2"/>
        <v>0</v>
      </c>
      <c r="K69" s="129">
        <f t="shared" si="2"/>
        <v>0</v>
      </c>
      <c r="L69" s="129">
        <f t="shared" si="2"/>
        <v>0</v>
      </c>
      <c r="M69" s="129">
        <f t="shared" si="2"/>
        <v>0</v>
      </c>
      <c r="N69" s="129">
        <f t="shared" si="2"/>
        <v>0</v>
      </c>
      <c r="O69" s="129">
        <f t="shared" si="2"/>
        <v>0</v>
      </c>
      <c r="P69" s="129">
        <f t="shared" si="2"/>
        <v>0</v>
      </c>
      <c r="Q69" s="129">
        <f t="shared" si="2"/>
        <v>1</v>
      </c>
      <c r="R69" s="129">
        <f t="shared" si="2"/>
        <v>0</v>
      </c>
      <c r="S69" s="129"/>
      <c r="T69" s="122">
        <f>+SUM(T66:T68)</f>
        <v>2</v>
      </c>
      <c r="U69" s="164"/>
      <c r="V69" s="164"/>
      <c r="W69" s="164"/>
      <c r="X69" s="164"/>
      <c r="Y69" s="164"/>
      <c r="Z69" s="164"/>
      <c r="AA69" s="164"/>
      <c r="AB69" s="164"/>
      <c r="AC69" s="164"/>
      <c r="AE69" s="164"/>
      <c r="AF69" s="164"/>
      <c r="AG69" s="164"/>
      <c r="AH69" s="164"/>
      <c r="AI69" s="164"/>
      <c r="AJ69" s="164"/>
      <c r="AK69" s="164"/>
      <c r="AL69" s="164"/>
      <c r="AM69" s="164"/>
      <c r="AN69" s="164"/>
      <c r="AO69" s="164"/>
      <c r="AP69" s="164"/>
      <c r="AQ69" s="164"/>
      <c r="AR69" s="164"/>
      <c r="AS69" s="164"/>
      <c r="AT69" s="164"/>
      <c r="AU69" s="164"/>
      <c r="AV69" s="164"/>
      <c r="AW69" s="164"/>
      <c r="AX69" s="164"/>
    </row>
    <row r="70" spans="2:50" x14ac:dyDescent="0.25">
      <c r="B70" s="90"/>
      <c r="C70" s="90"/>
      <c r="D70" s="90"/>
      <c r="E70" s="90"/>
      <c r="G70" s="90"/>
      <c r="H70" s="90"/>
      <c r="I70" s="90"/>
      <c r="J70" s="90"/>
      <c r="K70" s="90"/>
      <c r="L70" s="90"/>
      <c r="M70" s="90"/>
      <c r="N70" s="90"/>
      <c r="O70" s="90"/>
      <c r="P70" s="90"/>
      <c r="T70" s="90"/>
      <c r="U70" s="164"/>
      <c r="V70" s="164"/>
      <c r="W70" s="164"/>
      <c r="X70" s="164"/>
      <c r="Y70" s="164"/>
      <c r="Z70" s="164"/>
      <c r="AA70" s="164"/>
      <c r="AB70" s="164"/>
      <c r="AC70" s="164"/>
      <c r="AE70" s="164"/>
      <c r="AF70" s="164"/>
      <c r="AG70" s="164"/>
      <c r="AH70" s="164"/>
      <c r="AI70" s="164"/>
      <c r="AJ70" s="164"/>
      <c r="AK70" s="164"/>
      <c r="AL70" s="164"/>
      <c r="AM70" s="164"/>
      <c r="AN70" s="164"/>
      <c r="AO70" s="164"/>
      <c r="AP70" s="164"/>
      <c r="AQ70" s="164"/>
      <c r="AR70" s="164"/>
      <c r="AS70" s="164"/>
      <c r="AT70" s="164"/>
      <c r="AU70" s="164"/>
      <c r="AV70" s="164"/>
      <c r="AW70" s="164"/>
      <c r="AX70" s="164"/>
    </row>
    <row r="71" spans="2:50" x14ac:dyDescent="0.25">
      <c r="B71" s="278">
        <v>44196</v>
      </c>
      <c r="C71" s="122"/>
      <c r="D71" s="122"/>
      <c r="E71" s="125" t="str">
        <f t="shared" ref="E71:R71" si="3">E65</f>
        <v>SARL</v>
      </c>
      <c r="F71" s="122" t="str">
        <f t="shared" si="3"/>
        <v>EURL</v>
      </c>
      <c r="G71" s="126" t="str">
        <f t="shared" si="3"/>
        <v>SAS</v>
      </c>
      <c r="H71" s="127" t="str">
        <f t="shared" si="3"/>
        <v>INDIVIDUEL</v>
      </c>
      <c r="I71" s="127" t="str">
        <f t="shared" si="3"/>
        <v>ASSOCIATION</v>
      </c>
      <c r="J71" s="128" t="str">
        <f t="shared" si="3"/>
        <v>PROFESSION LIBERALE</v>
      </c>
      <c r="K71" s="128" t="str">
        <f t="shared" si="3"/>
        <v>SNC</v>
      </c>
      <c r="L71" s="128" t="str">
        <f t="shared" si="3"/>
        <v>SCI</v>
      </c>
      <c r="M71" s="128" t="str">
        <f t="shared" si="3"/>
        <v>EARL</v>
      </c>
      <c r="N71" s="128" t="str">
        <f t="shared" si="3"/>
        <v>ETA</v>
      </c>
      <c r="O71" s="128" t="str">
        <f t="shared" si="3"/>
        <v>SCEA</v>
      </c>
      <c r="P71" s="128" t="str">
        <f t="shared" si="3"/>
        <v>GROUPEMENT</v>
      </c>
      <c r="Q71" s="122" t="str">
        <f t="shared" si="3"/>
        <v>EIRL</v>
      </c>
      <c r="R71" s="122" t="str">
        <f t="shared" si="3"/>
        <v>AUTRES</v>
      </c>
      <c r="S71" s="122"/>
      <c r="T71" s="128" t="s">
        <v>86</v>
      </c>
      <c r="U71" s="164"/>
      <c r="V71" s="164"/>
      <c r="W71" s="164"/>
      <c r="X71" s="164"/>
      <c r="Y71" s="164"/>
      <c r="Z71" s="164"/>
      <c r="AA71" s="164"/>
      <c r="AB71" s="164"/>
      <c r="AC71" s="164"/>
      <c r="AE71" s="164"/>
      <c r="AF71" s="164"/>
      <c r="AG71" s="164"/>
      <c r="AH71" s="164"/>
      <c r="AI71" s="164"/>
      <c r="AJ71" s="164"/>
      <c r="AK71" s="164"/>
      <c r="AL71" s="164"/>
      <c r="AM71" s="164"/>
      <c r="AN71" s="164"/>
      <c r="AO71" s="164"/>
      <c r="AP71" s="164"/>
      <c r="AQ71" s="164"/>
      <c r="AR71" s="164"/>
      <c r="AS71" s="164"/>
      <c r="AT71" s="164"/>
      <c r="AU71" s="164"/>
      <c r="AV71" s="164"/>
      <c r="AW71" s="164"/>
      <c r="AX71" s="164"/>
    </row>
    <row r="72" spans="2:50" x14ac:dyDescent="0.25">
      <c r="B72" s="275"/>
      <c r="C72" s="120" t="s">
        <v>109</v>
      </c>
      <c r="D72" s="122">
        <f>COUNTIFS($E$3:$E$60,DATE(Paramètres!A4,Paramètres!D15,Paramètres!C15),$D$3:$D$60,"ACS")</f>
        <v>3</v>
      </c>
      <c r="E72" s="129">
        <f>COUNTIFS($E$3:$E$60,DATE(Paramètres!A4,Paramètres!D15,Paramètres!C15),$F$3:$F$60,"SARL")</f>
        <v>1</v>
      </c>
      <c r="F72" s="122">
        <f>+COUNTIFS($E$3:$E$60,DATE(Paramètres!A4,Paramètres!D15,Paramètres!C15),$F$3:$F$60,"EURL")</f>
        <v>1</v>
      </c>
      <c r="G72" s="124">
        <f>COUNTIFS($E$3:$E$60,DATE(Paramètres!A4,Paramètres!D15,Paramètres!C15),$F$3:$F$60,"SAS",$D$3:$D$60,"ACS")</f>
        <v>0</v>
      </c>
      <c r="H72" s="122">
        <f>COUNTIFS($E$3:$E$60,DATE(Paramètres!A4,Paramètres!D15,Paramètres!C15),$F$3:$F$60,"INDIVIDUEL",$D$3:$D$60,"ACS")</f>
        <v>0</v>
      </c>
      <c r="I72" s="122">
        <f>+COUNTIFS($E$3:$E$60,DATE(Paramètres!A4,Paramètres!D15,Paramètres!C15),$F$3:$F$60,"ASSOCIATION")</f>
        <v>0</v>
      </c>
      <c r="J72" s="122"/>
      <c r="K72" s="122">
        <f>COUNTIFS($E$3:$E$60,DATE(Paramètres!A4,Paramètres!D15,Paramètres!C15),$F$3:$F$60,"SNC")</f>
        <v>0</v>
      </c>
      <c r="L72" s="122">
        <f>COUNTIFS($E$3:$E$60,DATE(Paramètres!A4,Paramètres!D15,Paramètres!C15),$F$3:$F$60,"SCI")</f>
        <v>0</v>
      </c>
      <c r="M72" s="130"/>
      <c r="N72" s="131"/>
      <c r="O72" s="132"/>
      <c r="P72" s="122">
        <f>COUNTIFS($E$3:$E$60,DATE(Paramètres!A4,Paramètres!D15,Paramètres!C15),$F$3:$F$60,"GROUPEMENT")</f>
        <v>0</v>
      </c>
      <c r="Q72" s="122">
        <f>+COUNTIFS($E$3:$E$60,DATE(Paramètres!A4,Paramètres!D15,Paramètres!C15),$F$3:$F$60,"EIRL")</f>
        <v>1</v>
      </c>
      <c r="R72" s="122">
        <f>+COUNTIFS($E$3:$E$60,DATE(Paramètres!B4,Paramètres!E15,Paramètres!D15),$F$3:$F$60,"AUTRES")</f>
        <v>0</v>
      </c>
      <c r="S72" s="122"/>
      <c r="T72" s="122">
        <f>+SUM(E72:P72)</f>
        <v>2</v>
      </c>
      <c r="U72" s="164"/>
      <c r="V72" s="164"/>
      <c r="W72" s="164"/>
      <c r="X72" s="164"/>
      <c r="Y72" s="164"/>
      <c r="Z72" s="164"/>
      <c r="AA72" s="164"/>
      <c r="AB72" s="164"/>
      <c r="AC72" s="164"/>
      <c r="AE72" s="164"/>
      <c r="AF72" s="164"/>
      <c r="AG72" s="164"/>
      <c r="AH72" s="164"/>
      <c r="AI72" s="164"/>
      <c r="AJ72" s="164"/>
      <c r="AK72" s="164"/>
      <c r="AL72" s="164"/>
      <c r="AM72" s="164"/>
      <c r="AN72" s="164"/>
      <c r="AO72" s="164"/>
      <c r="AP72" s="164"/>
      <c r="AQ72" s="164"/>
      <c r="AR72" s="164"/>
      <c r="AS72" s="164"/>
      <c r="AT72" s="164"/>
      <c r="AU72" s="164"/>
      <c r="AV72" s="164"/>
      <c r="AW72" s="164"/>
      <c r="AX72" s="164"/>
    </row>
    <row r="73" spans="2:50" x14ac:dyDescent="0.25">
      <c r="B73" s="275"/>
      <c r="C73" s="120" t="s">
        <v>121</v>
      </c>
      <c r="D73" s="122">
        <f>COUNTIFS($E$3:$E$60,DATE(Paramètres!A4,Paramètres!D15,Paramètres!C15),$D$3:$D$60,"BNC")</f>
        <v>0</v>
      </c>
      <c r="E73" s="133"/>
      <c r="F73" s="122"/>
      <c r="G73" s="134"/>
      <c r="H73" s="135"/>
      <c r="I73" s="132"/>
      <c r="J73" s="122">
        <f>COUNTIFS($E$3:$E$60,DATE(Paramètres!A4,Paramètres!D15,Paramètres!C15),$D$3:$D$60,"BNC")</f>
        <v>0</v>
      </c>
      <c r="K73" s="130"/>
      <c r="L73" s="131"/>
      <c r="M73" s="131"/>
      <c r="N73" s="131"/>
      <c r="O73" s="131"/>
      <c r="P73" s="132"/>
      <c r="Q73" s="122"/>
      <c r="R73" s="122"/>
      <c r="S73" s="122"/>
      <c r="T73" s="122">
        <f>+SUM(E73:P73)</f>
        <v>0</v>
      </c>
      <c r="U73" s="164"/>
      <c r="V73" s="164"/>
      <c r="W73" s="164"/>
      <c r="X73" s="164"/>
      <c r="Y73" s="164"/>
      <c r="Z73" s="164"/>
      <c r="AA73" s="164"/>
      <c r="AB73" s="164"/>
      <c r="AC73" s="164"/>
      <c r="AE73" s="164"/>
      <c r="AF73" s="164"/>
      <c r="AG73" s="164"/>
      <c r="AH73" s="164"/>
      <c r="AI73" s="164"/>
      <c r="AJ73" s="164"/>
      <c r="AK73" s="164"/>
      <c r="AL73" s="164"/>
      <c r="AM73" s="164"/>
      <c r="AN73" s="164"/>
      <c r="AO73" s="164"/>
      <c r="AP73" s="164"/>
      <c r="AQ73" s="164"/>
      <c r="AR73" s="164"/>
      <c r="AS73" s="164"/>
      <c r="AT73" s="164"/>
      <c r="AU73" s="164"/>
      <c r="AV73" s="164"/>
      <c r="AW73" s="164"/>
      <c r="AX73" s="164"/>
    </row>
    <row r="74" spans="2:50" x14ac:dyDescent="0.25">
      <c r="B74" s="276"/>
      <c r="C74" s="122" t="s">
        <v>122</v>
      </c>
      <c r="D74" s="122">
        <f>COUNTIFS($E$3:$E$60,DATE(Paramètres!A4,Paramètres!D15,Paramètres!C15),$D$3:$D$60,"AGRI")</f>
        <v>0</v>
      </c>
      <c r="E74" s="133"/>
      <c r="F74" s="122"/>
      <c r="G74" s="134">
        <f>COUNTIFS($E$3:$E$60,DATE(Paramètres!A4,Paramètres!D15,Paramètres!C15),$F$3:$F$60,"SAS",$D$3:$D$60,"AGRI")</f>
        <v>0</v>
      </c>
      <c r="H74" s="122">
        <f>COUNTIFS($E$3:$E$60,DATE(Paramètres!A4,Paramètres!D15,Paramètres!C15),$F$3:$F$60,"INDIVIDUEL",$D$3:$D$60,"AGRI")</f>
        <v>0</v>
      </c>
      <c r="I74" s="136"/>
      <c r="J74" s="131"/>
      <c r="K74" s="131"/>
      <c r="L74" s="132"/>
      <c r="M74" s="122">
        <f>COUNTIFS($E$3:$E$60,DATE(Paramètres!A4,Paramètres!D15,Paramètres!C15),$F$3:$F$60,"EARL")</f>
        <v>0</v>
      </c>
      <c r="N74" s="122">
        <f>COUNTIFS($E$3:$E$60,DATE(Paramètres!A4,Paramètres!D15,Paramètres!C15),$F$3:$F$60,"ETA")</f>
        <v>0</v>
      </c>
      <c r="O74" s="122">
        <f>COUNTIFS($E$3:$E$60,DATE(Paramètres!A4,Paramètres!D15,Paramètres!C15),$F$3:$F$60,"SCEA")</f>
        <v>0</v>
      </c>
      <c r="P74" s="122"/>
      <c r="Q74" s="122"/>
      <c r="R74" s="122"/>
      <c r="S74" s="122"/>
      <c r="T74" s="122">
        <f>+SUM(E74:P74)</f>
        <v>0</v>
      </c>
      <c r="U74" s="164"/>
      <c r="V74" s="164"/>
      <c r="W74" s="164"/>
      <c r="X74" s="164"/>
      <c r="Y74" s="164"/>
      <c r="Z74" s="164"/>
      <c r="AA74" s="164"/>
      <c r="AB74" s="164"/>
      <c r="AC74" s="164"/>
      <c r="AE74" s="164"/>
      <c r="AF74" s="164"/>
      <c r="AG74" s="164"/>
      <c r="AH74" s="164"/>
      <c r="AI74" s="164"/>
      <c r="AJ74" s="164"/>
      <c r="AK74" s="164"/>
      <c r="AL74" s="164"/>
      <c r="AM74" s="164"/>
      <c r="AN74" s="164"/>
      <c r="AO74" s="164"/>
      <c r="AP74" s="164"/>
      <c r="AQ74" s="164"/>
      <c r="AR74" s="164"/>
      <c r="AS74" s="164"/>
      <c r="AT74" s="164"/>
      <c r="AU74" s="164"/>
      <c r="AV74" s="164"/>
      <c r="AW74" s="164"/>
      <c r="AX74" s="164"/>
    </row>
    <row r="75" spans="2:50" x14ac:dyDescent="0.25">
      <c r="B75" s="277" t="s">
        <v>123</v>
      </c>
      <c r="C75" s="277"/>
      <c r="D75" s="122">
        <f>+SUM(D72:D74)</f>
        <v>3</v>
      </c>
      <c r="E75" s="129">
        <f>+SUM(E72:E74)</f>
        <v>1</v>
      </c>
      <c r="F75" s="129">
        <f>+SUM(F72:F74)</f>
        <v>1</v>
      </c>
      <c r="G75" s="124">
        <f>+SUM(G72:G74)</f>
        <v>0</v>
      </c>
      <c r="H75" s="122">
        <f>+SUM(H72:H74)</f>
        <v>0</v>
      </c>
      <c r="I75" s="122">
        <f t="shared" ref="I75:R75" si="4">+SUM(I72:I74)</f>
        <v>0</v>
      </c>
      <c r="J75" s="122">
        <f t="shared" si="4"/>
        <v>0</v>
      </c>
      <c r="K75" s="122">
        <f t="shared" si="4"/>
        <v>0</v>
      </c>
      <c r="L75" s="122">
        <f t="shared" si="4"/>
        <v>0</v>
      </c>
      <c r="M75" s="122">
        <f t="shared" si="4"/>
        <v>0</v>
      </c>
      <c r="N75" s="122">
        <f t="shared" si="4"/>
        <v>0</v>
      </c>
      <c r="O75" s="122">
        <f t="shared" si="4"/>
        <v>0</v>
      </c>
      <c r="P75" s="122">
        <f t="shared" si="4"/>
        <v>0</v>
      </c>
      <c r="Q75" s="122">
        <f t="shared" si="4"/>
        <v>1</v>
      </c>
      <c r="R75" s="122">
        <f t="shared" si="4"/>
        <v>0</v>
      </c>
      <c r="S75" s="122"/>
      <c r="T75" s="122">
        <f>+SUM(E75:R75)</f>
        <v>3</v>
      </c>
      <c r="U75" s="164"/>
      <c r="V75" s="164"/>
      <c r="W75" s="164"/>
      <c r="X75" s="164"/>
      <c r="Y75" s="164"/>
      <c r="Z75" s="164"/>
      <c r="AA75" s="164"/>
      <c r="AB75" s="164"/>
      <c r="AC75" s="164"/>
      <c r="AE75" s="164"/>
      <c r="AF75" s="164"/>
      <c r="AG75" s="164"/>
      <c r="AH75" s="164"/>
      <c r="AI75" s="164"/>
      <c r="AJ75" s="164"/>
      <c r="AK75" s="164"/>
      <c r="AL75" s="164"/>
      <c r="AM75" s="164"/>
      <c r="AN75" s="164"/>
      <c r="AO75" s="164"/>
      <c r="AP75" s="164"/>
      <c r="AQ75" s="164"/>
      <c r="AR75" s="164"/>
      <c r="AS75" s="164"/>
      <c r="AT75" s="164"/>
      <c r="AU75" s="164"/>
      <c r="AV75" s="164"/>
      <c r="AW75" s="164"/>
      <c r="AX75" s="164"/>
    </row>
    <row r="76" spans="2:50" x14ac:dyDescent="0.25">
      <c r="B76" s="90"/>
      <c r="C76" s="90"/>
      <c r="D76" s="90"/>
      <c r="E76" s="90"/>
      <c r="G76" s="90"/>
      <c r="H76" s="90"/>
      <c r="I76" s="90"/>
      <c r="J76" s="90"/>
      <c r="K76" s="90"/>
      <c r="L76" s="90"/>
      <c r="M76" s="90"/>
      <c r="N76" s="90"/>
      <c r="O76" s="90"/>
      <c r="P76" s="90"/>
      <c r="T76" s="90"/>
      <c r="U76" s="164"/>
      <c r="V76" s="164"/>
      <c r="W76" s="164"/>
      <c r="X76" s="164"/>
      <c r="Y76" s="164"/>
      <c r="Z76" s="164"/>
      <c r="AA76" s="164"/>
      <c r="AB76" s="164"/>
      <c r="AC76" s="164"/>
      <c r="AE76" s="164"/>
      <c r="AF76" s="164"/>
      <c r="AG76" s="164"/>
      <c r="AH76" s="164"/>
      <c r="AI76" s="164"/>
      <c r="AJ76" s="164"/>
      <c r="AK76" s="164"/>
      <c r="AL76" s="164"/>
      <c r="AM76" s="164"/>
      <c r="AN76" s="164"/>
      <c r="AO76" s="164"/>
      <c r="AP76" s="164"/>
      <c r="AQ76" s="164"/>
      <c r="AR76" s="164"/>
      <c r="AS76" s="164"/>
      <c r="AT76" s="164"/>
      <c r="AU76" s="164"/>
      <c r="AV76" s="164"/>
      <c r="AW76" s="164"/>
      <c r="AX76" s="164"/>
    </row>
    <row r="77" spans="2:50" x14ac:dyDescent="0.25">
      <c r="B77" s="278" t="s">
        <v>40</v>
      </c>
      <c r="C77" s="122"/>
      <c r="D77" s="122"/>
      <c r="E77" s="125" t="s">
        <v>112</v>
      </c>
      <c r="F77" s="121" t="s">
        <v>115</v>
      </c>
      <c r="G77" s="126" t="s">
        <v>118</v>
      </c>
      <c r="H77" s="127" t="s">
        <v>116</v>
      </c>
      <c r="I77" s="127" t="s">
        <v>124</v>
      </c>
      <c r="J77" s="128" t="s">
        <v>125</v>
      </c>
      <c r="K77" s="128" t="s">
        <v>110</v>
      </c>
      <c r="L77" s="128" t="s">
        <v>119</v>
      </c>
      <c r="M77" s="128" t="s">
        <v>126</v>
      </c>
      <c r="N77" s="128" t="s">
        <v>127</v>
      </c>
      <c r="O77" s="128" t="s">
        <v>128</v>
      </c>
      <c r="P77" s="128" t="s">
        <v>129</v>
      </c>
      <c r="Q77" s="128" t="s">
        <v>130</v>
      </c>
      <c r="R77" s="128" t="s">
        <v>131</v>
      </c>
      <c r="S77" s="128"/>
      <c r="T77" s="128" t="s">
        <v>86</v>
      </c>
      <c r="U77" s="164"/>
      <c r="V77" s="164"/>
      <c r="W77" s="164"/>
      <c r="X77" s="164"/>
      <c r="Y77" s="164"/>
      <c r="Z77" s="164"/>
      <c r="AA77" s="164"/>
      <c r="AB77" s="164"/>
      <c r="AC77" s="164"/>
      <c r="AE77" s="164"/>
      <c r="AF77" s="164"/>
      <c r="AG77" s="164"/>
      <c r="AH77" s="164"/>
      <c r="AI77" s="164"/>
      <c r="AJ77" s="164"/>
      <c r="AK77" s="164"/>
      <c r="AL77" s="164"/>
      <c r="AM77" s="164"/>
      <c r="AN77" s="164"/>
      <c r="AO77" s="164"/>
      <c r="AP77" s="164"/>
      <c r="AQ77" s="164"/>
      <c r="AR77" s="164"/>
      <c r="AS77" s="164"/>
      <c r="AT77" s="164"/>
      <c r="AU77" s="164"/>
      <c r="AV77" s="164"/>
      <c r="AW77" s="164"/>
      <c r="AX77" s="164"/>
    </row>
    <row r="78" spans="2:50" x14ac:dyDescent="0.25">
      <c r="B78" s="275"/>
      <c r="C78" s="120" t="s">
        <v>109</v>
      </c>
      <c r="D78" s="122">
        <f>+D66-D72</f>
        <v>0</v>
      </c>
      <c r="E78" s="122">
        <f>+E66-E72</f>
        <v>0</v>
      </c>
      <c r="F78" s="122">
        <f t="shared" ref="F78:R78" si="5">+F66-F72</f>
        <v>0</v>
      </c>
      <c r="G78" s="122">
        <f t="shared" si="5"/>
        <v>0</v>
      </c>
      <c r="H78" s="122">
        <f t="shared" si="5"/>
        <v>0</v>
      </c>
      <c r="I78" s="122">
        <f t="shared" si="5"/>
        <v>0</v>
      </c>
      <c r="J78" s="122">
        <f t="shared" si="5"/>
        <v>0</v>
      </c>
      <c r="K78" s="122">
        <f t="shared" si="5"/>
        <v>0</v>
      </c>
      <c r="L78" s="122">
        <f t="shared" si="5"/>
        <v>0</v>
      </c>
      <c r="M78" s="122">
        <f t="shared" si="5"/>
        <v>0</v>
      </c>
      <c r="N78" s="122">
        <f t="shared" si="5"/>
        <v>0</v>
      </c>
      <c r="O78" s="122">
        <f t="shared" si="5"/>
        <v>0</v>
      </c>
      <c r="P78" s="122">
        <f t="shared" si="5"/>
        <v>0</v>
      </c>
      <c r="Q78" s="122">
        <f t="shared" si="5"/>
        <v>0</v>
      </c>
      <c r="R78" s="122">
        <f t="shared" si="5"/>
        <v>0</v>
      </c>
      <c r="S78" s="122"/>
      <c r="T78" s="122">
        <f>+SUM(E78:P78)</f>
        <v>0</v>
      </c>
      <c r="U78" s="164"/>
      <c r="V78" s="164"/>
      <c r="W78" s="164"/>
      <c r="X78" s="164"/>
      <c r="Y78" s="164"/>
      <c r="Z78" s="164"/>
      <c r="AA78" s="164"/>
      <c r="AB78" s="164"/>
      <c r="AC78" s="164"/>
      <c r="AE78" s="164"/>
      <c r="AF78" s="164"/>
      <c r="AG78" s="164"/>
      <c r="AH78" s="164"/>
      <c r="AI78" s="164"/>
      <c r="AJ78" s="164"/>
      <c r="AK78" s="164"/>
      <c r="AL78" s="164"/>
      <c r="AM78" s="164"/>
      <c r="AN78" s="164"/>
      <c r="AO78" s="164"/>
      <c r="AP78" s="164"/>
      <c r="AQ78" s="164"/>
      <c r="AR78" s="164"/>
      <c r="AS78" s="164"/>
      <c r="AT78" s="164"/>
      <c r="AU78" s="164"/>
      <c r="AV78" s="164"/>
      <c r="AW78" s="164"/>
      <c r="AX78" s="164"/>
    </row>
    <row r="79" spans="2:50" x14ac:dyDescent="0.25">
      <c r="B79" s="275"/>
      <c r="C79" s="120" t="s">
        <v>121</v>
      </c>
      <c r="D79" s="122">
        <f>+D67-D73</f>
        <v>0</v>
      </c>
      <c r="E79" s="122">
        <f t="shared" ref="E79:R81" si="6">+E67-E73</f>
        <v>0</v>
      </c>
      <c r="F79" s="122">
        <f t="shared" si="6"/>
        <v>0</v>
      </c>
      <c r="G79" s="122">
        <f t="shared" si="6"/>
        <v>0</v>
      </c>
      <c r="H79" s="122">
        <f t="shared" si="6"/>
        <v>0</v>
      </c>
      <c r="I79" s="122">
        <f t="shared" si="6"/>
        <v>0</v>
      </c>
      <c r="J79" s="122">
        <f t="shared" si="6"/>
        <v>0</v>
      </c>
      <c r="K79" s="122">
        <f t="shared" si="6"/>
        <v>0</v>
      </c>
      <c r="L79" s="122">
        <f t="shared" si="6"/>
        <v>0</v>
      </c>
      <c r="M79" s="122">
        <f t="shared" si="6"/>
        <v>0</v>
      </c>
      <c r="N79" s="122">
        <f t="shared" si="6"/>
        <v>0</v>
      </c>
      <c r="O79" s="122">
        <f t="shared" si="6"/>
        <v>0</v>
      </c>
      <c r="P79" s="122">
        <f t="shared" si="6"/>
        <v>0</v>
      </c>
      <c r="Q79" s="122">
        <f t="shared" si="6"/>
        <v>0</v>
      </c>
      <c r="R79" s="122">
        <f t="shared" si="6"/>
        <v>0</v>
      </c>
      <c r="S79" s="122"/>
      <c r="T79" s="122">
        <f>+SUM(E79:P79)</f>
        <v>0</v>
      </c>
      <c r="U79" s="164"/>
      <c r="V79" s="164"/>
      <c r="W79" s="164"/>
      <c r="X79" s="164"/>
      <c r="Y79" s="164"/>
      <c r="Z79" s="164"/>
      <c r="AA79" s="164"/>
      <c r="AB79" s="164"/>
      <c r="AC79" s="164"/>
      <c r="AE79" s="164"/>
      <c r="AF79" s="164"/>
      <c r="AG79" s="164"/>
      <c r="AH79" s="164"/>
      <c r="AI79" s="164"/>
      <c r="AJ79" s="164"/>
      <c r="AK79" s="164"/>
      <c r="AL79" s="164"/>
      <c r="AM79" s="164"/>
      <c r="AN79" s="164"/>
      <c r="AO79" s="164"/>
      <c r="AP79" s="164"/>
      <c r="AQ79" s="164"/>
      <c r="AR79" s="164"/>
      <c r="AS79" s="164"/>
      <c r="AT79" s="164"/>
      <c r="AU79" s="164"/>
      <c r="AV79" s="164"/>
      <c r="AW79" s="164"/>
      <c r="AX79" s="164"/>
    </row>
    <row r="80" spans="2:50" x14ac:dyDescent="0.25">
      <c r="B80" s="276"/>
      <c r="C80" s="122" t="s">
        <v>122</v>
      </c>
      <c r="D80" s="122">
        <f>+D68-D74</f>
        <v>0</v>
      </c>
      <c r="E80" s="122">
        <f t="shared" si="6"/>
        <v>0</v>
      </c>
      <c r="F80" s="122">
        <f t="shared" si="6"/>
        <v>0</v>
      </c>
      <c r="G80" s="122">
        <f t="shared" si="6"/>
        <v>0</v>
      </c>
      <c r="H80" s="122">
        <f t="shared" si="6"/>
        <v>0</v>
      </c>
      <c r="I80" s="122">
        <f t="shared" si="6"/>
        <v>0</v>
      </c>
      <c r="J80" s="122">
        <f t="shared" si="6"/>
        <v>0</v>
      </c>
      <c r="K80" s="122">
        <f t="shared" si="6"/>
        <v>0</v>
      </c>
      <c r="L80" s="122">
        <f t="shared" si="6"/>
        <v>0</v>
      </c>
      <c r="M80" s="122">
        <f t="shared" si="6"/>
        <v>0</v>
      </c>
      <c r="N80" s="122">
        <f t="shared" si="6"/>
        <v>0</v>
      </c>
      <c r="O80" s="122">
        <f t="shared" si="6"/>
        <v>0</v>
      </c>
      <c r="P80" s="122">
        <f t="shared" si="6"/>
        <v>0</v>
      </c>
      <c r="Q80" s="122">
        <f t="shared" si="6"/>
        <v>0</v>
      </c>
      <c r="R80" s="122">
        <f t="shared" si="6"/>
        <v>0</v>
      </c>
      <c r="S80" s="122"/>
      <c r="T80" s="122">
        <f>+SUM(E80:P80)</f>
        <v>0</v>
      </c>
      <c r="U80" s="164"/>
      <c r="V80" s="164"/>
      <c r="W80" s="164"/>
      <c r="X80" s="164"/>
      <c r="Y80" s="164"/>
      <c r="Z80" s="164"/>
      <c r="AA80" s="164"/>
      <c r="AB80" s="164"/>
      <c r="AC80" s="164"/>
      <c r="AE80" s="164"/>
      <c r="AF80" s="164"/>
      <c r="AG80" s="164"/>
      <c r="AH80" s="164"/>
      <c r="AI80" s="164"/>
      <c r="AJ80" s="164"/>
      <c r="AK80" s="164"/>
      <c r="AL80" s="164"/>
      <c r="AM80" s="164"/>
      <c r="AN80" s="164"/>
      <c r="AO80" s="164"/>
      <c r="AP80" s="164"/>
      <c r="AQ80" s="164"/>
      <c r="AR80" s="164"/>
      <c r="AS80" s="164"/>
      <c r="AT80" s="164"/>
      <c r="AU80" s="164"/>
      <c r="AV80" s="164"/>
      <c r="AW80" s="164"/>
      <c r="AX80" s="164"/>
    </row>
    <row r="81" spans="2:50" x14ac:dyDescent="0.25">
      <c r="B81" s="277" t="s">
        <v>123</v>
      </c>
      <c r="C81" s="277"/>
      <c r="D81" s="122">
        <f>+D69-D75</f>
        <v>0</v>
      </c>
      <c r="E81" s="122">
        <f t="shared" si="6"/>
        <v>0</v>
      </c>
      <c r="F81" s="122">
        <f t="shared" si="6"/>
        <v>0</v>
      </c>
      <c r="G81" s="122">
        <f t="shared" si="6"/>
        <v>0</v>
      </c>
      <c r="H81" s="122">
        <f t="shared" si="6"/>
        <v>0</v>
      </c>
      <c r="I81" s="122">
        <f t="shared" si="6"/>
        <v>0</v>
      </c>
      <c r="J81" s="122">
        <f t="shared" si="6"/>
        <v>0</v>
      </c>
      <c r="K81" s="122">
        <f t="shared" si="6"/>
        <v>0</v>
      </c>
      <c r="L81" s="122">
        <f t="shared" si="6"/>
        <v>0</v>
      </c>
      <c r="M81" s="122">
        <f t="shared" si="6"/>
        <v>0</v>
      </c>
      <c r="N81" s="122">
        <f t="shared" si="6"/>
        <v>0</v>
      </c>
      <c r="O81" s="122">
        <f t="shared" si="6"/>
        <v>0</v>
      </c>
      <c r="P81" s="122">
        <f t="shared" si="6"/>
        <v>0</v>
      </c>
      <c r="Q81" s="122">
        <f t="shared" si="6"/>
        <v>0</v>
      </c>
      <c r="R81" s="122">
        <f t="shared" si="6"/>
        <v>0</v>
      </c>
      <c r="S81" s="122"/>
      <c r="T81" s="122">
        <f>+SUM(T78:T80)</f>
        <v>0</v>
      </c>
      <c r="U81" s="164"/>
      <c r="V81" s="164"/>
      <c r="W81" s="164"/>
      <c r="X81" s="164"/>
      <c r="Y81" s="164"/>
      <c r="Z81" s="164"/>
      <c r="AA81" s="164"/>
      <c r="AB81" s="164"/>
      <c r="AC81" s="164"/>
      <c r="AE81" s="164"/>
      <c r="AF81" s="164"/>
      <c r="AG81" s="164"/>
      <c r="AH81" s="164"/>
      <c r="AI81" s="164"/>
      <c r="AJ81" s="164"/>
      <c r="AK81" s="164"/>
      <c r="AL81" s="164"/>
      <c r="AM81" s="164"/>
      <c r="AN81" s="164"/>
      <c r="AO81" s="164"/>
      <c r="AP81" s="164"/>
      <c r="AQ81" s="164"/>
      <c r="AR81" s="164"/>
      <c r="AS81" s="164"/>
      <c r="AT81" s="164"/>
      <c r="AU81" s="164"/>
      <c r="AV81" s="164"/>
      <c r="AW81" s="164"/>
      <c r="AX81" s="164"/>
    </row>
    <row r="82" spans="2:50" x14ac:dyDescent="0.25">
      <c r="U82" s="164"/>
      <c r="V82" s="164"/>
      <c r="W82" s="164"/>
      <c r="X82" s="164"/>
      <c r="Y82" s="164"/>
      <c r="Z82" s="164"/>
      <c r="AA82" s="164"/>
      <c r="AB82" s="164"/>
      <c r="AC82" s="164"/>
      <c r="AE82" s="164"/>
      <c r="AF82" s="164"/>
      <c r="AG82" s="164"/>
      <c r="AH82" s="164"/>
      <c r="AI82" s="164"/>
      <c r="AJ82" s="164"/>
      <c r="AK82" s="164"/>
      <c r="AL82" s="164"/>
      <c r="AM82" s="164"/>
      <c r="AN82" s="164"/>
      <c r="AO82" s="164"/>
      <c r="AP82" s="164"/>
      <c r="AQ82" s="164"/>
      <c r="AR82" s="164"/>
      <c r="AS82" s="164"/>
      <c r="AT82" s="164"/>
      <c r="AU82" s="164"/>
      <c r="AV82" s="164"/>
      <c r="AW82" s="164"/>
      <c r="AX82" s="164"/>
    </row>
    <row r="83" spans="2:50" x14ac:dyDescent="0.25">
      <c r="B83" s="137" t="s">
        <v>132</v>
      </c>
      <c r="C83" s="137"/>
      <c r="D83" s="137"/>
      <c r="E83" s="137"/>
      <c r="F83" s="137"/>
      <c r="G83" s="137"/>
      <c r="H83" s="137"/>
      <c r="I83" s="137"/>
      <c r="J83" s="137"/>
      <c r="K83" s="137"/>
      <c r="L83" s="137"/>
      <c r="M83" s="137"/>
      <c r="N83" s="137"/>
      <c r="O83" s="137"/>
      <c r="P83" s="137"/>
      <c r="Q83" s="137"/>
      <c r="R83" s="138"/>
      <c r="S83" s="139"/>
      <c r="T83" s="137"/>
      <c r="U83" s="164"/>
      <c r="V83" s="164"/>
      <c r="W83" s="164"/>
      <c r="X83" s="164"/>
      <c r="Y83" s="164"/>
      <c r="Z83" s="164"/>
      <c r="AA83" s="164"/>
      <c r="AB83" s="164"/>
      <c r="AC83" s="164"/>
      <c r="AE83" s="164"/>
      <c r="AF83" s="164"/>
      <c r="AG83" s="164"/>
      <c r="AH83" s="164"/>
      <c r="AI83" s="164"/>
      <c r="AJ83" s="164"/>
      <c r="AK83" s="164"/>
      <c r="AL83" s="164"/>
      <c r="AM83" s="164"/>
      <c r="AN83" s="164"/>
      <c r="AO83" s="164"/>
      <c r="AP83" s="164"/>
      <c r="AQ83" s="164"/>
      <c r="AR83" s="164"/>
      <c r="AS83" s="164"/>
      <c r="AT83" s="164"/>
      <c r="AU83" s="164"/>
      <c r="AV83" s="164"/>
      <c r="AW83" s="164"/>
      <c r="AX83" s="164"/>
    </row>
    <row r="84" spans="2:50" x14ac:dyDescent="0.25">
      <c r="B84" s="279" t="s">
        <v>120</v>
      </c>
      <c r="C84" s="138"/>
      <c r="D84" s="138"/>
      <c r="E84" s="140" t="str">
        <f t="shared" ref="E84:R84" si="7">E65</f>
        <v>SARL</v>
      </c>
      <c r="F84" s="138" t="str">
        <f t="shared" si="7"/>
        <v>EURL</v>
      </c>
      <c r="G84" s="141" t="str">
        <f t="shared" si="7"/>
        <v>SAS</v>
      </c>
      <c r="H84" s="142" t="str">
        <f t="shared" si="7"/>
        <v>INDIVIDUEL</v>
      </c>
      <c r="I84" s="142" t="str">
        <f t="shared" si="7"/>
        <v>ASSOCIATION</v>
      </c>
      <c r="J84" s="143" t="str">
        <f t="shared" si="7"/>
        <v>PROFESSION LIBERALE</v>
      </c>
      <c r="K84" s="143" t="str">
        <f t="shared" si="7"/>
        <v>SNC</v>
      </c>
      <c r="L84" s="143" t="str">
        <f t="shared" si="7"/>
        <v>SCI</v>
      </c>
      <c r="M84" s="143" t="str">
        <f t="shared" si="7"/>
        <v>EARL</v>
      </c>
      <c r="N84" s="143" t="str">
        <f t="shared" si="7"/>
        <v>ETA</v>
      </c>
      <c r="O84" s="143" t="str">
        <f t="shared" si="7"/>
        <v>SCEA</v>
      </c>
      <c r="P84" s="143" t="str">
        <f t="shared" si="7"/>
        <v>GROUPEMENT</v>
      </c>
      <c r="Q84" s="143" t="str">
        <f t="shared" si="7"/>
        <v>EIRL</v>
      </c>
      <c r="R84" s="143" t="str">
        <f t="shared" si="7"/>
        <v>AUTRES</v>
      </c>
      <c r="S84" s="144"/>
      <c r="T84" s="145" t="s">
        <v>86</v>
      </c>
      <c r="U84" s="164"/>
      <c r="V84" s="164"/>
      <c r="W84" s="164"/>
      <c r="X84" s="164"/>
      <c r="Y84" s="164"/>
      <c r="Z84" s="164"/>
      <c r="AA84" s="164"/>
      <c r="AB84" s="164"/>
      <c r="AC84" s="164"/>
      <c r="AE84" s="164"/>
      <c r="AF84" s="164"/>
      <c r="AG84" s="164"/>
      <c r="AH84" s="164"/>
      <c r="AI84" s="164"/>
      <c r="AJ84" s="164"/>
      <c r="AK84" s="164"/>
      <c r="AL84" s="164"/>
      <c r="AM84" s="164"/>
      <c r="AN84" s="164"/>
      <c r="AO84" s="164"/>
      <c r="AP84" s="164"/>
      <c r="AQ84" s="164"/>
      <c r="AR84" s="164"/>
      <c r="AS84" s="164"/>
      <c r="AT84" s="164"/>
      <c r="AU84" s="164"/>
      <c r="AV84" s="164"/>
      <c r="AW84" s="164"/>
      <c r="AX84" s="164"/>
    </row>
    <row r="85" spans="2:50" x14ac:dyDescent="0.25">
      <c r="B85" s="280"/>
      <c r="C85" s="146" t="s">
        <v>109</v>
      </c>
      <c r="D85" s="138">
        <f>COUNTIFS($I$3:$I$60,"&lt;&gt;",$D$3:$D$60,"ACS")</f>
        <v>2</v>
      </c>
      <c r="E85" s="147">
        <f>+COUNTIFS($I$3:$I$60,"&lt;&gt;",$F$3:$F$60,"SARL")</f>
        <v>1</v>
      </c>
      <c r="F85" s="138">
        <f>+COUNTIFS($I3:$I60,"&lt;&gt;",$F$3:$F$60,"EURL")</f>
        <v>1</v>
      </c>
      <c r="G85" s="148">
        <f>COUNTIFS($I$3:$I$60,"&lt;&gt;",$F$3:$F$60,"SAS",$D$3:$D$60,"ACS")</f>
        <v>0</v>
      </c>
      <c r="H85" s="138">
        <f>COUNTIFS($I$3:$I$60,"&lt;&gt;",$F$3:$F$60,"INDIVIDUEL",$D$3:$D$60,"ACS")</f>
        <v>0</v>
      </c>
      <c r="I85" s="138">
        <f>COUNTIFS($I$3:$I$60,"&lt;&gt;",$F$3:$F$60,"ASSOCIATION")</f>
        <v>0</v>
      </c>
      <c r="J85" s="138"/>
      <c r="K85" s="138">
        <f>COUNTIFS($I$3:$I$60,"&lt;&gt;",$F$3:$F$60,"SNC")</f>
        <v>0</v>
      </c>
      <c r="L85" s="138">
        <f>COUNTIFS($I$3:$I$60,"&lt;&gt;",$F$3:$F$60,"SCI")</f>
        <v>0</v>
      </c>
      <c r="M85" s="149"/>
      <c r="N85" s="150"/>
      <c r="O85" s="151"/>
      <c r="P85" s="138">
        <f>COUNTIFS($I$3:$I$60,"&lt;&gt;",$F$3:$F$60,"GROUPEMENT")</f>
        <v>0</v>
      </c>
      <c r="Q85" s="152">
        <f>COUNTIFS($I$3:$I$60,"&lt;&gt;",$F$3:$F$60,"EIRL")</f>
        <v>0</v>
      </c>
      <c r="R85" s="138">
        <f>COUNTIFS($I$3:$I$60,"&lt;&gt;",$F$3:$F$60,"AUTRES")</f>
        <v>0</v>
      </c>
      <c r="S85" s="148"/>
      <c r="T85" s="148">
        <f>+SUM(E85:P85)</f>
        <v>2</v>
      </c>
      <c r="U85" s="164"/>
      <c r="V85" s="164"/>
      <c r="W85" s="164"/>
      <c r="X85" s="164"/>
      <c r="Y85" s="164"/>
      <c r="Z85" s="164"/>
      <c r="AA85" s="164"/>
      <c r="AB85" s="164"/>
      <c r="AC85" s="164"/>
      <c r="AE85" s="164"/>
      <c r="AF85" s="164"/>
      <c r="AG85" s="164"/>
      <c r="AH85" s="164"/>
      <c r="AI85" s="164"/>
      <c r="AJ85" s="164"/>
      <c r="AK85" s="164"/>
      <c r="AL85" s="164"/>
      <c r="AM85" s="164"/>
      <c r="AN85" s="164"/>
      <c r="AO85" s="164"/>
      <c r="AP85" s="164"/>
      <c r="AQ85" s="164"/>
      <c r="AR85" s="164"/>
      <c r="AS85" s="164"/>
      <c r="AT85" s="164"/>
      <c r="AU85" s="164"/>
      <c r="AV85" s="164"/>
      <c r="AW85" s="164"/>
      <c r="AX85" s="164"/>
    </row>
    <row r="86" spans="2:50" x14ac:dyDescent="0.25">
      <c r="B86" s="280"/>
      <c r="C86" s="146" t="s">
        <v>121</v>
      </c>
      <c r="D86" s="138">
        <f>COUNTIFS($I$3:$I$60,"&lt;&gt;",$D$3:$D$60,"BNC")</f>
        <v>0</v>
      </c>
      <c r="E86" s="153"/>
      <c r="F86" s="138"/>
      <c r="G86" s="154"/>
      <c r="H86" s="155"/>
      <c r="I86" s="151"/>
      <c r="J86" s="138">
        <f>COUNTIFS($I$3:$I$60,"&lt;&gt;",$D$3:$D$60,"BNC")</f>
        <v>0</v>
      </c>
      <c r="K86" s="138"/>
      <c r="L86" s="138"/>
      <c r="M86" s="138"/>
      <c r="N86" s="138"/>
      <c r="O86" s="138"/>
      <c r="P86" s="138"/>
      <c r="Q86" s="152"/>
      <c r="R86" s="138"/>
      <c r="S86" s="148"/>
      <c r="T86" s="148">
        <f>+SUM(E86:P86)</f>
        <v>0</v>
      </c>
      <c r="U86" s="164"/>
      <c r="V86" s="164"/>
      <c r="W86" s="164"/>
      <c r="X86" s="164"/>
      <c r="Y86" s="164"/>
      <c r="Z86" s="164"/>
      <c r="AA86" s="164"/>
      <c r="AB86" s="164"/>
      <c r="AC86" s="164"/>
      <c r="AE86" s="164"/>
      <c r="AF86" s="164"/>
      <c r="AG86" s="164"/>
      <c r="AH86" s="164"/>
      <c r="AI86" s="164"/>
      <c r="AJ86" s="164"/>
      <c r="AK86" s="164"/>
      <c r="AL86" s="164"/>
      <c r="AM86" s="164"/>
      <c r="AN86" s="164"/>
      <c r="AO86" s="164"/>
      <c r="AP86" s="164"/>
      <c r="AQ86" s="164"/>
      <c r="AR86" s="164"/>
      <c r="AS86" s="164"/>
      <c r="AT86" s="164"/>
      <c r="AU86" s="164"/>
      <c r="AV86" s="164"/>
      <c r="AW86" s="164"/>
      <c r="AX86" s="164"/>
    </row>
    <row r="87" spans="2:50" x14ac:dyDescent="0.25">
      <c r="B87" s="280"/>
      <c r="C87" s="138" t="s">
        <v>122</v>
      </c>
      <c r="D87" s="138">
        <f>COUNTIFS($I$3:$I$60,"&lt;&gt;",$D$3:$D$60,"AGRI")</f>
        <v>0</v>
      </c>
      <c r="E87" s="152"/>
      <c r="F87" s="138"/>
      <c r="G87" s="148">
        <f>COUNTIFS($I$3:$I$60,"&lt;&gt;",$F$3:$F$60,"SAS",$D$3:$D$60,"AGRI")</f>
        <v>0</v>
      </c>
      <c r="H87" s="138">
        <f>COUNTIFS($F$3:$F$60,"INDIVIDUEL",$D$3:$D$60,"AGRI",$I3:$I$60,"&lt;&gt;")</f>
        <v>0</v>
      </c>
      <c r="I87" s="138"/>
      <c r="J87" s="138"/>
      <c r="K87" s="138"/>
      <c r="L87" s="138"/>
      <c r="M87" s="138">
        <f>COUNTIFS($I$3:$I$60,"&lt;&gt;",$F$5:$F$62,"EARL")</f>
        <v>0</v>
      </c>
      <c r="N87" s="138">
        <f>COUNTIFS($I$3:$I$60,"&lt;&gt;",$F$5:$F$62,"ETA")</f>
        <v>0</v>
      </c>
      <c r="O87" s="138">
        <f>COUNTIFS($I$3:$I$60,"&lt;&gt;",$F$5:$F$62,"SCEA")</f>
        <v>0</v>
      </c>
      <c r="P87" s="138"/>
      <c r="Q87" s="152"/>
      <c r="R87" s="138"/>
      <c r="S87" s="148"/>
      <c r="T87" s="148">
        <f>+SUM(E87:P87)</f>
        <v>0</v>
      </c>
      <c r="U87" s="164"/>
      <c r="V87" s="164"/>
      <c r="W87" s="164"/>
      <c r="X87" s="164"/>
      <c r="Y87" s="164"/>
      <c r="Z87" s="164"/>
      <c r="AA87" s="164"/>
      <c r="AB87" s="164"/>
      <c r="AC87" s="164"/>
      <c r="AE87" s="164"/>
      <c r="AF87" s="164"/>
      <c r="AG87" s="164"/>
      <c r="AH87" s="164"/>
      <c r="AI87" s="164"/>
      <c r="AJ87" s="164"/>
      <c r="AK87" s="164"/>
      <c r="AL87" s="164"/>
      <c r="AM87" s="164"/>
      <c r="AN87" s="164"/>
      <c r="AO87" s="164"/>
      <c r="AP87" s="164"/>
      <c r="AQ87" s="164"/>
      <c r="AR87" s="164"/>
      <c r="AS87" s="164"/>
      <c r="AT87" s="164"/>
      <c r="AU87" s="164"/>
      <c r="AV87" s="164"/>
      <c r="AW87" s="164"/>
      <c r="AX87" s="164"/>
    </row>
    <row r="88" spans="2:50" x14ac:dyDescent="0.25">
      <c r="B88" s="280" t="s">
        <v>123</v>
      </c>
      <c r="C88" s="280"/>
      <c r="D88" s="138">
        <f t="shared" ref="D88:R88" si="8">+SUM(D85:D87)</f>
        <v>2</v>
      </c>
      <c r="E88" s="152">
        <f t="shared" si="8"/>
        <v>1</v>
      </c>
      <c r="F88" s="152">
        <f t="shared" si="8"/>
        <v>1</v>
      </c>
      <c r="G88" s="152">
        <f t="shared" si="8"/>
        <v>0</v>
      </c>
      <c r="H88" s="152">
        <f t="shared" si="8"/>
        <v>0</v>
      </c>
      <c r="I88" s="152">
        <f t="shared" si="8"/>
        <v>0</v>
      </c>
      <c r="J88" s="152">
        <f t="shared" si="8"/>
        <v>0</v>
      </c>
      <c r="K88" s="152">
        <f t="shared" si="8"/>
        <v>0</v>
      </c>
      <c r="L88" s="152">
        <f t="shared" si="8"/>
        <v>0</v>
      </c>
      <c r="M88" s="152">
        <f t="shared" si="8"/>
        <v>0</v>
      </c>
      <c r="N88" s="152">
        <f t="shared" si="8"/>
        <v>0</v>
      </c>
      <c r="O88" s="152">
        <f t="shared" si="8"/>
        <v>0</v>
      </c>
      <c r="P88" s="152">
        <f t="shared" si="8"/>
        <v>0</v>
      </c>
      <c r="Q88" s="152">
        <f t="shared" si="8"/>
        <v>0</v>
      </c>
      <c r="R88" s="152">
        <f t="shared" si="8"/>
        <v>0</v>
      </c>
      <c r="S88" s="156"/>
      <c r="T88" s="148">
        <f>+SUM(T85:T87)</f>
        <v>2</v>
      </c>
      <c r="U88" s="164"/>
      <c r="V88" s="164"/>
      <c r="W88" s="164"/>
      <c r="X88" s="164"/>
      <c r="Y88" s="164"/>
      <c r="Z88" s="164"/>
      <c r="AA88" s="164"/>
      <c r="AB88" s="164"/>
      <c r="AC88" s="164"/>
      <c r="AE88" s="164"/>
      <c r="AF88" s="164"/>
      <c r="AG88" s="164"/>
      <c r="AH88" s="164"/>
      <c r="AI88" s="164"/>
      <c r="AJ88" s="164"/>
      <c r="AK88" s="164"/>
      <c r="AL88" s="164"/>
      <c r="AM88" s="164"/>
      <c r="AN88" s="164"/>
      <c r="AO88" s="164"/>
      <c r="AP88" s="164"/>
      <c r="AQ88" s="164"/>
      <c r="AR88" s="164"/>
      <c r="AS88" s="164"/>
      <c r="AT88" s="164"/>
      <c r="AU88" s="164"/>
      <c r="AV88" s="164"/>
      <c r="AW88" s="164"/>
      <c r="AX88" s="164"/>
    </row>
    <row r="89" spans="2:50" x14ac:dyDescent="0.25">
      <c r="B89" s="137"/>
      <c r="C89" s="137"/>
      <c r="D89" s="137"/>
      <c r="E89" s="137"/>
      <c r="F89" s="137"/>
      <c r="G89" s="137"/>
      <c r="H89" s="137"/>
      <c r="I89" s="137"/>
      <c r="J89" s="137"/>
      <c r="K89" s="137"/>
      <c r="L89" s="137"/>
      <c r="M89" s="137"/>
      <c r="N89" s="137"/>
      <c r="O89" s="137"/>
      <c r="P89" s="137"/>
      <c r="Q89" s="137"/>
      <c r="R89" s="137"/>
      <c r="S89" s="137"/>
      <c r="T89" s="137"/>
      <c r="U89" s="164"/>
      <c r="V89" s="164"/>
      <c r="W89" s="164"/>
      <c r="X89" s="164"/>
      <c r="Y89" s="164"/>
      <c r="Z89" s="164"/>
      <c r="AA89" s="164"/>
      <c r="AB89" s="164"/>
      <c r="AC89" s="164"/>
      <c r="AE89" s="164"/>
      <c r="AF89" s="164"/>
      <c r="AG89" s="164"/>
      <c r="AH89" s="164"/>
      <c r="AI89" s="164"/>
      <c r="AJ89" s="164"/>
      <c r="AK89" s="164"/>
      <c r="AL89" s="164"/>
      <c r="AM89" s="164"/>
      <c r="AN89" s="164"/>
      <c r="AO89" s="164"/>
      <c r="AP89" s="164"/>
      <c r="AQ89" s="164"/>
      <c r="AR89" s="164"/>
      <c r="AS89" s="164"/>
      <c r="AT89" s="164"/>
      <c r="AU89" s="164"/>
      <c r="AV89" s="164"/>
      <c r="AW89" s="164"/>
      <c r="AX89" s="164"/>
    </row>
    <row r="90" spans="2:50" x14ac:dyDescent="0.25">
      <c r="B90" s="281">
        <v>44196</v>
      </c>
      <c r="C90" s="138"/>
      <c r="D90" s="138"/>
      <c r="E90" s="140" t="str">
        <f t="shared" ref="E90:R90" si="9">E65</f>
        <v>SARL</v>
      </c>
      <c r="F90" s="138" t="str">
        <f t="shared" si="9"/>
        <v>EURL</v>
      </c>
      <c r="G90" s="141" t="str">
        <f t="shared" si="9"/>
        <v>SAS</v>
      </c>
      <c r="H90" s="142" t="str">
        <f t="shared" si="9"/>
        <v>INDIVIDUEL</v>
      </c>
      <c r="I90" s="142" t="str">
        <f t="shared" si="9"/>
        <v>ASSOCIATION</v>
      </c>
      <c r="J90" s="143" t="str">
        <f t="shared" si="9"/>
        <v>PROFESSION LIBERALE</v>
      </c>
      <c r="K90" s="143" t="str">
        <f t="shared" si="9"/>
        <v>SNC</v>
      </c>
      <c r="L90" s="143" t="str">
        <f t="shared" si="9"/>
        <v>SCI</v>
      </c>
      <c r="M90" s="143" t="str">
        <f t="shared" si="9"/>
        <v>EARL</v>
      </c>
      <c r="N90" s="143" t="str">
        <f t="shared" si="9"/>
        <v>ETA</v>
      </c>
      <c r="O90" s="143" t="str">
        <f t="shared" si="9"/>
        <v>SCEA</v>
      </c>
      <c r="P90" s="143" t="str">
        <f t="shared" si="9"/>
        <v>GROUPEMENT</v>
      </c>
      <c r="Q90" s="138" t="str">
        <f t="shared" si="9"/>
        <v>EIRL</v>
      </c>
      <c r="R90" s="138" t="str">
        <f t="shared" si="9"/>
        <v>AUTRES</v>
      </c>
      <c r="S90" s="138"/>
      <c r="T90" s="143" t="s">
        <v>86</v>
      </c>
      <c r="U90" s="164"/>
      <c r="V90" s="164"/>
      <c r="W90" s="164"/>
      <c r="X90" s="164"/>
      <c r="Y90" s="164"/>
      <c r="Z90" s="164"/>
      <c r="AA90" s="164"/>
      <c r="AB90" s="164"/>
      <c r="AC90" s="164"/>
      <c r="AE90" s="164"/>
      <c r="AF90" s="164"/>
      <c r="AG90" s="164"/>
      <c r="AH90" s="164"/>
      <c r="AI90" s="164"/>
      <c r="AJ90" s="164"/>
      <c r="AK90" s="164"/>
      <c r="AL90" s="164"/>
      <c r="AM90" s="164"/>
      <c r="AN90" s="164"/>
      <c r="AO90" s="164"/>
      <c r="AP90" s="164"/>
      <c r="AQ90" s="164"/>
      <c r="AR90" s="164"/>
      <c r="AS90" s="164"/>
      <c r="AT90" s="164"/>
      <c r="AU90" s="164"/>
      <c r="AV90" s="164"/>
      <c r="AW90" s="164"/>
      <c r="AX90" s="164"/>
    </row>
    <row r="91" spans="2:50" x14ac:dyDescent="0.25">
      <c r="B91" s="280"/>
      <c r="C91" s="146" t="s">
        <v>109</v>
      </c>
      <c r="D91" s="138">
        <f>COUNTIFS($I$3:$I$60,"&lt;&gt;",$E$3:$E$60,DATE(Paramètres!A4,Paramètres!D15,Paramètres!C15),$D$3:$D$60,"ACS")</f>
        <v>2</v>
      </c>
      <c r="E91" s="147">
        <f>COUNTIFS($I$3:$I$60,"&lt;&gt;",$E$3:$E$60,DATE(Paramètres!A4,Paramètres!D15,Paramètres!C15),$F$3:$F$60,"SARL")</f>
        <v>1</v>
      </c>
      <c r="F91" s="138">
        <f>+COUNTIFS($I$3:$I$60,"&lt;&gt;",$E$3:$E$60,DATE(Paramètres!A4,Paramètres!D15,Paramètres!C15),$F$3:$F$60,"EURL")</f>
        <v>1</v>
      </c>
      <c r="G91" s="148">
        <f>COUNTIFS($I$3:$I$60,"&lt;&gt;",$E$3:$E$60,DATE(Paramètres!A4,Paramètres!D15,Paramètres!C15),$F$3:$F$60,"SAS",$D$3:$D$60,"ACS")</f>
        <v>0</v>
      </c>
      <c r="H91" s="138">
        <f>COUNTIFS($I$3:$I$60,"&lt;&gt;",$E$3:$E$60,DATE(Paramètres!A4,Paramètres!D15,Paramètres!C15),$F$3:$F$60,"INDIVIDUEL",$D$3:$D$60,"ACS")</f>
        <v>0</v>
      </c>
      <c r="I91" s="138">
        <f>+COUNTIFS($I$3:$I$60,"&lt;&gt;",$E$3:$E$60,DATE(Paramètres!A4,Paramètres!D15,Paramètres!C15),$F$3:$F$60,"ASSOCIATION")</f>
        <v>0</v>
      </c>
      <c r="J91" s="138"/>
      <c r="K91" s="138">
        <f>COUNTIFS($I$3:$I$60,"&lt;&gt;",$E$3:$E$60,DATE(Paramètres!A4,Paramètres!D15,Paramètres!C15),$F$3:$F$60,"SNC")</f>
        <v>0</v>
      </c>
      <c r="L91" s="138">
        <f>COUNTIFS($I$3:$I$60,"&lt;&gt;",$E$3:$E$60,DATE(Paramètres!A4,Paramètres!D15,Paramètres!C15),$F$3:$F$60,"SCI")</f>
        <v>0</v>
      </c>
      <c r="M91" s="149"/>
      <c r="N91" s="150"/>
      <c r="O91" s="151"/>
      <c r="P91" s="138">
        <f>COUNTIFS($I$3:$I$60,"&lt;&gt;",$E$3:$E$60,DATE(Paramètres!A4,Paramètres!D15,Paramètres!C15),$F$3:$F$60,"GROUPEMENT")</f>
        <v>0</v>
      </c>
      <c r="Q91" s="138">
        <f>COUNTIFS($I$3:$I$60,"&lt;&gt;",$E$3:$E$60,DATE(Paramètres!A4,Paramètres!D15,Paramètres!C15),$F$3:$F$60,"EIRL")</f>
        <v>0</v>
      </c>
      <c r="R91" s="138">
        <f>COUNTIFS($I$3:$I$60,"&lt;&gt;",$E$3:$E$60,DATE(Paramètres!A4,Paramètres!D15,Paramètres!C15),$F$3:$F$60,"AUTRES")</f>
        <v>0</v>
      </c>
      <c r="S91" s="138"/>
      <c r="T91" s="138">
        <f>+SUM(E91:P91)</f>
        <v>2</v>
      </c>
      <c r="U91" s="164"/>
      <c r="V91" s="164"/>
      <c r="W91" s="164"/>
      <c r="X91" s="164"/>
      <c r="Y91" s="164"/>
      <c r="Z91" s="164"/>
      <c r="AA91" s="164"/>
      <c r="AB91" s="164"/>
      <c r="AC91" s="164"/>
      <c r="AE91" s="164"/>
      <c r="AF91" s="164"/>
      <c r="AG91" s="164"/>
      <c r="AH91" s="164"/>
      <c r="AI91" s="164"/>
      <c r="AJ91" s="164"/>
      <c r="AK91" s="164"/>
      <c r="AL91" s="164"/>
      <c r="AM91" s="164"/>
      <c r="AN91" s="164"/>
      <c r="AO91" s="164"/>
      <c r="AP91" s="164"/>
      <c r="AQ91" s="164"/>
      <c r="AR91" s="164"/>
      <c r="AS91" s="164"/>
      <c r="AT91" s="164"/>
      <c r="AU91" s="164"/>
      <c r="AV91" s="164"/>
      <c r="AW91" s="164"/>
      <c r="AX91" s="164"/>
    </row>
    <row r="92" spans="2:50" x14ac:dyDescent="0.25">
      <c r="B92" s="280"/>
      <c r="C92" s="146" t="s">
        <v>121</v>
      </c>
      <c r="D92" s="138">
        <f>COUNTIFS($I$3:$I$60,"&lt;&gt;",$E$3:$E$60,DATE(Paramètres!A4,Paramètres!D15,Paramètres!C15),$D$3:$D$60,"BNC")</f>
        <v>0</v>
      </c>
      <c r="E92" s="153"/>
      <c r="F92" s="138"/>
      <c r="G92" s="154"/>
      <c r="H92" s="155"/>
      <c r="I92" s="151"/>
      <c r="J92" s="138">
        <f>COUNTIFS($I$3:$I$60,"&lt;&gt;",$E$3:$E$60,DATE(Paramètres!A4,Paramètres!D15,Paramètres!C15),$D$3:$D$60,"BNC")</f>
        <v>0</v>
      </c>
      <c r="K92" s="149"/>
      <c r="L92" s="150"/>
      <c r="M92" s="150"/>
      <c r="N92" s="150"/>
      <c r="O92" s="150"/>
      <c r="P92" s="151"/>
      <c r="Q92" s="138"/>
      <c r="R92" s="138"/>
      <c r="S92" s="138"/>
      <c r="T92" s="138">
        <f>+SUM(E92:P92)</f>
        <v>0</v>
      </c>
      <c r="U92" s="164"/>
      <c r="V92" s="164"/>
      <c r="W92" s="164"/>
      <c r="X92" s="164"/>
      <c r="Y92" s="164"/>
      <c r="Z92" s="164"/>
      <c r="AA92" s="164"/>
      <c r="AB92" s="164"/>
      <c r="AC92" s="164"/>
      <c r="AE92" s="164"/>
      <c r="AF92" s="164"/>
      <c r="AG92" s="164"/>
      <c r="AH92" s="164"/>
      <c r="AI92" s="164"/>
      <c r="AJ92" s="164"/>
      <c r="AK92" s="164"/>
      <c r="AL92" s="164"/>
      <c r="AM92" s="164"/>
      <c r="AN92" s="164"/>
      <c r="AO92" s="164"/>
      <c r="AP92" s="164"/>
      <c r="AQ92" s="164"/>
      <c r="AR92" s="164"/>
      <c r="AS92" s="164"/>
      <c r="AT92" s="164"/>
      <c r="AU92" s="164"/>
      <c r="AV92" s="164"/>
      <c r="AW92" s="164"/>
      <c r="AX92" s="164"/>
    </row>
    <row r="93" spans="2:50" x14ac:dyDescent="0.25">
      <c r="B93" s="280"/>
      <c r="C93" s="138" t="s">
        <v>122</v>
      </c>
      <c r="D93" s="138">
        <f>COUNTIFS($I$3:$I$60,"&lt;&gt;",$E$3:$E$60,DATE(Paramètres!A4,Paramètres!D15,Paramètres!C15),$D$3:$D$60,"AGRI")</f>
        <v>0</v>
      </c>
      <c r="E93" s="153"/>
      <c r="F93" s="138"/>
      <c r="G93" s="154">
        <f>COUNTIFS($I$3:$I$60,"&lt;&gt;",$E$3:$E$60,DATE(Paramètres!A4,Paramètres!D15,Paramètres!C15),$F$3:$F$60,"SAS",$D$3:$D$60,"AGRI")</f>
        <v>0</v>
      </c>
      <c r="H93" s="138">
        <f>COUNTIFS($I$3:$I$60,"&lt;&gt;",$E$3:$E$60,DATE(Paramètres!A4,Paramètres!D15,Paramètres!C15),$F$3:$F$60,"INDIVIDUEL",$D$3:$D$60,"AGRI")</f>
        <v>0</v>
      </c>
      <c r="I93" s="152"/>
      <c r="J93" s="149"/>
      <c r="K93" s="150"/>
      <c r="L93" s="151"/>
      <c r="M93" s="138">
        <f>COUNTIFS($I$3:$I$60,"&lt;&gt;",$AZ$3:$AZ$60,"X",$E$3:$E$60,DATE(Paramètres!A4,Paramètres!D15,Paramètres!C15),$F$3:$F$60,"EARL")</f>
        <v>0</v>
      </c>
      <c r="N93" s="138">
        <f>COUNTIFS($I$3:$I$60,"&lt;&gt;",$E$3:$E$60,DATE(Paramètres!A4,Paramètres!D15,Paramètres!C15),$F$3:$F$60,"ETA")</f>
        <v>0</v>
      </c>
      <c r="O93" s="138">
        <f>COUNTIFS($I$3:$I$60,"&lt;&gt;",$E$3:$E$60,DATE(Paramètres!A4,Paramètres!D15,Paramètres!C15),$F$3:$F$60,"SCEA")</f>
        <v>0</v>
      </c>
      <c r="P93" s="138"/>
      <c r="Q93" s="138"/>
      <c r="R93" s="138"/>
      <c r="S93" s="138"/>
      <c r="T93" s="138">
        <f>+SUM(E93:P93)</f>
        <v>0</v>
      </c>
      <c r="U93" s="164"/>
      <c r="V93" s="164"/>
      <c r="W93" s="164"/>
      <c r="X93" s="164"/>
      <c r="Y93" s="164"/>
      <c r="Z93" s="164"/>
      <c r="AA93" s="164"/>
      <c r="AB93" s="164"/>
      <c r="AC93" s="164"/>
      <c r="AE93" s="164"/>
      <c r="AF93" s="164"/>
      <c r="AG93" s="164"/>
      <c r="AH93" s="164"/>
      <c r="AI93" s="164"/>
      <c r="AJ93" s="164"/>
      <c r="AK93" s="164"/>
      <c r="AL93" s="164"/>
      <c r="AM93" s="164"/>
      <c r="AN93" s="164"/>
      <c r="AO93" s="164"/>
      <c r="AP93" s="164"/>
      <c r="AQ93" s="164"/>
      <c r="AR93" s="164"/>
      <c r="AS93" s="164"/>
      <c r="AT93" s="164"/>
      <c r="AU93" s="164"/>
      <c r="AV93" s="164"/>
      <c r="AW93" s="164"/>
      <c r="AX93" s="164"/>
    </row>
    <row r="94" spans="2:50" x14ac:dyDescent="0.25">
      <c r="B94" s="280" t="s">
        <v>123</v>
      </c>
      <c r="C94" s="280"/>
      <c r="D94" s="138">
        <f t="shared" ref="D94:R94" si="10">+SUM(D91:D93)</f>
        <v>2</v>
      </c>
      <c r="E94" s="152">
        <f t="shared" si="10"/>
        <v>1</v>
      </c>
      <c r="F94" s="152">
        <f t="shared" si="10"/>
        <v>1</v>
      </c>
      <c r="G94" s="152">
        <f t="shared" si="10"/>
        <v>0</v>
      </c>
      <c r="H94" s="152">
        <f t="shared" si="10"/>
        <v>0</v>
      </c>
      <c r="I94" s="152">
        <f t="shared" si="10"/>
        <v>0</v>
      </c>
      <c r="J94" s="152">
        <f t="shared" si="10"/>
        <v>0</v>
      </c>
      <c r="K94" s="152">
        <f t="shared" si="10"/>
        <v>0</v>
      </c>
      <c r="L94" s="152">
        <f t="shared" si="10"/>
        <v>0</v>
      </c>
      <c r="M94" s="152">
        <f t="shared" si="10"/>
        <v>0</v>
      </c>
      <c r="N94" s="152">
        <f t="shared" si="10"/>
        <v>0</v>
      </c>
      <c r="O94" s="152">
        <f t="shared" si="10"/>
        <v>0</v>
      </c>
      <c r="P94" s="152">
        <f t="shared" si="10"/>
        <v>0</v>
      </c>
      <c r="Q94" s="152">
        <f t="shared" si="10"/>
        <v>0</v>
      </c>
      <c r="R94" s="152">
        <f t="shared" si="10"/>
        <v>0</v>
      </c>
      <c r="S94" s="152"/>
      <c r="T94" s="138">
        <f>+SUM(T91:T93)</f>
        <v>2</v>
      </c>
      <c r="U94" s="164"/>
      <c r="V94" s="164"/>
      <c r="W94" s="164"/>
      <c r="X94" s="164"/>
      <c r="Y94" s="164"/>
      <c r="Z94" s="164"/>
      <c r="AA94" s="164"/>
      <c r="AB94" s="164"/>
      <c r="AC94" s="164"/>
      <c r="AE94" s="164"/>
      <c r="AF94" s="164"/>
      <c r="AG94" s="164"/>
      <c r="AH94" s="164"/>
      <c r="AI94" s="164"/>
      <c r="AJ94" s="164"/>
      <c r="AK94" s="164"/>
      <c r="AL94" s="164"/>
      <c r="AM94" s="164"/>
      <c r="AN94" s="164"/>
      <c r="AO94" s="164"/>
      <c r="AP94" s="164"/>
      <c r="AQ94" s="164"/>
      <c r="AR94" s="164"/>
      <c r="AS94" s="164"/>
      <c r="AT94" s="164"/>
      <c r="AU94" s="164"/>
      <c r="AV94" s="164"/>
      <c r="AW94" s="164"/>
      <c r="AX94" s="164"/>
    </row>
    <row r="95" spans="2:50" x14ac:dyDescent="0.25">
      <c r="B95" s="137"/>
      <c r="C95" s="137"/>
      <c r="D95" s="137"/>
      <c r="E95" s="137"/>
      <c r="F95" s="137"/>
      <c r="G95" s="137"/>
      <c r="H95" s="137"/>
      <c r="I95" s="137"/>
      <c r="J95" s="137"/>
      <c r="K95" s="137"/>
      <c r="L95" s="137"/>
      <c r="M95" s="137"/>
      <c r="N95" s="137"/>
      <c r="O95" s="137"/>
      <c r="P95" s="137"/>
      <c r="Q95" s="137"/>
      <c r="R95" s="137"/>
      <c r="S95" s="137"/>
      <c r="T95" s="137"/>
      <c r="U95" s="164"/>
      <c r="V95" s="164"/>
      <c r="W95" s="164"/>
      <c r="X95" s="164"/>
      <c r="Y95" s="164"/>
      <c r="Z95" s="164"/>
      <c r="AA95" s="164"/>
      <c r="AB95" s="164"/>
      <c r="AC95" s="164"/>
      <c r="AE95" s="164"/>
      <c r="AF95" s="164"/>
      <c r="AG95" s="164"/>
      <c r="AH95" s="164"/>
      <c r="AI95" s="164"/>
      <c r="AJ95" s="164"/>
      <c r="AK95" s="164"/>
      <c r="AL95" s="164"/>
      <c r="AM95" s="164"/>
      <c r="AN95" s="164"/>
      <c r="AO95" s="164"/>
      <c r="AP95" s="164"/>
      <c r="AQ95" s="164"/>
      <c r="AR95" s="164"/>
      <c r="AS95" s="164"/>
      <c r="AT95" s="164"/>
      <c r="AU95" s="164"/>
      <c r="AV95" s="164"/>
      <c r="AW95" s="164"/>
      <c r="AX95" s="164"/>
    </row>
    <row r="96" spans="2:50" x14ac:dyDescent="0.25">
      <c r="B96" s="280" t="s">
        <v>40</v>
      </c>
      <c r="C96" s="138"/>
      <c r="D96" s="138"/>
      <c r="E96" s="140" t="str">
        <f t="shared" ref="E96:R96" si="11">E65</f>
        <v>SARL</v>
      </c>
      <c r="F96" s="138" t="str">
        <f t="shared" si="11"/>
        <v>EURL</v>
      </c>
      <c r="G96" s="141" t="str">
        <f t="shared" si="11"/>
        <v>SAS</v>
      </c>
      <c r="H96" s="142" t="str">
        <f t="shared" si="11"/>
        <v>INDIVIDUEL</v>
      </c>
      <c r="I96" s="142" t="str">
        <f t="shared" si="11"/>
        <v>ASSOCIATION</v>
      </c>
      <c r="J96" s="143" t="str">
        <f t="shared" si="11"/>
        <v>PROFESSION LIBERALE</v>
      </c>
      <c r="K96" s="143" t="str">
        <f t="shared" si="11"/>
        <v>SNC</v>
      </c>
      <c r="L96" s="143" t="str">
        <f t="shared" si="11"/>
        <v>SCI</v>
      </c>
      <c r="M96" s="143" t="str">
        <f t="shared" si="11"/>
        <v>EARL</v>
      </c>
      <c r="N96" s="143" t="str">
        <f t="shared" si="11"/>
        <v>ETA</v>
      </c>
      <c r="O96" s="143" t="str">
        <f t="shared" si="11"/>
        <v>SCEA</v>
      </c>
      <c r="P96" s="143" t="str">
        <f t="shared" si="11"/>
        <v>GROUPEMENT</v>
      </c>
      <c r="Q96" s="138" t="str">
        <f t="shared" si="11"/>
        <v>EIRL</v>
      </c>
      <c r="R96" s="138" t="str">
        <f t="shared" si="11"/>
        <v>AUTRES</v>
      </c>
      <c r="S96" s="138"/>
      <c r="T96" s="143" t="s">
        <v>86</v>
      </c>
      <c r="U96" s="164"/>
      <c r="V96" s="164"/>
      <c r="W96" s="164"/>
      <c r="X96" s="164"/>
      <c r="Y96" s="164"/>
      <c r="Z96" s="164"/>
      <c r="AA96" s="164"/>
      <c r="AB96" s="164"/>
      <c r="AC96" s="164"/>
      <c r="AE96" s="164"/>
      <c r="AF96" s="164"/>
      <c r="AG96" s="164"/>
      <c r="AH96" s="164"/>
      <c r="AI96" s="164"/>
      <c r="AJ96" s="164"/>
      <c r="AK96" s="164"/>
      <c r="AL96" s="164"/>
      <c r="AM96" s="164"/>
      <c r="AN96" s="164"/>
      <c r="AO96" s="164"/>
      <c r="AP96" s="164"/>
      <c r="AQ96" s="164"/>
      <c r="AR96" s="164"/>
      <c r="AS96" s="164"/>
      <c r="AT96" s="164"/>
      <c r="AU96" s="164"/>
      <c r="AV96" s="164"/>
      <c r="AW96" s="164"/>
      <c r="AX96" s="164"/>
    </row>
    <row r="97" spans="2:50" x14ac:dyDescent="0.25">
      <c r="B97" s="280"/>
      <c r="C97" s="146" t="s">
        <v>109</v>
      </c>
      <c r="D97" s="138">
        <f>+D85-D91</f>
        <v>0</v>
      </c>
      <c r="E97" s="152">
        <f>+E85-E91</f>
        <v>0</v>
      </c>
      <c r="F97" s="152">
        <f t="shared" ref="F97:R97" si="12">+F85-F91</f>
        <v>0</v>
      </c>
      <c r="G97" s="152">
        <f t="shared" si="12"/>
        <v>0</v>
      </c>
      <c r="H97" s="152">
        <f t="shared" si="12"/>
        <v>0</v>
      </c>
      <c r="I97" s="152">
        <f t="shared" si="12"/>
        <v>0</v>
      </c>
      <c r="J97" s="152">
        <f t="shared" si="12"/>
        <v>0</v>
      </c>
      <c r="K97" s="152">
        <f t="shared" si="12"/>
        <v>0</v>
      </c>
      <c r="L97" s="152">
        <f t="shared" si="12"/>
        <v>0</v>
      </c>
      <c r="M97" s="152">
        <f t="shared" si="12"/>
        <v>0</v>
      </c>
      <c r="N97" s="152">
        <f t="shared" si="12"/>
        <v>0</v>
      </c>
      <c r="O97" s="152">
        <f t="shared" si="12"/>
        <v>0</v>
      </c>
      <c r="P97" s="152">
        <f t="shared" si="12"/>
        <v>0</v>
      </c>
      <c r="Q97" s="152">
        <f t="shared" si="12"/>
        <v>0</v>
      </c>
      <c r="R97" s="152">
        <f t="shared" si="12"/>
        <v>0</v>
      </c>
      <c r="S97" s="152"/>
      <c r="T97" s="138">
        <f>+SUM(E97:P97)</f>
        <v>0</v>
      </c>
      <c r="U97" s="164"/>
      <c r="V97" s="164"/>
      <c r="W97" s="164"/>
      <c r="X97" s="164"/>
      <c r="Y97" s="164"/>
      <c r="Z97" s="164"/>
      <c r="AA97" s="164"/>
      <c r="AB97" s="164"/>
      <c r="AC97" s="164"/>
      <c r="AE97" s="164"/>
      <c r="AF97" s="164"/>
      <c r="AG97" s="164"/>
      <c r="AH97" s="164"/>
      <c r="AI97" s="164"/>
      <c r="AJ97" s="164"/>
      <c r="AK97" s="164"/>
      <c r="AL97" s="164"/>
      <c r="AM97" s="164"/>
      <c r="AN97" s="164"/>
      <c r="AO97" s="164"/>
      <c r="AP97" s="164"/>
      <c r="AQ97" s="164"/>
      <c r="AR97" s="164"/>
      <c r="AS97" s="164"/>
      <c r="AT97" s="164"/>
      <c r="AU97" s="164"/>
      <c r="AV97" s="164"/>
      <c r="AW97" s="164"/>
      <c r="AX97" s="164"/>
    </row>
    <row r="98" spans="2:50" x14ac:dyDescent="0.25">
      <c r="B98" s="280"/>
      <c r="C98" s="146" t="s">
        <v>121</v>
      </c>
      <c r="D98" s="138">
        <f>+D86-D92</f>
        <v>0</v>
      </c>
      <c r="E98" s="138">
        <f t="shared" ref="E98:R100" si="13">+E86-E92</f>
        <v>0</v>
      </c>
      <c r="F98" s="138">
        <f t="shared" si="13"/>
        <v>0</v>
      </c>
      <c r="G98" s="138">
        <f t="shared" si="13"/>
        <v>0</v>
      </c>
      <c r="H98" s="138">
        <f t="shared" si="13"/>
        <v>0</v>
      </c>
      <c r="I98" s="138">
        <f t="shared" si="13"/>
        <v>0</v>
      </c>
      <c r="J98" s="138">
        <f t="shared" si="13"/>
        <v>0</v>
      </c>
      <c r="K98" s="138">
        <f t="shared" si="13"/>
        <v>0</v>
      </c>
      <c r="L98" s="138">
        <f t="shared" si="13"/>
        <v>0</v>
      </c>
      <c r="M98" s="138">
        <f t="shared" si="13"/>
        <v>0</v>
      </c>
      <c r="N98" s="138">
        <f t="shared" si="13"/>
        <v>0</v>
      </c>
      <c r="O98" s="138">
        <f t="shared" si="13"/>
        <v>0</v>
      </c>
      <c r="P98" s="138">
        <f t="shared" si="13"/>
        <v>0</v>
      </c>
      <c r="Q98" s="138">
        <f t="shared" si="13"/>
        <v>0</v>
      </c>
      <c r="R98" s="138">
        <f t="shared" si="13"/>
        <v>0</v>
      </c>
      <c r="S98" s="138"/>
      <c r="T98" s="138">
        <f>+SUM(E98:P98)</f>
        <v>0</v>
      </c>
      <c r="U98" s="164"/>
      <c r="V98" s="164"/>
      <c r="W98" s="164"/>
      <c r="X98" s="164"/>
      <c r="Y98" s="164"/>
      <c r="Z98" s="164"/>
      <c r="AA98" s="164"/>
      <c r="AB98" s="164"/>
      <c r="AC98" s="164"/>
      <c r="AE98" s="164"/>
      <c r="AF98" s="164"/>
      <c r="AG98" s="164"/>
      <c r="AH98" s="164"/>
      <c r="AI98" s="164"/>
      <c r="AJ98" s="164"/>
      <c r="AK98" s="164"/>
      <c r="AL98" s="164"/>
      <c r="AM98" s="164"/>
      <c r="AN98" s="164"/>
      <c r="AO98" s="164"/>
      <c r="AP98" s="164"/>
      <c r="AQ98" s="164"/>
      <c r="AR98" s="164"/>
      <c r="AS98" s="164"/>
      <c r="AT98" s="164"/>
      <c r="AU98" s="164"/>
      <c r="AV98" s="164"/>
      <c r="AW98" s="164"/>
      <c r="AX98" s="164"/>
    </row>
    <row r="99" spans="2:50" x14ac:dyDescent="0.25">
      <c r="B99" s="280"/>
      <c r="C99" s="138" t="s">
        <v>122</v>
      </c>
      <c r="D99" s="138">
        <f>+D87-D93</f>
        <v>0</v>
      </c>
      <c r="E99" s="138">
        <f t="shared" si="13"/>
        <v>0</v>
      </c>
      <c r="F99" s="138">
        <f t="shared" si="13"/>
        <v>0</v>
      </c>
      <c r="G99" s="138">
        <f t="shared" si="13"/>
        <v>0</v>
      </c>
      <c r="H99" s="138">
        <f t="shared" si="13"/>
        <v>0</v>
      </c>
      <c r="I99" s="138">
        <f t="shared" si="13"/>
        <v>0</v>
      </c>
      <c r="J99" s="138">
        <f t="shared" si="13"/>
        <v>0</v>
      </c>
      <c r="K99" s="138">
        <f t="shared" si="13"/>
        <v>0</v>
      </c>
      <c r="L99" s="138">
        <f t="shared" si="13"/>
        <v>0</v>
      </c>
      <c r="M99" s="138">
        <f t="shared" si="13"/>
        <v>0</v>
      </c>
      <c r="N99" s="138">
        <f t="shared" si="13"/>
        <v>0</v>
      </c>
      <c r="O99" s="138">
        <f t="shared" si="13"/>
        <v>0</v>
      </c>
      <c r="P99" s="138">
        <f t="shared" si="13"/>
        <v>0</v>
      </c>
      <c r="Q99" s="138">
        <f t="shared" si="13"/>
        <v>0</v>
      </c>
      <c r="R99" s="138">
        <f t="shared" si="13"/>
        <v>0</v>
      </c>
      <c r="S99" s="138"/>
      <c r="T99" s="138">
        <f>+SUM(E99:P99)</f>
        <v>0</v>
      </c>
      <c r="U99" s="164"/>
      <c r="V99" s="164"/>
      <c r="W99" s="164"/>
      <c r="X99" s="164"/>
      <c r="Y99" s="164"/>
      <c r="Z99" s="164"/>
      <c r="AA99" s="164"/>
      <c r="AB99" s="164"/>
      <c r="AC99" s="164"/>
      <c r="AE99" s="164"/>
      <c r="AF99" s="164"/>
      <c r="AG99" s="164"/>
      <c r="AH99" s="164"/>
      <c r="AI99" s="164"/>
      <c r="AJ99" s="164"/>
      <c r="AK99" s="164"/>
      <c r="AL99" s="164"/>
      <c r="AM99" s="164"/>
      <c r="AN99" s="164"/>
      <c r="AO99" s="164"/>
      <c r="AP99" s="164"/>
      <c r="AQ99" s="164"/>
      <c r="AR99" s="164"/>
      <c r="AS99" s="164"/>
      <c r="AT99" s="164"/>
      <c r="AU99" s="164"/>
      <c r="AV99" s="164"/>
      <c r="AW99" s="164"/>
      <c r="AX99" s="164"/>
    </row>
    <row r="100" spans="2:50" x14ac:dyDescent="0.25">
      <c r="B100" s="280" t="s">
        <v>123</v>
      </c>
      <c r="C100" s="280"/>
      <c r="D100" s="138">
        <f>+D88-D94</f>
        <v>0</v>
      </c>
      <c r="E100" s="138">
        <f t="shared" si="13"/>
        <v>0</v>
      </c>
      <c r="F100" s="138">
        <f t="shared" si="13"/>
        <v>0</v>
      </c>
      <c r="G100" s="138">
        <f t="shared" si="13"/>
        <v>0</v>
      </c>
      <c r="H100" s="138">
        <f t="shared" si="13"/>
        <v>0</v>
      </c>
      <c r="I100" s="138">
        <f t="shared" si="13"/>
        <v>0</v>
      </c>
      <c r="J100" s="138">
        <f t="shared" si="13"/>
        <v>0</v>
      </c>
      <c r="K100" s="138">
        <f t="shared" si="13"/>
        <v>0</v>
      </c>
      <c r="L100" s="138">
        <f t="shared" si="13"/>
        <v>0</v>
      </c>
      <c r="M100" s="138">
        <f t="shared" si="13"/>
        <v>0</v>
      </c>
      <c r="N100" s="138">
        <f t="shared" si="13"/>
        <v>0</v>
      </c>
      <c r="O100" s="138">
        <f t="shared" si="13"/>
        <v>0</v>
      </c>
      <c r="P100" s="138">
        <f t="shared" si="13"/>
        <v>0</v>
      </c>
      <c r="Q100" s="138">
        <f t="shared" si="13"/>
        <v>0</v>
      </c>
      <c r="R100" s="138">
        <f t="shared" si="13"/>
        <v>0</v>
      </c>
      <c r="S100" s="138"/>
      <c r="T100" s="138">
        <f>+SUM(T97:T99)</f>
        <v>0</v>
      </c>
      <c r="U100" s="164"/>
      <c r="V100" s="164"/>
      <c r="W100" s="164"/>
      <c r="X100" s="164"/>
      <c r="Y100" s="164"/>
      <c r="Z100" s="164"/>
      <c r="AA100" s="164"/>
      <c r="AB100" s="164"/>
      <c r="AC100" s="164"/>
      <c r="AE100" s="164"/>
      <c r="AF100" s="164"/>
      <c r="AG100" s="164"/>
      <c r="AH100" s="164"/>
      <c r="AI100" s="164"/>
      <c r="AJ100" s="164"/>
      <c r="AK100" s="164"/>
      <c r="AL100" s="164"/>
      <c r="AM100" s="164"/>
      <c r="AN100" s="164"/>
      <c r="AO100" s="164"/>
      <c r="AP100" s="164"/>
      <c r="AQ100" s="164"/>
      <c r="AR100" s="164"/>
      <c r="AS100" s="164"/>
      <c r="AT100" s="164"/>
      <c r="AU100" s="164"/>
      <c r="AV100" s="164"/>
      <c r="AW100" s="164"/>
      <c r="AX100" s="164"/>
    </row>
    <row r="101" spans="2:50" x14ac:dyDescent="0.25">
      <c r="U101" s="164"/>
      <c r="V101" s="164"/>
      <c r="W101" s="164"/>
      <c r="X101" s="164"/>
      <c r="Y101" s="164"/>
      <c r="Z101" s="164"/>
      <c r="AA101" s="164"/>
      <c r="AB101" s="164"/>
      <c r="AC101" s="164"/>
      <c r="AE101" s="164"/>
      <c r="AF101" s="164"/>
      <c r="AG101" s="164"/>
      <c r="AH101" s="164"/>
      <c r="AI101" s="164"/>
      <c r="AJ101" s="164"/>
      <c r="AK101" s="164"/>
      <c r="AL101" s="164"/>
      <c r="AM101" s="164"/>
      <c r="AN101" s="164"/>
      <c r="AO101" s="164"/>
      <c r="AP101" s="164"/>
      <c r="AQ101" s="164"/>
      <c r="AR101" s="164"/>
      <c r="AS101" s="164"/>
      <c r="AT101" s="164"/>
      <c r="AU101" s="164"/>
      <c r="AV101" s="164"/>
      <c r="AW101" s="164"/>
      <c r="AX101" s="164"/>
    </row>
    <row r="102" spans="2:50" x14ac:dyDescent="0.25">
      <c r="B102" s="89" t="s">
        <v>133</v>
      </c>
      <c r="U102" s="164"/>
      <c r="V102" s="164"/>
      <c r="W102" s="164"/>
      <c r="X102" s="164"/>
      <c r="Y102" s="164"/>
      <c r="Z102" s="164"/>
      <c r="AA102" s="164"/>
      <c r="AB102" s="164"/>
      <c r="AC102" s="164"/>
      <c r="AE102" s="164"/>
      <c r="AF102" s="164"/>
      <c r="AG102" s="164"/>
      <c r="AH102" s="164"/>
      <c r="AI102" s="164"/>
      <c r="AJ102" s="164"/>
      <c r="AK102" s="164"/>
      <c r="AL102" s="164"/>
      <c r="AM102" s="164"/>
      <c r="AN102" s="164"/>
      <c r="AO102" s="164"/>
      <c r="AP102" s="164"/>
      <c r="AQ102" s="164"/>
      <c r="AR102" s="164"/>
      <c r="AS102" s="164"/>
      <c r="AT102" s="164"/>
      <c r="AU102" s="164"/>
      <c r="AV102" s="164"/>
      <c r="AW102" s="164"/>
      <c r="AX102" s="164"/>
    </row>
    <row r="103" spans="2:50" x14ac:dyDescent="0.25">
      <c r="U103" s="164"/>
      <c r="V103" s="164"/>
      <c r="W103" s="164"/>
      <c r="X103" s="164"/>
      <c r="Y103" s="164"/>
      <c r="Z103" s="164"/>
      <c r="AA103" s="164"/>
      <c r="AB103" s="164"/>
      <c r="AC103" s="164"/>
      <c r="AE103" s="164"/>
      <c r="AF103" s="164"/>
      <c r="AG103" s="164"/>
      <c r="AH103" s="164"/>
      <c r="AI103" s="164"/>
      <c r="AJ103" s="164"/>
      <c r="AK103" s="164"/>
      <c r="AL103" s="164"/>
      <c r="AM103" s="164"/>
      <c r="AN103" s="164"/>
      <c r="AO103" s="164"/>
      <c r="AP103" s="164"/>
      <c r="AQ103" s="164"/>
      <c r="AR103" s="164"/>
      <c r="AS103" s="164"/>
      <c r="AT103" s="164"/>
      <c r="AU103" s="164"/>
      <c r="AV103" s="164"/>
      <c r="AW103" s="164"/>
      <c r="AX103" s="164"/>
    </row>
    <row r="104" spans="2:50" x14ac:dyDescent="0.25">
      <c r="B104" s="274" t="s">
        <v>120</v>
      </c>
      <c r="C104" s="122"/>
      <c r="D104" s="122"/>
      <c r="E104" s="157" t="str">
        <f t="shared" ref="E104:R104" si="14">E65</f>
        <v>SARL</v>
      </c>
      <c r="F104" s="121" t="str">
        <f t="shared" si="14"/>
        <v>EURL</v>
      </c>
      <c r="G104" s="158" t="str">
        <f t="shared" si="14"/>
        <v>SAS</v>
      </c>
      <c r="H104" s="158" t="str">
        <f t="shared" si="14"/>
        <v>INDIVIDUEL</v>
      </c>
      <c r="I104" s="158" t="str">
        <f t="shared" si="14"/>
        <v>ASSOCIATION</v>
      </c>
      <c r="J104" s="157" t="str">
        <f t="shared" si="14"/>
        <v>PROFESSION LIBERALE</v>
      </c>
      <c r="K104" s="157" t="str">
        <f t="shared" si="14"/>
        <v>SNC</v>
      </c>
      <c r="L104" s="157" t="str">
        <f t="shared" si="14"/>
        <v>SCI</v>
      </c>
      <c r="M104" s="157" t="str">
        <f t="shared" si="14"/>
        <v>EARL</v>
      </c>
      <c r="N104" s="157" t="str">
        <f t="shared" si="14"/>
        <v>ETA</v>
      </c>
      <c r="O104" s="157" t="str">
        <f t="shared" si="14"/>
        <v>SCEA</v>
      </c>
      <c r="P104" s="157" t="str">
        <f t="shared" si="14"/>
        <v>GROUPEMENT</v>
      </c>
      <c r="Q104" s="121" t="str">
        <f t="shared" si="14"/>
        <v>EIRL</v>
      </c>
      <c r="R104" s="121" t="str">
        <f t="shared" si="14"/>
        <v>AUTRES</v>
      </c>
      <c r="S104" s="121"/>
      <c r="T104" s="157" t="s">
        <v>86</v>
      </c>
      <c r="U104" s="164"/>
      <c r="V104" s="164"/>
      <c r="W104" s="164"/>
      <c r="X104" s="164"/>
      <c r="Y104" s="164"/>
      <c r="Z104" s="164"/>
      <c r="AA104" s="164"/>
      <c r="AB104" s="164"/>
      <c r="AC104" s="164"/>
      <c r="AE104" s="164"/>
      <c r="AF104" s="164"/>
      <c r="AG104" s="164"/>
      <c r="AH104" s="164"/>
      <c r="AI104" s="164"/>
      <c r="AJ104" s="164"/>
      <c r="AK104" s="164"/>
      <c r="AL104" s="164"/>
      <c r="AM104" s="164"/>
      <c r="AN104" s="164"/>
      <c r="AO104" s="164"/>
      <c r="AP104" s="164"/>
      <c r="AQ104" s="164"/>
      <c r="AR104" s="164"/>
      <c r="AS104" s="164"/>
      <c r="AT104" s="164"/>
      <c r="AU104" s="164"/>
      <c r="AV104" s="164"/>
      <c r="AW104" s="164"/>
      <c r="AX104" s="164"/>
    </row>
    <row r="105" spans="2:50" x14ac:dyDescent="0.25">
      <c r="B105" s="275"/>
      <c r="C105" s="120" t="s">
        <v>109</v>
      </c>
      <c r="D105" s="122">
        <f>+D66-D85</f>
        <v>1</v>
      </c>
      <c r="E105" s="122">
        <f t="shared" ref="E105:R107" si="15">+E66-E85</f>
        <v>0</v>
      </c>
      <c r="F105" s="122">
        <f t="shared" si="15"/>
        <v>0</v>
      </c>
      <c r="G105" s="122">
        <f t="shared" si="15"/>
        <v>0</v>
      </c>
      <c r="H105" s="122">
        <f t="shared" si="15"/>
        <v>0</v>
      </c>
      <c r="I105" s="122">
        <f t="shared" si="15"/>
        <v>0</v>
      </c>
      <c r="J105" s="122">
        <f t="shared" si="15"/>
        <v>0</v>
      </c>
      <c r="K105" s="122">
        <f t="shared" si="15"/>
        <v>0</v>
      </c>
      <c r="L105" s="122">
        <f t="shared" si="15"/>
        <v>0</v>
      </c>
      <c r="M105" s="122">
        <f t="shared" si="15"/>
        <v>0</v>
      </c>
      <c r="N105" s="122">
        <f t="shared" si="15"/>
        <v>0</v>
      </c>
      <c r="O105" s="122">
        <f t="shared" si="15"/>
        <v>0</v>
      </c>
      <c r="P105" s="122">
        <f t="shared" si="15"/>
        <v>0</v>
      </c>
      <c r="Q105" s="122">
        <f t="shared" si="15"/>
        <v>1</v>
      </c>
      <c r="R105" s="122">
        <f t="shared" si="15"/>
        <v>0</v>
      </c>
      <c r="S105" s="122"/>
      <c r="T105" s="122">
        <f>+SUM(E105:P105)</f>
        <v>0</v>
      </c>
      <c r="U105" s="164"/>
      <c r="V105" s="164"/>
      <c r="W105" s="164"/>
      <c r="X105" s="164"/>
      <c r="Y105" s="164"/>
      <c r="Z105" s="164"/>
      <c r="AA105" s="164"/>
      <c r="AB105" s="164"/>
      <c r="AC105" s="164"/>
      <c r="AE105" s="164"/>
      <c r="AF105" s="164"/>
      <c r="AG105" s="164"/>
      <c r="AH105" s="164"/>
      <c r="AI105" s="164"/>
      <c r="AJ105" s="164"/>
      <c r="AK105" s="164"/>
      <c r="AL105" s="164"/>
      <c r="AM105" s="164"/>
      <c r="AN105" s="164"/>
      <c r="AO105" s="164"/>
      <c r="AP105" s="164"/>
      <c r="AQ105" s="164"/>
      <c r="AR105" s="164"/>
      <c r="AS105" s="164"/>
      <c r="AT105" s="164"/>
      <c r="AU105" s="164"/>
      <c r="AV105" s="164"/>
      <c r="AW105" s="164"/>
      <c r="AX105" s="164"/>
    </row>
    <row r="106" spans="2:50" x14ac:dyDescent="0.25">
      <c r="B106" s="275"/>
      <c r="C106" s="120" t="s">
        <v>121</v>
      </c>
      <c r="D106" s="122">
        <f>+D67-D86</f>
        <v>0</v>
      </c>
      <c r="E106" s="122">
        <f t="shared" si="15"/>
        <v>0</v>
      </c>
      <c r="F106" s="122">
        <f t="shared" si="15"/>
        <v>0</v>
      </c>
      <c r="G106" s="122">
        <f t="shared" si="15"/>
        <v>0</v>
      </c>
      <c r="H106" s="122">
        <f t="shared" si="15"/>
        <v>0</v>
      </c>
      <c r="I106" s="122">
        <f t="shared" si="15"/>
        <v>0</v>
      </c>
      <c r="J106" s="122">
        <f t="shared" si="15"/>
        <v>0</v>
      </c>
      <c r="K106" s="122">
        <f t="shared" si="15"/>
        <v>0</v>
      </c>
      <c r="L106" s="122">
        <f t="shared" si="15"/>
        <v>0</v>
      </c>
      <c r="M106" s="122">
        <f t="shared" si="15"/>
        <v>0</v>
      </c>
      <c r="N106" s="122">
        <f t="shared" si="15"/>
        <v>0</v>
      </c>
      <c r="O106" s="122">
        <f t="shared" si="15"/>
        <v>0</v>
      </c>
      <c r="P106" s="122">
        <f t="shared" si="15"/>
        <v>0</v>
      </c>
      <c r="Q106" s="122">
        <f t="shared" si="15"/>
        <v>0</v>
      </c>
      <c r="R106" s="122">
        <f t="shared" si="15"/>
        <v>0</v>
      </c>
      <c r="S106" s="122"/>
      <c r="T106" s="122">
        <f>+SUM(E106:P106)</f>
        <v>0</v>
      </c>
      <c r="U106" s="164"/>
      <c r="V106" s="164"/>
      <c r="W106" s="164"/>
      <c r="X106" s="164"/>
      <c r="Y106" s="164"/>
      <c r="Z106" s="164"/>
      <c r="AA106" s="164"/>
      <c r="AB106" s="164"/>
      <c r="AC106" s="164"/>
      <c r="AE106" s="164"/>
      <c r="AF106" s="164"/>
      <c r="AG106" s="164"/>
      <c r="AH106" s="164"/>
      <c r="AI106" s="164"/>
      <c r="AJ106" s="164"/>
      <c r="AK106" s="164"/>
      <c r="AL106" s="164"/>
      <c r="AM106" s="164"/>
      <c r="AN106" s="164"/>
      <c r="AO106" s="164"/>
      <c r="AP106" s="164"/>
      <c r="AQ106" s="164"/>
      <c r="AR106" s="164"/>
      <c r="AS106" s="164"/>
      <c r="AT106" s="164"/>
      <c r="AU106" s="164"/>
      <c r="AV106" s="164"/>
      <c r="AW106" s="164"/>
      <c r="AX106" s="164"/>
    </row>
    <row r="107" spans="2:50" x14ac:dyDescent="0.25">
      <c r="B107" s="276"/>
      <c r="C107" s="122" t="s">
        <v>122</v>
      </c>
      <c r="D107" s="122">
        <f>+D68-D87</f>
        <v>0</v>
      </c>
      <c r="E107" s="122">
        <f t="shared" si="15"/>
        <v>0</v>
      </c>
      <c r="F107" s="122">
        <f t="shared" si="15"/>
        <v>0</v>
      </c>
      <c r="G107" s="122">
        <f t="shared" si="15"/>
        <v>0</v>
      </c>
      <c r="H107" s="122">
        <f t="shared" si="15"/>
        <v>0</v>
      </c>
      <c r="I107" s="122">
        <f t="shared" si="15"/>
        <v>0</v>
      </c>
      <c r="J107" s="122">
        <f t="shared" si="15"/>
        <v>0</v>
      </c>
      <c r="K107" s="122">
        <f t="shared" si="15"/>
        <v>0</v>
      </c>
      <c r="L107" s="122">
        <f t="shared" si="15"/>
        <v>0</v>
      </c>
      <c r="M107" s="122">
        <f t="shared" si="15"/>
        <v>0</v>
      </c>
      <c r="N107" s="122">
        <f t="shared" si="15"/>
        <v>0</v>
      </c>
      <c r="O107" s="122">
        <f t="shared" si="15"/>
        <v>0</v>
      </c>
      <c r="P107" s="122">
        <f t="shared" si="15"/>
        <v>0</v>
      </c>
      <c r="Q107" s="122">
        <f t="shared" si="15"/>
        <v>0</v>
      </c>
      <c r="R107" s="122">
        <f t="shared" si="15"/>
        <v>0</v>
      </c>
      <c r="S107" s="122"/>
      <c r="T107" s="122">
        <f>+SUM(E107:P107)</f>
        <v>0</v>
      </c>
      <c r="U107" s="164"/>
      <c r="V107" s="164"/>
      <c r="W107" s="164"/>
      <c r="X107" s="164"/>
      <c r="Y107" s="164"/>
      <c r="Z107" s="164"/>
      <c r="AA107" s="164"/>
      <c r="AB107" s="164"/>
      <c r="AC107" s="164"/>
      <c r="AE107" s="164"/>
      <c r="AF107" s="164"/>
      <c r="AG107" s="164"/>
      <c r="AH107" s="164"/>
      <c r="AI107" s="164"/>
      <c r="AJ107" s="164"/>
      <c r="AK107" s="164"/>
      <c r="AL107" s="164"/>
      <c r="AM107" s="164"/>
      <c r="AN107" s="164"/>
      <c r="AO107" s="164"/>
      <c r="AP107" s="164"/>
      <c r="AQ107" s="164"/>
      <c r="AR107" s="164"/>
      <c r="AS107" s="164"/>
      <c r="AT107" s="164"/>
      <c r="AU107" s="164"/>
      <c r="AV107" s="164"/>
      <c r="AW107" s="164"/>
      <c r="AX107" s="164"/>
    </row>
    <row r="108" spans="2:50" x14ac:dyDescent="0.25">
      <c r="B108" s="277" t="s">
        <v>123</v>
      </c>
      <c r="C108" s="277"/>
      <c r="D108" s="122">
        <f t="shared" ref="D108:R108" si="16">+SUM(D105:D107)</f>
        <v>1</v>
      </c>
      <c r="E108" s="122">
        <f t="shared" si="16"/>
        <v>0</v>
      </c>
      <c r="F108" s="122">
        <f t="shared" si="16"/>
        <v>0</v>
      </c>
      <c r="G108" s="122">
        <f t="shared" si="16"/>
        <v>0</v>
      </c>
      <c r="H108" s="122">
        <f t="shared" si="16"/>
        <v>0</v>
      </c>
      <c r="I108" s="122">
        <f t="shared" si="16"/>
        <v>0</v>
      </c>
      <c r="J108" s="122">
        <f t="shared" si="16"/>
        <v>0</v>
      </c>
      <c r="K108" s="122">
        <f t="shared" si="16"/>
        <v>0</v>
      </c>
      <c r="L108" s="122">
        <f t="shared" si="16"/>
        <v>0</v>
      </c>
      <c r="M108" s="122">
        <f t="shared" si="16"/>
        <v>0</v>
      </c>
      <c r="N108" s="122">
        <f t="shared" si="16"/>
        <v>0</v>
      </c>
      <c r="O108" s="122">
        <f t="shared" si="16"/>
        <v>0</v>
      </c>
      <c r="P108" s="122">
        <f t="shared" si="16"/>
        <v>0</v>
      </c>
      <c r="Q108" s="122">
        <f t="shared" si="16"/>
        <v>1</v>
      </c>
      <c r="R108" s="122">
        <f t="shared" si="16"/>
        <v>0</v>
      </c>
      <c r="S108" s="122"/>
      <c r="T108" s="122">
        <f>+SUM(T105:T107)</f>
        <v>0</v>
      </c>
      <c r="U108" s="164"/>
      <c r="V108" s="164"/>
      <c r="W108" s="164"/>
      <c r="X108" s="164"/>
      <c r="Y108" s="164"/>
      <c r="Z108" s="164"/>
      <c r="AA108" s="164"/>
      <c r="AB108" s="164"/>
      <c r="AC108" s="164"/>
      <c r="AE108" s="164"/>
      <c r="AF108" s="164"/>
      <c r="AG108" s="164"/>
      <c r="AH108" s="164"/>
      <c r="AI108" s="164"/>
      <c r="AJ108" s="164"/>
      <c r="AK108" s="164"/>
      <c r="AL108" s="164"/>
      <c r="AM108" s="164"/>
      <c r="AN108" s="164"/>
      <c r="AO108" s="164"/>
      <c r="AP108" s="164"/>
      <c r="AQ108" s="164"/>
      <c r="AR108" s="164"/>
      <c r="AS108" s="164"/>
      <c r="AT108" s="164"/>
      <c r="AU108" s="164"/>
      <c r="AV108" s="164"/>
      <c r="AW108" s="164"/>
      <c r="AX108" s="164"/>
    </row>
    <row r="109" spans="2:50" x14ac:dyDescent="0.25">
      <c r="B109" s="90"/>
      <c r="C109" s="90"/>
      <c r="D109" s="90"/>
      <c r="E109" s="90"/>
      <c r="G109" s="90"/>
      <c r="H109" s="90"/>
      <c r="I109" s="90"/>
      <c r="J109" s="90"/>
      <c r="K109" s="90"/>
      <c r="L109" s="90"/>
      <c r="M109" s="90"/>
      <c r="N109" s="90"/>
      <c r="O109" s="90"/>
      <c r="P109" s="90"/>
      <c r="T109" s="90"/>
      <c r="U109" s="164"/>
      <c r="V109" s="164"/>
      <c r="W109" s="164"/>
      <c r="X109" s="164"/>
      <c r="Y109" s="164"/>
      <c r="Z109" s="164"/>
      <c r="AA109" s="164"/>
      <c r="AB109" s="164"/>
      <c r="AC109" s="164"/>
      <c r="AE109" s="164"/>
      <c r="AF109" s="164"/>
      <c r="AG109" s="164"/>
      <c r="AH109" s="164"/>
      <c r="AI109" s="164"/>
      <c r="AJ109" s="164"/>
      <c r="AK109" s="164"/>
      <c r="AL109" s="164"/>
      <c r="AM109" s="164"/>
      <c r="AN109" s="164"/>
      <c r="AO109" s="164"/>
      <c r="AP109" s="164"/>
      <c r="AQ109" s="164"/>
      <c r="AR109" s="164"/>
      <c r="AS109" s="164"/>
      <c r="AT109" s="164"/>
      <c r="AU109" s="164"/>
      <c r="AV109" s="164"/>
      <c r="AW109" s="164"/>
      <c r="AX109" s="164"/>
    </row>
    <row r="110" spans="2:50" x14ac:dyDescent="0.25">
      <c r="B110" s="278">
        <v>44196</v>
      </c>
      <c r="C110" s="122"/>
      <c r="D110" s="122"/>
      <c r="E110" s="128" t="str">
        <f t="shared" ref="E110:R110" si="17">E65</f>
        <v>SARL</v>
      </c>
      <c r="F110" s="121" t="str">
        <f t="shared" si="17"/>
        <v>EURL</v>
      </c>
      <c r="G110" s="127" t="str">
        <f t="shared" si="17"/>
        <v>SAS</v>
      </c>
      <c r="H110" s="127" t="str">
        <f t="shared" si="17"/>
        <v>INDIVIDUEL</v>
      </c>
      <c r="I110" s="127" t="str">
        <f t="shared" si="17"/>
        <v>ASSOCIATION</v>
      </c>
      <c r="J110" s="128" t="str">
        <f t="shared" si="17"/>
        <v>PROFESSION LIBERALE</v>
      </c>
      <c r="K110" s="128" t="str">
        <f t="shared" si="17"/>
        <v>SNC</v>
      </c>
      <c r="L110" s="128" t="str">
        <f t="shared" si="17"/>
        <v>SCI</v>
      </c>
      <c r="M110" s="128" t="str">
        <f t="shared" si="17"/>
        <v>EARL</v>
      </c>
      <c r="N110" s="128" t="str">
        <f t="shared" si="17"/>
        <v>ETA</v>
      </c>
      <c r="O110" s="128" t="str">
        <f t="shared" si="17"/>
        <v>SCEA</v>
      </c>
      <c r="P110" s="128" t="str">
        <f t="shared" si="17"/>
        <v>GROUPEMENT</v>
      </c>
      <c r="Q110" s="128" t="str">
        <f t="shared" si="17"/>
        <v>EIRL</v>
      </c>
      <c r="R110" s="121" t="str">
        <f t="shared" si="17"/>
        <v>AUTRES</v>
      </c>
      <c r="S110" s="121"/>
      <c r="T110" s="128" t="s">
        <v>86</v>
      </c>
      <c r="U110" s="164"/>
      <c r="V110" s="164"/>
      <c r="W110" s="164"/>
      <c r="X110" s="164"/>
      <c r="Y110" s="164"/>
      <c r="Z110" s="164"/>
      <c r="AA110" s="164"/>
      <c r="AB110" s="164"/>
      <c r="AC110" s="164"/>
      <c r="AE110" s="164"/>
      <c r="AF110" s="164"/>
      <c r="AG110" s="164"/>
      <c r="AH110" s="164"/>
      <c r="AI110" s="164"/>
      <c r="AJ110" s="164"/>
      <c r="AK110" s="164"/>
      <c r="AL110" s="164"/>
      <c r="AM110" s="164"/>
      <c r="AN110" s="164"/>
      <c r="AO110" s="164"/>
      <c r="AP110" s="164"/>
      <c r="AQ110" s="164"/>
      <c r="AR110" s="164"/>
      <c r="AS110" s="164"/>
      <c r="AT110" s="164"/>
      <c r="AU110" s="164"/>
      <c r="AV110" s="164"/>
      <c r="AW110" s="164"/>
      <c r="AX110" s="164"/>
    </row>
    <row r="111" spans="2:50" x14ac:dyDescent="0.25">
      <c r="B111" s="275"/>
      <c r="C111" s="120" t="s">
        <v>109</v>
      </c>
      <c r="D111" s="122">
        <f>+D72-D91</f>
        <v>1</v>
      </c>
      <c r="E111" s="122">
        <f t="shared" ref="E111:R113" si="18">+E72-E91</f>
        <v>0</v>
      </c>
      <c r="F111" s="122">
        <f t="shared" si="18"/>
        <v>0</v>
      </c>
      <c r="G111" s="122">
        <f t="shared" si="18"/>
        <v>0</v>
      </c>
      <c r="H111" s="122">
        <f t="shared" si="18"/>
        <v>0</v>
      </c>
      <c r="I111" s="122">
        <f t="shared" si="18"/>
        <v>0</v>
      </c>
      <c r="J111" s="122">
        <f t="shared" si="18"/>
        <v>0</v>
      </c>
      <c r="K111" s="122">
        <f t="shared" si="18"/>
        <v>0</v>
      </c>
      <c r="L111" s="122">
        <f t="shared" si="18"/>
        <v>0</v>
      </c>
      <c r="M111" s="122">
        <f t="shared" si="18"/>
        <v>0</v>
      </c>
      <c r="N111" s="122">
        <f t="shared" si="18"/>
        <v>0</v>
      </c>
      <c r="O111" s="122">
        <f t="shared" si="18"/>
        <v>0</v>
      </c>
      <c r="P111" s="122">
        <f t="shared" si="18"/>
        <v>0</v>
      </c>
      <c r="Q111" s="122">
        <f t="shared" si="18"/>
        <v>1</v>
      </c>
      <c r="R111" s="122">
        <f t="shared" si="18"/>
        <v>0</v>
      </c>
      <c r="S111" s="122"/>
      <c r="T111" s="122">
        <f>+SUM(E111:P111)</f>
        <v>0</v>
      </c>
      <c r="U111" s="164"/>
      <c r="V111" s="164"/>
      <c r="W111" s="164"/>
      <c r="X111" s="164"/>
      <c r="Y111" s="164"/>
      <c r="Z111" s="164"/>
      <c r="AA111" s="164"/>
      <c r="AB111" s="164"/>
      <c r="AC111" s="164"/>
      <c r="AE111" s="164"/>
      <c r="AF111" s="164"/>
      <c r="AG111" s="164"/>
      <c r="AH111" s="164"/>
      <c r="AI111" s="164"/>
      <c r="AJ111" s="164"/>
      <c r="AK111" s="164"/>
      <c r="AL111" s="164"/>
      <c r="AM111" s="164"/>
      <c r="AN111" s="164"/>
      <c r="AO111" s="164"/>
      <c r="AP111" s="164"/>
      <c r="AQ111" s="164"/>
      <c r="AR111" s="164"/>
      <c r="AS111" s="164"/>
      <c r="AT111" s="164"/>
      <c r="AU111" s="164"/>
      <c r="AV111" s="164"/>
      <c r="AW111" s="164"/>
      <c r="AX111" s="164"/>
    </row>
    <row r="112" spans="2:50" x14ac:dyDescent="0.25">
      <c r="B112" s="275"/>
      <c r="C112" s="120" t="s">
        <v>121</v>
      </c>
      <c r="D112" s="122">
        <f>+D73-D92</f>
        <v>0</v>
      </c>
      <c r="E112" s="122">
        <f t="shared" si="18"/>
        <v>0</v>
      </c>
      <c r="F112" s="122">
        <f t="shared" si="18"/>
        <v>0</v>
      </c>
      <c r="G112" s="122">
        <f t="shared" si="18"/>
        <v>0</v>
      </c>
      <c r="H112" s="122">
        <f t="shared" si="18"/>
        <v>0</v>
      </c>
      <c r="I112" s="122">
        <f t="shared" si="18"/>
        <v>0</v>
      </c>
      <c r="J112" s="122">
        <f t="shared" si="18"/>
        <v>0</v>
      </c>
      <c r="K112" s="122">
        <f t="shared" si="18"/>
        <v>0</v>
      </c>
      <c r="L112" s="122">
        <f t="shared" si="18"/>
        <v>0</v>
      </c>
      <c r="M112" s="122">
        <f t="shared" si="18"/>
        <v>0</v>
      </c>
      <c r="N112" s="122">
        <f t="shared" si="18"/>
        <v>0</v>
      </c>
      <c r="O112" s="122">
        <f t="shared" si="18"/>
        <v>0</v>
      </c>
      <c r="P112" s="122">
        <f t="shared" si="18"/>
        <v>0</v>
      </c>
      <c r="Q112" s="122">
        <f t="shared" si="18"/>
        <v>0</v>
      </c>
      <c r="R112" s="122">
        <f t="shared" si="18"/>
        <v>0</v>
      </c>
      <c r="S112" s="122"/>
      <c r="T112" s="122">
        <f>+SUM(E112:P112)</f>
        <v>0</v>
      </c>
      <c r="U112" s="164"/>
      <c r="V112" s="164"/>
      <c r="W112" s="164"/>
      <c r="X112" s="164"/>
      <c r="Y112" s="164"/>
      <c r="Z112" s="164"/>
      <c r="AA112" s="164"/>
      <c r="AB112" s="164"/>
      <c r="AC112" s="164"/>
      <c r="AE112" s="164"/>
      <c r="AF112" s="164"/>
      <c r="AG112" s="164"/>
      <c r="AH112" s="164"/>
      <c r="AI112" s="164"/>
      <c r="AJ112" s="164"/>
      <c r="AK112" s="164"/>
      <c r="AL112" s="164"/>
      <c r="AM112" s="164"/>
      <c r="AN112" s="164"/>
      <c r="AO112" s="164"/>
      <c r="AP112" s="164"/>
      <c r="AQ112" s="164"/>
      <c r="AR112" s="164"/>
      <c r="AS112" s="164"/>
      <c r="AT112" s="164"/>
      <c r="AU112" s="164"/>
      <c r="AV112" s="164"/>
      <c r="AW112" s="164"/>
      <c r="AX112" s="164"/>
    </row>
    <row r="113" spans="2:50" x14ac:dyDescent="0.25">
      <c r="B113" s="276"/>
      <c r="C113" s="122" t="s">
        <v>122</v>
      </c>
      <c r="D113" s="122">
        <f>+D74-D93</f>
        <v>0</v>
      </c>
      <c r="E113" s="122">
        <f t="shared" si="18"/>
        <v>0</v>
      </c>
      <c r="F113" s="122">
        <f t="shared" si="18"/>
        <v>0</v>
      </c>
      <c r="G113" s="122">
        <f t="shared" si="18"/>
        <v>0</v>
      </c>
      <c r="H113" s="122">
        <f t="shared" si="18"/>
        <v>0</v>
      </c>
      <c r="I113" s="122">
        <f t="shared" si="18"/>
        <v>0</v>
      </c>
      <c r="J113" s="122">
        <f t="shared" si="18"/>
        <v>0</v>
      </c>
      <c r="K113" s="122">
        <f t="shared" si="18"/>
        <v>0</v>
      </c>
      <c r="L113" s="122">
        <f t="shared" si="18"/>
        <v>0</v>
      </c>
      <c r="M113" s="122">
        <f t="shared" si="18"/>
        <v>0</v>
      </c>
      <c r="N113" s="122">
        <f t="shared" si="18"/>
        <v>0</v>
      </c>
      <c r="O113" s="122">
        <f t="shared" si="18"/>
        <v>0</v>
      </c>
      <c r="P113" s="122">
        <f t="shared" si="18"/>
        <v>0</v>
      </c>
      <c r="Q113" s="122">
        <f t="shared" si="18"/>
        <v>0</v>
      </c>
      <c r="R113" s="122">
        <f t="shared" si="18"/>
        <v>0</v>
      </c>
      <c r="S113" s="122"/>
      <c r="T113" s="122">
        <f>+SUM(E113:P113)</f>
        <v>0</v>
      </c>
      <c r="U113" s="164"/>
      <c r="V113" s="164"/>
      <c r="W113" s="164"/>
      <c r="X113" s="164"/>
      <c r="Y113" s="164"/>
      <c r="Z113" s="164"/>
      <c r="AA113" s="164"/>
      <c r="AB113" s="164"/>
      <c r="AC113" s="164"/>
      <c r="AE113" s="164"/>
      <c r="AF113" s="164"/>
      <c r="AG113" s="164"/>
      <c r="AH113" s="164"/>
      <c r="AI113" s="164"/>
      <c r="AJ113" s="164"/>
      <c r="AK113" s="164"/>
      <c r="AL113" s="164"/>
      <c r="AM113" s="164"/>
      <c r="AN113" s="164"/>
      <c r="AO113" s="164"/>
      <c r="AP113" s="164"/>
      <c r="AQ113" s="164"/>
      <c r="AR113" s="164"/>
      <c r="AS113" s="164"/>
      <c r="AT113" s="164"/>
      <c r="AU113" s="164"/>
      <c r="AV113" s="164"/>
      <c r="AW113" s="164"/>
      <c r="AX113" s="164"/>
    </row>
    <row r="114" spans="2:50" x14ac:dyDescent="0.25">
      <c r="B114" s="277" t="s">
        <v>123</v>
      </c>
      <c r="C114" s="277"/>
      <c r="D114" s="122">
        <f t="shared" ref="D114:R114" si="19">+SUM(D111:D113)</f>
        <v>1</v>
      </c>
      <c r="E114" s="122">
        <f t="shared" si="19"/>
        <v>0</v>
      </c>
      <c r="F114" s="122">
        <f t="shared" si="19"/>
        <v>0</v>
      </c>
      <c r="G114" s="122">
        <f t="shared" si="19"/>
        <v>0</v>
      </c>
      <c r="H114" s="122">
        <f t="shared" si="19"/>
        <v>0</v>
      </c>
      <c r="I114" s="122">
        <f t="shared" si="19"/>
        <v>0</v>
      </c>
      <c r="J114" s="122">
        <f t="shared" si="19"/>
        <v>0</v>
      </c>
      <c r="K114" s="122">
        <f t="shared" si="19"/>
        <v>0</v>
      </c>
      <c r="L114" s="122">
        <f t="shared" si="19"/>
        <v>0</v>
      </c>
      <c r="M114" s="122">
        <f t="shared" si="19"/>
        <v>0</v>
      </c>
      <c r="N114" s="122">
        <f t="shared" si="19"/>
        <v>0</v>
      </c>
      <c r="O114" s="122">
        <f t="shared" si="19"/>
        <v>0</v>
      </c>
      <c r="P114" s="122">
        <f t="shared" si="19"/>
        <v>0</v>
      </c>
      <c r="Q114" s="122">
        <f t="shared" si="19"/>
        <v>1</v>
      </c>
      <c r="R114" s="122">
        <f t="shared" si="19"/>
        <v>0</v>
      </c>
      <c r="S114" s="122"/>
      <c r="T114" s="122">
        <f>+SUM(T111:T113)</f>
        <v>0</v>
      </c>
      <c r="U114" s="164"/>
      <c r="V114" s="164"/>
      <c r="W114" s="164"/>
      <c r="X114" s="164"/>
      <c r="Y114" s="164"/>
      <c r="Z114" s="164"/>
      <c r="AA114" s="164"/>
      <c r="AB114" s="164"/>
      <c r="AC114" s="164"/>
      <c r="AE114" s="164"/>
      <c r="AF114" s="164"/>
      <c r="AG114" s="164"/>
      <c r="AH114" s="164"/>
      <c r="AI114" s="164"/>
      <c r="AJ114" s="164"/>
      <c r="AK114" s="164"/>
      <c r="AL114" s="164"/>
      <c r="AM114" s="164"/>
      <c r="AN114" s="164"/>
      <c r="AO114" s="164"/>
      <c r="AP114" s="164"/>
      <c r="AQ114" s="164"/>
      <c r="AR114" s="164"/>
      <c r="AS114" s="164"/>
      <c r="AT114" s="164"/>
      <c r="AU114" s="164"/>
      <c r="AV114" s="164"/>
      <c r="AW114" s="164"/>
      <c r="AX114" s="164"/>
    </row>
    <row r="115" spans="2:50" x14ac:dyDescent="0.25">
      <c r="B115" s="90"/>
      <c r="C115" s="90"/>
      <c r="D115" s="90"/>
      <c r="E115" s="90"/>
      <c r="G115" s="90"/>
      <c r="H115" s="90"/>
      <c r="I115" s="90"/>
      <c r="J115" s="90"/>
      <c r="K115" s="90"/>
      <c r="L115" s="90"/>
      <c r="M115" s="90"/>
      <c r="N115" s="90"/>
      <c r="O115" s="90"/>
      <c r="P115" s="90"/>
      <c r="T115" s="90"/>
      <c r="U115" s="164"/>
      <c r="V115" s="164"/>
      <c r="W115" s="164"/>
      <c r="X115" s="164"/>
      <c r="Y115" s="164"/>
      <c r="Z115" s="164"/>
      <c r="AA115" s="164"/>
      <c r="AB115" s="164"/>
      <c r="AC115" s="164"/>
      <c r="AE115" s="164"/>
      <c r="AF115" s="164"/>
      <c r="AG115" s="164"/>
      <c r="AH115" s="164"/>
      <c r="AI115" s="164"/>
      <c r="AJ115" s="164"/>
      <c r="AK115" s="164"/>
      <c r="AL115" s="164"/>
      <c r="AM115" s="164"/>
      <c r="AN115" s="164"/>
      <c r="AO115" s="164"/>
      <c r="AP115" s="164"/>
      <c r="AQ115" s="164"/>
      <c r="AR115" s="164"/>
      <c r="AS115" s="164"/>
      <c r="AT115" s="164"/>
      <c r="AU115" s="164"/>
      <c r="AV115" s="164"/>
      <c r="AW115" s="164"/>
      <c r="AX115" s="164"/>
    </row>
    <row r="116" spans="2:50" x14ac:dyDescent="0.25">
      <c r="B116" s="278" t="s">
        <v>40</v>
      </c>
      <c r="C116" s="122"/>
      <c r="D116" s="122"/>
      <c r="E116" s="125" t="str">
        <f t="shared" ref="E116:R116" si="20">E65</f>
        <v>SARL</v>
      </c>
      <c r="F116" s="121" t="str">
        <f t="shared" si="20"/>
        <v>EURL</v>
      </c>
      <c r="G116" s="126" t="str">
        <f t="shared" si="20"/>
        <v>SAS</v>
      </c>
      <c r="H116" s="127" t="str">
        <f t="shared" si="20"/>
        <v>INDIVIDUEL</v>
      </c>
      <c r="I116" s="127" t="str">
        <f t="shared" si="20"/>
        <v>ASSOCIATION</v>
      </c>
      <c r="J116" s="128" t="str">
        <f t="shared" si="20"/>
        <v>PROFESSION LIBERALE</v>
      </c>
      <c r="K116" s="128" t="str">
        <f t="shared" si="20"/>
        <v>SNC</v>
      </c>
      <c r="L116" s="128" t="str">
        <f t="shared" si="20"/>
        <v>SCI</v>
      </c>
      <c r="M116" s="128" t="str">
        <f t="shared" si="20"/>
        <v>EARL</v>
      </c>
      <c r="N116" s="128" t="str">
        <f t="shared" si="20"/>
        <v>ETA</v>
      </c>
      <c r="O116" s="128" t="str">
        <f t="shared" si="20"/>
        <v>SCEA</v>
      </c>
      <c r="P116" s="128" t="str">
        <f t="shared" si="20"/>
        <v>GROUPEMENT</v>
      </c>
      <c r="Q116" s="128" t="str">
        <f t="shared" si="20"/>
        <v>EIRL</v>
      </c>
      <c r="R116" s="121" t="str">
        <f t="shared" si="20"/>
        <v>AUTRES</v>
      </c>
      <c r="S116" s="121"/>
      <c r="T116" s="128" t="s">
        <v>86</v>
      </c>
      <c r="U116" s="164"/>
      <c r="V116" s="164"/>
      <c r="W116" s="164"/>
      <c r="X116" s="164"/>
      <c r="Y116" s="164"/>
      <c r="Z116" s="164"/>
      <c r="AA116" s="164"/>
      <c r="AB116" s="164"/>
      <c r="AC116" s="164"/>
      <c r="AE116" s="164"/>
      <c r="AF116" s="164"/>
      <c r="AG116" s="164"/>
      <c r="AH116" s="164"/>
      <c r="AI116" s="164"/>
      <c r="AJ116" s="164"/>
      <c r="AK116" s="164"/>
      <c r="AL116" s="164"/>
      <c r="AM116" s="164"/>
      <c r="AN116" s="164"/>
      <c r="AO116" s="164"/>
      <c r="AP116" s="164"/>
      <c r="AQ116" s="164"/>
      <c r="AR116" s="164"/>
      <c r="AS116" s="164"/>
      <c r="AT116" s="164"/>
      <c r="AU116" s="164"/>
      <c r="AV116" s="164"/>
      <c r="AW116" s="164"/>
      <c r="AX116" s="164"/>
    </row>
    <row r="117" spans="2:50" x14ac:dyDescent="0.25">
      <c r="B117" s="275"/>
      <c r="C117" s="120" t="s">
        <v>109</v>
      </c>
      <c r="D117" s="122">
        <f>+D105-D111</f>
        <v>0</v>
      </c>
      <c r="E117" s="122">
        <f t="shared" ref="E117:R120" si="21">+E105-E111</f>
        <v>0</v>
      </c>
      <c r="F117" s="122">
        <f t="shared" si="21"/>
        <v>0</v>
      </c>
      <c r="G117" s="122">
        <f t="shared" si="21"/>
        <v>0</v>
      </c>
      <c r="H117" s="122">
        <f t="shared" si="21"/>
        <v>0</v>
      </c>
      <c r="I117" s="122">
        <f t="shared" si="21"/>
        <v>0</v>
      </c>
      <c r="J117" s="122">
        <f t="shared" si="21"/>
        <v>0</v>
      </c>
      <c r="K117" s="122">
        <f t="shared" si="21"/>
        <v>0</v>
      </c>
      <c r="L117" s="122">
        <f t="shared" si="21"/>
        <v>0</v>
      </c>
      <c r="M117" s="122">
        <f t="shared" si="21"/>
        <v>0</v>
      </c>
      <c r="N117" s="122">
        <f t="shared" si="21"/>
        <v>0</v>
      </c>
      <c r="O117" s="122">
        <f t="shared" si="21"/>
        <v>0</v>
      </c>
      <c r="P117" s="122">
        <f t="shared" si="21"/>
        <v>0</v>
      </c>
      <c r="Q117" s="122">
        <f t="shared" si="21"/>
        <v>0</v>
      </c>
      <c r="R117" s="122">
        <f t="shared" si="21"/>
        <v>0</v>
      </c>
      <c r="S117" s="122"/>
      <c r="T117" s="122">
        <f>+SUM(E117:P117)</f>
        <v>0</v>
      </c>
      <c r="U117" s="164"/>
      <c r="V117" s="164"/>
      <c r="W117" s="164"/>
      <c r="X117" s="164"/>
      <c r="Y117" s="164"/>
      <c r="Z117" s="164"/>
      <c r="AA117" s="164"/>
      <c r="AB117" s="164"/>
      <c r="AC117" s="164"/>
      <c r="AE117" s="164"/>
      <c r="AF117" s="164"/>
      <c r="AG117" s="164"/>
      <c r="AH117" s="164"/>
      <c r="AI117" s="164"/>
      <c r="AJ117" s="164"/>
      <c r="AK117" s="164"/>
      <c r="AL117" s="164"/>
      <c r="AM117" s="164"/>
      <c r="AN117" s="164"/>
      <c r="AO117" s="164"/>
      <c r="AP117" s="164"/>
      <c r="AQ117" s="164"/>
      <c r="AR117" s="164"/>
      <c r="AS117" s="164"/>
      <c r="AT117" s="164"/>
      <c r="AU117" s="164"/>
      <c r="AV117" s="164"/>
      <c r="AW117" s="164"/>
      <c r="AX117" s="164"/>
    </row>
    <row r="118" spans="2:50" x14ac:dyDescent="0.25">
      <c r="B118" s="275"/>
      <c r="C118" s="120" t="s">
        <v>121</v>
      </c>
      <c r="D118" s="122">
        <f>+D106-D112</f>
        <v>0</v>
      </c>
      <c r="E118" s="122">
        <f t="shared" si="21"/>
        <v>0</v>
      </c>
      <c r="F118" s="122">
        <f t="shared" si="21"/>
        <v>0</v>
      </c>
      <c r="G118" s="122">
        <f t="shared" si="21"/>
        <v>0</v>
      </c>
      <c r="H118" s="122">
        <f t="shared" si="21"/>
        <v>0</v>
      </c>
      <c r="I118" s="122">
        <f t="shared" si="21"/>
        <v>0</v>
      </c>
      <c r="J118" s="122">
        <f t="shared" si="21"/>
        <v>0</v>
      </c>
      <c r="K118" s="122">
        <f t="shared" si="21"/>
        <v>0</v>
      </c>
      <c r="L118" s="122">
        <f t="shared" si="21"/>
        <v>0</v>
      </c>
      <c r="M118" s="122">
        <f t="shared" si="21"/>
        <v>0</v>
      </c>
      <c r="N118" s="122">
        <f t="shared" si="21"/>
        <v>0</v>
      </c>
      <c r="O118" s="122">
        <f t="shared" si="21"/>
        <v>0</v>
      </c>
      <c r="P118" s="122">
        <f t="shared" si="21"/>
        <v>0</v>
      </c>
      <c r="Q118" s="122">
        <f t="shared" si="21"/>
        <v>0</v>
      </c>
      <c r="R118" s="122">
        <f t="shared" si="21"/>
        <v>0</v>
      </c>
      <c r="S118" s="122"/>
      <c r="T118" s="122">
        <f>+SUM(E118:P118)</f>
        <v>0</v>
      </c>
      <c r="U118" s="164"/>
      <c r="V118" s="164"/>
      <c r="W118" s="164"/>
      <c r="X118" s="164"/>
      <c r="Y118" s="164"/>
      <c r="Z118" s="164"/>
      <c r="AA118" s="164"/>
      <c r="AB118" s="164"/>
      <c r="AC118" s="164"/>
      <c r="AE118" s="164"/>
      <c r="AF118" s="164"/>
      <c r="AG118" s="164"/>
      <c r="AH118" s="164"/>
      <c r="AI118" s="164"/>
      <c r="AJ118" s="164"/>
      <c r="AK118" s="164"/>
      <c r="AL118" s="164"/>
      <c r="AM118" s="164"/>
      <c r="AN118" s="164"/>
      <c r="AO118" s="164"/>
      <c r="AP118" s="164"/>
      <c r="AQ118" s="164"/>
      <c r="AR118" s="164"/>
      <c r="AS118" s="164"/>
      <c r="AT118" s="164"/>
      <c r="AU118" s="164"/>
      <c r="AV118" s="164"/>
      <c r="AW118" s="164"/>
      <c r="AX118" s="164"/>
    </row>
    <row r="119" spans="2:50" x14ac:dyDescent="0.25">
      <c r="B119" s="276"/>
      <c r="C119" s="122" t="s">
        <v>122</v>
      </c>
      <c r="D119" s="122">
        <f>+D107-D113</f>
        <v>0</v>
      </c>
      <c r="E119" s="122">
        <f t="shared" si="21"/>
        <v>0</v>
      </c>
      <c r="F119" s="122">
        <f t="shared" si="21"/>
        <v>0</v>
      </c>
      <c r="G119" s="122">
        <f t="shared" si="21"/>
        <v>0</v>
      </c>
      <c r="H119" s="122">
        <f t="shared" si="21"/>
        <v>0</v>
      </c>
      <c r="I119" s="122">
        <f t="shared" si="21"/>
        <v>0</v>
      </c>
      <c r="J119" s="122">
        <f t="shared" si="21"/>
        <v>0</v>
      </c>
      <c r="K119" s="122">
        <f t="shared" si="21"/>
        <v>0</v>
      </c>
      <c r="L119" s="122">
        <f t="shared" si="21"/>
        <v>0</v>
      </c>
      <c r="M119" s="122">
        <f t="shared" si="21"/>
        <v>0</v>
      </c>
      <c r="N119" s="122">
        <f t="shared" si="21"/>
        <v>0</v>
      </c>
      <c r="O119" s="122">
        <f t="shared" si="21"/>
        <v>0</v>
      </c>
      <c r="P119" s="122">
        <f t="shared" si="21"/>
        <v>0</v>
      </c>
      <c r="Q119" s="122">
        <f t="shared" si="21"/>
        <v>0</v>
      </c>
      <c r="R119" s="122">
        <f t="shared" si="21"/>
        <v>0</v>
      </c>
      <c r="S119" s="122"/>
      <c r="T119" s="122">
        <f>+SUM(E119:P119)</f>
        <v>0</v>
      </c>
      <c r="U119" s="164"/>
      <c r="V119" s="164"/>
      <c r="W119" s="164"/>
      <c r="X119" s="164"/>
      <c r="Y119" s="164"/>
      <c r="Z119" s="164"/>
      <c r="AA119" s="164"/>
      <c r="AB119" s="164"/>
      <c r="AC119" s="164"/>
      <c r="AE119" s="164"/>
      <c r="AF119" s="164"/>
      <c r="AG119" s="164"/>
      <c r="AH119" s="164"/>
      <c r="AI119" s="164"/>
      <c r="AJ119" s="164"/>
      <c r="AK119" s="164"/>
      <c r="AL119" s="164"/>
      <c r="AM119" s="164"/>
      <c r="AN119" s="164"/>
      <c r="AO119" s="164"/>
      <c r="AP119" s="164"/>
      <c r="AQ119" s="164"/>
      <c r="AR119" s="164"/>
      <c r="AS119" s="164"/>
      <c r="AT119" s="164"/>
      <c r="AU119" s="164"/>
      <c r="AV119" s="164"/>
      <c r="AW119" s="164"/>
      <c r="AX119" s="164"/>
    </row>
    <row r="120" spans="2:50" x14ac:dyDescent="0.25">
      <c r="B120" s="277" t="s">
        <v>123</v>
      </c>
      <c r="C120" s="277"/>
      <c r="D120" s="122">
        <f>+D108-D114</f>
        <v>0</v>
      </c>
      <c r="E120" s="122">
        <f t="shared" si="21"/>
        <v>0</v>
      </c>
      <c r="F120" s="122">
        <f t="shared" si="21"/>
        <v>0</v>
      </c>
      <c r="G120" s="122">
        <f t="shared" si="21"/>
        <v>0</v>
      </c>
      <c r="H120" s="122">
        <f t="shared" si="21"/>
        <v>0</v>
      </c>
      <c r="I120" s="122">
        <f t="shared" si="21"/>
        <v>0</v>
      </c>
      <c r="J120" s="122">
        <f t="shared" si="21"/>
        <v>0</v>
      </c>
      <c r="K120" s="122">
        <f t="shared" si="21"/>
        <v>0</v>
      </c>
      <c r="L120" s="122">
        <f t="shared" si="21"/>
        <v>0</v>
      </c>
      <c r="M120" s="122">
        <f t="shared" si="21"/>
        <v>0</v>
      </c>
      <c r="N120" s="122">
        <f t="shared" si="21"/>
        <v>0</v>
      </c>
      <c r="O120" s="122">
        <f t="shared" si="21"/>
        <v>0</v>
      </c>
      <c r="P120" s="122">
        <f t="shared" si="21"/>
        <v>0</v>
      </c>
      <c r="Q120" s="122">
        <f t="shared" si="21"/>
        <v>0</v>
      </c>
      <c r="R120" s="122">
        <f t="shared" si="21"/>
        <v>0</v>
      </c>
      <c r="S120" s="122"/>
      <c r="T120" s="122">
        <f>+SUM(T117:T119)</f>
        <v>0</v>
      </c>
      <c r="U120" s="164"/>
      <c r="V120" s="164"/>
      <c r="W120" s="164"/>
      <c r="X120" s="164"/>
      <c r="Y120" s="164"/>
      <c r="Z120" s="164"/>
      <c r="AA120" s="164"/>
      <c r="AB120" s="164"/>
      <c r="AC120" s="164"/>
      <c r="AE120" s="164"/>
      <c r="AF120" s="164"/>
      <c r="AG120" s="164"/>
      <c r="AH120" s="164"/>
      <c r="AI120" s="164"/>
      <c r="AJ120" s="164"/>
      <c r="AK120" s="164"/>
      <c r="AL120" s="164"/>
      <c r="AM120" s="164"/>
      <c r="AN120" s="164"/>
      <c r="AO120" s="164"/>
      <c r="AP120" s="164"/>
      <c r="AQ120" s="164"/>
      <c r="AR120" s="164"/>
      <c r="AS120" s="164"/>
      <c r="AT120" s="164"/>
      <c r="AU120" s="164"/>
      <c r="AV120" s="164"/>
      <c r="AW120" s="164"/>
      <c r="AX120" s="164"/>
    </row>
    <row r="121" spans="2:50" x14ac:dyDescent="0.25">
      <c r="U121" s="164"/>
      <c r="V121" s="164"/>
      <c r="W121" s="164"/>
      <c r="X121" s="164"/>
      <c r="Y121" s="164"/>
      <c r="Z121" s="164"/>
      <c r="AA121" s="164"/>
      <c r="AB121" s="164"/>
      <c r="AC121" s="164"/>
      <c r="AE121" s="164"/>
      <c r="AF121" s="164"/>
      <c r="AG121" s="164"/>
      <c r="AH121" s="164"/>
      <c r="AI121" s="164"/>
      <c r="AJ121" s="164"/>
      <c r="AK121" s="164"/>
      <c r="AL121" s="164"/>
      <c r="AM121" s="164"/>
      <c r="AN121" s="164"/>
      <c r="AO121" s="164"/>
      <c r="AP121" s="164"/>
      <c r="AQ121" s="164"/>
      <c r="AR121" s="164"/>
      <c r="AS121" s="164"/>
      <c r="AT121" s="164"/>
      <c r="AU121" s="164"/>
      <c r="AV121" s="164"/>
      <c r="AW121" s="164"/>
      <c r="AX121" s="164"/>
    </row>
    <row r="122" spans="2:50" x14ac:dyDescent="0.25">
      <c r="U122" s="164"/>
      <c r="V122" s="164"/>
      <c r="W122" s="164"/>
      <c r="X122" s="164"/>
      <c r="Y122" s="164"/>
      <c r="Z122" s="164"/>
      <c r="AA122" s="164"/>
      <c r="AB122" s="164"/>
      <c r="AC122" s="164"/>
      <c r="AE122" s="164"/>
      <c r="AF122" s="164"/>
      <c r="AG122" s="164"/>
      <c r="AH122" s="164"/>
      <c r="AI122" s="164"/>
      <c r="AJ122" s="164"/>
      <c r="AK122" s="164"/>
      <c r="AL122" s="164"/>
      <c r="AM122" s="164"/>
      <c r="AN122" s="164"/>
      <c r="AO122" s="164"/>
      <c r="AP122" s="164"/>
      <c r="AQ122" s="164"/>
      <c r="AR122" s="164"/>
      <c r="AS122" s="164"/>
      <c r="AT122" s="164"/>
      <c r="AU122" s="164"/>
      <c r="AV122" s="164"/>
      <c r="AW122" s="164"/>
      <c r="AX122" s="164"/>
    </row>
    <row r="123" spans="2:50" x14ac:dyDescent="0.25">
      <c r="U123" s="164"/>
      <c r="V123" s="164"/>
      <c r="W123" s="164"/>
      <c r="X123" s="164"/>
      <c r="Y123" s="164"/>
      <c r="Z123" s="164"/>
      <c r="AA123" s="164"/>
      <c r="AB123" s="164"/>
      <c r="AC123" s="164"/>
      <c r="AE123" s="164"/>
      <c r="AF123" s="164"/>
      <c r="AG123" s="164"/>
      <c r="AH123" s="164"/>
      <c r="AI123" s="164"/>
      <c r="AJ123" s="164"/>
      <c r="AK123" s="164"/>
      <c r="AL123" s="164"/>
      <c r="AM123" s="164"/>
      <c r="AN123" s="164"/>
      <c r="AO123" s="164"/>
      <c r="AP123" s="164"/>
      <c r="AQ123" s="164"/>
      <c r="AR123" s="164"/>
      <c r="AS123" s="164"/>
      <c r="AT123" s="164"/>
      <c r="AU123" s="164"/>
      <c r="AV123" s="164"/>
      <c r="AW123" s="164"/>
      <c r="AX123" s="164"/>
    </row>
    <row r="124" spans="2:50" x14ac:dyDescent="0.25">
      <c r="U124" s="164"/>
      <c r="V124" s="164"/>
      <c r="W124" s="164"/>
      <c r="X124" s="164"/>
      <c r="Y124" s="164"/>
      <c r="Z124" s="164"/>
      <c r="AA124" s="164"/>
      <c r="AB124" s="164"/>
      <c r="AC124" s="164"/>
      <c r="AE124" s="164"/>
      <c r="AF124" s="164"/>
      <c r="AG124" s="164"/>
      <c r="AH124" s="164"/>
      <c r="AI124" s="164"/>
      <c r="AJ124" s="164"/>
      <c r="AK124" s="164"/>
      <c r="AL124" s="164"/>
      <c r="AM124" s="164"/>
      <c r="AN124" s="164"/>
      <c r="AO124" s="164"/>
      <c r="AP124" s="164"/>
      <c r="AQ124" s="164"/>
      <c r="AR124" s="164"/>
      <c r="AS124" s="164"/>
      <c r="AT124" s="164"/>
      <c r="AU124" s="164"/>
      <c r="AV124" s="164"/>
      <c r="AW124" s="164"/>
      <c r="AX124" s="164"/>
    </row>
    <row r="125" spans="2:50" x14ac:dyDescent="0.25">
      <c r="U125" s="164"/>
      <c r="V125" s="164"/>
      <c r="W125" s="164"/>
      <c r="X125" s="164"/>
      <c r="Y125" s="164"/>
      <c r="Z125" s="164"/>
      <c r="AA125" s="164"/>
      <c r="AB125" s="164"/>
      <c r="AC125" s="164"/>
      <c r="AE125" s="164"/>
      <c r="AF125" s="164"/>
      <c r="AG125" s="164"/>
      <c r="AH125" s="164"/>
      <c r="AI125" s="164"/>
      <c r="AJ125" s="164"/>
      <c r="AK125" s="164"/>
      <c r="AL125" s="164"/>
      <c r="AM125" s="164"/>
      <c r="AN125" s="164"/>
      <c r="AO125" s="164"/>
      <c r="AP125" s="164"/>
      <c r="AQ125" s="164"/>
      <c r="AR125" s="164"/>
      <c r="AS125" s="164"/>
      <c r="AT125" s="164"/>
      <c r="AU125" s="164"/>
      <c r="AV125" s="164"/>
      <c r="AW125" s="164"/>
      <c r="AX125" s="164"/>
    </row>
    <row r="126" spans="2:50" x14ac:dyDescent="0.25">
      <c r="U126" s="164"/>
      <c r="V126" s="164"/>
      <c r="W126" s="164"/>
      <c r="X126" s="164"/>
      <c r="Y126" s="164"/>
      <c r="Z126" s="164"/>
      <c r="AA126" s="164"/>
      <c r="AB126" s="164"/>
      <c r="AC126" s="164"/>
      <c r="AE126" s="164"/>
      <c r="AF126" s="164"/>
      <c r="AG126" s="164"/>
      <c r="AH126" s="164"/>
      <c r="AI126" s="164"/>
      <c r="AJ126" s="164"/>
      <c r="AK126" s="164"/>
      <c r="AL126" s="164"/>
      <c r="AM126" s="164"/>
      <c r="AN126" s="164"/>
      <c r="AO126" s="164"/>
      <c r="AP126" s="164"/>
      <c r="AQ126" s="164"/>
      <c r="AR126" s="164"/>
      <c r="AS126" s="164"/>
      <c r="AT126" s="164"/>
      <c r="AU126" s="164"/>
      <c r="AV126" s="164"/>
      <c r="AW126" s="164"/>
      <c r="AX126" s="164"/>
    </row>
    <row r="127" spans="2:50" x14ac:dyDescent="0.25">
      <c r="U127" s="164"/>
      <c r="V127" s="164"/>
      <c r="W127" s="164"/>
      <c r="X127" s="164"/>
      <c r="Y127" s="164"/>
      <c r="Z127" s="164"/>
      <c r="AA127" s="164"/>
      <c r="AB127" s="164"/>
      <c r="AC127" s="164"/>
      <c r="AE127" s="164"/>
      <c r="AF127" s="164"/>
      <c r="AG127" s="164"/>
      <c r="AH127" s="164"/>
      <c r="AI127" s="164"/>
      <c r="AJ127" s="164"/>
      <c r="AK127" s="164"/>
      <c r="AL127" s="164"/>
      <c r="AM127" s="164"/>
      <c r="AN127" s="164"/>
      <c r="AO127" s="164"/>
      <c r="AP127" s="164"/>
      <c r="AQ127" s="164"/>
      <c r="AR127" s="164"/>
      <c r="AS127" s="164"/>
      <c r="AT127" s="164"/>
      <c r="AU127" s="164"/>
      <c r="AV127" s="164"/>
      <c r="AW127" s="164"/>
      <c r="AX127" s="164"/>
    </row>
    <row r="128" spans="2:50" x14ac:dyDescent="0.25">
      <c r="U128" s="164"/>
      <c r="V128" s="164"/>
      <c r="W128" s="164"/>
      <c r="X128" s="164"/>
      <c r="Y128" s="164"/>
      <c r="Z128" s="164"/>
      <c r="AA128" s="164"/>
      <c r="AB128" s="164"/>
      <c r="AC128" s="164"/>
      <c r="AE128" s="164"/>
      <c r="AF128" s="164"/>
      <c r="AG128" s="164"/>
      <c r="AH128" s="164"/>
      <c r="AI128" s="164"/>
      <c r="AJ128" s="164"/>
      <c r="AK128" s="164"/>
      <c r="AL128" s="164"/>
      <c r="AM128" s="164"/>
      <c r="AN128" s="164"/>
      <c r="AO128" s="164"/>
      <c r="AP128" s="164"/>
      <c r="AQ128" s="164"/>
      <c r="AR128" s="164"/>
      <c r="AS128" s="164"/>
      <c r="AT128" s="164"/>
      <c r="AU128" s="164"/>
      <c r="AV128" s="164"/>
      <c r="AW128" s="164"/>
      <c r="AX128" s="164"/>
    </row>
    <row r="129" spans="21:50" x14ac:dyDescent="0.25">
      <c r="U129" s="164"/>
      <c r="V129" s="164"/>
      <c r="W129" s="164"/>
      <c r="X129" s="164"/>
      <c r="Y129" s="164"/>
      <c r="Z129" s="164"/>
      <c r="AA129" s="164"/>
      <c r="AB129" s="164"/>
      <c r="AC129" s="164"/>
      <c r="AE129" s="164"/>
      <c r="AF129" s="164"/>
      <c r="AG129" s="164"/>
      <c r="AH129" s="164"/>
      <c r="AI129" s="164"/>
      <c r="AJ129" s="164"/>
      <c r="AK129" s="164"/>
      <c r="AL129" s="164"/>
      <c r="AM129" s="164"/>
      <c r="AN129" s="164"/>
      <c r="AO129" s="164"/>
      <c r="AP129" s="164"/>
      <c r="AQ129" s="164"/>
      <c r="AR129" s="164"/>
      <c r="AS129" s="164"/>
      <c r="AT129" s="164"/>
      <c r="AU129" s="164"/>
      <c r="AV129" s="164"/>
      <c r="AW129" s="164"/>
      <c r="AX129" s="164"/>
    </row>
    <row r="130" spans="21:50" x14ac:dyDescent="0.25">
      <c r="U130" s="164"/>
      <c r="V130" s="164"/>
      <c r="W130" s="164"/>
      <c r="X130" s="164"/>
      <c r="Y130" s="164"/>
      <c r="Z130" s="164"/>
      <c r="AA130" s="164"/>
      <c r="AB130" s="164"/>
      <c r="AC130" s="164"/>
      <c r="AE130" s="164"/>
      <c r="AF130" s="164"/>
      <c r="AG130" s="164"/>
      <c r="AH130" s="164"/>
      <c r="AI130" s="164"/>
      <c r="AJ130" s="164"/>
      <c r="AK130" s="164"/>
      <c r="AL130" s="164"/>
      <c r="AM130" s="164"/>
      <c r="AN130" s="164"/>
      <c r="AO130" s="164"/>
      <c r="AP130" s="164"/>
      <c r="AQ130" s="164"/>
      <c r="AR130" s="164"/>
      <c r="AS130" s="164"/>
      <c r="AT130" s="164"/>
      <c r="AU130" s="164"/>
      <c r="AV130" s="164"/>
      <c r="AW130" s="164"/>
      <c r="AX130" s="164"/>
    </row>
    <row r="131" spans="21:50" x14ac:dyDescent="0.25">
      <c r="U131" s="164"/>
      <c r="V131" s="164"/>
      <c r="W131" s="164"/>
      <c r="X131" s="164"/>
      <c r="Y131" s="164"/>
      <c r="Z131" s="164"/>
      <c r="AA131" s="164"/>
      <c r="AB131" s="164"/>
      <c r="AC131" s="164"/>
      <c r="AE131" s="164"/>
      <c r="AF131" s="164"/>
      <c r="AG131" s="164"/>
      <c r="AH131" s="164"/>
      <c r="AI131" s="164"/>
      <c r="AJ131" s="164"/>
      <c r="AK131" s="164"/>
      <c r="AL131" s="164"/>
      <c r="AM131" s="164"/>
      <c r="AN131" s="164"/>
      <c r="AO131" s="164"/>
      <c r="AP131" s="164"/>
      <c r="AQ131" s="164"/>
      <c r="AR131" s="164"/>
      <c r="AS131" s="164"/>
      <c r="AT131" s="164"/>
      <c r="AU131" s="164"/>
      <c r="AV131" s="164"/>
      <c r="AW131" s="164"/>
      <c r="AX131" s="164"/>
    </row>
    <row r="132" spans="21:50" x14ac:dyDescent="0.25">
      <c r="U132" s="164"/>
      <c r="V132" s="164"/>
      <c r="W132" s="164"/>
      <c r="X132" s="164"/>
      <c r="Y132" s="164"/>
      <c r="Z132" s="164"/>
      <c r="AA132" s="164"/>
      <c r="AB132" s="164"/>
      <c r="AC132" s="164"/>
      <c r="AE132" s="164"/>
      <c r="AF132" s="164"/>
      <c r="AG132" s="164"/>
      <c r="AH132" s="164"/>
      <c r="AI132" s="164"/>
      <c r="AJ132" s="164"/>
      <c r="AK132" s="164"/>
      <c r="AL132" s="164"/>
      <c r="AM132" s="164"/>
      <c r="AN132" s="164"/>
      <c r="AO132" s="164"/>
      <c r="AP132" s="164"/>
      <c r="AQ132" s="164"/>
      <c r="AR132" s="164"/>
      <c r="AS132" s="164"/>
      <c r="AT132" s="164"/>
      <c r="AU132" s="164"/>
      <c r="AV132" s="164"/>
      <c r="AW132" s="164"/>
      <c r="AX132" s="164"/>
    </row>
    <row r="133" spans="21:50" x14ac:dyDescent="0.25">
      <c r="U133" s="164"/>
      <c r="V133" s="164"/>
      <c r="W133" s="164"/>
      <c r="X133" s="164"/>
      <c r="Y133" s="164"/>
      <c r="Z133" s="164"/>
      <c r="AA133" s="164"/>
      <c r="AB133" s="164"/>
      <c r="AC133" s="164"/>
      <c r="AE133" s="164"/>
      <c r="AF133" s="164"/>
      <c r="AG133" s="164"/>
      <c r="AH133" s="164"/>
      <c r="AI133" s="164"/>
      <c r="AJ133" s="164"/>
      <c r="AK133" s="164"/>
      <c r="AL133" s="164"/>
      <c r="AM133" s="164"/>
      <c r="AN133" s="164"/>
      <c r="AO133" s="164"/>
      <c r="AP133" s="164"/>
      <c r="AQ133" s="164"/>
      <c r="AR133" s="164"/>
      <c r="AS133" s="164"/>
      <c r="AT133" s="164"/>
      <c r="AU133" s="164"/>
      <c r="AV133" s="164"/>
      <c r="AW133" s="164"/>
      <c r="AX133" s="164"/>
    </row>
    <row r="134" spans="21:50" x14ac:dyDescent="0.25">
      <c r="U134" s="164"/>
      <c r="V134" s="164"/>
      <c r="W134" s="164"/>
      <c r="X134" s="164"/>
      <c r="Y134" s="164"/>
      <c r="Z134" s="164"/>
      <c r="AA134" s="164"/>
      <c r="AB134" s="164"/>
      <c r="AC134" s="164"/>
      <c r="AE134" s="164"/>
      <c r="AF134" s="164"/>
      <c r="AG134" s="164"/>
      <c r="AH134" s="164"/>
      <c r="AI134" s="164"/>
      <c r="AJ134" s="164"/>
      <c r="AK134" s="164"/>
      <c r="AL134" s="164"/>
      <c r="AM134" s="164"/>
      <c r="AN134" s="164"/>
      <c r="AO134" s="164"/>
      <c r="AP134" s="164"/>
      <c r="AQ134" s="164"/>
      <c r="AR134" s="164"/>
      <c r="AS134" s="164"/>
      <c r="AT134" s="164"/>
      <c r="AU134" s="164"/>
      <c r="AV134" s="164"/>
      <c r="AW134" s="164"/>
      <c r="AX134" s="164"/>
    </row>
    <row r="135" spans="21:50" x14ac:dyDescent="0.25">
      <c r="U135" s="164"/>
      <c r="V135" s="164"/>
      <c r="W135" s="164"/>
      <c r="X135" s="164"/>
      <c r="Y135" s="164"/>
      <c r="Z135" s="164"/>
      <c r="AA135" s="164"/>
      <c r="AB135" s="164"/>
      <c r="AC135" s="164"/>
      <c r="AE135" s="164"/>
      <c r="AF135" s="164"/>
      <c r="AG135" s="164"/>
      <c r="AH135" s="164"/>
      <c r="AI135" s="164"/>
      <c r="AJ135" s="164"/>
      <c r="AK135" s="164"/>
      <c r="AL135" s="164"/>
      <c r="AM135" s="164"/>
      <c r="AN135" s="164"/>
      <c r="AO135" s="164"/>
      <c r="AP135" s="164"/>
      <c r="AQ135" s="164"/>
      <c r="AR135" s="164"/>
      <c r="AS135" s="164"/>
      <c r="AT135" s="164"/>
      <c r="AU135" s="164"/>
      <c r="AV135" s="164"/>
      <c r="AW135" s="164"/>
      <c r="AX135" s="164"/>
    </row>
    <row r="136" spans="21:50" x14ac:dyDescent="0.25">
      <c r="U136" s="164"/>
      <c r="V136" s="164"/>
      <c r="W136" s="164"/>
      <c r="X136" s="164"/>
      <c r="Y136" s="164"/>
      <c r="Z136" s="164"/>
      <c r="AA136" s="164"/>
      <c r="AB136" s="164"/>
      <c r="AC136" s="164"/>
      <c r="AE136" s="164"/>
      <c r="AF136" s="164"/>
      <c r="AG136" s="164"/>
      <c r="AH136" s="164"/>
      <c r="AI136" s="164"/>
      <c r="AJ136" s="164"/>
      <c r="AK136" s="164"/>
      <c r="AL136" s="164"/>
      <c r="AM136" s="164"/>
      <c r="AN136" s="164"/>
      <c r="AO136" s="164"/>
      <c r="AP136" s="164"/>
      <c r="AQ136" s="164"/>
      <c r="AR136" s="164"/>
      <c r="AS136" s="164"/>
      <c r="AT136" s="164"/>
      <c r="AU136" s="164"/>
      <c r="AV136" s="164"/>
      <c r="AW136" s="164"/>
      <c r="AX136" s="164"/>
    </row>
    <row r="137" spans="21:50" x14ac:dyDescent="0.25">
      <c r="U137" s="164"/>
      <c r="V137" s="164"/>
      <c r="W137" s="164"/>
      <c r="X137" s="164"/>
      <c r="Y137" s="164"/>
      <c r="Z137" s="164"/>
      <c r="AA137" s="164"/>
      <c r="AB137" s="164"/>
      <c r="AC137" s="164"/>
      <c r="AE137" s="164"/>
      <c r="AF137" s="164"/>
      <c r="AG137" s="164"/>
      <c r="AH137" s="164"/>
      <c r="AI137" s="164"/>
      <c r="AJ137" s="164"/>
      <c r="AK137" s="164"/>
      <c r="AL137" s="164"/>
      <c r="AM137" s="164"/>
      <c r="AN137" s="164"/>
      <c r="AO137" s="164"/>
      <c r="AP137" s="164"/>
      <c r="AQ137" s="164"/>
      <c r="AR137" s="164"/>
      <c r="AS137" s="164"/>
      <c r="AT137" s="164"/>
      <c r="AU137" s="164"/>
      <c r="AV137" s="164"/>
      <c r="AW137" s="164"/>
      <c r="AX137" s="164"/>
    </row>
    <row r="138" spans="21:50" x14ac:dyDescent="0.25">
      <c r="U138" s="164"/>
      <c r="V138" s="164"/>
      <c r="W138" s="164"/>
      <c r="X138" s="164"/>
      <c r="Y138" s="164"/>
      <c r="Z138" s="164"/>
      <c r="AA138" s="164"/>
      <c r="AB138" s="164"/>
      <c r="AC138" s="164"/>
      <c r="AE138" s="164"/>
      <c r="AF138" s="164"/>
      <c r="AG138" s="164"/>
      <c r="AH138" s="164"/>
      <c r="AI138" s="164"/>
      <c r="AJ138" s="164"/>
      <c r="AK138" s="164"/>
      <c r="AL138" s="164"/>
      <c r="AM138" s="164"/>
      <c r="AN138" s="164"/>
      <c r="AO138" s="164"/>
      <c r="AP138" s="164"/>
      <c r="AQ138" s="164"/>
      <c r="AR138" s="164"/>
      <c r="AS138" s="164"/>
      <c r="AT138" s="164"/>
      <c r="AU138" s="164"/>
      <c r="AV138" s="164"/>
      <c r="AW138" s="164"/>
      <c r="AX138" s="164"/>
    </row>
    <row r="139" spans="21:50" x14ac:dyDescent="0.25">
      <c r="U139" s="164"/>
      <c r="V139" s="164"/>
      <c r="W139" s="164"/>
      <c r="X139" s="164"/>
      <c r="Y139" s="164"/>
      <c r="Z139" s="164"/>
      <c r="AA139" s="164"/>
      <c r="AB139" s="164"/>
      <c r="AC139" s="164"/>
      <c r="AE139" s="164"/>
      <c r="AF139" s="164"/>
      <c r="AG139" s="164"/>
      <c r="AH139" s="164"/>
      <c r="AI139" s="164"/>
      <c r="AJ139" s="164"/>
      <c r="AK139" s="164"/>
      <c r="AL139" s="164"/>
      <c r="AM139" s="164"/>
      <c r="AN139" s="164"/>
      <c r="AO139" s="164"/>
      <c r="AP139" s="164"/>
      <c r="AQ139" s="164"/>
      <c r="AR139" s="164"/>
      <c r="AS139" s="164"/>
      <c r="AT139" s="164"/>
      <c r="AU139" s="164"/>
      <c r="AV139" s="164"/>
      <c r="AW139" s="164"/>
      <c r="AX139" s="164"/>
    </row>
    <row r="140" spans="21:50" x14ac:dyDescent="0.25">
      <c r="U140" s="164"/>
      <c r="V140" s="164"/>
      <c r="W140" s="164"/>
      <c r="X140" s="164"/>
      <c r="Y140" s="164"/>
      <c r="Z140" s="164"/>
      <c r="AA140" s="164"/>
      <c r="AB140" s="164"/>
      <c r="AC140" s="164"/>
      <c r="AE140" s="164"/>
      <c r="AF140" s="164"/>
      <c r="AG140" s="164"/>
      <c r="AH140" s="164"/>
      <c r="AI140" s="164"/>
      <c r="AJ140" s="164"/>
      <c r="AK140" s="164"/>
      <c r="AL140" s="164"/>
      <c r="AM140" s="164"/>
      <c r="AN140" s="164"/>
      <c r="AO140" s="164"/>
      <c r="AP140" s="164"/>
      <c r="AQ140" s="164"/>
      <c r="AR140" s="164"/>
      <c r="AS140" s="164"/>
      <c r="AT140" s="164"/>
      <c r="AU140" s="164"/>
      <c r="AV140" s="164"/>
      <c r="AW140" s="164"/>
      <c r="AX140" s="164"/>
    </row>
    <row r="141" spans="21:50" x14ac:dyDescent="0.25">
      <c r="U141" s="164"/>
      <c r="V141" s="164"/>
      <c r="W141" s="164"/>
      <c r="X141" s="164"/>
      <c r="Y141" s="164"/>
      <c r="Z141" s="164"/>
      <c r="AA141" s="164"/>
      <c r="AB141" s="164"/>
      <c r="AC141" s="164"/>
      <c r="AE141" s="164"/>
      <c r="AF141" s="164"/>
      <c r="AG141" s="164"/>
      <c r="AH141" s="164"/>
      <c r="AI141" s="164"/>
      <c r="AJ141" s="164"/>
      <c r="AK141" s="164"/>
      <c r="AL141" s="164"/>
      <c r="AM141" s="164"/>
      <c r="AN141" s="164"/>
      <c r="AO141" s="164"/>
      <c r="AP141" s="164"/>
      <c r="AQ141" s="164"/>
      <c r="AR141" s="164"/>
      <c r="AS141" s="164"/>
      <c r="AT141" s="164"/>
      <c r="AU141" s="164"/>
      <c r="AV141" s="164"/>
      <c r="AW141" s="164"/>
      <c r="AX141" s="164"/>
    </row>
    <row r="142" spans="21:50" x14ac:dyDescent="0.25">
      <c r="U142" s="164"/>
      <c r="V142" s="164"/>
      <c r="W142" s="164"/>
      <c r="X142" s="164"/>
      <c r="Y142" s="164"/>
      <c r="Z142" s="164"/>
      <c r="AA142" s="164"/>
      <c r="AB142" s="164"/>
      <c r="AC142" s="164"/>
      <c r="AE142" s="164"/>
      <c r="AF142" s="164"/>
      <c r="AG142" s="164"/>
      <c r="AH142" s="164"/>
      <c r="AI142" s="164"/>
      <c r="AJ142" s="164"/>
      <c r="AK142" s="164"/>
      <c r="AL142" s="164"/>
      <c r="AM142" s="164"/>
      <c r="AN142" s="164"/>
      <c r="AO142" s="164"/>
      <c r="AP142" s="164"/>
      <c r="AQ142" s="164"/>
      <c r="AR142" s="164"/>
      <c r="AS142" s="164"/>
      <c r="AT142" s="164"/>
      <c r="AU142" s="164"/>
      <c r="AV142" s="164"/>
      <c r="AW142" s="164"/>
      <c r="AX142" s="164"/>
    </row>
    <row r="143" spans="21:50" x14ac:dyDescent="0.25">
      <c r="U143" s="164"/>
      <c r="V143" s="164"/>
      <c r="W143" s="164"/>
      <c r="X143" s="164"/>
      <c r="Y143" s="164"/>
      <c r="Z143" s="164"/>
      <c r="AA143" s="164"/>
      <c r="AB143" s="164"/>
      <c r="AC143" s="164"/>
      <c r="AE143" s="164"/>
      <c r="AF143" s="164"/>
      <c r="AG143" s="164"/>
      <c r="AH143" s="164"/>
      <c r="AI143" s="164"/>
      <c r="AJ143" s="164"/>
      <c r="AK143" s="164"/>
      <c r="AL143" s="164"/>
      <c r="AM143" s="164"/>
      <c r="AN143" s="164"/>
      <c r="AO143" s="164"/>
      <c r="AP143" s="164"/>
      <c r="AQ143" s="164"/>
      <c r="AR143" s="164"/>
      <c r="AS143" s="164"/>
      <c r="AT143" s="164"/>
      <c r="AU143" s="164"/>
      <c r="AV143" s="164"/>
      <c r="AW143" s="164"/>
      <c r="AX143" s="164"/>
    </row>
    <row r="144" spans="21:50" x14ac:dyDescent="0.25">
      <c r="U144" s="164"/>
      <c r="V144" s="164"/>
      <c r="W144" s="164"/>
      <c r="X144" s="164"/>
      <c r="Y144" s="164"/>
      <c r="Z144" s="164"/>
      <c r="AA144" s="164"/>
      <c r="AB144" s="164"/>
      <c r="AC144" s="164"/>
      <c r="AE144" s="164"/>
      <c r="AF144" s="164"/>
      <c r="AG144" s="164"/>
      <c r="AH144" s="164"/>
      <c r="AI144" s="164"/>
      <c r="AJ144" s="164"/>
      <c r="AK144" s="164"/>
      <c r="AL144" s="164"/>
      <c r="AM144" s="164"/>
      <c r="AN144" s="164"/>
      <c r="AO144" s="164"/>
      <c r="AP144" s="164"/>
      <c r="AQ144" s="164"/>
      <c r="AR144" s="164"/>
      <c r="AS144" s="164"/>
      <c r="AT144" s="164"/>
      <c r="AU144" s="164"/>
      <c r="AV144" s="164"/>
      <c r="AW144" s="164"/>
      <c r="AX144" s="164"/>
    </row>
    <row r="145" spans="21:50" x14ac:dyDescent="0.25">
      <c r="U145" s="164"/>
      <c r="V145" s="164"/>
      <c r="W145" s="164"/>
      <c r="X145" s="164"/>
      <c r="Y145" s="164"/>
      <c r="Z145" s="164"/>
      <c r="AA145" s="164"/>
      <c r="AB145" s="164"/>
      <c r="AC145" s="164"/>
      <c r="AE145" s="164"/>
      <c r="AF145" s="164"/>
      <c r="AG145" s="164"/>
      <c r="AH145" s="164"/>
      <c r="AI145" s="164"/>
      <c r="AJ145" s="164"/>
      <c r="AK145" s="164"/>
      <c r="AL145" s="164"/>
      <c r="AM145" s="164"/>
      <c r="AN145" s="164"/>
      <c r="AO145" s="164"/>
      <c r="AP145" s="164"/>
      <c r="AQ145" s="164"/>
      <c r="AR145" s="164"/>
      <c r="AS145" s="164"/>
      <c r="AT145" s="164"/>
      <c r="AU145" s="164"/>
      <c r="AV145" s="164"/>
      <c r="AW145" s="164"/>
      <c r="AX145" s="164"/>
    </row>
    <row r="146" spans="21:50" x14ac:dyDescent="0.25">
      <c r="U146" s="164"/>
      <c r="V146" s="164"/>
      <c r="W146" s="164"/>
      <c r="X146" s="164"/>
      <c r="Y146" s="164"/>
      <c r="Z146" s="164"/>
      <c r="AA146" s="164"/>
      <c r="AB146" s="164"/>
      <c r="AC146" s="164"/>
      <c r="AE146" s="164"/>
      <c r="AF146" s="164"/>
      <c r="AG146" s="164"/>
      <c r="AH146" s="164"/>
      <c r="AI146" s="164"/>
      <c r="AJ146" s="164"/>
      <c r="AK146" s="164"/>
      <c r="AL146" s="164"/>
      <c r="AM146" s="164"/>
      <c r="AN146" s="164"/>
      <c r="AO146" s="164"/>
      <c r="AP146" s="164"/>
      <c r="AQ146" s="164"/>
      <c r="AR146" s="164"/>
      <c r="AS146" s="164"/>
      <c r="AT146" s="164"/>
      <c r="AU146" s="164"/>
      <c r="AV146" s="164"/>
      <c r="AW146" s="164"/>
      <c r="AX146" s="164"/>
    </row>
    <row r="147" spans="21:50" x14ac:dyDescent="0.25">
      <c r="U147" s="164"/>
      <c r="V147" s="164"/>
      <c r="W147" s="164"/>
      <c r="X147" s="164"/>
      <c r="Y147" s="164"/>
      <c r="Z147" s="164"/>
      <c r="AA147" s="164"/>
      <c r="AB147" s="164"/>
      <c r="AC147" s="164"/>
      <c r="AE147" s="164"/>
      <c r="AF147" s="164"/>
      <c r="AG147" s="164"/>
      <c r="AH147" s="164"/>
      <c r="AI147" s="164"/>
      <c r="AJ147" s="164"/>
      <c r="AK147" s="164"/>
      <c r="AL147" s="164"/>
      <c r="AM147" s="164"/>
      <c r="AN147" s="164"/>
      <c r="AO147" s="164"/>
      <c r="AP147" s="164"/>
      <c r="AQ147" s="164"/>
      <c r="AR147" s="164"/>
      <c r="AS147" s="164"/>
      <c r="AT147" s="164"/>
      <c r="AU147" s="164"/>
      <c r="AV147" s="164"/>
      <c r="AW147" s="164"/>
      <c r="AX147" s="164"/>
    </row>
    <row r="148" spans="21:50" x14ac:dyDescent="0.25">
      <c r="U148" s="164"/>
      <c r="V148" s="164"/>
      <c r="W148" s="164"/>
      <c r="X148" s="164"/>
      <c r="Y148" s="164"/>
      <c r="Z148" s="164"/>
      <c r="AA148" s="164"/>
      <c r="AB148" s="164"/>
      <c r="AC148" s="164"/>
      <c r="AE148" s="164"/>
      <c r="AF148" s="164"/>
      <c r="AG148" s="164"/>
      <c r="AH148" s="164"/>
      <c r="AI148" s="164"/>
      <c r="AJ148" s="164"/>
      <c r="AK148" s="164"/>
      <c r="AL148" s="164"/>
      <c r="AM148" s="164"/>
      <c r="AN148" s="164"/>
      <c r="AO148" s="164"/>
      <c r="AP148" s="164"/>
      <c r="AQ148" s="164"/>
      <c r="AR148" s="164"/>
      <c r="AS148" s="164"/>
      <c r="AT148" s="164"/>
      <c r="AU148" s="164"/>
      <c r="AV148" s="164"/>
      <c r="AW148" s="164"/>
      <c r="AX148" s="164"/>
    </row>
    <row r="149" spans="21:50" x14ac:dyDescent="0.25">
      <c r="U149" s="164"/>
      <c r="V149" s="164"/>
      <c r="W149" s="164"/>
      <c r="X149" s="164"/>
      <c r="Y149" s="164"/>
      <c r="Z149" s="164"/>
      <c r="AA149" s="164"/>
      <c r="AB149" s="164"/>
      <c r="AC149" s="164"/>
      <c r="AE149" s="164"/>
      <c r="AF149" s="164"/>
      <c r="AG149" s="164"/>
      <c r="AH149" s="164"/>
      <c r="AI149" s="164"/>
      <c r="AJ149" s="164"/>
      <c r="AK149" s="164"/>
      <c r="AL149" s="164"/>
      <c r="AM149" s="164"/>
      <c r="AN149" s="164"/>
      <c r="AO149" s="164"/>
      <c r="AP149" s="164"/>
      <c r="AQ149" s="164"/>
      <c r="AR149" s="164"/>
      <c r="AS149" s="164"/>
      <c r="AT149" s="164"/>
      <c r="AU149" s="164"/>
      <c r="AV149" s="164"/>
      <c r="AW149" s="164"/>
      <c r="AX149" s="164"/>
    </row>
    <row r="150" spans="21:50" x14ac:dyDescent="0.25">
      <c r="U150" s="164"/>
      <c r="V150" s="164"/>
      <c r="W150" s="164"/>
      <c r="X150" s="164"/>
      <c r="Y150" s="164"/>
      <c r="Z150" s="164"/>
      <c r="AA150" s="164"/>
      <c r="AB150" s="164"/>
      <c r="AC150" s="164"/>
      <c r="AE150" s="164"/>
      <c r="AF150" s="164"/>
      <c r="AG150" s="164"/>
      <c r="AH150" s="164"/>
      <c r="AI150" s="164"/>
      <c r="AJ150" s="164"/>
      <c r="AK150" s="164"/>
      <c r="AL150" s="164"/>
      <c r="AM150" s="164"/>
      <c r="AN150" s="164"/>
      <c r="AO150" s="164"/>
      <c r="AP150" s="164"/>
      <c r="AQ150" s="164"/>
      <c r="AR150" s="164"/>
      <c r="AS150" s="164"/>
      <c r="AT150" s="164"/>
      <c r="AU150" s="164"/>
      <c r="AV150" s="164"/>
      <c r="AW150" s="164"/>
      <c r="AX150" s="164"/>
    </row>
    <row r="151" spans="21:50" x14ac:dyDescent="0.25">
      <c r="U151" s="164"/>
      <c r="V151" s="164"/>
      <c r="W151" s="164"/>
      <c r="X151" s="164"/>
      <c r="Y151" s="164"/>
      <c r="Z151" s="164"/>
      <c r="AA151" s="164"/>
      <c r="AB151" s="164"/>
      <c r="AC151" s="164"/>
      <c r="AE151" s="164"/>
      <c r="AF151" s="164"/>
      <c r="AG151" s="164"/>
      <c r="AH151" s="164"/>
      <c r="AI151" s="164"/>
      <c r="AJ151" s="164"/>
      <c r="AK151" s="164"/>
      <c r="AL151" s="164"/>
      <c r="AM151" s="164"/>
      <c r="AN151" s="164"/>
      <c r="AO151" s="164"/>
      <c r="AP151" s="164"/>
      <c r="AQ151" s="164"/>
      <c r="AR151" s="164"/>
      <c r="AS151" s="164"/>
      <c r="AT151" s="164"/>
      <c r="AU151" s="164"/>
      <c r="AV151" s="164"/>
      <c r="AW151" s="164"/>
      <c r="AX151" s="164"/>
    </row>
    <row r="152" spans="21:50" x14ac:dyDescent="0.25">
      <c r="U152" s="164"/>
      <c r="V152" s="164"/>
      <c r="W152" s="164"/>
      <c r="X152" s="164"/>
      <c r="Y152" s="164"/>
      <c r="Z152" s="164"/>
      <c r="AA152" s="164"/>
      <c r="AB152" s="164"/>
      <c r="AC152" s="164"/>
      <c r="AE152" s="164"/>
      <c r="AF152" s="164"/>
      <c r="AG152" s="164"/>
      <c r="AH152" s="164"/>
      <c r="AI152" s="164"/>
      <c r="AJ152" s="164"/>
      <c r="AK152" s="164"/>
      <c r="AL152" s="164"/>
      <c r="AM152" s="164"/>
      <c r="AN152" s="164"/>
      <c r="AO152" s="164"/>
      <c r="AP152" s="164"/>
      <c r="AQ152" s="164"/>
      <c r="AR152" s="164"/>
      <c r="AS152" s="164"/>
      <c r="AT152" s="164"/>
      <c r="AU152" s="164"/>
      <c r="AV152" s="164"/>
      <c r="AW152" s="164"/>
      <c r="AX152" s="164"/>
    </row>
    <row r="153" spans="21:50" x14ac:dyDescent="0.25">
      <c r="U153" s="164"/>
      <c r="V153" s="164"/>
      <c r="W153" s="164"/>
      <c r="X153" s="164"/>
      <c r="Y153" s="164"/>
      <c r="Z153" s="164"/>
      <c r="AA153" s="164"/>
      <c r="AB153" s="164"/>
      <c r="AC153" s="164"/>
      <c r="AE153" s="164"/>
      <c r="AF153" s="164"/>
      <c r="AG153" s="164"/>
      <c r="AH153" s="164"/>
      <c r="AI153" s="164"/>
      <c r="AJ153" s="164"/>
      <c r="AK153" s="164"/>
      <c r="AL153" s="164"/>
      <c r="AM153" s="164"/>
      <c r="AN153" s="164"/>
      <c r="AO153" s="164"/>
      <c r="AP153" s="164"/>
      <c r="AQ153" s="164"/>
      <c r="AR153" s="164"/>
      <c r="AS153" s="164"/>
      <c r="AT153" s="164"/>
      <c r="AU153" s="164"/>
      <c r="AV153" s="164"/>
      <c r="AW153" s="164"/>
      <c r="AX153" s="164"/>
    </row>
    <row r="154" spans="21:50" x14ac:dyDescent="0.25">
      <c r="U154" s="164"/>
      <c r="V154" s="164"/>
      <c r="W154" s="164"/>
      <c r="X154" s="164"/>
      <c r="Y154" s="164"/>
      <c r="Z154" s="164"/>
      <c r="AA154" s="164"/>
      <c r="AB154" s="164"/>
      <c r="AC154" s="164"/>
      <c r="AE154" s="164"/>
      <c r="AF154" s="164"/>
      <c r="AG154" s="164"/>
      <c r="AH154" s="164"/>
      <c r="AI154" s="164"/>
      <c r="AJ154" s="164"/>
      <c r="AK154" s="164"/>
      <c r="AL154" s="164"/>
      <c r="AM154" s="164"/>
      <c r="AN154" s="164"/>
      <c r="AO154" s="164"/>
      <c r="AP154" s="164"/>
      <c r="AQ154" s="164"/>
      <c r="AR154" s="164"/>
      <c r="AS154" s="164"/>
      <c r="AT154" s="164"/>
      <c r="AU154" s="164"/>
      <c r="AV154" s="164"/>
      <c r="AW154" s="164"/>
      <c r="AX154" s="164"/>
    </row>
    <row r="155" spans="21:50" x14ac:dyDescent="0.25">
      <c r="U155" s="164"/>
      <c r="V155" s="164"/>
      <c r="W155" s="164"/>
      <c r="X155" s="164"/>
      <c r="Y155" s="164"/>
      <c r="Z155" s="164"/>
      <c r="AA155" s="164"/>
      <c r="AB155" s="164"/>
      <c r="AC155" s="164"/>
      <c r="AE155" s="164"/>
      <c r="AF155" s="164"/>
      <c r="AG155" s="164"/>
      <c r="AH155" s="164"/>
      <c r="AI155" s="164"/>
      <c r="AJ155" s="164"/>
      <c r="AK155" s="164"/>
      <c r="AL155" s="164"/>
      <c r="AM155" s="164"/>
      <c r="AN155" s="164"/>
      <c r="AO155" s="164"/>
      <c r="AP155" s="164"/>
      <c r="AQ155" s="164"/>
      <c r="AR155" s="164"/>
      <c r="AS155" s="164"/>
      <c r="AT155" s="164"/>
      <c r="AU155" s="164"/>
      <c r="AV155" s="164"/>
      <c r="AW155" s="164"/>
      <c r="AX155" s="164"/>
    </row>
    <row r="156" spans="21:50" x14ac:dyDescent="0.25">
      <c r="U156" s="164"/>
      <c r="V156" s="164"/>
      <c r="W156" s="164"/>
      <c r="X156" s="164"/>
      <c r="Y156" s="164"/>
      <c r="Z156" s="164"/>
      <c r="AA156" s="164"/>
      <c r="AB156" s="164"/>
      <c r="AC156" s="164"/>
      <c r="AE156" s="164"/>
      <c r="AF156" s="164"/>
      <c r="AG156" s="164"/>
      <c r="AH156" s="164"/>
      <c r="AI156" s="164"/>
      <c r="AJ156" s="164"/>
      <c r="AK156" s="164"/>
      <c r="AL156" s="164"/>
      <c r="AM156" s="164"/>
      <c r="AN156" s="164"/>
      <c r="AO156" s="164"/>
      <c r="AP156" s="164"/>
      <c r="AQ156" s="164"/>
      <c r="AR156" s="164"/>
      <c r="AS156" s="164"/>
      <c r="AT156" s="164"/>
      <c r="AU156" s="164"/>
      <c r="AV156" s="164"/>
      <c r="AW156" s="164"/>
      <c r="AX156" s="164"/>
    </row>
    <row r="157" spans="21:50" x14ac:dyDescent="0.25">
      <c r="U157" s="164"/>
      <c r="V157" s="164"/>
      <c r="W157" s="164"/>
      <c r="X157" s="164"/>
      <c r="Y157" s="164"/>
      <c r="Z157" s="164"/>
      <c r="AA157" s="164"/>
      <c r="AB157" s="164"/>
      <c r="AC157" s="164"/>
      <c r="AE157" s="164"/>
      <c r="AF157" s="164"/>
      <c r="AG157" s="164"/>
      <c r="AH157" s="164"/>
      <c r="AI157" s="164"/>
      <c r="AJ157" s="164"/>
      <c r="AK157" s="164"/>
      <c r="AL157" s="164"/>
      <c r="AM157" s="164"/>
      <c r="AN157" s="164"/>
      <c r="AO157" s="164"/>
      <c r="AP157" s="164"/>
      <c r="AQ157" s="164"/>
      <c r="AR157" s="164"/>
      <c r="AS157" s="164"/>
      <c r="AT157" s="164"/>
      <c r="AU157" s="164"/>
      <c r="AV157" s="164"/>
      <c r="AW157" s="164"/>
      <c r="AX157" s="164"/>
    </row>
    <row r="158" spans="21:50" x14ac:dyDescent="0.25">
      <c r="U158" s="164"/>
      <c r="V158" s="164"/>
      <c r="W158" s="164"/>
      <c r="X158" s="164"/>
      <c r="Y158" s="164"/>
      <c r="Z158" s="164"/>
      <c r="AA158" s="164"/>
      <c r="AB158" s="164"/>
      <c r="AC158" s="164"/>
      <c r="AE158" s="164"/>
      <c r="AF158" s="164"/>
      <c r="AG158" s="164"/>
      <c r="AH158" s="164"/>
      <c r="AI158" s="164"/>
      <c r="AJ158" s="164"/>
      <c r="AK158" s="164"/>
      <c r="AL158" s="164"/>
      <c r="AM158" s="164"/>
      <c r="AN158" s="164"/>
      <c r="AO158" s="164"/>
      <c r="AP158" s="164"/>
      <c r="AQ158" s="164"/>
      <c r="AR158" s="164"/>
      <c r="AS158" s="164"/>
      <c r="AT158" s="164"/>
      <c r="AU158" s="164"/>
      <c r="AV158" s="164"/>
      <c r="AW158" s="164"/>
      <c r="AX158" s="164"/>
    </row>
    <row r="159" spans="21:50" x14ac:dyDescent="0.25">
      <c r="U159" s="164"/>
      <c r="V159" s="164"/>
      <c r="W159" s="164"/>
      <c r="X159" s="164"/>
      <c r="Y159" s="164"/>
      <c r="Z159" s="164"/>
      <c r="AA159" s="164"/>
      <c r="AB159" s="164"/>
      <c r="AC159" s="164"/>
      <c r="AE159" s="164"/>
      <c r="AF159" s="164"/>
      <c r="AG159" s="164"/>
      <c r="AH159" s="164"/>
      <c r="AI159" s="164"/>
      <c r="AJ159" s="164"/>
      <c r="AK159" s="164"/>
      <c r="AL159" s="164"/>
      <c r="AM159" s="164"/>
      <c r="AN159" s="164"/>
      <c r="AO159" s="164"/>
      <c r="AP159" s="164"/>
      <c r="AQ159" s="164"/>
      <c r="AR159" s="164"/>
      <c r="AS159" s="164"/>
      <c r="AT159" s="164"/>
      <c r="AU159" s="164"/>
      <c r="AV159" s="164"/>
      <c r="AW159" s="164"/>
      <c r="AX159" s="164"/>
    </row>
    <row r="160" spans="21:50" x14ac:dyDescent="0.25">
      <c r="U160" s="164"/>
      <c r="V160" s="164"/>
      <c r="W160" s="164"/>
      <c r="X160" s="164"/>
      <c r="Y160" s="164"/>
      <c r="Z160" s="164"/>
      <c r="AA160" s="164"/>
      <c r="AB160" s="164"/>
      <c r="AC160" s="164"/>
      <c r="AE160" s="164"/>
      <c r="AF160" s="164"/>
      <c r="AG160" s="164"/>
      <c r="AH160" s="164"/>
      <c r="AI160" s="164"/>
      <c r="AJ160" s="164"/>
      <c r="AK160" s="164"/>
      <c r="AL160" s="164"/>
      <c r="AM160" s="164"/>
      <c r="AN160" s="164"/>
      <c r="AO160" s="164"/>
      <c r="AP160" s="164"/>
      <c r="AQ160" s="164"/>
      <c r="AR160" s="164"/>
      <c r="AS160" s="164"/>
      <c r="AT160" s="164"/>
      <c r="AU160" s="164"/>
      <c r="AV160" s="164"/>
      <c r="AW160" s="164"/>
      <c r="AX160" s="164"/>
    </row>
    <row r="161" spans="21:50" x14ac:dyDescent="0.25">
      <c r="U161" s="164"/>
      <c r="V161" s="164"/>
      <c r="W161" s="164"/>
      <c r="X161" s="164"/>
      <c r="Y161" s="164"/>
      <c r="Z161" s="164"/>
      <c r="AA161" s="164"/>
      <c r="AB161" s="164"/>
      <c r="AC161" s="164"/>
      <c r="AE161" s="164"/>
      <c r="AF161" s="164"/>
      <c r="AG161" s="164"/>
      <c r="AH161" s="164"/>
      <c r="AI161" s="164"/>
      <c r="AJ161" s="164"/>
      <c r="AK161" s="164"/>
      <c r="AL161" s="164"/>
      <c r="AM161" s="164"/>
      <c r="AN161" s="164"/>
      <c r="AO161" s="164"/>
      <c r="AP161" s="164"/>
      <c r="AQ161" s="164"/>
      <c r="AR161" s="164"/>
      <c r="AS161" s="164"/>
      <c r="AT161" s="164"/>
      <c r="AU161" s="164"/>
      <c r="AV161" s="164"/>
      <c r="AW161" s="164"/>
      <c r="AX161" s="164"/>
    </row>
    <row r="162" spans="21:50" x14ac:dyDescent="0.25">
      <c r="U162" s="164"/>
      <c r="V162" s="164"/>
      <c r="W162" s="164"/>
      <c r="X162" s="164"/>
      <c r="Y162" s="164"/>
      <c r="Z162" s="164"/>
      <c r="AA162" s="164"/>
      <c r="AB162" s="164"/>
      <c r="AC162" s="164"/>
      <c r="AE162" s="164"/>
      <c r="AF162" s="164"/>
      <c r="AG162" s="164"/>
      <c r="AH162" s="164"/>
      <c r="AI162" s="164"/>
      <c r="AJ162" s="164"/>
      <c r="AK162" s="164"/>
      <c r="AL162" s="164"/>
      <c r="AM162" s="164"/>
      <c r="AN162" s="164"/>
      <c r="AO162" s="164"/>
      <c r="AP162" s="164"/>
      <c r="AQ162" s="164"/>
      <c r="AR162" s="164"/>
      <c r="AS162" s="164"/>
      <c r="AT162" s="164"/>
      <c r="AU162" s="164"/>
      <c r="AV162" s="164"/>
      <c r="AW162" s="164"/>
      <c r="AX162" s="164"/>
    </row>
    <row r="163" spans="21:50" x14ac:dyDescent="0.25">
      <c r="U163" s="164"/>
      <c r="V163" s="164"/>
      <c r="W163" s="164"/>
      <c r="X163" s="164"/>
      <c r="Y163" s="164"/>
      <c r="Z163" s="164"/>
      <c r="AA163" s="164"/>
      <c r="AB163" s="164"/>
      <c r="AC163" s="164"/>
      <c r="AE163" s="164"/>
      <c r="AF163" s="164"/>
      <c r="AG163" s="164"/>
      <c r="AH163" s="164"/>
      <c r="AI163" s="164"/>
      <c r="AJ163" s="164"/>
      <c r="AK163" s="164"/>
      <c r="AL163" s="164"/>
      <c r="AM163" s="164"/>
      <c r="AN163" s="164"/>
      <c r="AO163" s="164"/>
      <c r="AP163" s="164"/>
      <c r="AQ163" s="164"/>
      <c r="AR163" s="164"/>
      <c r="AS163" s="164"/>
      <c r="AT163" s="164"/>
      <c r="AU163" s="164"/>
      <c r="AV163" s="164"/>
      <c r="AW163" s="164"/>
      <c r="AX163" s="164"/>
    </row>
    <row r="164" spans="21:50" x14ac:dyDescent="0.25">
      <c r="U164" s="164"/>
      <c r="V164" s="164"/>
      <c r="W164" s="164"/>
      <c r="X164" s="164"/>
      <c r="Y164" s="164"/>
      <c r="Z164" s="164"/>
      <c r="AA164" s="164"/>
      <c r="AB164" s="164"/>
      <c r="AC164" s="164"/>
      <c r="AE164" s="164"/>
      <c r="AF164" s="164"/>
      <c r="AG164" s="164"/>
      <c r="AH164" s="164"/>
      <c r="AI164" s="164"/>
      <c r="AJ164" s="164"/>
      <c r="AK164" s="164"/>
      <c r="AL164" s="164"/>
      <c r="AM164" s="164"/>
      <c r="AN164" s="164"/>
      <c r="AO164" s="164"/>
      <c r="AP164" s="164"/>
      <c r="AQ164" s="164"/>
      <c r="AR164" s="164"/>
      <c r="AS164" s="164"/>
      <c r="AT164" s="164"/>
      <c r="AU164" s="164"/>
      <c r="AV164" s="164"/>
      <c r="AW164" s="164"/>
      <c r="AX164" s="164"/>
    </row>
    <row r="165" spans="21:50" x14ac:dyDescent="0.25">
      <c r="U165" s="164"/>
      <c r="V165" s="164"/>
      <c r="W165" s="164"/>
      <c r="X165" s="164"/>
      <c r="Y165" s="164"/>
      <c r="Z165" s="164"/>
      <c r="AA165" s="164"/>
      <c r="AB165" s="164"/>
      <c r="AC165" s="164"/>
      <c r="AE165" s="164"/>
      <c r="AF165" s="164"/>
      <c r="AG165" s="164"/>
      <c r="AH165" s="164"/>
      <c r="AI165" s="164"/>
      <c r="AJ165" s="164"/>
      <c r="AK165" s="164"/>
      <c r="AL165" s="164"/>
      <c r="AM165" s="164"/>
      <c r="AN165" s="164"/>
      <c r="AO165" s="164"/>
      <c r="AP165" s="164"/>
      <c r="AQ165" s="164"/>
      <c r="AR165" s="164"/>
      <c r="AS165" s="164"/>
      <c r="AT165" s="164"/>
      <c r="AU165" s="164"/>
      <c r="AV165" s="164"/>
      <c r="AW165" s="164"/>
      <c r="AX165" s="164"/>
    </row>
    <row r="166" spans="21:50" x14ac:dyDescent="0.25">
      <c r="U166" s="164"/>
      <c r="V166" s="164"/>
      <c r="W166" s="164"/>
      <c r="X166" s="164"/>
      <c r="Y166" s="164"/>
      <c r="Z166" s="164"/>
      <c r="AA166" s="164"/>
      <c r="AB166" s="164"/>
      <c r="AC166" s="164"/>
      <c r="AE166" s="164"/>
      <c r="AF166" s="164"/>
      <c r="AG166" s="164"/>
      <c r="AH166" s="164"/>
      <c r="AI166" s="164"/>
      <c r="AJ166" s="164"/>
      <c r="AK166" s="164"/>
      <c r="AL166" s="164"/>
      <c r="AM166" s="164"/>
      <c r="AN166" s="164"/>
      <c r="AO166" s="164"/>
      <c r="AP166" s="164"/>
      <c r="AQ166" s="164"/>
      <c r="AR166" s="164"/>
      <c r="AS166" s="164"/>
      <c r="AT166" s="164"/>
      <c r="AU166" s="164"/>
      <c r="AV166" s="164"/>
      <c r="AW166" s="164"/>
      <c r="AX166" s="164"/>
    </row>
    <row r="167" spans="21:50" x14ac:dyDescent="0.25">
      <c r="U167" s="164"/>
      <c r="V167" s="164"/>
      <c r="W167" s="164"/>
      <c r="X167" s="164"/>
      <c r="Y167" s="164"/>
      <c r="Z167" s="164"/>
      <c r="AA167" s="164"/>
      <c r="AB167" s="164"/>
      <c r="AC167" s="164"/>
      <c r="AE167" s="164"/>
      <c r="AF167" s="164"/>
      <c r="AG167" s="164"/>
      <c r="AH167" s="164"/>
      <c r="AI167" s="164"/>
      <c r="AJ167" s="164"/>
      <c r="AK167" s="164"/>
      <c r="AL167" s="164"/>
      <c r="AM167" s="164"/>
      <c r="AN167" s="164"/>
      <c r="AO167" s="164"/>
      <c r="AP167" s="164"/>
      <c r="AQ167" s="164"/>
      <c r="AR167" s="164"/>
      <c r="AS167" s="164"/>
      <c r="AT167" s="164"/>
      <c r="AU167" s="164"/>
      <c r="AV167" s="164"/>
      <c r="AW167" s="164"/>
      <c r="AX167" s="164"/>
    </row>
    <row r="168" spans="21:50" x14ac:dyDescent="0.25">
      <c r="U168" s="164"/>
      <c r="V168" s="164"/>
      <c r="W168" s="164"/>
      <c r="X168" s="164"/>
      <c r="Y168" s="164"/>
      <c r="Z168" s="164"/>
      <c r="AA168" s="164"/>
      <c r="AB168" s="164"/>
      <c r="AC168" s="164"/>
      <c r="AE168" s="164"/>
      <c r="AF168" s="164"/>
      <c r="AG168" s="164"/>
      <c r="AH168" s="164"/>
      <c r="AI168" s="164"/>
      <c r="AJ168" s="164"/>
      <c r="AK168" s="164"/>
      <c r="AL168" s="164"/>
      <c r="AM168" s="164"/>
      <c r="AN168" s="164"/>
      <c r="AO168" s="164"/>
      <c r="AP168" s="164"/>
      <c r="AQ168" s="164"/>
      <c r="AR168" s="164"/>
      <c r="AS168" s="164"/>
      <c r="AT168" s="164"/>
      <c r="AU168" s="164"/>
      <c r="AV168" s="164"/>
      <c r="AW168" s="164"/>
      <c r="AX168" s="164"/>
    </row>
    <row r="169" spans="21:50" x14ac:dyDescent="0.25">
      <c r="U169" s="164"/>
      <c r="V169" s="164"/>
      <c r="W169" s="164"/>
      <c r="X169" s="164"/>
      <c r="Y169" s="164"/>
      <c r="Z169" s="164"/>
      <c r="AA169" s="164"/>
      <c r="AB169" s="164"/>
      <c r="AC169" s="164"/>
      <c r="AE169" s="164"/>
      <c r="AF169" s="164"/>
      <c r="AG169" s="164"/>
      <c r="AH169" s="164"/>
      <c r="AI169" s="164"/>
      <c r="AJ169" s="164"/>
      <c r="AK169" s="164"/>
      <c r="AL169" s="164"/>
      <c r="AM169" s="164"/>
      <c r="AN169" s="164"/>
      <c r="AO169" s="164"/>
      <c r="AP169" s="164"/>
      <c r="AQ169" s="164"/>
      <c r="AR169" s="164"/>
      <c r="AS169" s="164"/>
      <c r="AT169" s="164"/>
      <c r="AU169" s="164"/>
      <c r="AV169" s="164"/>
      <c r="AW169" s="164"/>
      <c r="AX169" s="164"/>
    </row>
    <row r="170" spans="21:50" x14ac:dyDescent="0.25">
      <c r="U170" s="164"/>
      <c r="V170" s="164"/>
      <c r="W170" s="164"/>
      <c r="X170" s="164"/>
      <c r="Y170" s="164"/>
      <c r="Z170" s="164"/>
      <c r="AA170" s="164"/>
      <c r="AB170" s="164"/>
      <c r="AC170" s="164"/>
      <c r="AE170" s="164"/>
      <c r="AF170" s="164"/>
      <c r="AG170" s="164"/>
      <c r="AH170" s="164"/>
      <c r="AI170" s="164"/>
      <c r="AJ170" s="164"/>
      <c r="AK170" s="164"/>
      <c r="AL170" s="164"/>
      <c r="AM170" s="164"/>
      <c r="AN170" s="164"/>
      <c r="AO170" s="164"/>
      <c r="AP170" s="164"/>
      <c r="AQ170" s="164"/>
      <c r="AR170" s="164"/>
      <c r="AS170" s="164"/>
      <c r="AT170" s="164"/>
      <c r="AU170" s="164"/>
      <c r="AV170" s="164"/>
      <c r="AW170" s="164"/>
      <c r="AX170" s="164"/>
    </row>
    <row r="171" spans="21:50" x14ac:dyDescent="0.25">
      <c r="U171" s="164"/>
      <c r="V171" s="164"/>
      <c r="W171" s="164"/>
      <c r="X171" s="164"/>
      <c r="Y171" s="164"/>
      <c r="Z171" s="164"/>
      <c r="AA171" s="164"/>
      <c r="AB171" s="164"/>
      <c r="AC171" s="164"/>
      <c r="AE171" s="164"/>
      <c r="AF171" s="164"/>
      <c r="AG171" s="164"/>
      <c r="AH171" s="164"/>
      <c r="AI171" s="164"/>
      <c r="AJ171" s="164"/>
      <c r="AK171" s="164"/>
      <c r="AL171" s="164"/>
      <c r="AM171" s="164"/>
      <c r="AN171" s="164"/>
      <c r="AO171" s="164"/>
      <c r="AP171" s="164"/>
      <c r="AQ171" s="164"/>
      <c r="AR171" s="164"/>
      <c r="AS171" s="164"/>
      <c r="AT171" s="164"/>
      <c r="AU171" s="164"/>
      <c r="AV171" s="164"/>
      <c r="AW171" s="164"/>
      <c r="AX171" s="164"/>
    </row>
    <row r="172" spans="21:50" x14ac:dyDescent="0.25">
      <c r="U172" s="164"/>
      <c r="V172" s="164"/>
      <c r="W172" s="164"/>
      <c r="X172" s="164"/>
      <c r="Y172" s="164"/>
      <c r="Z172" s="164"/>
      <c r="AA172" s="164"/>
      <c r="AB172" s="164"/>
      <c r="AC172" s="164"/>
      <c r="AE172" s="164"/>
      <c r="AF172" s="164"/>
      <c r="AG172" s="164"/>
      <c r="AH172" s="164"/>
      <c r="AI172" s="164"/>
      <c r="AJ172" s="164"/>
      <c r="AK172" s="164"/>
      <c r="AL172" s="164"/>
      <c r="AM172" s="164"/>
      <c r="AN172" s="164"/>
      <c r="AO172" s="164"/>
      <c r="AP172" s="164"/>
      <c r="AQ172" s="164"/>
      <c r="AR172" s="164"/>
      <c r="AS172" s="164"/>
      <c r="AT172" s="164"/>
      <c r="AU172" s="164"/>
      <c r="AV172" s="164"/>
      <c r="AW172" s="164"/>
      <c r="AX172" s="164"/>
    </row>
    <row r="173" spans="21:50" x14ac:dyDescent="0.25">
      <c r="U173" s="164"/>
      <c r="V173" s="164"/>
      <c r="W173" s="164"/>
      <c r="X173" s="164"/>
      <c r="Y173" s="164"/>
      <c r="Z173" s="164"/>
      <c r="AA173" s="164"/>
      <c r="AB173" s="164"/>
      <c r="AC173" s="164"/>
      <c r="AE173" s="164"/>
      <c r="AF173" s="164"/>
      <c r="AG173" s="164"/>
      <c r="AH173" s="164"/>
      <c r="AI173" s="164"/>
      <c r="AJ173" s="164"/>
      <c r="AK173" s="164"/>
      <c r="AL173" s="164"/>
      <c r="AM173" s="164"/>
      <c r="AN173" s="164"/>
      <c r="AO173" s="164"/>
      <c r="AP173" s="164"/>
      <c r="AQ173" s="164"/>
      <c r="AR173" s="164"/>
      <c r="AS173" s="164"/>
      <c r="AT173" s="164"/>
      <c r="AU173" s="164"/>
      <c r="AV173" s="164"/>
      <c r="AW173" s="164"/>
      <c r="AX173" s="164"/>
    </row>
    <row r="174" spans="21:50" x14ac:dyDescent="0.25">
      <c r="U174" s="164"/>
      <c r="V174" s="164"/>
      <c r="W174" s="164"/>
      <c r="X174" s="164"/>
      <c r="Y174" s="164"/>
      <c r="Z174" s="164"/>
      <c r="AA174" s="164"/>
      <c r="AB174" s="164"/>
      <c r="AC174" s="164"/>
      <c r="AE174" s="164"/>
      <c r="AF174" s="164"/>
      <c r="AG174" s="164"/>
      <c r="AH174" s="164"/>
      <c r="AI174" s="164"/>
      <c r="AJ174" s="164"/>
      <c r="AK174" s="164"/>
      <c r="AL174" s="164"/>
      <c r="AM174" s="164"/>
      <c r="AN174" s="164"/>
      <c r="AO174" s="164"/>
      <c r="AP174" s="164"/>
      <c r="AQ174" s="164"/>
      <c r="AR174" s="164"/>
      <c r="AS174" s="164"/>
      <c r="AT174" s="164"/>
      <c r="AU174" s="164"/>
      <c r="AV174" s="164"/>
      <c r="AW174" s="164"/>
      <c r="AX174" s="164"/>
    </row>
    <row r="175" spans="21:50" x14ac:dyDescent="0.25">
      <c r="U175" s="164"/>
      <c r="V175" s="164"/>
      <c r="W175" s="164"/>
      <c r="X175" s="164"/>
      <c r="Y175" s="164"/>
      <c r="Z175" s="164"/>
      <c r="AA175" s="164"/>
      <c r="AB175" s="164"/>
      <c r="AC175" s="164"/>
      <c r="AE175" s="164"/>
      <c r="AF175" s="164"/>
      <c r="AG175" s="164"/>
      <c r="AH175" s="164"/>
      <c r="AI175" s="164"/>
      <c r="AJ175" s="164"/>
      <c r="AK175" s="164"/>
      <c r="AL175" s="164"/>
      <c r="AM175" s="164"/>
      <c r="AN175" s="164"/>
      <c r="AO175" s="164"/>
      <c r="AP175" s="164"/>
      <c r="AQ175" s="164"/>
      <c r="AR175" s="164"/>
      <c r="AS175" s="164"/>
      <c r="AT175" s="164"/>
      <c r="AU175" s="164"/>
      <c r="AV175" s="164"/>
      <c r="AW175" s="164"/>
      <c r="AX175" s="164"/>
    </row>
    <row r="176" spans="21:50" x14ac:dyDescent="0.25">
      <c r="U176" s="164"/>
      <c r="V176" s="164"/>
      <c r="W176" s="164"/>
      <c r="X176" s="164"/>
      <c r="Y176" s="164"/>
      <c r="Z176" s="164"/>
      <c r="AA176" s="164"/>
      <c r="AB176" s="164"/>
      <c r="AC176" s="164"/>
      <c r="AE176" s="164"/>
      <c r="AF176" s="164"/>
      <c r="AG176" s="164"/>
      <c r="AH176" s="164"/>
      <c r="AI176" s="164"/>
      <c r="AJ176" s="164"/>
      <c r="AK176" s="164"/>
      <c r="AL176" s="164"/>
      <c r="AM176" s="164"/>
      <c r="AN176" s="164"/>
      <c r="AO176" s="164"/>
      <c r="AP176" s="164"/>
      <c r="AQ176" s="164"/>
      <c r="AR176" s="164"/>
      <c r="AS176" s="164"/>
      <c r="AT176" s="164"/>
      <c r="AU176" s="164"/>
      <c r="AV176" s="164"/>
      <c r="AW176" s="164"/>
      <c r="AX176" s="164"/>
    </row>
    <row r="177" spans="21:50" x14ac:dyDescent="0.25">
      <c r="U177" s="164"/>
      <c r="V177" s="164"/>
      <c r="W177" s="164"/>
      <c r="X177" s="164"/>
      <c r="Y177" s="164"/>
      <c r="Z177" s="164"/>
      <c r="AA177" s="164"/>
      <c r="AB177" s="164"/>
      <c r="AC177" s="164"/>
      <c r="AE177" s="164"/>
      <c r="AF177" s="164"/>
      <c r="AG177" s="164"/>
      <c r="AH177" s="164"/>
      <c r="AI177" s="164"/>
      <c r="AJ177" s="164"/>
      <c r="AK177" s="164"/>
      <c r="AL177" s="164"/>
      <c r="AM177" s="164"/>
      <c r="AN177" s="164"/>
      <c r="AO177" s="164"/>
      <c r="AP177" s="164"/>
      <c r="AQ177" s="164"/>
      <c r="AR177" s="164"/>
      <c r="AS177" s="164"/>
      <c r="AT177" s="164"/>
      <c r="AU177" s="164"/>
      <c r="AV177" s="164"/>
      <c r="AW177" s="164"/>
      <c r="AX177" s="164"/>
    </row>
    <row r="178" spans="21:50" x14ac:dyDescent="0.25">
      <c r="U178" s="164"/>
      <c r="V178" s="164"/>
      <c r="W178" s="164"/>
      <c r="X178" s="164"/>
      <c r="Y178" s="164"/>
      <c r="Z178" s="164"/>
      <c r="AA178" s="164"/>
      <c r="AB178" s="164"/>
      <c r="AC178" s="164"/>
      <c r="AE178" s="164"/>
      <c r="AF178" s="164"/>
      <c r="AG178" s="164"/>
      <c r="AH178" s="164"/>
      <c r="AI178" s="164"/>
      <c r="AJ178" s="164"/>
      <c r="AK178" s="164"/>
      <c r="AL178" s="164"/>
      <c r="AM178" s="164"/>
      <c r="AN178" s="164"/>
      <c r="AO178" s="164"/>
      <c r="AP178" s="164"/>
      <c r="AQ178" s="164"/>
      <c r="AR178" s="164"/>
      <c r="AS178" s="164"/>
      <c r="AT178" s="164"/>
      <c r="AU178" s="164"/>
      <c r="AV178" s="164"/>
      <c r="AW178" s="164"/>
      <c r="AX178" s="164"/>
    </row>
    <row r="179" spans="21:50" x14ac:dyDescent="0.25">
      <c r="U179" s="164"/>
      <c r="V179" s="164"/>
      <c r="W179" s="164"/>
      <c r="X179" s="164"/>
      <c r="Y179" s="164"/>
      <c r="Z179" s="164"/>
      <c r="AA179" s="164"/>
      <c r="AB179" s="164"/>
      <c r="AC179" s="164"/>
      <c r="AE179" s="164"/>
      <c r="AF179" s="164"/>
      <c r="AG179" s="164"/>
      <c r="AH179" s="164"/>
      <c r="AI179" s="164"/>
      <c r="AJ179" s="164"/>
      <c r="AK179" s="164"/>
      <c r="AL179" s="164"/>
      <c r="AM179" s="164"/>
      <c r="AN179" s="164"/>
      <c r="AO179" s="164"/>
      <c r="AP179" s="164"/>
      <c r="AQ179" s="164"/>
      <c r="AR179" s="164"/>
      <c r="AS179" s="164"/>
      <c r="AT179" s="164"/>
      <c r="AU179" s="164"/>
      <c r="AV179" s="164"/>
      <c r="AW179" s="164"/>
      <c r="AX179" s="164"/>
    </row>
    <row r="180" spans="21:50" x14ac:dyDescent="0.25">
      <c r="U180" s="164"/>
      <c r="V180" s="164"/>
      <c r="W180" s="164"/>
      <c r="X180" s="164"/>
      <c r="Y180" s="164"/>
      <c r="Z180" s="164"/>
      <c r="AA180" s="164"/>
      <c r="AB180" s="164"/>
      <c r="AC180" s="164"/>
      <c r="AE180" s="164"/>
      <c r="AF180" s="164"/>
      <c r="AG180" s="164"/>
      <c r="AH180" s="164"/>
      <c r="AI180" s="164"/>
      <c r="AJ180" s="164"/>
      <c r="AK180" s="164"/>
      <c r="AL180" s="164"/>
      <c r="AM180" s="164"/>
      <c r="AN180" s="164"/>
      <c r="AO180" s="164"/>
      <c r="AP180" s="164"/>
      <c r="AQ180" s="164"/>
      <c r="AR180" s="164"/>
      <c r="AS180" s="164"/>
      <c r="AT180" s="164"/>
      <c r="AU180" s="164"/>
      <c r="AV180" s="164"/>
      <c r="AW180" s="164"/>
      <c r="AX180" s="164"/>
    </row>
    <row r="181" spans="21:50" x14ac:dyDescent="0.25">
      <c r="U181" s="164"/>
      <c r="V181" s="164"/>
      <c r="W181" s="164"/>
      <c r="X181" s="164"/>
      <c r="Y181" s="164"/>
      <c r="Z181" s="164"/>
      <c r="AA181" s="164"/>
      <c r="AB181" s="164"/>
      <c r="AC181" s="164"/>
      <c r="AE181" s="164"/>
      <c r="AF181" s="164"/>
      <c r="AG181" s="164"/>
      <c r="AH181" s="164"/>
      <c r="AI181" s="164"/>
      <c r="AJ181" s="164"/>
      <c r="AK181" s="164"/>
      <c r="AL181" s="164"/>
      <c r="AM181" s="164"/>
      <c r="AN181" s="164"/>
      <c r="AO181" s="164"/>
      <c r="AP181" s="164"/>
      <c r="AQ181" s="164"/>
      <c r="AR181" s="164"/>
      <c r="AS181" s="164"/>
      <c r="AT181" s="164"/>
      <c r="AU181" s="164"/>
      <c r="AV181" s="164"/>
      <c r="AW181" s="164"/>
      <c r="AX181" s="164"/>
    </row>
    <row r="182" spans="21:50" x14ac:dyDescent="0.25">
      <c r="U182" s="164"/>
      <c r="V182" s="164"/>
      <c r="W182" s="164"/>
      <c r="X182" s="164"/>
      <c r="Y182" s="164"/>
      <c r="Z182" s="164"/>
      <c r="AA182" s="164"/>
      <c r="AB182" s="164"/>
      <c r="AC182" s="164"/>
      <c r="AE182" s="164"/>
      <c r="AF182" s="164"/>
      <c r="AG182" s="164"/>
      <c r="AH182" s="164"/>
      <c r="AI182" s="164"/>
      <c r="AJ182" s="164"/>
      <c r="AK182" s="164"/>
      <c r="AL182" s="164"/>
      <c r="AM182" s="164"/>
      <c r="AN182" s="164"/>
      <c r="AO182" s="164"/>
      <c r="AP182" s="164"/>
      <c r="AQ182" s="164"/>
      <c r="AR182" s="164"/>
      <c r="AS182" s="164"/>
      <c r="AT182" s="164"/>
      <c r="AU182" s="164"/>
      <c r="AV182" s="164"/>
      <c r="AW182" s="164"/>
      <c r="AX182" s="164"/>
    </row>
    <row r="183" spans="21:50" x14ac:dyDescent="0.25">
      <c r="U183" s="164"/>
      <c r="V183" s="164"/>
      <c r="W183" s="164"/>
      <c r="X183" s="164"/>
      <c r="Y183" s="164"/>
      <c r="Z183" s="164"/>
      <c r="AA183" s="164"/>
      <c r="AB183" s="164"/>
      <c r="AC183" s="164"/>
      <c r="AE183" s="164"/>
      <c r="AF183" s="164"/>
      <c r="AG183" s="164"/>
      <c r="AH183" s="164"/>
      <c r="AI183" s="164"/>
      <c r="AJ183" s="164"/>
      <c r="AK183" s="164"/>
      <c r="AL183" s="164"/>
      <c r="AM183" s="164"/>
      <c r="AN183" s="164"/>
      <c r="AO183" s="164"/>
      <c r="AP183" s="164"/>
      <c r="AQ183" s="164"/>
      <c r="AR183" s="164"/>
      <c r="AS183" s="164"/>
      <c r="AT183" s="164"/>
      <c r="AU183" s="164"/>
      <c r="AV183" s="164"/>
      <c r="AW183" s="164"/>
      <c r="AX183" s="164"/>
    </row>
  </sheetData>
  <sheetProtection selectLockedCells="1" selectUnlockedCells="1"/>
  <mergeCells count="18">
    <mergeCell ref="B81:C81"/>
    <mergeCell ref="B120:C120"/>
    <mergeCell ref="B84:B87"/>
    <mergeCell ref="B88:C88"/>
    <mergeCell ref="B90:B93"/>
    <mergeCell ref="B94:C94"/>
    <mergeCell ref="B96:B99"/>
    <mergeCell ref="B100:C100"/>
    <mergeCell ref="B104:B107"/>
    <mergeCell ref="B108:C108"/>
    <mergeCell ref="B110:B113"/>
    <mergeCell ref="B114:C114"/>
    <mergeCell ref="B116:B119"/>
    <mergeCell ref="B65:B68"/>
    <mergeCell ref="B69:C69"/>
    <mergeCell ref="B71:B74"/>
    <mergeCell ref="B75:C75"/>
    <mergeCell ref="B77:B80"/>
  </mergeCells>
  <conditionalFormatting sqref="P3:P60">
    <cfRule type="expression" dxfId="575" priority="4">
      <formula>AND(P3&lt;&gt;"",P3&lt;&gt;"OUI")</formula>
    </cfRule>
  </conditionalFormatting>
  <conditionalFormatting sqref="AL3:AM60 S3:AH60">
    <cfRule type="expression" dxfId="574" priority="1" stopIfTrue="1">
      <formula>$AH3&lt;&gt;0</formula>
    </cfRule>
  </conditionalFormatting>
  <conditionalFormatting sqref="A3:E60">
    <cfRule type="expression" dxfId="573" priority="29" stopIfTrue="1">
      <formula>AND($I3&lt;&gt;"",AND($J3="",AND($AY3="",$AZ3="")))</formula>
    </cfRule>
    <cfRule type="expression" dxfId="572" priority="30" stopIfTrue="1">
      <formula>AND($J3&lt;&gt;"",AND($AY3="",$AZ3=""))</formula>
    </cfRule>
    <cfRule type="expression" dxfId="571" priority="31" stopIfTrue="1">
      <formula>AND($AY3&lt;&gt;"",$AZ3="")</formula>
    </cfRule>
    <cfRule type="expression" dxfId="570" priority="32" stopIfTrue="1">
      <formula>$AZ3="X"</formula>
    </cfRule>
  </conditionalFormatting>
  <dataValidations count="11">
    <dataValidation type="list" allowBlank="1" showInputMessage="1" showErrorMessage="1" sqref="D3:D60 JT3:JT60 TP3:TP60 ADL3:ADL60 ANH3:ANH60 AXD3:AXD60 BGZ3:BGZ60 BQV3:BQV60 CAR3:CAR60 CKN3:CKN60 CUJ3:CUJ60 DEF3:DEF60 DOB3:DOB60 DXX3:DXX60 EHT3:EHT60 ERP3:ERP60 FBL3:FBL60 FLH3:FLH60 FVD3:FVD60 GEZ3:GEZ60 GOV3:GOV60 GYR3:GYR60 HIN3:HIN60 HSJ3:HSJ60 ICF3:ICF60 IMB3:IMB60 IVX3:IVX60 JFT3:JFT60 JPP3:JPP60 JZL3:JZL60 KJH3:KJH60 KTD3:KTD60 LCZ3:LCZ60 LMV3:LMV60 LWR3:LWR60 MGN3:MGN60 MQJ3:MQJ60 NAF3:NAF60 NKB3:NKB60 NTX3:NTX60 ODT3:ODT60 ONP3:ONP60 OXL3:OXL60 PHH3:PHH60 PRD3:PRD60 QAZ3:QAZ60 QKV3:QKV60 QUR3:QUR60 REN3:REN60 ROJ3:ROJ60 RYF3:RYF60 SIB3:SIB60 SRX3:SRX60 TBT3:TBT60 TLP3:TLP60 TVL3:TVL60 UFH3:UFH60 UPD3:UPD60 UYZ3:UYZ60 VIV3:VIV60 VSR3:VSR60 WCN3:WCN60 WMJ3:WMJ60 WWF3:WWF60 D65539:D65596 JS65539:JS65596 TO65539:TO65596 ADK65539:ADK65596 ANG65539:ANG65596 AXC65539:AXC65596 BGY65539:BGY65596 BQU65539:BQU65596 CAQ65539:CAQ65596 CKM65539:CKM65596 CUI65539:CUI65596 DEE65539:DEE65596 DOA65539:DOA65596 DXW65539:DXW65596 EHS65539:EHS65596 ERO65539:ERO65596 FBK65539:FBK65596 FLG65539:FLG65596 FVC65539:FVC65596 GEY65539:GEY65596 GOU65539:GOU65596 GYQ65539:GYQ65596 HIM65539:HIM65596 HSI65539:HSI65596 ICE65539:ICE65596 IMA65539:IMA65596 IVW65539:IVW65596 JFS65539:JFS65596 JPO65539:JPO65596 JZK65539:JZK65596 KJG65539:KJG65596 KTC65539:KTC65596 LCY65539:LCY65596 LMU65539:LMU65596 LWQ65539:LWQ65596 MGM65539:MGM65596 MQI65539:MQI65596 NAE65539:NAE65596 NKA65539:NKA65596 NTW65539:NTW65596 ODS65539:ODS65596 ONO65539:ONO65596 OXK65539:OXK65596 PHG65539:PHG65596 PRC65539:PRC65596 QAY65539:QAY65596 QKU65539:QKU65596 QUQ65539:QUQ65596 REM65539:REM65596 ROI65539:ROI65596 RYE65539:RYE65596 SIA65539:SIA65596 SRW65539:SRW65596 TBS65539:TBS65596 TLO65539:TLO65596 TVK65539:TVK65596 UFG65539:UFG65596 UPC65539:UPC65596 UYY65539:UYY65596 VIU65539:VIU65596 VSQ65539:VSQ65596 WCM65539:WCM65596 WMI65539:WMI65596 WWE65539:WWE65596 D131075:D131132 JS131075:JS131132 TO131075:TO131132 ADK131075:ADK131132 ANG131075:ANG131132 AXC131075:AXC131132 BGY131075:BGY131132 BQU131075:BQU131132 CAQ131075:CAQ131132 CKM131075:CKM131132 CUI131075:CUI131132 DEE131075:DEE131132 DOA131075:DOA131132 DXW131075:DXW131132 EHS131075:EHS131132 ERO131075:ERO131132 FBK131075:FBK131132 FLG131075:FLG131132 FVC131075:FVC131132 GEY131075:GEY131132 GOU131075:GOU131132 GYQ131075:GYQ131132 HIM131075:HIM131132 HSI131075:HSI131132 ICE131075:ICE131132 IMA131075:IMA131132 IVW131075:IVW131132 JFS131075:JFS131132 JPO131075:JPO131132 JZK131075:JZK131132 KJG131075:KJG131132 KTC131075:KTC131132 LCY131075:LCY131132 LMU131075:LMU131132 LWQ131075:LWQ131132 MGM131075:MGM131132 MQI131075:MQI131132 NAE131075:NAE131132 NKA131075:NKA131132 NTW131075:NTW131132 ODS131075:ODS131132 ONO131075:ONO131132 OXK131075:OXK131132 PHG131075:PHG131132 PRC131075:PRC131132 QAY131075:QAY131132 QKU131075:QKU131132 QUQ131075:QUQ131132 REM131075:REM131132 ROI131075:ROI131132 RYE131075:RYE131132 SIA131075:SIA131132 SRW131075:SRW131132 TBS131075:TBS131132 TLO131075:TLO131132 TVK131075:TVK131132 UFG131075:UFG131132 UPC131075:UPC131132 UYY131075:UYY131132 VIU131075:VIU131132 VSQ131075:VSQ131132 WCM131075:WCM131132 WMI131075:WMI131132 WWE131075:WWE131132 D196611:D196668 JS196611:JS196668 TO196611:TO196668 ADK196611:ADK196668 ANG196611:ANG196668 AXC196611:AXC196668 BGY196611:BGY196668 BQU196611:BQU196668 CAQ196611:CAQ196668 CKM196611:CKM196668 CUI196611:CUI196668 DEE196611:DEE196668 DOA196611:DOA196668 DXW196611:DXW196668 EHS196611:EHS196668 ERO196611:ERO196668 FBK196611:FBK196668 FLG196611:FLG196668 FVC196611:FVC196668 GEY196611:GEY196668 GOU196611:GOU196668 GYQ196611:GYQ196668 HIM196611:HIM196668 HSI196611:HSI196668 ICE196611:ICE196668 IMA196611:IMA196668 IVW196611:IVW196668 JFS196611:JFS196668 JPO196611:JPO196668 JZK196611:JZK196668 KJG196611:KJG196668 KTC196611:KTC196668 LCY196611:LCY196668 LMU196611:LMU196668 LWQ196611:LWQ196668 MGM196611:MGM196668 MQI196611:MQI196668 NAE196611:NAE196668 NKA196611:NKA196668 NTW196611:NTW196668 ODS196611:ODS196668 ONO196611:ONO196668 OXK196611:OXK196668 PHG196611:PHG196668 PRC196611:PRC196668 QAY196611:QAY196668 QKU196611:QKU196668 QUQ196611:QUQ196668 REM196611:REM196668 ROI196611:ROI196668 RYE196611:RYE196668 SIA196611:SIA196668 SRW196611:SRW196668 TBS196611:TBS196668 TLO196611:TLO196668 TVK196611:TVK196668 UFG196611:UFG196668 UPC196611:UPC196668 UYY196611:UYY196668 VIU196611:VIU196668 VSQ196611:VSQ196668 WCM196611:WCM196668 WMI196611:WMI196668 WWE196611:WWE196668 D262147:D262204 JS262147:JS262204 TO262147:TO262204 ADK262147:ADK262204 ANG262147:ANG262204 AXC262147:AXC262204 BGY262147:BGY262204 BQU262147:BQU262204 CAQ262147:CAQ262204 CKM262147:CKM262204 CUI262147:CUI262204 DEE262147:DEE262204 DOA262147:DOA262204 DXW262147:DXW262204 EHS262147:EHS262204 ERO262147:ERO262204 FBK262147:FBK262204 FLG262147:FLG262204 FVC262147:FVC262204 GEY262147:GEY262204 GOU262147:GOU262204 GYQ262147:GYQ262204 HIM262147:HIM262204 HSI262147:HSI262204 ICE262147:ICE262204 IMA262147:IMA262204 IVW262147:IVW262204 JFS262147:JFS262204 JPO262147:JPO262204 JZK262147:JZK262204 KJG262147:KJG262204 KTC262147:KTC262204 LCY262147:LCY262204 LMU262147:LMU262204 LWQ262147:LWQ262204 MGM262147:MGM262204 MQI262147:MQI262204 NAE262147:NAE262204 NKA262147:NKA262204 NTW262147:NTW262204 ODS262147:ODS262204 ONO262147:ONO262204 OXK262147:OXK262204 PHG262147:PHG262204 PRC262147:PRC262204 QAY262147:QAY262204 QKU262147:QKU262204 QUQ262147:QUQ262204 REM262147:REM262204 ROI262147:ROI262204 RYE262147:RYE262204 SIA262147:SIA262204 SRW262147:SRW262204 TBS262147:TBS262204 TLO262147:TLO262204 TVK262147:TVK262204 UFG262147:UFG262204 UPC262147:UPC262204 UYY262147:UYY262204 VIU262147:VIU262204 VSQ262147:VSQ262204 WCM262147:WCM262204 WMI262147:WMI262204 WWE262147:WWE262204 D327683:D327740 JS327683:JS327740 TO327683:TO327740 ADK327683:ADK327740 ANG327683:ANG327740 AXC327683:AXC327740 BGY327683:BGY327740 BQU327683:BQU327740 CAQ327683:CAQ327740 CKM327683:CKM327740 CUI327683:CUI327740 DEE327683:DEE327740 DOA327683:DOA327740 DXW327683:DXW327740 EHS327683:EHS327740 ERO327683:ERO327740 FBK327683:FBK327740 FLG327683:FLG327740 FVC327683:FVC327740 GEY327683:GEY327740 GOU327683:GOU327740 GYQ327683:GYQ327740 HIM327683:HIM327740 HSI327683:HSI327740 ICE327683:ICE327740 IMA327683:IMA327740 IVW327683:IVW327740 JFS327683:JFS327740 JPO327683:JPO327740 JZK327683:JZK327740 KJG327683:KJG327740 KTC327683:KTC327740 LCY327683:LCY327740 LMU327683:LMU327740 LWQ327683:LWQ327740 MGM327683:MGM327740 MQI327683:MQI327740 NAE327683:NAE327740 NKA327683:NKA327740 NTW327683:NTW327740 ODS327683:ODS327740 ONO327683:ONO327740 OXK327683:OXK327740 PHG327683:PHG327740 PRC327683:PRC327740 QAY327683:QAY327740 QKU327683:QKU327740 QUQ327683:QUQ327740 REM327683:REM327740 ROI327683:ROI327740 RYE327683:RYE327740 SIA327683:SIA327740 SRW327683:SRW327740 TBS327683:TBS327740 TLO327683:TLO327740 TVK327683:TVK327740 UFG327683:UFG327740 UPC327683:UPC327740 UYY327683:UYY327740 VIU327683:VIU327740 VSQ327683:VSQ327740 WCM327683:WCM327740 WMI327683:WMI327740 WWE327683:WWE327740 D393219:D393276 JS393219:JS393276 TO393219:TO393276 ADK393219:ADK393276 ANG393219:ANG393276 AXC393219:AXC393276 BGY393219:BGY393276 BQU393219:BQU393276 CAQ393219:CAQ393276 CKM393219:CKM393276 CUI393219:CUI393276 DEE393219:DEE393276 DOA393219:DOA393276 DXW393219:DXW393276 EHS393219:EHS393276 ERO393219:ERO393276 FBK393219:FBK393276 FLG393219:FLG393276 FVC393219:FVC393276 GEY393219:GEY393276 GOU393219:GOU393276 GYQ393219:GYQ393276 HIM393219:HIM393276 HSI393219:HSI393276 ICE393219:ICE393276 IMA393219:IMA393276 IVW393219:IVW393276 JFS393219:JFS393276 JPO393219:JPO393276 JZK393219:JZK393276 KJG393219:KJG393276 KTC393219:KTC393276 LCY393219:LCY393276 LMU393219:LMU393276 LWQ393219:LWQ393276 MGM393219:MGM393276 MQI393219:MQI393276 NAE393219:NAE393276 NKA393219:NKA393276 NTW393219:NTW393276 ODS393219:ODS393276 ONO393219:ONO393276 OXK393219:OXK393276 PHG393219:PHG393276 PRC393219:PRC393276 QAY393219:QAY393276 QKU393219:QKU393276 QUQ393219:QUQ393276 REM393219:REM393276 ROI393219:ROI393276 RYE393219:RYE393276 SIA393219:SIA393276 SRW393219:SRW393276 TBS393219:TBS393276 TLO393219:TLO393276 TVK393219:TVK393276 UFG393219:UFG393276 UPC393219:UPC393276 UYY393219:UYY393276 VIU393219:VIU393276 VSQ393219:VSQ393276 WCM393219:WCM393276 WMI393219:WMI393276 WWE393219:WWE393276 D458755:D458812 JS458755:JS458812 TO458755:TO458812 ADK458755:ADK458812 ANG458755:ANG458812 AXC458755:AXC458812 BGY458755:BGY458812 BQU458755:BQU458812 CAQ458755:CAQ458812 CKM458755:CKM458812 CUI458755:CUI458812 DEE458755:DEE458812 DOA458755:DOA458812 DXW458755:DXW458812 EHS458755:EHS458812 ERO458755:ERO458812 FBK458755:FBK458812 FLG458755:FLG458812 FVC458755:FVC458812 GEY458755:GEY458812 GOU458755:GOU458812 GYQ458755:GYQ458812 HIM458755:HIM458812 HSI458755:HSI458812 ICE458755:ICE458812 IMA458755:IMA458812 IVW458755:IVW458812 JFS458755:JFS458812 JPO458755:JPO458812 JZK458755:JZK458812 KJG458755:KJG458812 KTC458755:KTC458812 LCY458755:LCY458812 LMU458755:LMU458812 LWQ458755:LWQ458812 MGM458755:MGM458812 MQI458755:MQI458812 NAE458755:NAE458812 NKA458755:NKA458812 NTW458755:NTW458812 ODS458755:ODS458812 ONO458755:ONO458812 OXK458755:OXK458812 PHG458755:PHG458812 PRC458755:PRC458812 QAY458755:QAY458812 QKU458755:QKU458812 QUQ458755:QUQ458812 REM458755:REM458812 ROI458755:ROI458812 RYE458755:RYE458812 SIA458755:SIA458812 SRW458755:SRW458812 TBS458755:TBS458812 TLO458755:TLO458812 TVK458755:TVK458812 UFG458755:UFG458812 UPC458755:UPC458812 UYY458755:UYY458812 VIU458755:VIU458812 VSQ458755:VSQ458812 WCM458755:WCM458812 WMI458755:WMI458812 WWE458755:WWE458812 D524291:D524348 JS524291:JS524348 TO524291:TO524348 ADK524291:ADK524348 ANG524291:ANG524348 AXC524291:AXC524348 BGY524291:BGY524348 BQU524291:BQU524348 CAQ524291:CAQ524348 CKM524291:CKM524348 CUI524291:CUI524348 DEE524291:DEE524348 DOA524291:DOA524348 DXW524291:DXW524348 EHS524291:EHS524348 ERO524291:ERO524348 FBK524291:FBK524348 FLG524291:FLG524348 FVC524291:FVC524348 GEY524291:GEY524348 GOU524291:GOU524348 GYQ524291:GYQ524348 HIM524291:HIM524348 HSI524291:HSI524348 ICE524291:ICE524348 IMA524291:IMA524348 IVW524291:IVW524348 JFS524291:JFS524348 JPO524291:JPO524348 JZK524291:JZK524348 KJG524291:KJG524348 KTC524291:KTC524348 LCY524291:LCY524348 LMU524291:LMU524348 LWQ524291:LWQ524348 MGM524291:MGM524348 MQI524291:MQI524348 NAE524291:NAE524348 NKA524291:NKA524348 NTW524291:NTW524348 ODS524291:ODS524348 ONO524291:ONO524348 OXK524291:OXK524348 PHG524291:PHG524348 PRC524291:PRC524348 QAY524291:QAY524348 QKU524291:QKU524348 QUQ524291:QUQ524348 REM524291:REM524348 ROI524291:ROI524348 RYE524291:RYE524348 SIA524291:SIA524348 SRW524291:SRW524348 TBS524291:TBS524348 TLO524291:TLO524348 TVK524291:TVK524348 UFG524291:UFG524348 UPC524291:UPC524348 UYY524291:UYY524348 VIU524291:VIU524348 VSQ524291:VSQ524348 WCM524291:WCM524348 WMI524291:WMI524348 WWE524291:WWE524348 D589827:D589884 JS589827:JS589884 TO589827:TO589884 ADK589827:ADK589884 ANG589827:ANG589884 AXC589827:AXC589884 BGY589827:BGY589884 BQU589827:BQU589884 CAQ589827:CAQ589884 CKM589827:CKM589884 CUI589827:CUI589884 DEE589827:DEE589884 DOA589827:DOA589884 DXW589827:DXW589884 EHS589827:EHS589884 ERO589827:ERO589884 FBK589827:FBK589884 FLG589827:FLG589884 FVC589827:FVC589884 GEY589827:GEY589884 GOU589827:GOU589884 GYQ589827:GYQ589884 HIM589827:HIM589884 HSI589827:HSI589884 ICE589827:ICE589884 IMA589827:IMA589884 IVW589827:IVW589884 JFS589827:JFS589884 JPO589827:JPO589884 JZK589827:JZK589884 KJG589827:KJG589884 KTC589827:KTC589884 LCY589827:LCY589884 LMU589827:LMU589884 LWQ589827:LWQ589884 MGM589827:MGM589884 MQI589827:MQI589884 NAE589827:NAE589884 NKA589827:NKA589884 NTW589827:NTW589884 ODS589827:ODS589884 ONO589827:ONO589884 OXK589827:OXK589884 PHG589827:PHG589884 PRC589827:PRC589884 QAY589827:QAY589884 QKU589827:QKU589884 QUQ589827:QUQ589884 REM589827:REM589884 ROI589827:ROI589884 RYE589827:RYE589884 SIA589827:SIA589884 SRW589827:SRW589884 TBS589827:TBS589884 TLO589827:TLO589884 TVK589827:TVK589884 UFG589827:UFG589884 UPC589827:UPC589884 UYY589827:UYY589884 VIU589827:VIU589884 VSQ589827:VSQ589884 WCM589827:WCM589884 WMI589827:WMI589884 WWE589827:WWE589884 D655363:D655420 JS655363:JS655420 TO655363:TO655420 ADK655363:ADK655420 ANG655363:ANG655420 AXC655363:AXC655420 BGY655363:BGY655420 BQU655363:BQU655420 CAQ655363:CAQ655420 CKM655363:CKM655420 CUI655363:CUI655420 DEE655363:DEE655420 DOA655363:DOA655420 DXW655363:DXW655420 EHS655363:EHS655420 ERO655363:ERO655420 FBK655363:FBK655420 FLG655363:FLG655420 FVC655363:FVC655420 GEY655363:GEY655420 GOU655363:GOU655420 GYQ655363:GYQ655420 HIM655363:HIM655420 HSI655363:HSI655420 ICE655363:ICE655420 IMA655363:IMA655420 IVW655363:IVW655420 JFS655363:JFS655420 JPO655363:JPO655420 JZK655363:JZK655420 KJG655363:KJG655420 KTC655363:KTC655420 LCY655363:LCY655420 LMU655363:LMU655420 LWQ655363:LWQ655420 MGM655363:MGM655420 MQI655363:MQI655420 NAE655363:NAE655420 NKA655363:NKA655420 NTW655363:NTW655420 ODS655363:ODS655420 ONO655363:ONO655420 OXK655363:OXK655420 PHG655363:PHG655420 PRC655363:PRC655420 QAY655363:QAY655420 QKU655363:QKU655420 QUQ655363:QUQ655420 REM655363:REM655420 ROI655363:ROI655420 RYE655363:RYE655420 SIA655363:SIA655420 SRW655363:SRW655420 TBS655363:TBS655420 TLO655363:TLO655420 TVK655363:TVK655420 UFG655363:UFG655420 UPC655363:UPC655420 UYY655363:UYY655420 VIU655363:VIU655420 VSQ655363:VSQ655420 WCM655363:WCM655420 WMI655363:WMI655420 WWE655363:WWE655420 D720899:D720956 JS720899:JS720956 TO720899:TO720956 ADK720899:ADK720956 ANG720899:ANG720956 AXC720899:AXC720956 BGY720899:BGY720956 BQU720899:BQU720956 CAQ720899:CAQ720956 CKM720899:CKM720956 CUI720899:CUI720956 DEE720899:DEE720956 DOA720899:DOA720956 DXW720899:DXW720956 EHS720899:EHS720956 ERO720899:ERO720956 FBK720899:FBK720956 FLG720899:FLG720956 FVC720899:FVC720956 GEY720899:GEY720956 GOU720899:GOU720956 GYQ720899:GYQ720956 HIM720899:HIM720956 HSI720899:HSI720956 ICE720899:ICE720956 IMA720899:IMA720956 IVW720899:IVW720956 JFS720899:JFS720956 JPO720899:JPO720956 JZK720899:JZK720956 KJG720899:KJG720956 KTC720899:KTC720956 LCY720899:LCY720956 LMU720899:LMU720956 LWQ720899:LWQ720956 MGM720899:MGM720956 MQI720899:MQI720956 NAE720899:NAE720956 NKA720899:NKA720956 NTW720899:NTW720956 ODS720899:ODS720956 ONO720899:ONO720956 OXK720899:OXK720956 PHG720899:PHG720956 PRC720899:PRC720956 QAY720899:QAY720956 QKU720899:QKU720956 QUQ720899:QUQ720956 REM720899:REM720956 ROI720899:ROI720956 RYE720899:RYE720956 SIA720899:SIA720956 SRW720899:SRW720956 TBS720899:TBS720956 TLO720899:TLO720956 TVK720899:TVK720956 UFG720899:UFG720956 UPC720899:UPC720956 UYY720899:UYY720956 VIU720899:VIU720956 VSQ720899:VSQ720956 WCM720899:WCM720956 WMI720899:WMI720956 WWE720899:WWE720956 D786435:D786492 JS786435:JS786492 TO786435:TO786492 ADK786435:ADK786492 ANG786435:ANG786492 AXC786435:AXC786492 BGY786435:BGY786492 BQU786435:BQU786492 CAQ786435:CAQ786492 CKM786435:CKM786492 CUI786435:CUI786492 DEE786435:DEE786492 DOA786435:DOA786492 DXW786435:DXW786492 EHS786435:EHS786492 ERO786435:ERO786492 FBK786435:FBK786492 FLG786435:FLG786492 FVC786435:FVC786492 GEY786435:GEY786492 GOU786435:GOU786492 GYQ786435:GYQ786492 HIM786435:HIM786492 HSI786435:HSI786492 ICE786435:ICE786492 IMA786435:IMA786492 IVW786435:IVW786492 JFS786435:JFS786492 JPO786435:JPO786492 JZK786435:JZK786492 KJG786435:KJG786492 KTC786435:KTC786492 LCY786435:LCY786492 LMU786435:LMU786492 LWQ786435:LWQ786492 MGM786435:MGM786492 MQI786435:MQI786492 NAE786435:NAE786492 NKA786435:NKA786492 NTW786435:NTW786492 ODS786435:ODS786492 ONO786435:ONO786492 OXK786435:OXK786492 PHG786435:PHG786492 PRC786435:PRC786492 QAY786435:QAY786492 QKU786435:QKU786492 QUQ786435:QUQ786492 REM786435:REM786492 ROI786435:ROI786492 RYE786435:RYE786492 SIA786435:SIA786492 SRW786435:SRW786492 TBS786435:TBS786492 TLO786435:TLO786492 TVK786435:TVK786492 UFG786435:UFG786492 UPC786435:UPC786492 UYY786435:UYY786492 VIU786435:VIU786492 VSQ786435:VSQ786492 WCM786435:WCM786492 WMI786435:WMI786492 WWE786435:WWE786492 D851971:D852028 JS851971:JS852028 TO851971:TO852028 ADK851971:ADK852028 ANG851971:ANG852028 AXC851971:AXC852028 BGY851971:BGY852028 BQU851971:BQU852028 CAQ851971:CAQ852028 CKM851971:CKM852028 CUI851971:CUI852028 DEE851971:DEE852028 DOA851971:DOA852028 DXW851971:DXW852028 EHS851971:EHS852028 ERO851971:ERO852028 FBK851971:FBK852028 FLG851971:FLG852028 FVC851971:FVC852028 GEY851971:GEY852028 GOU851971:GOU852028 GYQ851971:GYQ852028 HIM851971:HIM852028 HSI851971:HSI852028 ICE851971:ICE852028 IMA851971:IMA852028 IVW851971:IVW852028 JFS851971:JFS852028 JPO851971:JPO852028 JZK851971:JZK852028 KJG851971:KJG852028 KTC851971:KTC852028 LCY851971:LCY852028 LMU851971:LMU852028 LWQ851971:LWQ852028 MGM851971:MGM852028 MQI851971:MQI852028 NAE851971:NAE852028 NKA851971:NKA852028 NTW851971:NTW852028 ODS851971:ODS852028 ONO851971:ONO852028 OXK851971:OXK852028 PHG851971:PHG852028 PRC851971:PRC852028 QAY851971:QAY852028 QKU851971:QKU852028 QUQ851971:QUQ852028 REM851971:REM852028 ROI851971:ROI852028 RYE851971:RYE852028 SIA851971:SIA852028 SRW851971:SRW852028 TBS851971:TBS852028 TLO851971:TLO852028 TVK851971:TVK852028 UFG851971:UFG852028 UPC851971:UPC852028 UYY851971:UYY852028 VIU851971:VIU852028 VSQ851971:VSQ852028 WCM851971:WCM852028 WMI851971:WMI852028 WWE851971:WWE852028 D917507:D917564 JS917507:JS917564 TO917507:TO917564 ADK917507:ADK917564 ANG917507:ANG917564 AXC917507:AXC917564 BGY917507:BGY917564 BQU917507:BQU917564 CAQ917507:CAQ917564 CKM917507:CKM917564 CUI917507:CUI917564 DEE917507:DEE917564 DOA917507:DOA917564 DXW917507:DXW917564 EHS917507:EHS917564 ERO917507:ERO917564 FBK917507:FBK917564 FLG917507:FLG917564 FVC917507:FVC917564 GEY917507:GEY917564 GOU917507:GOU917564 GYQ917507:GYQ917564 HIM917507:HIM917564 HSI917507:HSI917564 ICE917507:ICE917564 IMA917507:IMA917564 IVW917507:IVW917564 JFS917507:JFS917564 JPO917507:JPO917564 JZK917507:JZK917564 KJG917507:KJG917564 KTC917507:KTC917564 LCY917507:LCY917564 LMU917507:LMU917564 LWQ917507:LWQ917564 MGM917507:MGM917564 MQI917507:MQI917564 NAE917507:NAE917564 NKA917507:NKA917564 NTW917507:NTW917564 ODS917507:ODS917564 ONO917507:ONO917564 OXK917507:OXK917564 PHG917507:PHG917564 PRC917507:PRC917564 QAY917507:QAY917564 QKU917507:QKU917564 QUQ917507:QUQ917564 REM917507:REM917564 ROI917507:ROI917564 RYE917507:RYE917564 SIA917507:SIA917564 SRW917507:SRW917564 TBS917507:TBS917564 TLO917507:TLO917564 TVK917507:TVK917564 UFG917507:UFG917564 UPC917507:UPC917564 UYY917507:UYY917564 VIU917507:VIU917564 VSQ917507:VSQ917564 WCM917507:WCM917564 WMI917507:WMI917564 WWE917507:WWE917564 D983043:D983100 JS983043:JS983100 TO983043:TO983100 ADK983043:ADK983100 ANG983043:ANG983100 AXC983043:AXC983100 BGY983043:BGY983100 BQU983043:BQU983100 CAQ983043:CAQ983100 CKM983043:CKM983100 CUI983043:CUI983100 DEE983043:DEE983100 DOA983043:DOA983100 DXW983043:DXW983100 EHS983043:EHS983100 ERO983043:ERO983100 FBK983043:FBK983100 FLG983043:FLG983100 FVC983043:FVC983100 GEY983043:GEY983100 GOU983043:GOU983100 GYQ983043:GYQ983100 HIM983043:HIM983100 HSI983043:HSI983100 ICE983043:ICE983100 IMA983043:IMA983100 IVW983043:IVW983100 JFS983043:JFS983100 JPO983043:JPO983100 JZK983043:JZK983100 KJG983043:KJG983100 KTC983043:KTC983100 LCY983043:LCY983100 LMU983043:LMU983100 LWQ983043:LWQ983100 MGM983043:MGM983100 MQI983043:MQI983100 NAE983043:NAE983100 NKA983043:NKA983100 NTW983043:NTW983100 ODS983043:ODS983100 ONO983043:ONO983100 OXK983043:OXK983100 PHG983043:PHG983100 PRC983043:PRC983100 QAY983043:QAY983100 QKU983043:QKU983100 QUQ983043:QUQ983100 REM983043:REM983100 ROI983043:ROI983100 RYE983043:RYE983100 SIA983043:SIA983100 SRW983043:SRW983100 TBS983043:TBS983100 TLO983043:TLO983100 TVK983043:TVK983100 UFG983043:UFG983100 UPC983043:UPC983100 UYY983043:UYY983100 VIU983043:VIU983100 VSQ983043:VSQ983100 WCM983043:WCM983100 WMI983043:WMI983100 WWE983043:WWE983100">
      <formula1>"ACS,AGRI,BNC,"</formula1>
    </dataValidation>
    <dataValidation type="list" allowBlank="1" showInputMessage="1" showErrorMessage="1" sqref="JW3:JW60 TS3:TS60 ADO3:ADO60 ANK3:ANK60 AXG3:AXG60 BHC3:BHC60 BQY3:BQY60 CAU3:CAU60 CKQ3:CKQ60 CUM3:CUM60 DEI3:DEI60 DOE3:DOE60 DYA3:DYA60 EHW3:EHW60 ERS3:ERS60 FBO3:FBO60 FLK3:FLK60 FVG3:FVG60 GFC3:GFC60 GOY3:GOY60 GYU3:GYU60 HIQ3:HIQ60 HSM3:HSM60 ICI3:ICI60 IME3:IME60 IWA3:IWA60 JFW3:JFW60 JPS3:JPS60 JZO3:JZO60 KJK3:KJK60 KTG3:KTG60 LDC3:LDC60 LMY3:LMY60 LWU3:LWU60 MGQ3:MGQ60 MQM3:MQM60 NAI3:NAI60 NKE3:NKE60 NUA3:NUA60 ODW3:ODW60 ONS3:ONS60 OXO3:OXO60 PHK3:PHK60 PRG3:PRG60 QBC3:QBC60 QKY3:QKY60 QUU3:QUU60 REQ3:REQ60 ROM3:ROM60 RYI3:RYI60 SIE3:SIE60 SSA3:SSA60 TBW3:TBW60 TLS3:TLS60 TVO3:TVO60 UFK3:UFK60 UPG3:UPG60 UZC3:UZC60 VIY3:VIY60 VSU3:VSU60 WCQ3:WCQ60 WMM3:WMM60 WWI3:WWI60 G65539:G65596 JV65539:JV65596 TR65539:TR65596 ADN65539:ADN65596 ANJ65539:ANJ65596 AXF65539:AXF65596 BHB65539:BHB65596 BQX65539:BQX65596 CAT65539:CAT65596 CKP65539:CKP65596 CUL65539:CUL65596 DEH65539:DEH65596 DOD65539:DOD65596 DXZ65539:DXZ65596 EHV65539:EHV65596 ERR65539:ERR65596 FBN65539:FBN65596 FLJ65539:FLJ65596 FVF65539:FVF65596 GFB65539:GFB65596 GOX65539:GOX65596 GYT65539:GYT65596 HIP65539:HIP65596 HSL65539:HSL65596 ICH65539:ICH65596 IMD65539:IMD65596 IVZ65539:IVZ65596 JFV65539:JFV65596 JPR65539:JPR65596 JZN65539:JZN65596 KJJ65539:KJJ65596 KTF65539:KTF65596 LDB65539:LDB65596 LMX65539:LMX65596 LWT65539:LWT65596 MGP65539:MGP65596 MQL65539:MQL65596 NAH65539:NAH65596 NKD65539:NKD65596 NTZ65539:NTZ65596 ODV65539:ODV65596 ONR65539:ONR65596 OXN65539:OXN65596 PHJ65539:PHJ65596 PRF65539:PRF65596 QBB65539:QBB65596 QKX65539:QKX65596 QUT65539:QUT65596 REP65539:REP65596 ROL65539:ROL65596 RYH65539:RYH65596 SID65539:SID65596 SRZ65539:SRZ65596 TBV65539:TBV65596 TLR65539:TLR65596 TVN65539:TVN65596 UFJ65539:UFJ65596 UPF65539:UPF65596 UZB65539:UZB65596 VIX65539:VIX65596 VST65539:VST65596 WCP65539:WCP65596 WML65539:WML65596 WWH65539:WWH65596 G131075:G131132 JV131075:JV131132 TR131075:TR131132 ADN131075:ADN131132 ANJ131075:ANJ131132 AXF131075:AXF131132 BHB131075:BHB131132 BQX131075:BQX131132 CAT131075:CAT131132 CKP131075:CKP131132 CUL131075:CUL131132 DEH131075:DEH131132 DOD131075:DOD131132 DXZ131075:DXZ131132 EHV131075:EHV131132 ERR131075:ERR131132 FBN131075:FBN131132 FLJ131075:FLJ131132 FVF131075:FVF131132 GFB131075:GFB131132 GOX131075:GOX131132 GYT131075:GYT131132 HIP131075:HIP131132 HSL131075:HSL131132 ICH131075:ICH131132 IMD131075:IMD131132 IVZ131075:IVZ131132 JFV131075:JFV131132 JPR131075:JPR131132 JZN131075:JZN131132 KJJ131075:KJJ131132 KTF131075:KTF131132 LDB131075:LDB131132 LMX131075:LMX131132 LWT131075:LWT131132 MGP131075:MGP131132 MQL131075:MQL131132 NAH131075:NAH131132 NKD131075:NKD131132 NTZ131075:NTZ131132 ODV131075:ODV131132 ONR131075:ONR131132 OXN131075:OXN131132 PHJ131075:PHJ131132 PRF131075:PRF131132 QBB131075:QBB131132 QKX131075:QKX131132 QUT131075:QUT131132 REP131075:REP131132 ROL131075:ROL131132 RYH131075:RYH131132 SID131075:SID131132 SRZ131075:SRZ131132 TBV131075:TBV131132 TLR131075:TLR131132 TVN131075:TVN131132 UFJ131075:UFJ131132 UPF131075:UPF131132 UZB131075:UZB131132 VIX131075:VIX131132 VST131075:VST131132 WCP131075:WCP131132 WML131075:WML131132 WWH131075:WWH131132 G196611:G196668 JV196611:JV196668 TR196611:TR196668 ADN196611:ADN196668 ANJ196611:ANJ196668 AXF196611:AXF196668 BHB196611:BHB196668 BQX196611:BQX196668 CAT196611:CAT196668 CKP196611:CKP196668 CUL196611:CUL196668 DEH196611:DEH196668 DOD196611:DOD196668 DXZ196611:DXZ196668 EHV196611:EHV196668 ERR196611:ERR196668 FBN196611:FBN196668 FLJ196611:FLJ196668 FVF196611:FVF196668 GFB196611:GFB196668 GOX196611:GOX196668 GYT196611:GYT196668 HIP196611:HIP196668 HSL196611:HSL196668 ICH196611:ICH196668 IMD196611:IMD196668 IVZ196611:IVZ196668 JFV196611:JFV196668 JPR196611:JPR196668 JZN196611:JZN196668 KJJ196611:KJJ196668 KTF196611:KTF196668 LDB196611:LDB196668 LMX196611:LMX196668 LWT196611:LWT196668 MGP196611:MGP196668 MQL196611:MQL196668 NAH196611:NAH196668 NKD196611:NKD196668 NTZ196611:NTZ196668 ODV196611:ODV196668 ONR196611:ONR196668 OXN196611:OXN196668 PHJ196611:PHJ196668 PRF196611:PRF196668 QBB196611:QBB196668 QKX196611:QKX196668 QUT196611:QUT196668 REP196611:REP196668 ROL196611:ROL196668 RYH196611:RYH196668 SID196611:SID196668 SRZ196611:SRZ196668 TBV196611:TBV196668 TLR196611:TLR196668 TVN196611:TVN196668 UFJ196611:UFJ196668 UPF196611:UPF196668 UZB196611:UZB196668 VIX196611:VIX196668 VST196611:VST196668 WCP196611:WCP196668 WML196611:WML196668 WWH196611:WWH196668 G262147:G262204 JV262147:JV262204 TR262147:TR262204 ADN262147:ADN262204 ANJ262147:ANJ262204 AXF262147:AXF262204 BHB262147:BHB262204 BQX262147:BQX262204 CAT262147:CAT262204 CKP262147:CKP262204 CUL262147:CUL262204 DEH262147:DEH262204 DOD262147:DOD262204 DXZ262147:DXZ262204 EHV262147:EHV262204 ERR262147:ERR262204 FBN262147:FBN262204 FLJ262147:FLJ262204 FVF262147:FVF262204 GFB262147:GFB262204 GOX262147:GOX262204 GYT262147:GYT262204 HIP262147:HIP262204 HSL262147:HSL262204 ICH262147:ICH262204 IMD262147:IMD262204 IVZ262147:IVZ262204 JFV262147:JFV262204 JPR262147:JPR262204 JZN262147:JZN262204 KJJ262147:KJJ262204 KTF262147:KTF262204 LDB262147:LDB262204 LMX262147:LMX262204 LWT262147:LWT262204 MGP262147:MGP262204 MQL262147:MQL262204 NAH262147:NAH262204 NKD262147:NKD262204 NTZ262147:NTZ262204 ODV262147:ODV262204 ONR262147:ONR262204 OXN262147:OXN262204 PHJ262147:PHJ262204 PRF262147:PRF262204 QBB262147:QBB262204 QKX262147:QKX262204 QUT262147:QUT262204 REP262147:REP262204 ROL262147:ROL262204 RYH262147:RYH262204 SID262147:SID262204 SRZ262147:SRZ262204 TBV262147:TBV262204 TLR262147:TLR262204 TVN262147:TVN262204 UFJ262147:UFJ262204 UPF262147:UPF262204 UZB262147:UZB262204 VIX262147:VIX262204 VST262147:VST262204 WCP262147:WCP262204 WML262147:WML262204 WWH262147:WWH262204 G327683:G327740 JV327683:JV327740 TR327683:TR327740 ADN327683:ADN327740 ANJ327683:ANJ327740 AXF327683:AXF327740 BHB327683:BHB327740 BQX327683:BQX327740 CAT327683:CAT327740 CKP327683:CKP327740 CUL327683:CUL327740 DEH327683:DEH327740 DOD327683:DOD327740 DXZ327683:DXZ327740 EHV327683:EHV327740 ERR327683:ERR327740 FBN327683:FBN327740 FLJ327683:FLJ327740 FVF327683:FVF327740 GFB327683:GFB327740 GOX327683:GOX327740 GYT327683:GYT327740 HIP327683:HIP327740 HSL327683:HSL327740 ICH327683:ICH327740 IMD327683:IMD327740 IVZ327683:IVZ327740 JFV327683:JFV327740 JPR327683:JPR327740 JZN327683:JZN327740 KJJ327683:KJJ327740 KTF327683:KTF327740 LDB327683:LDB327740 LMX327683:LMX327740 LWT327683:LWT327740 MGP327683:MGP327740 MQL327683:MQL327740 NAH327683:NAH327740 NKD327683:NKD327740 NTZ327683:NTZ327740 ODV327683:ODV327740 ONR327683:ONR327740 OXN327683:OXN327740 PHJ327683:PHJ327740 PRF327683:PRF327740 QBB327683:QBB327740 QKX327683:QKX327740 QUT327683:QUT327740 REP327683:REP327740 ROL327683:ROL327740 RYH327683:RYH327740 SID327683:SID327740 SRZ327683:SRZ327740 TBV327683:TBV327740 TLR327683:TLR327740 TVN327683:TVN327740 UFJ327683:UFJ327740 UPF327683:UPF327740 UZB327683:UZB327740 VIX327683:VIX327740 VST327683:VST327740 WCP327683:WCP327740 WML327683:WML327740 WWH327683:WWH327740 G393219:G393276 JV393219:JV393276 TR393219:TR393276 ADN393219:ADN393276 ANJ393219:ANJ393276 AXF393219:AXF393276 BHB393219:BHB393276 BQX393219:BQX393276 CAT393219:CAT393276 CKP393219:CKP393276 CUL393219:CUL393276 DEH393219:DEH393276 DOD393219:DOD393276 DXZ393219:DXZ393276 EHV393219:EHV393276 ERR393219:ERR393276 FBN393219:FBN393276 FLJ393219:FLJ393276 FVF393219:FVF393276 GFB393219:GFB393276 GOX393219:GOX393276 GYT393219:GYT393276 HIP393219:HIP393276 HSL393219:HSL393276 ICH393219:ICH393276 IMD393219:IMD393276 IVZ393219:IVZ393276 JFV393219:JFV393276 JPR393219:JPR393276 JZN393219:JZN393276 KJJ393219:KJJ393276 KTF393219:KTF393276 LDB393219:LDB393276 LMX393219:LMX393276 LWT393219:LWT393276 MGP393219:MGP393276 MQL393219:MQL393276 NAH393219:NAH393276 NKD393219:NKD393276 NTZ393219:NTZ393276 ODV393219:ODV393276 ONR393219:ONR393276 OXN393219:OXN393276 PHJ393219:PHJ393276 PRF393219:PRF393276 QBB393219:QBB393276 QKX393219:QKX393276 QUT393219:QUT393276 REP393219:REP393276 ROL393219:ROL393276 RYH393219:RYH393276 SID393219:SID393276 SRZ393219:SRZ393276 TBV393219:TBV393276 TLR393219:TLR393276 TVN393219:TVN393276 UFJ393219:UFJ393276 UPF393219:UPF393276 UZB393219:UZB393276 VIX393219:VIX393276 VST393219:VST393276 WCP393219:WCP393276 WML393219:WML393276 WWH393219:WWH393276 G458755:G458812 JV458755:JV458812 TR458755:TR458812 ADN458755:ADN458812 ANJ458755:ANJ458812 AXF458755:AXF458812 BHB458755:BHB458812 BQX458755:BQX458812 CAT458755:CAT458812 CKP458755:CKP458812 CUL458755:CUL458812 DEH458755:DEH458812 DOD458755:DOD458812 DXZ458755:DXZ458812 EHV458755:EHV458812 ERR458755:ERR458812 FBN458755:FBN458812 FLJ458755:FLJ458812 FVF458755:FVF458812 GFB458755:GFB458812 GOX458755:GOX458812 GYT458755:GYT458812 HIP458755:HIP458812 HSL458755:HSL458812 ICH458755:ICH458812 IMD458755:IMD458812 IVZ458755:IVZ458812 JFV458755:JFV458812 JPR458755:JPR458812 JZN458755:JZN458812 KJJ458755:KJJ458812 KTF458755:KTF458812 LDB458755:LDB458812 LMX458755:LMX458812 LWT458755:LWT458812 MGP458755:MGP458812 MQL458755:MQL458812 NAH458755:NAH458812 NKD458755:NKD458812 NTZ458755:NTZ458812 ODV458755:ODV458812 ONR458755:ONR458812 OXN458755:OXN458812 PHJ458755:PHJ458812 PRF458755:PRF458812 QBB458755:QBB458812 QKX458755:QKX458812 QUT458755:QUT458812 REP458755:REP458812 ROL458755:ROL458812 RYH458755:RYH458812 SID458755:SID458812 SRZ458755:SRZ458812 TBV458755:TBV458812 TLR458755:TLR458812 TVN458755:TVN458812 UFJ458755:UFJ458812 UPF458755:UPF458812 UZB458755:UZB458812 VIX458755:VIX458812 VST458755:VST458812 WCP458755:WCP458812 WML458755:WML458812 WWH458755:WWH458812 G524291:G524348 JV524291:JV524348 TR524291:TR524348 ADN524291:ADN524348 ANJ524291:ANJ524348 AXF524291:AXF524348 BHB524291:BHB524348 BQX524291:BQX524348 CAT524291:CAT524348 CKP524291:CKP524348 CUL524291:CUL524348 DEH524291:DEH524348 DOD524291:DOD524348 DXZ524291:DXZ524348 EHV524291:EHV524348 ERR524291:ERR524348 FBN524291:FBN524348 FLJ524291:FLJ524348 FVF524291:FVF524348 GFB524291:GFB524348 GOX524291:GOX524348 GYT524291:GYT524348 HIP524291:HIP524348 HSL524291:HSL524348 ICH524291:ICH524348 IMD524291:IMD524348 IVZ524291:IVZ524348 JFV524291:JFV524348 JPR524291:JPR524348 JZN524291:JZN524348 KJJ524291:KJJ524348 KTF524291:KTF524348 LDB524291:LDB524348 LMX524291:LMX524348 LWT524291:LWT524348 MGP524291:MGP524348 MQL524291:MQL524348 NAH524291:NAH524348 NKD524291:NKD524348 NTZ524291:NTZ524348 ODV524291:ODV524348 ONR524291:ONR524348 OXN524291:OXN524348 PHJ524291:PHJ524348 PRF524291:PRF524348 QBB524291:QBB524348 QKX524291:QKX524348 QUT524291:QUT524348 REP524291:REP524348 ROL524291:ROL524348 RYH524291:RYH524348 SID524291:SID524348 SRZ524291:SRZ524348 TBV524291:TBV524348 TLR524291:TLR524348 TVN524291:TVN524348 UFJ524291:UFJ524348 UPF524291:UPF524348 UZB524291:UZB524348 VIX524291:VIX524348 VST524291:VST524348 WCP524291:WCP524348 WML524291:WML524348 WWH524291:WWH524348 G589827:G589884 JV589827:JV589884 TR589827:TR589884 ADN589827:ADN589884 ANJ589827:ANJ589884 AXF589827:AXF589884 BHB589827:BHB589884 BQX589827:BQX589884 CAT589827:CAT589884 CKP589827:CKP589884 CUL589827:CUL589884 DEH589827:DEH589884 DOD589827:DOD589884 DXZ589827:DXZ589884 EHV589827:EHV589884 ERR589827:ERR589884 FBN589827:FBN589884 FLJ589827:FLJ589884 FVF589827:FVF589884 GFB589827:GFB589884 GOX589827:GOX589884 GYT589827:GYT589884 HIP589827:HIP589884 HSL589827:HSL589884 ICH589827:ICH589884 IMD589827:IMD589884 IVZ589827:IVZ589884 JFV589827:JFV589884 JPR589827:JPR589884 JZN589827:JZN589884 KJJ589827:KJJ589884 KTF589827:KTF589884 LDB589827:LDB589884 LMX589827:LMX589884 LWT589827:LWT589884 MGP589827:MGP589884 MQL589827:MQL589884 NAH589827:NAH589884 NKD589827:NKD589884 NTZ589827:NTZ589884 ODV589827:ODV589884 ONR589827:ONR589884 OXN589827:OXN589884 PHJ589827:PHJ589884 PRF589827:PRF589884 QBB589827:QBB589884 QKX589827:QKX589884 QUT589827:QUT589884 REP589827:REP589884 ROL589827:ROL589884 RYH589827:RYH589884 SID589827:SID589884 SRZ589827:SRZ589884 TBV589827:TBV589884 TLR589827:TLR589884 TVN589827:TVN589884 UFJ589827:UFJ589884 UPF589827:UPF589884 UZB589827:UZB589884 VIX589827:VIX589884 VST589827:VST589884 WCP589827:WCP589884 WML589827:WML589884 WWH589827:WWH589884 G655363:G655420 JV655363:JV655420 TR655363:TR655420 ADN655363:ADN655420 ANJ655363:ANJ655420 AXF655363:AXF655420 BHB655363:BHB655420 BQX655363:BQX655420 CAT655363:CAT655420 CKP655363:CKP655420 CUL655363:CUL655420 DEH655363:DEH655420 DOD655363:DOD655420 DXZ655363:DXZ655420 EHV655363:EHV655420 ERR655363:ERR655420 FBN655363:FBN655420 FLJ655363:FLJ655420 FVF655363:FVF655420 GFB655363:GFB655420 GOX655363:GOX655420 GYT655363:GYT655420 HIP655363:HIP655420 HSL655363:HSL655420 ICH655363:ICH655420 IMD655363:IMD655420 IVZ655363:IVZ655420 JFV655363:JFV655420 JPR655363:JPR655420 JZN655363:JZN655420 KJJ655363:KJJ655420 KTF655363:KTF655420 LDB655363:LDB655420 LMX655363:LMX655420 LWT655363:LWT655420 MGP655363:MGP655420 MQL655363:MQL655420 NAH655363:NAH655420 NKD655363:NKD655420 NTZ655363:NTZ655420 ODV655363:ODV655420 ONR655363:ONR655420 OXN655363:OXN655420 PHJ655363:PHJ655420 PRF655363:PRF655420 QBB655363:QBB655420 QKX655363:QKX655420 QUT655363:QUT655420 REP655363:REP655420 ROL655363:ROL655420 RYH655363:RYH655420 SID655363:SID655420 SRZ655363:SRZ655420 TBV655363:TBV655420 TLR655363:TLR655420 TVN655363:TVN655420 UFJ655363:UFJ655420 UPF655363:UPF655420 UZB655363:UZB655420 VIX655363:VIX655420 VST655363:VST655420 WCP655363:WCP655420 WML655363:WML655420 WWH655363:WWH655420 G720899:G720956 JV720899:JV720956 TR720899:TR720956 ADN720899:ADN720956 ANJ720899:ANJ720956 AXF720899:AXF720956 BHB720899:BHB720956 BQX720899:BQX720956 CAT720899:CAT720956 CKP720899:CKP720956 CUL720899:CUL720956 DEH720899:DEH720956 DOD720899:DOD720956 DXZ720899:DXZ720956 EHV720899:EHV720956 ERR720899:ERR720956 FBN720899:FBN720956 FLJ720899:FLJ720956 FVF720899:FVF720956 GFB720899:GFB720956 GOX720899:GOX720956 GYT720899:GYT720956 HIP720899:HIP720956 HSL720899:HSL720956 ICH720899:ICH720956 IMD720899:IMD720956 IVZ720899:IVZ720956 JFV720899:JFV720956 JPR720899:JPR720956 JZN720899:JZN720956 KJJ720899:KJJ720956 KTF720899:KTF720956 LDB720899:LDB720956 LMX720899:LMX720956 LWT720899:LWT720956 MGP720899:MGP720956 MQL720899:MQL720956 NAH720899:NAH720956 NKD720899:NKD720956 NTZ720899:NTZ720956 ODV720899:ODV720956 ONR720899:ONR720956 OXN720899:OXN720956 PHJ720899:PHJ720956 PRF720899:PRF720956 QBB720899:QBB720956 QKX720899:QKX720956 QUT720899:QUT720956 REP720899:REP720956 ROL720899:ROL720956 RYH720899:RYH720956 SID720899:SID720956 SRZ720899:SRZ720956 TBV720899:TBV720956 TLR720899:TLR720956 TVN720899:TVN720956 UFJ720899:UFJ720956 UPF720899:UPF720956 UZB720899:UZB720956 VIX720899:VIX720956 VST720899:VST720956 WCP720899:WCP720956 WML720899:WML720956 WWH720899:WWH720956 G786435:G786492 JV786435:JV786492 TR786435:TR786492 ADN786435:ADN786492 ANJ786435:ANJ786492 AXF786435:AXF786492 BHB786435:BHB786492 BQX786435:BQX786492 CAT786435:CAT786492 CKP786435:CKP786492 CUL786435:CUL786492 DEH786435:DEH786492 DOD786435:DOD786492 DXZ786435:DXZ786492 EHV786435:EHV786492 ERR786435:ERR786492 FBN786435:FBN786492 FLJ786435:FLJ786492 FVF786435:FVF786492 GFB786435:GFB786492 GOX786435:GOX786492 GYT786435:GYT786492 HIP786435:HIP786492 HSL786435:HSL786492 ICH786435:ICH786492 IMD786435:IMD786492 IVZ786435:IVZ786492 JFV786435:JFV786492 JPR786435:JPR786492 JZN786435:JZN786492 KJJ786435:KJJ786492 KTF786435:KTF786492 LDB786435:LDB786492 LMX786435:LMX786492 LWT786435:LWT786492 MGP786435:MGP786492 MQL786435:MQL786492 NAH786435:NAH786492 NKD786435:NKD786492 NTZ786435:NTZ786492 ODV786435:ODV786492 ONR786435:ONR786492 OXN786435:OXN786492 PHJ786435:PHJ786492 PRF786435:PRF786492 QBB786435:QBB786492 QKX786435:QKX786492 QUT786435:QUT786492 REP786435:REP786492 ROL786435:ROL786492 RYH786435:RYH786492 SID786435:SID786492 SRZ786435:SRZ786492 TBV786435:TBV786492 TLR786435:TLR786492 TVN786435:TVN786492 UFJ786435:UFJ786492 UPF786435:UPF786492 UZB786435:UZB786492 VIX786435:VIX786492 VST786435:VST786492 WCP786435:WCP786492 WML786435:WML786492 WWH786435:WWH786492 G851971:G852028 JV851971:JV852028 TR851971:TR852028 ADN851971:ADN852028 ANJ851971:ANJ852028 AXF851971:AXF852028 BHB851971:BHB852028 BQX851971:BQX852028 CAT851971:CAT852028 CKP851971:CKP852028 CUL851971:CUL852028 DEH851971:DEH852028 DOD851971:DOD852028 DXZ851971:DXZ852028 EHV851971:EHV852028 ERR851971:ERR852028 FBN851971:FBN852028 FLJ851971:FLJ852028 FVF851971:FVF852028 GFB851971:GFB852028 GOX851971:GOX852028 GYT851971:GYT852028 HIP851971:HIP852028 HSL851971:HSL852028 ICH851971:ICH852028 IMD851971:IMD852028 IVZ851971:IVZ852028 JFV851971:JFV852028 JPR851971:JPR852028 JZN851971:JZN852028 KJJ851971:KJJ852028 KTF851971:KTF852028 LDB851971:LDB852028 LMX851971:LMX852028 LWT851971:LWT852028 MGP851971:MGP852028 MQL851971:MQL852028 NAH851971:NAH852028 NKD851971:NKD852028 NTZ851971:NTZ852028 ODV851971:ODV852028 ONR851971:ONR852028 OXN851971:OXN852028 PHJ851971:PHJ852028 PRF851971:PRF852028 QBB851971:QBB852028 QKX851971:QKX852028 QUT851971:QUT852028 REP851971:REP852028 ROL851971:ROL852028 RYH851971:RYH852028 SID851971:SID852028 SRZ851971:SRZ852028 TBV851971:TBV852028 TLR851971:TLR852028 TVN851971:TVN852028 UFJ851971:UFJ852028 UPF851971:UPF852028 UZB851971:UZB852028 VIX851971:VIX852028 VST851971:VST852028 WCP851971:WCP852028 WML851971:WML852028 WWH851971:WWH852028 G917507:G917564 JV917507:JV917564 TR917507:TR917564 ADN917507:ADN917564 ANJ917507:ANJ917564 AXF917507:AXF917564 BHB917507:BHB917564 BQX917507:BQX917564 CAT917507:CAT917564 CKP917507:CKP917564 CUL917507:CUL917564 DEH917507:DEH917564 DOD917507:DOD917564 DXZ917507:DXZ917564 EHV917507:EHV917564 ERR917507:ERR917564 FBN917507:FBN917564 FLJ917507:FLJ917564 FVF917507:FVF917564 GFB917507:GFB917564 GOX917507:GOX917564 GYT917507:GYT917564 HIP917507:HIP917564 HSL917507:HSL917564 ICH917507:ICH917564 IMD917507:IMD917564 IVZ917507:IVZ917564 JFV917507:JFV917564 JPR917507:JPR917564 JZN917507:JZN917564 KJJ917507:KJJ917564 KTF917507:KTF917564 LDB917507:LDB917564 LMX917507:LMX917564 LWT917507:LWT917564 MGP917507:MGP917564 MQL917507:MQL917564 NAH917507:NAH917564 NKD917507:NKD917564 NTZ917507:NTZ917564 ODV917507:ODV917564 ONR917507:ONR917564 OXN917507:OXN917564 PHJ917507:PHJ917564 PRF917507:PRF917564 QBB917507:QBB917564 QKX917507:QKX917564 QUT917507:QUT917564 REP917507:REP917564 ROL917507:ROL917564 RYH917507:RYH917564 SID917507:SID917564 SRZ917507:SRZ917564 TBV917507:TBV917564 TLR917507:TLR917564 TVN917507:TVN917564 UFJ917507:UFJ917564 UPF917507:UPF917564 UZB917507:UZB917564 VIX917507:VIX917564 VST917507:VST917564 WCP917507:WCP917564 WML917507:WML917564 WWH917507:WWH917564 G983043:G983100 JV983043:JV983100 TR983043:TR983100 ADN983043:ADN983100 ANJ983043:ANJ983100 AXF983043:AXF983100 BHB983043:BHB983100 BQX983043:BQX983100 CAT983043:CAT983100 CKP983043:CKP983100 CUL983043:CUL983100 DEH983043:DEH983100 DOD983043:DOD983100 DXZ983043:DXZ983100 EHV983043:EHV983100 ERR983043:ERR983100 FBN983043:FBN983100 FLJ983043:FLJ983100 FVF983043:FVF983100 GFB983043:GFB983100 GOX983043:GOX983100 GYT983043:GYT983100 HIP983043:HIP983100 HSL983043:HSL983100 ICH983043:ICH983100 IMD983043:IMD983100 IVZ983043:IVZ983100 JFV983043:JFV983100 JPR983043:JPR983100 JZN983043:JZN983100 KJJ983043:KJJ983100 KTF983043:KTF983100 LDB983043:LDB983100 LMX983043:LMX983100 LWT983043:LWT983100 MGP983043:MGP983100 MQL983043:MQL983100 NAH983043:NAH983100 NKD983043:NKD983100 NTZ983043:NTZ983100 ODV983043:ODV983100 ONR983043:ONR983100 OXN983043:OXN983100 PHJ983043:PHJ983100 PRF983043:PRF983100 QBB983043:QBB983100 QKX983043:QKX983100 QUT983043:QUT983100 REP983043:REP983100 ROL983043:ROL983100 RYH983043:RYH983100 SID983043:SID983100 SRZ983043:SRZ983100 TBV983043:TBV983100 TLR983043:TLR983100 TVN983043:TVN983100 UFJ983043:UFJ983100 UPF983043:UPF983100 UZB983043:UZB983100 VIX983043:VIX983100 VST983043:VST983100 WCP983043:WCP983100 WML983043:WML983100 WWH983043:WWH983100 G3:G60">
      <formula1>"IS,IR,"</formula1>
    </dataValidation>
    <dataValidation type="list" allowBlank="1" showInputMessage="1" showErrorMessage="1" sqref="M3:N60">
      <formula1>"OUI,NON,A FAIRE"</formula1>
    </dataValidation>
    <dataValidation type="list" allowBlank="1" showInputMessage="1" showErrorMessage="1" sqref="O3:O60">
      <formula1>"COMPTABLE,CONSEILLER"</formula1>
    </dataValidation>
    <dataValidation type="list" allowBlank="1" showInputMessage="1" showErrorMessage="1" sqref="Q3:Q60 AM3:AM60">
      <formula1>"OUI,NON"</formula1>
    </dataValidation>
    <dataValidation type="list" allowBlank="1" showInputMessage="1" showErrorMessage="1" sqref="R3:R60">
      <formula1>"OUI,NON,A FAIRE,N/A"</formula1>
    </dataValidation>
    <dataValidation type="list" allowBlank="1" showInputMessage="1" showErrorMessage="1" sqref="AY3:BA60">
      <formula1>"X"</formula1>
    </dataValidation>
    <dataValidation type="list" allowBlank="1" showInputMessage="1" showErrorMessage="1" sqref="P3:P60">
      <formula1>"OUI,NON,A TERMINER,A FAIRE"</formula1>
    </dataValidation>
    <dataValidation type="list" allowBlank="1" showInputMessage="1" showErrorMessage="1" sqref="AL3:AL60">
      <formula1>"ABONNE COURT,ABONNE LONG"</formula1>
    </dataValidation>
    <dataValidation type="list" allowBlank="1" showInputMessage="1" showErrorMessage="1" sqref="BG3:BI60">
      <formula1>"OUI,NON,N/C"</formula1>
    </dataValidation>
    <dataValidation type="list" allowBlank="1" showInputMessage="1" showErrorMessage="1" sqref="H3:H60">
      <formula1>"MENSUELLE,TRIMESTRIELLE,EXERCICE,ANNUELLE"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Paramètres!$F$4:$F$17</xm:f>
          </x14:formula1>
          <xm:sqref>F3:F52</xm:sqref>
        </x14:dataValidation>
        <x14:dataValidation type="list" allowBlank="1" showInputMessage="1" showErrorMessage="1">
          <x14:formula1>
            <xm:f>Paramètres!$J$4:$J$7</xm:f>
          </x14:formula1>
          <xm:sqref>AI3:AI60</xm:sqref>
        </x14:dataValidation>
        <x14:dataValidation type="list" allowBlank="1" showInputMessage="1" showErrorMessage="1">
          <x14:formula1>
            <xm:f>Paramètres!$K$4:$K$8</xm:f>
          </x14:formula1>
          <xm:sqref>AJ4:AJ60</xm:sqref>
        </x14:dataValidation>
        <x14:dataValidation type="list" allowBlank="1" showInputMessage="1" showErrorMessage="1">
          <x14:formula1>
            <xm:f>Paramètres!$L$4:$L$11</xm:f>
          </x14:formula1>
          <xm:sqref>A3:A60</xm:sqref>
        </x14:dataValidation>
        <x14:dataValidation type="list" allowBlank="1" showInputMessage="1" showErrorMessage="1">
          <x14:formula1>
            <xm:f>Paramètres!$K$4:$K$9</xm:f>
          </x14:formula1>
          <xm:sqref>AJ3</xm:sqref>
        </x14:dataValidation>
        <x14:dataValidation type="list" allowBlank="1" showInputMessage="1" showErrorMessage="1">
          <x14:formula1>
            <xm:f>Paramètres!$N$4:$N$13</xm:f>
          </x14:formula1>
          <xm:sqref>BE3:BE60</xm:sqref>
        </x14:dataValidation>
        <x14:dataValidation type="list" allowBlank="1" showInputMessage="1" showErrorMessage="1">
          <x14:formula1>
            <xm:f>Paramètres!$O$4:$O$16</xm:f>
          </x14:formula1>
          <xm:sqref>BF3:BF60</xm:sqref>
        </x14:dataValidation>
        <x14:dataValidation type="list" allowBlank="1" showInputMessage="1" showErrorMessage="1">
          <x14:formula1>
            <xm:f>Paramètres!$O$6:$O$16</xm:f>
          </x14:formula1>
          <xm:sqref>AK3:AK60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DL183"/>
  <sheetViews>
    <sheetView zoomScale="85" zoomScaleNormal="85" workbookViewId="0">
      <pane xSplit="5" ySplit="2" topLeftCell="F3" activePane="bottomRight" state="frozen"/>
      <selection pane="topRight" activeCell="F1" sqref="F1"/>
      <selection pane="bottomLeft" activeCell="A3" sqref="A3"/>
      <selection pane="bottomRight" activeCell="A3" sqref="A3:A5"/>
    </sheetView>
  </sheetViews>
  <sheetFormatPr baseColWidth="10" defaultRowHeight="15" x14ac:dyDescent="0.25"/>
  <cols>
    <col min="1" max="1" width="24.42578125" style="89" bestFit="1" customWidth="1"/>
    <col min="2" max="2" width="15.42578125" style="89" customWidth="1"/>
    <col min="3" max="3" width="33.7109375" style="89" customWidth="1"/>
    <col min="4" max="4" width="19" style="89" customWidth="1"/>
    <col min="5" max="5" width="19.85546875" style="89" customWidth="1"/>
    <col min="6" max="6" width="18.5703125" style="89" customWidth="1"/>
    <col min="7" max="7" width="19.7109375" style="89" customWidth="1"/>
    <col min="8" max="8" width="14.85546875" style="89" customWidth="1"/>
    <col min="9" max="9" width="16.85546875" style="89" customWidth="1"/>
    <col min="10" max="12" width="11.42578125" style="89" customWidth="1"/>
    <col min="13" max="13" width="18.140625" style="89" customWidth="1"/>
    <col min="14" max="14" width="11.42578125" style="89" customWidth="1"/>
    <col min="15" max="15" width="12.5703125" style="89" customWidth="1"/>
    <col min="16" max="16" width="25" style="89" customWidth="1"/>
    <col min="17" max="17" width="16.5703125" style="89" customWidth="1"/>
    <col min="18" max="18" width="24" style="89" customWidth="1"/>
    <col min="19" max="19" width="16.5703125" style="89" customWidth="1"/>
    <col min="20" max="21" width="20" style="89" customWidth="1"/>
    <col min="22" max="22" width="20.85546875" style="89" customWidth="1"/>
    <col min="23" max="23" width="11.42578125" style="89" customWidth="1"/>
    <col min="24" max="24" width="23.7109375" style="89" customWidth="1"/>
    <col min="25" max="25" width="14" style="89" customWidth="1"/>
    <col min="26" max="26" width="13.28515625" style="89" customWidth="1"/>
    <col min="27" max="28" width="18.5703125" style="89" customWidth="1"/>
    <col min="29" max="29" width="18" style="89" customWidth="1"/>
    <col min="30" max="30" width="11.42578125" style="241" customWidth="1"/>
    <col min="31" max="32" width="18" style="89" customWidth="1"/>
    <col min="33" max="33" width="11.42578125" style="89" customWidth="1"/>
    <col min="34" max="35" width="18.7109375" style="241" customWidth="1"/>
    <col min="36" max="36" width="20" style="241" customWidth="1"/>
    <col min="37" max="37" width="18" style="89" customWidth="1"/>
    <col min="38" max="43" width="19" style="89" customWidth="1"/>
    <col min="44" max="44" width="11.42578125" style="241" customWidth="1"/>
    <col min="45" max="49" width="11.42578125" style="89" customWidth="1"/>
    <col min="50" max="50" width="15.140625" style="89" customWidth="1"/>
    <col min="51" max="51" width="14" style="89" customWidth="1"/>
    <col min="52" max="52" width="15.140625" style="89" customWidth="1"/>
    <col min="53" max="53" width="11.42578125" style="89" customWidth="1"/>
    <col min="54" max="54" width="22.28515625" style="89" customWidth="1"/>
    <col min="55" max="56" width="29.5703125" style="89" customWidth="1"/>
    <col min="57" max="57" width="30.85546875" style="89" customWidth="1"/>
    <col min="58" max="62" width="11.42578125" style="89" customWidth="1"/>
    <col min="63" max="76" width="30.7109375" style="89" customWidth="1"/>
    <col min="77" max="112" width="11.42578125" style="89" customWidth="1"/>
    <col min="113" max="116" width="11.42578125" style="89" hidden="1" customWidth="1"/>
    <col min="117" max="276" width="11.42578125" style="89"/>
    <col min="277" max="277" width="15.5703125" style="89" bestFit="1" customWidth="1"/>
    <col min="278" max="278" width="33.7109375" style="89" customWidth="1"/>
    <col min="279" max="279" width="19" style="89" customWidth="1"/>
    <col min="280" max="280" width="19.85546875" style="89" customWidth="1"/>
    <col min="281" max="281" width="18.5703125" style="89" customWidth="1"/>
    <col min="282" max="282" width="19.7109375" style="89" customWidth="1"/>
    <col min="283" max="283" width="14.85546875" style="89" customWidth="1"/>
    <col min="284" max="284" width="16.85546875" style="89" customWidth="1"/>
    <col min="285" max="287" width="11.42578125" style="89" customWidth="1"/>
    <col min="288" max="288" width="18.140625" style="89" customWidth="1"/>
    <col min="289" max="289" width="11.42578125" style="89" customWidth="1"/>
    <col min="290" max="290" width="12.5703125" style="89" customWidth="1"/>
    <col min="291" max="291" width="25" style="89" customWidth="1"/>
    <col min="292" max="292" width="16.5703125" style="89" bestFit="1" customWidth="1"/>
    <col min="293" max="293" width="24" style="89" customWidth="1"/>
    <col min="294" max="294" width="11.42578125" style="89" customWidth="1"/>
    <col min="295" max="295" width="20" style="89" customWidth="1"/>
    <col min="296" max="296" width="11.42578125" style="89" customWidth="1"/>
    <col min="297" max="297" width="19" style="89" customWidth="1"/>
    <col min="298" max="301" width="11.42578125" style="89" customWidth="1"/>
    <col min="302" max="302" width="15.140625" style="89" customWidth="1"/>
    <col min="303" max="303" width="14" style="89" customWidth="1"/>
    <col min="304" max="304" width="15.140625" style="89" customWidth="1"/>
    <col min="305" max="305" width="11.42578125" style="89" customWidth="1"/>
    <col min="306" max="306" width="51.7109375" style="89" customWidth="1"/>
    <col min="307" max="308" width="29.5703125" style="89" customWidth="1"/>
    <col min="309" max="309" width="44.42578125" style="89" customWidth="1"/>
    <col min="310" max="310" width="36.28515625" style="89" customWidth="1"/>
    <col min="311" max="311" width="27.42578125" style="89" bestFit="1" customWidth="1"/>
    <col min="312" max="532" width="11.42578125" style="89"/>
    <col min="533" max="533" width="15.5703125" style="89" bestFit="1" customWidth="1"/>
    <col min="534" max="534" width="33.7109375" style="89" customWidth="1"/>
    <col min="535" max="535" width="19" style="89" customWidth="1"/>
    <col min="536" max="536" width="19.85546875" style="89" customWidth="1"/>
    <col min="537" max="537" width="18.5703125" style="89" customWidth="1"/>
    <col min="538" max="538" width="19.7109375" style="89" customWidth="1"/>
    <col min="539" max="539" width="14.85546875" style="89" customWidth="1"/>
    <col min="540" max="540" width="16.85546875" style="89" customWidth="1"/>
    <col min="541" max="543" width="11.42578125" style="89" customWidth="1"/>
    <col min="544" max="544" width="18.140625" style="89" customWidth="1"/>
    <col min="545" max="545" width="11.42578125" style="89" customWidth="1"/>
    <col min="546" max="546" width="12.5703125" style="89" customWidth="1"/>
    <col min="547" max="547" width="25" style="89" customWidth="1"/>
    <col min="548" max="548" width="16.5703125" style="89" bestFit="1" customWidth="1"/>
    <col min="549" max="549" width="24" style="89" customWidth="1"/>
    <col min="550" max="550" width="11.42578125" style="89" customWidth="1"/>
    <col min="551" max="551" width="20" style="89" customWidth="1"/>
    <col min="552" max="552" width="11.42578125" style="89" customWidth="1"/>
    <col min="553" max="553" width="19" style="89" customWidth="1"/>
    <col min="554" max="557" width="11.42578125" style="89" customWidth="1"/>
    <col min="558" max="558" width="15.140625" style="89" customWidth="1"/>
    <col min="559" max="559" width="14" style="89" customWidth="1"/>
    <col min="560" max="560" width="15.140625" style="89" customWidth="1"/>
    <col min="561" max="561" width="11.42578125" style="89" customWidth="1"/>
    <col min="562" max="562" width="51.7109375" style="89" customWidth="1"/>
    <col min="563" max="564" width="29.5703125" style="89" customWidth="1"/>
    <col min="565" max="565" width="44.42578125" style="89" customWidth="1"/>
    <col min="566" max="566" width="36.28515625" style="89" customWidth="1"/>
    <col min="567" max="567" width="27.42578125" style="89" bestFit="1" customWidth="1"/>
    <col min="568" max="788" width="11.42578125" style="89"/>
    <col min="789" max="789" width="15.5703125" style="89" bestFit="1" customWidth="1"/>
    <col min="790" max="790" width="33.7109375" style="89" customWidth="1"/>
    <col min="791" max="791" width="19" style="89" customWidth="1"/>
    <col min="792" max="792" width="19.85546875" style="89" customWidth="1"/>
    <col min="793" max="793" width="18.5703125" style="89" customWidth="1"/>
    <col min="794" max="794" width="19.7109375" style="89" customWidth="1"/>
    <col min="795" max="795" width="14.85546875" style="89" customWidth="1"/>
    <col min="796" max="796" width="16.85546875" style="89" customWidth="1"/>
    <col min="797" max="799" width="11.42578125" style="89" customWidth="1"/>
    <col min="800" max="800" width="18.140625" style="89" customWidth="1"/>
    <col min="801" max="801" width="11.42578125" style="89" customWidth="1"/>
    <col min="802" max="802" width="12.5703125" style="89" customWidth="1"/>
    <col min="803" max="803" width="25" style="89" customWidth="1"/>
    <col min="804" max="804" width="16.5703125" style="89" bestFit="1" customWidth="1"/>
    <col min="805" max="805" width="24" style="89" customWidth="1"/>
    <col min="806" max="806" width="11.42578125" style="89" customWidth="1"/>
    <col min="807" max="807" width="20" style="89" customWidth="1"/>
    <col min="808" max="808" width="11.42578125" style="89" customWidth="1"/>
    <col min="809" max="809" width="19" style="89" customWidth="1"/>
    <col min="810" max="813" width="11.42578125" style="89" customWidth="1"/>
    <col min="814" max="814" width="15.140625" style="89" customWidth="1"/>
    <col min="815" max="815" width="14" style="89" customWidth="1"/>
    <col min="816" max="816" width="15.140625" style="89" customWidth="1"/>
    <col min="817" max="817" width="11.42578125" style="89" customWidth="1"/>
    <col min="818" max="818" width="51.7109375" style="89" customWidth="1"/>
    <col min="819" max="820" width="29.5703125" style="89" customWidth="1"/>
    <col min="821" max="821" width="44.42578125" style="89" customWidth="1"/>
    <col min="822" max="822" width="36.28515625" style="89" customWidth="1"/>
    <col min="823" max="823" width="27.42578125" style="89" bestFit="1" customWidth="1"/>
    <col min="824" max="1044" width="11.42578125" style="89"/>
    <col min="1045" max="1045" width="15.5703125" style="89" bestFit="1" customWidth="1"/>
    <col min="1046" max="1046" width="33.7109375" style="89" customWidth="1"/>
    <col min="1047" max="1047" width="19" style="89" customWidth="1"/>
    <col min="1048" max="1048" width="19.85546875" style="89" customWidth="1"/>
    <col min="1049" max="1049" width="18.5703125" style="89" customWidth="1"/>
    <col min="1050" max="1050" width="19.7109375" style="89" customWidth="1"/>
    <col min="1051" max="1051" width="14.85546875" style="89" customWidth="1"/>
    <col min="1052" max="1052" width="16.85546875" style="89" customWidth="1"/>
    <col min="1053" max="1055" width="11.42578125" style="89" customWidth="1"/>
    <col min="1056" max="1056" width="18.140625" style="89" customWidth="1"/>
    <col min="1057" max="1057" width="11.42578125" style="89" customWidth="1"/>
    <col min="1058" max="1058" width="12.5703125" style="89" customWidth="1"/>
    <col min="1059" max="1059" width="25" style="89" customWidth="1"/>
    <col min="1060" max="1060" width="16.5703125" style="89" bestFit="1" customWidth="1"/>
    <col min="1061" max="1061" width="24" style="89" customWidth="1"/>
    <col min="1062" max="1062" width="11.42578125" style="89" customWidth="1"/>
    <col min="1063" max="1063" width="20" style="89" customWidth="1"/>
    <col min="1064" max="1064" width="11.42578125" style="89" customWidth="1"/>
    <col min="1065" max="1065" width="19" style="89" customWidth="1"/>
    <col min="1066" max="1069" width="11.42578125" style="89" customWidth="1"/>
    <col min="1070" max="1070" width="15.140625" style="89" customWidth="1"/>
    <col min="1071" max="1071" width="14" style="89" customWidth="1"/>
    <col min="1072" max="1072" width="15.140625" style="89" customWidth="1"/>
    <col min="1073" max="1073" width="11.42578125" style="89" customWidth="1"/>
    <col min="1074" max="1074" width="51.7109375" style="89" customWidth="1"/>
    <col min="1075" max="1076" width="29.5703125" style="89" customWidth="1"/>
    <col min="1077" max="1077" width="44.42578125" style="89" customWidth="1"/>
    <col min="1078" max="1078" width="36.28515625" style="89" customWidth="1"/>
    <col min="1079" max="1079" width="27.42578125" style="89" bestFit="1" customWidth="1"/>
    <col min="1080" max="1300" width="11.42578125" style="89"/>
    <col min="1301" max="1301" width="15.5703125" style="89" bestFit="1" customWidth="1"/>
    <col min="1302" max="1302" width="33.7109375" style="89" customWidth="1"/>
    <col min="1303" max="1303" width="19" style="89" customWidth="1"/>
    <col min="1304" max="1304" width="19.85546875" style="89" customWidth="1"/>
    <col min="1305" max="1305" width="18.5703125" style="89" customWidth="1"/>
    <col min="1306" max="1306" width="19.7109375" style="89" customWidth="1"/>
    <col min="1307" max="1307" width="14.85546875" style="89" customWidth="1"/>
    <col min="1308" max="1308" width="16.85546875" style="89" customWidth="1"/>
    <col min="1309" max="1311" width="11.42578125" style="89" customWidth="1"/>
    <col min="1312" max="1312" width="18.140625" style="89" customWidth="1"/>
    <col min="1313" max="1313" width="11.42578125" style="89" customWidth="1"/>
    <col min="1314" max="1314" width="12.5703125" style="89" customWidth="1"/>
    <col min="1315" max="1315" width="25" style="89" customWidth="1"/>
    <col min="1316" max="1316" width="16.5703125" style="89" bestFit="1" customWidth="1"/>
    <col min="1317" max="1317" width="24" style="89" customWidth="1"/>
    <col min="1318" max="1318" width="11.42578125" style="89" customWidth="1"/>
    <col min="1319" max="1319" width="20" style="89" customWidth="1"/>
    <col min="1320" max="1320" width="11.42578125" style="89" customWidth="1"/>
    <col min="1321" max="1321" width="19" style="89" customWidth="1"/>
    <col min="1322" max="1325" width="11.42578125" style="89" customWidth="1"/>
    <col min="1326" max="1326" width="15.140625" style="89" customWidth="1"/>
    <col min="1327" max="1327" width="14" style="89" customWidth="1"/>
    <col min="1328" max="1328" width="15.140625" style="89" customWidth="1"/>
    <col min="1329" max="1329" width="11.42578125" style="89" customWidth="1"/>
    <col min="1330" max="1330" width="51.7109375" style="89" customWidth="1"/>
    <col min="1331" max="1332" width="29.5703125" style="89" customWidth="1"/>
    <col min="1333" max="1333" width="44.42578125" style="89" customWidth="1"/>
    <col min="1334" max="1334" width="36.28515625" style="89" customWidth="1"/>
    <col min="1335" max="1335" width="27.42578125" style="89" bestFit="1" customWidth="1"/>
    <col min="1336" max="1556" width="11.42578125" style="89"/>
    <col min="1557" max="1557" width="15.5703125" style="89" bestFit="1" customWidth="1"/>
    <col min="1558" max="1558" width="33.7109375" style="89" customWidth="1"/>
    <col min="1559" max="1559" width="19" style="89" customWidth="1"/>
    <col min="1560" max="1560" width="19.85546875" style="89" customWidth="1"/>
    <col min="1561" max="1561" width="18.5703125" style="89" customWidth="1"/>
    <col min="1562" max="1562" width="19.7109375" style="89" customWidth="1"/>
    <col min="1563" max="1563" width="14.85546875" style="89" customWidth="1"/>
    <col min="1564" max="1564" width="16.85546875" style="89" customWidth="1"/>
    <col min="1565" max="1567" width="11.42578125" style="89" customWidth="1"/>
    <col min="1568" max="1568" width="18.140625" style="89" customWidth="1"/>
    <col min="1569" max="1569" width="11.42578125" style="89" customWidth="1"/>
    <col min="1570" max="1570" width="12.5703125" style="89" customWidth="1"/>
    <col min="1571" max="1571" width="25" style="89" customWidth="1"/>
    <col min="1572" max="1572" width="16.5703125" style="89" bestFit="1" customWidth="1"/>
    <col min="1573" max="1573" width="24" style="89" customWidth="1"/>
    <col min="1574" max="1574" width="11.42578125" style="89" customWidth="1"/>
    <col min="1575" max="1575" width="20" style="89" customWidth="1"/>
    <col min="1576" max="1576" width="11.42578125" style="89" customWidth="1"/>
    <col min="1577" max="1577" width="19" style="89" customWidth="1"/>
    <col min="1578" max="1581" width="11.42578125" style="89" customWidth="1"/>
    <col min="1582" max="1582" width="15.140625" style="89" customWidth="1"/>
    <col min="1583" max="1583" width="14" style="89" customWidth="1"/>
    <col min="1584" max="1584" width="15.140625" style="89" customWidth="1"/>
    <col min="1585" max="1585" width="11.42578125" style="89" customWidth="1"/>
    <col min="1586" max="1586" width="51.7109375" style="89" customWidth="1"/>
    <col min="1587" max="1588" width="29.5703125" style="89" customWidth="1"/>
    <col min="1589" max="1589" width="44.42578125" style="89" customWidth="1"/>
    <col min="1590" max="1590" width="36.28515625" style="89" customWidth="1"/>
    <col min="1591" max="1591" width="27.42578125" style="89" bestFit="1" customWidth="1"/>
    <col min="1592" max="1812" width="11.42578125" style="89"/>
    <col min="1813" max="1813" width="15.5703125" style="89" bestFit="1" customWidth="1"/>
    <col min="1814" max="1814" width="33.7109375" style="89" customWidth="1"/>
    <col min="1815" max="1815" width="19" style="89" customWidth="1"/>
    <col min="1816" max="1816" width="19.85546875" style="89" customWidth="1"/>
    <col min="1817" max="1817" width="18.5703125" style="89" customWidth="1"/>
    <col min="1818" max="1818" width="19.7109375" style="89" customWidth="1"/>
    <col min="1819" max="1819" width="14.85546875" style="89" customWidth="1"/>
    <col min="1820" max="1820" width="16.85546875" style="89" customWidth="1"/>
    <col min="1821" max="1823" width="11.42578125" style="89" customWidth="1"/>
    <col min="1824" max="1824" width="18.140625" style="89" customWidth="1"/>
    <col min="1825" max="1825" width="11.42578125" style="89" customWidth="1"/>
    <col min="1826" max="1826" width="12.5703125" style="89" customWidth="1"/>
    <col min="1827" max="1827" width="25" style="89" customWidth="1"/>
    <col min="1828" max="1828" width="16.5703125" style="89" bestFit="1" customWidth="1"/>
    <col min="1829" max="1829" width="24" style="89" customWidth="1"/>
    <col min="1830" max="1830" width="11.42578125" style="89" customWidth="1"/>
    <col min="1831" max="1831" width="20" style="89" customWidth="1"/>
    <col min="1832" max="1832" width="11.42578125" style="89" customWidth="1"/>
    <col min="1833" max="1833" width="19" style="89" customWidth="1"/>
    <col min="1834" max="1837" width="11.42578125" style="89" customWidth="1"/>
    <col min="1838" max="1838" width="15.140625" style="89" customWidth="1"/>
    <col min="1839" max="1839" width="14" style="89" customWidth="1"/>
    <col min="1840" max="1840" width="15.140625" style="89" customWidth="1"/>
    <col min="1841" max="1841" width="11.42578125" style="89" customWidth="1"/>
    <col min="1842" max="1842" width="51.7109375" style="89" customWidth="1"/>
    <col min="1843" max="1844" width="29.5703125" style="89" customWidth="1"/>
    <col min="1845" max="1845" width="44.42578125" style="89" customWidth="1"/>
    <col min="1846" max="1846" width="36.28515625" style="89" customWidth="1"/>
    <col min="1847" max="1847" width="27.42578125" style="89" bestFit="1" customWidth="1"/>
    <col min="1848" max="2068" width="11.42578125" style="89"/>
    <col min="2069" max="2069" width="15.5703125" style="89" bestFit="1" customWidth="1"/>
    <col min="2070" max="2070" width="33.7109375" style="89" customWidth="1"/>
    <col min="2071" max="2071" width="19" style="89" customWidth="1"/>
    <col min="2072" max="2072" width="19.85546875" style="89" customWidth="1"/>
    <col min="2073" max="2073" width="18.5703125" style="89" customWidth="1"/>
    <col min="2074" max="2074" width="19.7109375" style="89" customWidth="1"/>
    <col min="2075" max="2075" width="14.85546875" style="89" customWidth="1"/>
    <col min="2076" max="2076" width="16.85546875" style="89" customWidth="1"/>
    <col min="2077" max="2079" width="11.42578125" style="89" customWidth="1"/>
    <col min="2080" max="2080" width="18.140625" style="89" customWidth="1"/>
    <col min="2081" max="2081" width="11.42578125" style="89" customWidth="1"/>
    <col min="2082" max="2082" width="12.5703125" style="89" customWidth="1"/>
    <col min="2083" max="2083" width="25" style="89" customWidth="1"/>
    <col min="2084" max="2084" width="16.5703125" style="89" bestFit="1" customWidth="1"/>
    <col min="2085" max="2085" width="24" style="89" customWidth="1"/>
    <col min="2086" max="2086" width="11.42578125" style="89" customWidth="1"/>
    <col min="2087" max="2087" width="20" style="89" customWidth="1"/>
    <col min="2088" max="2088" width="11.42578125" style="89" customWidth="1"/>
    <col min="2089" max="2089" width="19" style="89" customWidth="1"/>
    <col min="2090" max="2093" width="11.42578125" style="89" customWidth="1"/>
    <col min="2094" max="2094" width="15.140625" style="89" customWidth="1"/>
    <col min="2095" max="2095" width="14" style="89" customWidth="1"/>
    <col min="2096" max="2096" width="15.140625" style="89" customWidth="1"/>
    <col min="2097" max="2097" width="11.42578125" style="89" customWidth="1"/>
    <col min="2098" max="2098" width="51.7109375" style="89" customWidth="1"/>
    <col min="2099" max="2100" width="29.5703125" style="89" customWidth="1"/>
    <col min="2101" max="2101" width="44.42578125" style="89" customWidth="1"/>
    <col min="2102" max="2102" width="36.28515625" style="89" customWidth="1"/>
    <col min="2103" max="2103" width="27.42578125" style="89" bestFit="1" customWidth="1"/>
    <col min="2104" max="2324" width="11.42578125" style="89"/>
    <col min="2325" max="2325" width="15.5703125" style="89" bestFit="1" customWidth="1"/>
    <col min="2326" max="2326" width="33.7109375" style="89" customWidth="1"/>
    <col min="2327" max="2327" width="19" style="89" customWidth="1"/>
    <col min="2328" max="2328" width="19.85546875" style="89" customWidth="1"/>
    <col min="2329" max="2329" width="18.5703125" style="89" customWidth="1"/>
    <col min="2330" max="2330" width="19.7109375" style="89" customWidth="1"/>
    <col min="2331" max="2331" width="14.85546875" style="89" customWidth="1"/>
    <col min="2332" max="2332" width="16.85546875" style="89" customWidth="1"/>
    <col min="2333" max="2335" width="11.42578125" style="89" customWidth="1"/>
    <col min="2336" max="2336" width="18.140625" style="89" customWidth="1"/>
    <col min="2337" max="2337" width="11.42578125" style="89" customWidth="1"/>
    <col min="2338" max="2338" width="12.5703125" style="89" customWidth="1"/>
    <col min="2339" max="2339" width="25" style="89" customWidth="1"/>
    <col min="2340" max="2340" width="16.5703125" style="89" bestFit="1" customWidth="1"/>
    <col min="2341" max="2341" width="24" style="89" customWidth="1"/>
    <col min="2342" max="2342" width="11.42578125" style="89" customWidth="1"/>
    <col min="2343" max="2343" width="20" style="89" customWidth="1"/>
    <col min="2344" max="2344" width="11.42578125" style="89" customWidth="1"/>
    <col min="2345" max="2345" width="19" style="89" customWidth="1"/>
    <col min="2346" max="2349" width="11.42578125" style="89" customWidth="1"/>
    <col min="2350" max="2350" width="15.140625" style="89" customWidth="1"/>
    <col min="2351" max="2351" width="14" style="89" customWidth="1"/>
    <col min="2352" max="2352" width="15.140625" style="89" customWidth="1"/>
    <col min="2353" max="2353" width="11.42578125" style="89" customWidth="1"/>
    <col min="2354" max="2354" width="51.7109375" style="89" customWidth="1"/>
    <col min="2355" max="2356" width="29.5703125" style="89" customWidth="1"/>
    <col min="2357" max="2357" width="44.42578125" style="89" customWidth="1"/>
    <col min="2358" max="2358" width="36.28515625" style="89" customWidth="1"/>
    <col min="2359" max="2359" width="27.42578125" style="89" bestFit="1" customWidth="1"/>
    <col min="2360" max="2580" width="11.42578125" style="89"/>
    <col min="2581" max="2581" width="15.5703125" style="89" bestFit="1" customWidth="1"/>
    <col min="2582" max="2582" width="33.7109375" style="89" customWidth="1"/>
    <col min="2583" max="2583" width="19" style="89" customWidth="1"/>
    <col min="2584" max="2584" width="19.85546875" style="89" customWidth="1"/>
    <col min="2585" max="2585" width="18.5703125" style="89" customWidth="1"/>
    <col min="2586" max="2586" width="19.7109375" style="89" customWidth="1"/>
    <col min="2587" max="2587" width="14.85546875" style="89" customWidth="1"/>
    <col min="2588" max="2588" width="16.85546875" style="89" customWidth="1"/>
    <col min="2589" max="2591" width="11.42578125" style="89" customWidth="1"/>
    <col min="2592" max="2592" width="18.140625" style="89" customWidth="1"/>
    <col min="2593" max="2593" width="11.42578125" style="89" customWidth="1"/>
    <col min="2594" max="2594" width="12.5703125" style="89" customWidth="1"/>
    <col min="2595" max="2595" width="25" style="89" customWidth="1"/>
    <col min="2596" max="2596" width="16.5703125" style="89" bestFit="1" customWidth="1"/>
    <col min="2597" max="2597" width="24" style="89" customWidth="1"/>
    <col min="2598" max="2598" width="11.42578125" style="89" customWidth="1"/>
    <col min="2599" max="2599" width="20" style="89" customWidth="1"/>
    <col min="2600" max="2600" width="11.42578125" style="89" customWidth="1"/>
    <col min="2601" max="2601" width="19" style="89" customWidth="1"/>
    <col min="2602" max="2605" width="11.42578125" style="89" customWidth="1"/>
    <col min="2606" max="2606" width="15.140625" style="89" customWidth="1"/>
    <col min="2607" max="2607" width="14" style="89" customWidth="1"/>
    <col min="2608" max="2608" width="15.140625" style="89" customWidth="1"/>
    <col min="2609" max="2609" width="11.42578125" style="89" customWidth="1"/>
    <col min="2610" max="2610" width="51.7109375" style="89" customWidth="1"/>
    <col min="2611" max="2612" width="29.5703125" style="89" customWidth="1"/>
    <col min="2613" max="2613" width="44.42578125" style="89" customWidth="1"/>
    <col min="2614" max="2614" width="36.28515625" style="89" customWidth="1"/>
    <col min="2615" max="2615" width="27.42578125" style="89" bestFit="1" customWidth="1"/>
    <col min="2616" max="2836" width="11.42578125" style="89"/>
    <col min="2837" max="2837" width="15.5703125" style="89" bestFit="1" customWidth="1"/>
    <col min="2838" max="2838" width="33.7109375" style="89" customWidth="1"/>
    <col min="2839" max="2839" width="19" style="89" customWidth="1"/>
    <col min="2840" max="2840" width="19.85546875" style="89" customWidth="1"/>
    <col min="2841" max="2841" width="18.5703125" style="89" customWidth="1"/>
    <col min="2842" max="2842" width="19.7109375" style="89" customWidth="1"/>
    <col min="2843" max="2843" width="14.85546875" style="89" customWidth="1"/>
    <col min="2844" max="2844" width="16.85546875" style="89" customWidth="1"/>
    <col min="2845" max="2847" width="11.42578125" style="89" customWidth="1"/>
    <col min="2848" max="2848" width="18.140625" style="89" customWidth="1"/>
    <col min="2849" max="2849" width="11.42578125" style="89" customWidth="1"/>
    <col min="2850" max="2850" width="12.5703125" style="89" customWidth="1"/>
    <col min="2851" max="2851" width="25" style="89" customWidth="1"/>
    <col min="2852" max="2852" width="16.5703125" style="89" bestFit="1" customWidth="1"/>
    <col min="2853" max="2853" width="24" style="89" customWidth="1"/>
    <col min="2854" max="2854" width="11.42578125" style="89" customWidth="1"/>
    <col min="2855" max="2855" width="20" style="89" customWidth="1"/>
    <col min="2856" max="2856" width="11.42578125" style="89" customWidth="1"/>
    <col min="2857" max="2857" width="19" style="89" customWidth="1"/>
    <col min="2858" max="2861" width="11.42578125" style="89" customWidth="1"/>
    <col min="2862" max="2862" width="15.140625" style="89" customWidth="1"/>
    <col min="2863" max="2863" width="14" style="89" customWidth="1"/>
    <col min="2864" max="2864" width="15.140625" style="89" customWidth="1"/>
    <col min="2865" max="2865" width="11.42578125" style="89" customWidth="1"/>
    <col min="2866" max="2866" width="51.7109375" style="89" customWidth="1"/>
    <col min="2867" max="2868" width="29.5703125" style="89" customWidth="1"/>
    <col min="2869" max="2869" width="44.42578125" style="89" customWidth="1"/>
    <col min="2870" max="2870" width="36.28515625" style="89" customWidth="1"/>
    <col min="2871" max="2871" width="27.42578125" style="89" bestFit="1" customWidth="1"/>
    <col min="2872" max="3092" width="11.42578125" style="89"/>
    <col min="3093" max="3093" width="15.5703125" style="89" bestFit="1" customWidth="1"/>
    <col min="3094" max="3094" width="33.7109375" style="89" customWidth="1"/>
    <col min="3095" max="3095" width="19" style="89" customWidth="1"/>
    <col min="3096" max="3096" width="19.85546875" style="89" customWidth="1"/>
    <col min="3097" max="3097" width="18.5703125" style="89" customWidth="1"/>
    <col min="3098" max="3098" width="19.7109375" style="89" customWidth="1"/>
    <col min="3099" max="3099" width="14.85546875" style="89" customWidth="1"/>
    <col min="3100" max="3100" width="16.85546875" style="89" customWidth="1"/>
    <col min="3101" max="3103" width="11.42578125" style="89" customWidth="1"/>
    <col min="3104" max="3104" width="18.140625" style="89" customWidth="1"/>
    <col min="3105" max="3105" width="11.42578125" style="89" customWidth="1"/>
    <col min="3106" max="3106" width="12.5703125" style="89" customWidth="1"/>
    <col min="3107" max="3107" width="25" style="89" customWidth="1"/>
    <col min="3108" max="3108" width="16.5703125" style="89" bestFit="1" customWidth="1"/>
    <col min="3109" max="3109" width="24" style="89" customWidth="1"/>
    <col min="3110" max="3110" width="11.42578125" style="89" customWidth="1"/>
    <col min="3111" max="3111" width="20" style="89" customWidth="1"/>
    <col min="3112" max="3112" width="11.42578125" style="89" customWidth="1"/>
    <col min="3113" max="3113" width="19" style="89" customWidth="1"/>
    <col min="3114" max="3117" width="11.42578125" style="89" customWidth="1"/>
    <col min="3118" max="3118" width="15.140625" style="89" customWidth="1"/>
    <col min="3119" max="3119" width="14" style="89" customWidth="1"/>
    <col min="3120" max="3120" width="15.140625" style="89" customWidth="1"/>
    <col min="3121" max="3121" width="11.42578125" style="89" customWidth="1"/>
    <col min="3122" max="3122" width="51.7109375" style="89" customWidth="1"/>
    <col min="3123" max="3124" width="29.5703125" style="89" customWidth="1"/>
    <col min="3125" max="3125" width="44.42578125" style="89" customWidth="1"/>
    <col min="3126" max="3126" width="36.28515625" style="89" customWidth="1"/>
    <col min="3127" max="3127" width="27.42578125" style="89" bestFit="1" customWidth="1"/>
    <col min="3128" max="3348" width="11.42578125" style="89"/>
    <col min="3349" max="3349" width="15.5703125" style="89" bestFit="1" customWidth="1"/>
    <col min="3350" max="3350" width="33.7109375" style="89" customWidth="1"/>
    <col min="3351" max="3351" width="19" style="89" customWidth="1"/>
    <col min="3352" max="3352" width="19.85546875" style="89" customWidth="1"/>
    <col min="3353" max="3353" width="18.5703125" style="89" customWidth="1"/>
    <col min="3354" max="3354" width="19.7109375" style="89" customWidth="1"/>
    <col min="3355" max="3355" width="14.85546875" style="89" customWidth="1"/>
    <col min="3356" max="3356" width="16.85546875" style="89" customWidth="1"/>
    <col min="3357" max="3359" width="11.42578125" style="89" customWidth="1"/>
    <col min="3360" max="3360" width="18.140625" style="89" customWidth="1"/>
    <col min="3361" max="3361" width="11.42578125" style="89" customWidth="1"/>
    <col min="3362" max="3362" width="12.5703125" style="89" customWidth="1"/>
    <col min="3363" max="3363" width="25" style="89" customWidth="1"/>
    <col min="3364" max="3364" width="16.5703125" style="89" bestFit="1" customWidth="1"/>
    <col min="3365" max="3365" width="24" style="89" customWidth="1"/>
    <col min="3366" max="3366" width="11.42578125" style="89" customWidth="1"/>
    <col min="3367" max="3367" width="20" style="89" customWidth="1"/>
    <col min="3368" max="3368" width="11.42578125" style="89" customWidth="1"/>
    <col min="3369" max="3369" width="19" style="89" customWidth="1"/>
    <col min="3370" max="3373" width="11.42578125" style="89" customWidth="1"/>
    <col min="3374" max="3374" width="15.140625" style="89" customWidth="1"/>
    <col min="3375" max="3375" width="14" style="89" customWidth="1"/>
    <col min="3376" max="3376" width="15.140625" style="89" customWidth="1"/>
    <col min="3377" max="3377" width="11.42578125" style="89" customWidth="1"/>
    <col min="3378" max="3378" width="51.7109375" style="89" customWidth="1"/>
    <col min="3379" max="3380" width="29.5703125" style="89" customWidth="1"/>
    <col min="3381" max="3381" width="44.42578125" style="89" customWidth="1"/>
    <col min="3382" max="3382" width="36.28515625" style="89" customWidth="1"/>
    <col min="3383" max="3383" width="27.42578125" style="89" bestFit="1" customWidth="1"/>
    <col min="3384" max="3604" width="11.42578125" style="89"/>
    <col min="3605" max="3605" width="15.5703125" style="89" bestFit="1" customWidth="1"/>
    <col min="3606" max="3606" width="33.7109375" style="89" customWidth="1"/>
    <col min="3607" max="3607" width="19" style="89" customWidth="1"/>
    <col min="3608" max="3608" width="19.85546875" style="89" customWidth="1"/>
    <col min="3609" max="3609" width="18.5703125" style="89" customWidth="1"/>
    <col min="3610" max="3610" width="19.7109375" style="89" customWidth="1"/>
    <col min="3611" max="3611" width="14.85546875" style="89" customWidth="1"/>
    <col min="3612" max="3612" width="16.85546875" style="89" customWidth="1"/>
    <col min="3613" max="3615" width="11.42578125" style="89" customWidth="1"/>
    <col min="3616" max="3616" width="18.140625" style="89" customWidth="1"/>
    <col min="3617" max="3617" width="11.42578125" style="89" customWidth="1"/>
    <col min="3618" max="3618" width="12.5703125" style="89" customWidth="1"/>
    <col min="3619" max="3619" width="25" style="89" customWidth="1"/>
    <col min="3620" max="3620" width="16.5703125" style="89" bestFit="1" customWidth="1"/>
    <col min="3621" max="3621" width="24" style="89" customWidth="1"/>
    <col min="3622" max="3622" width="11.42578125" style="89" customWidth="1"/>
    <col min="3623" max="3623" width="20" style="89" customWidth="1"/>
    <col min="3624" max="3624" width="11.42578125" style="89" customWidth="1"/>
    <col min="3625" max="3625" width="19" style="89" customWidth="1"/>
    <col min="3626" max="3629" width="11.42578125" style="89" customWidth="1"/>
    <col min="3630" max="3630" width="15.140625" style="89" customWidth="1"/>
    <col min="3631" max="3631" width="14" style="89" customWidth="1"/>
    <col min="3632" max="3632" width="15.140625" style="89" customWidth="1"/>
    <col min="3633" max="3633" width="11.42578125" style="89" customWidth="1"/>
    <col min="3634" max="3634" width="51.7109375" style="89" customWidth="1"/>
    <col min="3635" max="3636" width="29.5703125" style="89" customWidth="1"/>
    <col min="3637" max="3637" width="44.42578125" style="89" customWidth="1"/>
    <col min="3638" max="3638" width="36.28515625" style="89" customWidth="1"/>
    <col min="3639" max="3639" width="27.42578125" style="89" bestFit="1" customWidth="1"/>
    <col min="3640" max="3860" width="11.42578125" style="89"/>
    <col min="3861" max="3861" width="15.5703125" style="89" bestFit="1" customWidth="1"/>
    <col min="3862" max="3862" width="33.7109375" style="89" customWidth="1"/>
    <col min="3863" max="3863" width="19" style="89" customWidth="1"/>
    <col min="3864" max="3864" width="19.85546875" style="89" customWidth="1"/>
    <col min="3865" max="3865" width="18.5703125" style="89" customWidth="1"/>
    <col min="3866" max="3866" width="19.7109375" style="89" customWidth="1"/>
    <col min="3867" max="3867" width="14.85546875" style="89" customWidth="1"/>
    <col min="3868" max="3868" width="16.85546875" style="89" customWidth="1"/>
    <col min="3869" max="3871" width="11.42578125" style="89" customWidth="1"/>
    <col min="3872" max="3872" width="18.140625" style="89" customWidth="1"/>
    <col min="3873" max="3873" width="11.42578125" style="89" customWidth="1"/>
    <col min="3874" max="3874" width="12.5703125" style="89" customWidth="1"/>
    <col min="3875" max="3875" width="25" style="89" customWidth="1"/>
    <col min="3876" max="3876" width="16.5703125" style="89" bestFit="1" customWidth="1"/>
    <col min="3877" max="3877" width="24" style="89" customWidth="1"/>
    <col min="3878" max="3878" width="11.42578125" style="89" customWidth="1"/>
    <col min="3879" max="3879" width="20" style="89" customWidth="1"/>
    <col min="3880" max="3880" width="11.42578125" style="89" customWidth="1"/>
    <col min="3881" max="3881" width="19" style="89" customWidth="1"/>
    <col min="3882" max="3885" width="11.42578125" style="89" customWidth="1"/>
    <col min="3886" max="3886" width="15.140625" style="89" customWidth="1"/>
    <col min="3887" max="3887" width="14" style="89" customWidth="1"/>
    <col min="3888" max="3888" width="15.140625" style="89" customWidth="1"/>
    <col min="3889" max="3889" width="11.42578125" style="89" customWidth="1"/>
    <col min="3890" max="3890" width="51.7109375" style="89" customWidth="1"/>
    <col min="3891" max="3892" width="29.5703125" style="89" customWidth="1"/>
    <col min="3893" max="3893" width="44.42578125" style="89" customWidth="1"/>
    <col min="3894" max="3894" width="36.28515625" style="89" customWidth="1"/>
    <col min="3895" max="3895" width="27.42578125" style="89" bestFit="1" customWidth="1"/>
    <col min="3896" max="4116" width="11.42578125" style="89"/>
    <col min="4117" max="4117" width="15.5703125" style="89" bestFit="1" customWidth="1"/>
    <col min="4118" max="4118" width="33.7109375" style="89" customWidth="1"/>
    <col min="4119" max="4119" width="19" style="89" customWidth="1"/>
    <col min="4120" max="4120" width="19.85546875" style="89" customWidth="1"/>
    <col min="4121" max="4121" width="18.5703125" style="89" customWidth="1"/>
    <col min="4122" max="4122" width="19.7109375" style="89" customWidth="1"/>
    <col min="4123" max="4123" width="14.85546875" style="89" customWidth="1"/>
    <col min="4124" max="4124" width="16.85546875" style="89" customWidth="1"/>
    <col min="4125" max="4127" width="11.42578125" style="89" customWidth="1"/>
    <col min="4128" max="4128" width="18.140625" style="89" customWidth="1"/>
    <col min="4129" max="4129" width="11.42578125" style="89" customWidth="1"/>
    <col min="4130" max="4130" width="12.5703125" style="89" customWidth="1"/>
    <col min="4131" max="4131" width="25" style="89" customWidth="1"/>
    <col min="4132" max="4132" width="16.5703125" style="89" bestFit="1" customWidth="1"/>
    <col min="4133" max="4133" width="24" style="89" customWidth="1"/>
    <col min="4134" max="4134" width="11.42578125" style="89" customWidth="1"/>
    <col min="4135" max="4135" width="20" style="89" customWidth="1"/>
    <col min="4136" max="4136" width="11.42578125" style="89" customWidth="1"/>
    <col min="4137" max="4137" width="19" style="89" customWidth="1"/>
    <col min="4138" max="4141" width="11.42578125" style="89" customWidth="1"/>
    <col min="4142" max="4142" width="15.140625" style="89" customWidth="1"/>
    <col min="4143" max="4143" width="14" style="89" customWidth="1"/>
    <col min="4144" max="4144" width="15.140625" style="89" customWidth="1"/>
    <col min="4145" max="4145" width="11.42578125" style="89" customWidth="1"/>
    <col min="4146" max="4146" width="51.7109375" style="89" customWidth="1"/>
    <col min="4147" max="4148" width="29.5703125" style="89" customWidth="1"/>
    <col min="4149" max="4149" width="44.42578125" style="89" customWidth="1"/>
    <col min="4150" max="4150" width="36.28515625" style="89" customWidth="1"/>
    <col min="4151" max="4151" width="27.42578125" style="89" bestFit="1" customWidth="1"/>
    <col min="4152" max="4372" width="11.42578125" style="89"/>
    <col min="4373" max="4373" width="15.5703125" style="89" bestFit="1" customWidth="1"/>
    <col min="4374" max="4374" width="33.7109375" style="89" customWidth="1"/>
    <col min="4375" max="4375" width="19" style="89" customWidth="1"/>
    <col min="4376" max="4376" width="19.85546875" style="89" customWidth="1"/>
    <col min="4377" max="4377" width="18.5703125" style="89" customWidth="1"/>
    <col min="4378" max="4378" width="19.7109375" style="89" customWidth="1"/>
    <col min="4379" max="4379" width="14.85546875" style="89" customWidth="1"/>
    <col min="4380" max="4380" width="16.85546875" style="89" customWidth="1"/>
    <col min="4381" max="4383" width="11.42578125" style="89" customWidth="1"/>
    <col min="4384" max="4384" width="18.140625" style="89" customWidth="1"/>
    <col min="4385" max="4385" width="11.42578125" style="89" customWidth="1"/>
    <col min="4386" max="4386" width="12.5703125" style="89" customWidth="1"/>
    <col min="4387" max="4387" width="25" style="89" customWidth="1"/>
    <col min="4388" max="4388" width="16.5703125" style="89" bestFit="1" customWidth="1"/>
    <col min="4389" max="4389" width="24" style="89" customWidth="1"/>
    <col min="4390" max="4390" width="11.42578125" style="89" customWidth="1"/>
    <col min="4391" max="4391" width="20" style="89" customWidth="1"/>
    <col min="4392" max="4392" width="11.42578125" style="89" customWidth="1"/>
    <col min="4393" max="4393" width="19" style="89" customWidth="1"/>
    <col min="4394" max="4397" width="11.42578125" style="89" customWidth="1"/>
    <col min="4398" max="4398" width="15.140625" style="89" customWidth="1"/>
    <col min="4399" max="4399" width="14" style="89" customWidth="1"/>
    <col min="4400" max="4400" width="15.140625" style="89" customWidth="1"/>
    <col min="4401" max="4401" width="11.42578125" style="89" customWidth="1"/>
    <col min="4402" max="4402" width="51.7109375" style="89" customWidth="1"/>
    <col min="4403" max="4404" width="29.5703125" style="89" customWidth="1"/>
    <col min="4405" max="4405" width="44.42578125" style="89" customWidth="1"/>
    <col min="4406" max="4406" width="36.28515625" style="89" customWidth="1"/>
    <col min="4407" max="4407" width="27.42578125" style="89" bestFit="1" customWidth="1"/>
    <col min="4408" max="4628" width="11.42578125" style="89"/>
    <col min="4629" max="4629" width="15.5703125" style="89" bestFit="1" customWidth="1"/>
    <col min="4630" max="4630" width="33.7109375" style="89" customWidth="1"/>
    <col min="4631" max="4631" width="19" style="89" customWidth="1"/>
    <col min="4632" max="4632" width="19.85546875" style="89" customWidth="1"/>
    <col min="4633" max="4633" width="18.5703125" style="89" customWidth="1"/>
    <col min="4634" max="4634" width="19.7109375" style="89" customWidth="1"/>
    <col min="4635" max="4635" width="14.85546875" style="89" customWidth="1"/>
    <col min="4636" max="4636" width="16.85546875" style="89" customWidth="1"/>
    <col min="4637" max="4639" width="11.42578125" style="89" customWidth="1"/>
    <col min="4640" max="4640" width="18.140625" style="89" customWidth="1"/>
    <col min="4641" max="4641" width="11.42578125" style="89" customWidth="1"/>
    <col min="4642" max="4642" width="12.5703125" style="89" customWidth="1"/>
    <col min="4643" max="4643" width="25" style="89" customWidth="1"/>
    <col min="4644" max="4644" width="16.5703125" style="89" bestFit="1" customWidth="1"/>
    <col min="4645" max="4645" width="24" style="89" customWidth="1"/>
    <col min="4646" max="4646" width="11.42578125" style="89" customWidth="1"/>
    <col min="4647" max="4647" width="20" style="89" customWidth="1"/>
    <col min="4648" max="4648" width="11.42578125" style="89" customWidth="1"/>
    <col min="4649" max="4649" width="19" style="89" customWidth="1"/>
    <col min="4650" max="4653" width="11.42578125" style="89" customWidth="1"/>
    <col min="4654" max="4654" width="15.140625" style="89" customWidth="1"/>
    <col min="4655" max="4655" width="14" style="89" customWidth="1"/>
    <col min="4656" max="4656" width="15.140625" style="89" customWidth="1"/>
    <col min="4657" max="4657" width="11.42578125" style="89" customWidth="1"/>
    <col min="4658" max="4658" width="51.7109375" style="89" customWidth="1"/>
    <col min="4659" max="4660" width="29.5703125" style="89" customWidth="1"/>
    <col min="4661" max="4661" width="44.42578125" style="89" customWidth="1"/>
    <col min="4662" max="4662" width="36.28515625" style="89" customWidth="1"/>
    <col min="4663" max="4663" width="27.42578125" style="89" bestFit="1" customWidth="1"/>
    <col min="4664" max="4884" width="11.42578125" style="89"/>
    <col min="4885" max="4885" width="15.5703125" style="89" bestFit="1" customWidth="1"/>
    <col min="4886" max="4886" width="33.7109375" style="89" customWidth="1"/>
    <col min="4887" max="4887" width="19" style="89" customWidth="1"/>
    <col min="4888" max="4888" width="19.85546875" style="89" customWidth="1"/>
    <col min="4889" max="4889" width="18.5703125" style="89" customWidth="1"/>
    <col min="4890" max="4890" width="19.7109375" style="89" customWidth="1"/>
    <col min="4891" max="4891" width="14.85546875" style="89" customWidth="1"/>
    <col min="4892" max="4892" width="16.85546875" style="89" customWidth="1"/>
    <col min="4893" max="4895" width="11.42578125" style="89" customWidth="1"/>
    <col min="4896" max="4896" width="18.140625" style="89" customWidth="1"/>
    <col min="4897" max="4897" width="11.42578125" style="89" customWidth="1"/>
    <col min="4898" max="4898" width="12.5703125" style="89" customWidth="1"/>
    <col min="4899" max="4899" width="25" style="89" customWidth="1"/>
    <col min="4900" max="4900" width="16.5703125" style="89" bestFit="1" customWidth="1"/>
    <col min="4901" max="4901" width="24" style="89" customWidth="1"/>
    <col min="4902" max="4902" width="11.42578125" style="89" customWidth="1"/>
    <col min="4903" max="4903" width="20" style="89" customWidth="1"/>
    <col min="4904" max="4904" width="11.42578125" style="89" customWidth="1"/>
    <col min="4905" max="4905" width="19" style="89" customWidth="1"/>
    <col min="4906" max="4909" width="11.42578125" style="89" customWidth="1"/>
    <col min="4910" max="4910" width="15.140625" style="89" customWidth="1"/>
    <col min="4911" max="4911" width="14" style="89" customWidth="1"/>
    <col min="4912" max="4912" width="15.140625" style="89" customWidth="1"/>
    <col min="4913" max="4913" width="11.42578125" style="89" customWidth="1"/>
    <col min="4914" max="4914" width="51.7109375" style="89" customWidth="1"/>
    <col min="4915" max="4916" width="29.5703125" style="89" customWidth="1"/>
    <col min="4917" max="4917" width="44.42578125" style="89" customWidth="1"/>
    <col min="4918" max="4918" width="36.28515625" style="89" customWidth="1"/>
    <col min="4919" max="4919" width="27.42578125" style="89" bestFit="1" customWidth="1"/>
    <col min="4920" max="5140" width="11.42578125" style="89"/>
    <col min="5141" max="5141" width="15.5703125" style="89" bestFit="1" customWidth="1"/>
    <col min="5142" max="5142" width="33.7109375" style="89" customWidth="1"/>
    <col min="5143" max="5143" width="19" style="89" customWidth="1"/>
    <col min="5144" max="5144" width="19.85546875" style="89" customWidth="1"/>
    <col min="5145" max="5145" width="18.5703125" style="89" customWidth="1"/>
    <col min="5146" max="5146" width="19.7109375" style="89" customWidth="1"/>
    <col min="5147" max="5147" width="14.85546875" style="89" customWidth="1"/>
    <col min="5148" max="5148" width="16.85546875" style="89" customWidth="1"/>
    <col min="5149" max="5151" width="11.42578125" style="89" customWidth="1"/>
    <col min="5152" max="5152" width="18.140625" style="89" customWidth="1"/>
    <col min="5153" max="5153" width="11.42578125" style="89" customWidth="1"/>
    <col min="5154" max="5154" width="12.5703125" style="89" customWidth="1"/>
    <col min="5155" max="5155" width="25" style="89" customWidth="1"/>
    <col min="5156" max="5156" width="16.5703125" style="89" bestFit="1" customWidth="1"/>
    <col min="5157" max="5157" width="24" style="89" customWidth="1"/>
    <col min="5158" max="5158" width="11.42578125" style="89" customWidth="1"/>
    <col min="5159" max="5159" width="20" style="89" customWidth="1"/>
    <col min="5160" max="5160" width="11.42578125" style="89" customWidth="1"/>
    <col min="5161" max="5161" width="19" style="89" customWidth="1"/>
    <col min="5162" max="5165" width="11.42578125" style="89" customWidth="1"/>
    <col min="5166" max="5166" width="15.140625" style="89" customWidth="1"/>
    <col min="5167" max="5167" width="14" style="89" customWidth="1"/>
    <col min="5168" max="5168" width="15.140625" style="89" customWidth="1"/>
    <col min="5169" max="5169" width="11.42578125" style="89" customWidth="1"/>
    <col min="5170" max="5170" width="51.7109375" style="89" customWidth="1"/>
    <col min="5171" max="5172" width="29.5703125" style="89" customWidth="1"/>
    <col min="5173" max="5173" width="44.42578125" style="89" customWidth="1"/>
    <col min="5174" max="5174" width="36.28515625" style="89" customWidth="1"/>
    <col min="5175" max="5175" width="27.42578125" style="89" bestFit="1" customWidth="1"/>
    <col min="5176" max="5396" width="11.42578125" style="89"/>
    <col min="5397" max="5397" width="15.5703125" style="89" bestFit="1" customWidth="1"/>
    <col min="5398" max="5398" width="33.7109375" style="89" customWidth="1"/>
    <col min="5399" max="5399" width="19" style="89" customWidth="1"/>
    <col min="5400" max="5400" width="19.85546875" style="89" customWidth="1"/>
    <col min="5401" max="5401" width="18.5703125" style="89" customWidth="1"/>
    <col min="5402" max="5402" width="19.7109375" style="89" customWidth="1"/>
    <col min="5403" max="5403" width="14.85546875" style="89" customWidth="1"/>
    <col min="5404" max="5404" width="16.85546875" style="89" customWidth="1"/>
    <col min="5405" max="5407" width="11.42578125" style="89" customWidth="1"/>
    <col min="5408" max="5408" width="18.140625" style="89" customWidth="1"/>
    <col min="5409" max="5409" width="11.42578125" style="89" customWidth="1"/>
    <col min="5410" max="5410" width="12.5703125" style="89" customWidth="1"/>
    <col min="5411" max="5411" width="25" style="89" customWidth="1"/>
    <col min="5412" max="5412" width="16.5703125" style="89" bestFit="1" customWidth="1"/>
    <col min="5413" max="5413" width="24" style="89" customWidth="1"/>
    <col min="5414" max="5414" width="11.42578125" style="89" customWidth="1"/>
    <col min="5415" max="5415" width="20" style="89" customWidth="1"/>
    <col min="5416" max="5416" width="11.42578125" style="89" customWidth="1"/>
    <col min="5417" max="5417" width="19" style="89" customWidth="1"/>
    <col min="5418" max="5421" width="11.42578125" style="89" customWidth="1"/>
    <col min="5422" max="5422" width="15.140625" style="89" customWidth="1"/>
    <col min="5423" max="5423" width="14" style="89" customWidth="1"/>
    <col min="5424" max="5424" width="15.140625" style="89" customWidth="1"/>
    <col min="5425" max="5425" width="11.42578125" style="89" customWidth="1"/>
    <col min="5426" max="5426" width="51.7109375" style="89" customWidth="1"/>
    <col min="5427" max="5428" width="29.5703125" style="89" customWidth="1"/>
    <col min="5429" max="5429" width="44.42578125" style="89" customWidth="1"/>
    <col min="5430" max="5430" width="36.28515625" style="89" customWidth="1"/>
    <col min="5431" max="5431" width="27.42578125" style="89" bestFit="1" customWidth="1"/>
    <col min="5432" max="5652" width="11.42578125" style="89"/>
    <col min="5653" max="5653" width="15.5703125" style="89" bestFit="1" customWidth="1"/>
    <col min="5654" max="5654" width="33.7109375" style="89" customWidth="1"/>
    <col min="5655" max="5655" width="19" style="89" customWidth="1"/>
    <col min="5656" max="5656" width="19.85546875" style="89" customWidth="1"/>
    <col min="5657" max="5657" width="18.5703125" style="89" customWidth="1"/>
    <col min="5658" max="5658" width="19.7109375" style="89" customWidth="1"/>
    <col min="5659" max="5659" width="14.85546875" style="89" customWidth="1"/>
    <col min="5660" max="5660" width="16.85546875" style="89" customWidth="1"/>
    <col min="5661" max="5663" width="11.42578125" style="89" customWidth="1"/>
    <col min="5664" max="5664" width="18.140625" style="89" customWidth="1"/>
    <col min="5665" max="5665" width="11.42578125" style="89" customWidth="1"/>
    <col min="5666" max="5666" width="12.5703125" style="89" customWidth="1"/>
    <col min="5667" max="5667" width="25" style="89" customWidth="1"/>
    <col min="5668" max="5668" width="16.5703125" style="89" bestFit="1" customWidth="1"/>
    <col min="5669" max="5669" width="24" style="89" customWidth="1"/>
    <col min="5670" max="5670" width="11.42578125" style="89" customWidth="1"/>
    <col min="5671" max="5671" width="20" style="89" customWidth="1"/>
    <col min="5672" max="5672" width="11.42578125" style="89" customWidth="1"/>
    <col min="5673" max="5673" width="19" style="89" customWidth="1"/>
    <col min="5674" max="5677" width="11.42578125" style="89" customWidth="1"/>
    <col min="5678" max="5678" width="15.140625" style="89" customWidth="1"/>
    <col min="5679" max="5679" width="14" style="89" customWidth="1"/>
    <col min="5680" max="5680" width="15.140625" style="89" customWidth="1"/>
    <col min="5681" max="5681" width="11.42578125" style="89" customWidth="1"/>
    <col min="5682" max="5682" width="51.7109375" style="89" customWidth="1"/>
    <col min="5683" max="5684" width="29.5703125" style="89" customWidth="1"/>
    <col min="5685" max="5685" width="44.42578125" style="89" customWidth="1"/>
    <col min="5686" max="5686" width="36.28515625" style="89" customWidth="1"/>
    <col min="5687" max="5687" width="27.42578125" style="89" bestFit="1" customWidth="1"/>
    <col min="5688" max="5908" width="11.42578125" style="89"/>
    <col min="5909" max="5909" width="15.5703125" style="89" bestFit="1" customWidth="1"/>
    <col min="5910" max="5910" width="33.7109375" style="89" customWidth="1"/>
    <col min="5911" max="5911" width="19" style="89" customWidth="1"/>
    <col min="5912" max="5912" width="19.85546875" style="89" customWidth="1"/>
    <col min="5913" max="5913" width="18.5703125" style="89" customWidth="1"/>
    <col min="5914" max="5914" width="19.7109375" style="89" customWidth="1"/>
    <col min="5915" max="5915" width="14.85546875" style="89" customWidth="1"/>
    <col min="5916" max="5916" width="16.85546875" style="89" customWidth="1"/>
    <col min="5917" max="5919" width="11.42578125" style="89" customWidth="1"/>
    <col min="5920" max="5920" width="18.140625" style="89" customWidth="1"/>
    <col min="5921" max="5921" width="11.42578125" style="89" customWidth="1"/>
    <col min="5922" max="5922" width="12.5703125" style="89" customWidth="1"/>
    <col min="5923" max="5923" width="25" style="89" customWidth="1"/>
    <col min="5924" max="5924" width="16.5703125" style="89" bestFit="1" customWidth="1"/>
    <col min="5925" max="5925" width="24" style="89" customWidth="1"/>
    <col min="5926" max="5926" width="11.42578125" style="89" customWidth="1"/>
    <col min="5927" max="5927" width="20" style="89" customWidth="1"/>
    <col min="5928" max="5928" width="11.42578125" style="89" customWidth="1"/>
    <col min="5929" max="5929" width="19" style="89" customWidth="1"/>
    <col min="5930" max="5933" width="11.42578125" style="89" customWidth="1"/>
    <col min="5934" max="5934" width="15.140625" style="89" customWidth="1"/>
    <col min="5935" max="5935" width="14" style="89" customWidth="1"/>
    <col min="5936" max="5936" width="15.140625" style="89" customWidth="1"/>
    <col min="5937" max="5937" width="11.42578125" style="89" customWidth="1"/>
    <col min="5938" max="5938" width="51.7109375" style="89" customWidth="1"/>
    <col min="5939" max="5940" width="29.5703125" style="89" customWidth="1"/>
    <col min="5941" max="5941" width="44.42578125" style="89" customWidth="1"/>
    <col min="5942" max="5942" width="36.28515625" style="89" customWidth="1"/>
    <col min="5943" max="5943" width="27.42578125" style="89" bestFit="1" customWidth="1"/>
    <col min="5944" max="6164" width="11.42578125" style="89"/>
    <col min="6165" max="6165" width="15.5703125" style="89" bestFit="1" customWidth="1"/>
    <col min="6166" max="6166" width="33.7109375" style="89" customWidth="1"/>
    <col min="6167" max="6167" width="19" style="89" customWidth="1"/>
    <col min="6168" max="6168" width="19.85546875" style="89" customWidth="1"/>
    <col min="6169" max="6169" width="18.5703125" style="89" customWidth="1"/>
    <col min="6170" max="6170" width="19.7109375" style="89" customWidth="1"/>
    <col min="6171" max="6171" width="14.85546875" style="89" customWidth="1"/>
    <col min="6172" max="6172" width="16.85546875" style="89" customWidth="1"/>
    <col min="6173" max="6175" width="11.42578125" style="89" customWidth="1"/>
    <col min="6176" max="6176" width="18.140625" style="89" customWidth="1"/>
    <col min="6177" max="6177" width="11.42578125" style="89" customWidth="1"/>
    <col min="6178" max="6178" width="12.5703125" style="89" customWidth="1"/>
    <col min="6179" max="6179" width="25" style="89" customWidth="1"/>
    <col min="6180" max="6180" width="16.5703125" style="89" bestFit="1" customWidth="1"/>
    <col min="6181" max="6181" width="24" style="89" customWidth="1"/>
    <col min="6182" max="6182" width="11.42578125" style="89" customWidth="1"/>
    <col min="6183" max="6183" width="20" style="89" customWidth="1"/>
    <col min="6184" max="6184" width="11.42578125" style="89" customWidth="1"/>
    <col min="6185" max="6185" width="19" style="89" customWidth="1"/>
    <col min="6186" max="6189" width="11.42578125" style="89" customWidth="1"/>
    <col min="6190" max="6190" width="15.140625" style="89" customWidth="1"/>
    <col min="6191" max="6191" width="14" style="89" customWidth="1"/>
    <col min="6192" max="6192" width="15.140625" style="89" customWidth="1"/>
    <col min="6193" max="6193" width="11.42578125" style="89" customWidth="1"/>
    <col min="6194" max="6194" width="51.7109375" style="89" customWidth="1"/>
    <col min="6195" max="6196" width="29.5703125" style="89" customWidth="1"/>
    <col min="6197" max="6197" width="44.42578125" style="89" customWidth="1"/>
    <col min="6198" max="6198" width="36.28515625" style="89" customWidth="1"/>
    <col min="6199" max="6199" width="27.42578125" style="89" bestFit="1" customWidth="1"/>
    <col min="6200" max="6420" width="11.42578125" style="89"/>
    <col min="6421" max="6421" width="15.5703125" style="89" bestFit="1" customWidth="1"/>
    <col min="6422" max="6422" width="33.7109375" style="89" customWidth="1"/>
    <col min="6423" max="6423" width="19" style="89" customWidth="1"/>
    <col min="6424" max="6424" width="19.85546875" style="89" customWidth="1"/>
    <col min="6425" max="6425" width="18.5703125" style="89" customWidth="1"/>
    <col min="6426" max="6426" width="19.7109375" style="89" customWidth="1"/>
    <col min="6427" max="6427" width="14.85546875" style="89" customWidth="1"/>
    <col min="6428" max="6428" width="16.85546875" style="89" customWidth="1"/>
    <col min="6429" max="6431" width="11.42578125" style="89" customWidth="1"/>
    <col min="6432" max="6432" width="18.140625" style="89" customWidth="1"/>
    <col min="6433" max="6433" width="11.42578125" style="89" customWidth="1"/>
    <col min="6434" max="6434" width="12.5703125" style="89" customWidth="1"/>
    <col min="6435" max="6435" width="25" style="89" customWidth="1"/>
    <col min="6436" max="6436" width="16.5703125" style="89" bestFit="1" customWidth="1"/>
    <col min="6437" max="6437" width="24" style="89" customWidth="1"/>
    <col min="6438" max="6438" width="11.42578125" style="89" customWidth="1"/>
    <col min="6439" max="6439" width="20" style="89" customWidth="1"/>
    <col min="6440" max="6440" width="11.42578125" style="89" customWidth="1"/>
    <col min="6441" max="6441" width="19" style="89" customWidth="1"/>
    <col min="6442" max="6445" width="11.42578125" style="89" customWidth="1"/>
    <col min="6446" max="6446" width="15.140625" style="89" customWidth="1"/>
    <col min="6447" max="6447" width="14" style="89" customWidth="1"/>
    <col min="6448" max="6448" width="15.140625" style="89" customWidth="1"/>
    <col min="6449" max="6449" width="11.42578125" style="89" customWidth="1"/>
    <col min="6450" max="6450" width="51.7109375" style="89" customWidth="1"/>
    <col min="6451" max="6452" width="29.5703125" style="89" customWidth="1"/>
    <col min="6453" max="6453" width="44.42578125" style="89" customWidth="1"/>
    <col min="6454" max="6454" width="36.28515625" style="89" customWidth="1"/>
    <col min="6455" max="6455" width="27.42578125" style="89" bestFit="1" customWidth="1"/>
    <col min="6456" max="6676" width="11.42578125" style="89"/>
    <col min="6677" max="6677" width="15.5703125" style="89" bestFit="1" customWidth="1"/>
    <col min="6678" max="6678" width="33.7109375" style="89" customWidth="1"/>
    <col min="6679" max="6679" width="19" style="89" customWidth="1"/>
    <col min="6680" max="6680" width="19.85546875" style="89" customWidth="1"/>
    <col min="6681" max="6681" width="18.5703125" style="89" customWidth="1"/>
    <col min="6682" max="6682" width="19.7109375" style="89" customWidth="1"/>
    <col min="6683" max="6683" width="14.85546875" style="89" customWidth="1"/>
    <col min="6684" max="6684" width="16.85546875" style="89" customWidth="1"/>
    <col min="6685" max="6687" width="11.42578125" style="89" customWidth="1"/>
    <col min="6688" max="6688" width="18.140625" style="89" customWidth="1"/>
    <col min="6689" max="6689" width="11.42578125" style="89" customWidth="1"/>
    <col min="6690" max="6690" width="12.5703125" style="89" customWidth="1"/>
    <col min="6691" max="6691" width="25" style="89" customWidth="1"/>
    <col min="6692" max="6692" width="16.5703125" style="89" bestFit="1" customWidth="1"/>
    <col min="6693" max="6693" width="24" style="89" customWidth="1"/>
    <col min="6694" max="6694" width="11.42578125" style="89" customWidth="1"/>
    <col min="6695" max="6695" width="20" style="89" customWidth="1"/>
    <col min="6696" max="6696" width="11.42578125" style="89" customWidth="1"/>
    <col min="6697" max="6697" width="19" style="89" customWidth="1"/>
    <col min="6698" max="6701" width="11.42578125" style="89" customWidth="1"/>
    <col min="6702" max="6702" width="15.140625" style="89" customWidth="1"/>
    <col min="6703" max="6703" width="14" style="89" customWidth="1"/>
    <col min="6704" max="6704" width="15.140625" style="89" customWidth="1"/>
    <col min="6705" max="6705" width="11.42578125" style="89" customWidth="1"/>
    <col min="6706" max="6706" width="51.7109375" style="89" customWidth="1"/>
    <col min="6707" max="6708" width="29.5703125" style="89" customWidth="1"/>
    <col min="6709" max="6709" width="44.42578125" style="89" customWidth="1"/>
    <col min="6710" max="6710" width="36.28515625" style="89" customWidth="1"/>
    <col min="6711" max="6711" width="27.42578125" style="89" bestFit="1" customWidth="1"/>
    <col min="6712" max="6932" width="11.42578125" style="89"/>
    <col min="6933" max="6933" width="15.5703125" style="89" bestFit="1" customWidth="1"/>
    <col min="6934" max="6934" width="33.7109375" style="89" customWidth="1"/>
    <col min="6935" max="6935" width="19" style="89" customWidth="1"/>
    <col min="6936" max="6936" width="19.85546875" style="89" customWidth="1"/>
    <col min="6937" max="6937" width="18.5703125" style="89" customWidth="1"/>
    <col min="6938" max="6938" width="19.7109375" style="89" customWidth="1"/>
    <col min="6939" max="6939" width="14.85546875" style="89" customWidth="1"/>
    <col min="6940" max="6940" width="16.85546875" style="89" customWidth="1"/>
    <col min="6941" max="6943" width="11.42578125" style="89" customWidth="1"/>
    <col min="6944" max="6944" width="18.140625" style="89" customWidth="1"/>
    <col min="6945" max="6945" width="11.42578125" style="89" customWidth="1"/>
    <col min="6946" max="6946" width="12.5703125" style="89" customWidth="1"/>
    <col min="6947" max="6947" width="25" style="89" customWidth="1"/>
    <col min="6948" max="6948" width="16.5703125" style="89" bestFit="1" customWidth="1"/>
    <col min="6949" max="6949" width="24" style="89" customWidth="1"/>
    <col min="6950" max="6950" width="11.42578125" style="89" customWidth="1"/>
    <col min="6951" max="6951" width="20" style="89" customWidth="1"/>
    <col min="6952" max="6952" width="11.42578125" style="89" customWidth="1"/>
    <col min="6953" max="6953" width="19" style="89" customWidth="1"/>
    <col min="6954" max="6957" width="11.42578125" style="89" customWidth="1"/>
    <col min="6958" max="6958" width="15.140625" style="89" customWidth="1"/>
    <col min="6959" max="6959" width="14" style="89" customWidth="1"/>
    <col min="6960" max="6960" width="15.140625" style="89" customWidth="1"/>
    <col min="6961" max="6961" width="11.42578125" style="89" customWidth="1"/>
    <col min="6962" max="6962" width="51.7109375" style="89" customWidth="1"/>
    <col min="6963" max="6964" width="29.5703125" style="89" customWidth="1"/>
    <col min="6965" max="6965" width="44.42578125" style="89" customWidth="1"/>
    <col min="6966" max="6966" width="36.28515625" style="89" customWidth="1"/>
    <col min="6967" max="6967" width="27.42578125" style="89" bestFit="1" customWidth="1"/>
    <col min="6968" max="7188" width="11.42578125" style="89"/>
    <col min="7189" max="7189" width="15.5703125" style="89" bestFit="1" customWidth="1"/>
    <col min="7190" max="7190" width="33.7109375" style="89" customWidth="1"/>
    <col min="7191" max="7191" width="19" style="89" customWidth="1"/>
    <col min="7192" max="7192" width="19.85546875" style="89" customWidth="1"/>
    <col min="7193" max="7193" width="18.5703125" style="89" customWidth="1"/>
    <col min="7194" max="7194" width="19.7109375" style="89" customWidth="1"/>
    <col min="7195" max="7195" width="14.85546875" style="89" customWidth="1"/>
    <col min="7196" max="7196" width="16.85546875" style="89" customWidth="1"/>
    <col min="7197" max="7199" width="11.42578125" style="89" customWidth="1"/>
    <col min="7200" max="7200" width="18.140625" style="89" customWidth="1"/>
    <col min="7201" max="7201" width="11.42578125" style="89" customWidth="1"/>
    <col min="7202" max="7202" width="12.5703125" style="89" customWidth="1"/>
    <col min="7203" max="7203" width="25" style="89" customWidth="1"/>
    <col min="7204" max="7204" width="16.5703125" style="89" bestFit="1" customWidth="1"/>
    <col min="7205" max="7205" width="24" style="89" customWidth="1"/>
    <col min="7206" max="7206" width="11.42578125" style="89" customWidth="1"/>
    <col min="7207" max="7207" width="20" style="89" customWidth="1"/>
    <col min="7208" max="7208" width="11.42578125" style="89" customWidth="1"/>
    <col min="7209" max="7209" width="19" style="89" customWidth="1"/>
    <col min="7210" max="7213" width="11.42578125" style="89" customWidth="1"/>
    <col min="7214" max="7214" width="15.140625" style="89" customWidth="1"/>
    <col min="7215" max="7215" width="14" style="89" customWidth="1"/>
    <col min="7216" max="7216" width="15.140625" style="89" customWidth="1"/>
    <col min="7217" max="7217" width="11.42578125" style="89" customWidth="1"/>
    <col min="7218" max="7218" width="51.7109375" style="89" customWidth="1"/>
    <col min="7219" max="7220" width="29.5703125" style="89" customWidth="1"/>
    <col min="7221" max="7221" width="44.42578125" style="89" customWidth="1"/>
    <col min="7222" max="7222" width="36.28515625" style="89" customWidth="1"/>
    <col min="7223" max="7223" width="27.42578125" style="89" bestFit="1" customWidth="1"/>
    <col min="7224" max="7444" width="11.42578125" style="89"/>
    <col min="7445" max="7445" width="15.5703125" style="89" bestFit="1" customWidth="1"/>
    <col min="7446" max="7446" width="33.7109375" style="89" customWidth="1"/>
    <col min="7447" max="7447" width="19" style="89" customWidth="1"/>
    <col min="7448" max="7448" width="19.85546875" style="89" customWidth="1"/>
    <col min="7449" max="7449" width="18.5703125" style="89" customWidth="1"/>
    <col min="7450" max="7450" width="19.7109375" style="89" customWidth="1"/>
    <col min="7451" max="7451" width="14.85546875" style="89" customWidth="1"/>
    <col min="7452" max="7452" width="16.85546875" style="89" customWidth="1"/>
    <col min="7453" max="7455" width="11.42578125" style="89" customWidth="1"/>
    <col min="7456" max="7456" width="18.140625" style="89" customWidth="1"/>
    <col min="7457" max="7457" width="11.42578125" style="89" customWidth="1"/>
    <col min="7458" max="7458" width="12.5703125" style="89" customWidth="1"/>
    <col min="7459" max="7459" width="25" style="89" customWidth="1"/>
    <col min="7460" max="7460" width="16.5703125" style="89" bestFit="1" customWidth="1"/>
    <col min="7461" max="7461" width="24" style="89" customWidth="1"/>
    <col min="7462" max="7462" width="11.42578125" style="89" customWidth="1"/>
    <col min="7463" max="7463" width="20" style="89" customWidth="1"/>
    <col min="7464" max="7464" width="11.42578125" style="89" customWidth="1"/>
    <col min="7465" max="7465" width="19" style="89" customWidth="1"/>
    <col min="7466" max="7469" width="11.42578125" style="89" customWidth="1"/>
    <col min="7470" max="7470" width="15.140625" style="89" customWidth="1"/>
    <col min="7471" max="7471" width="14" style="89" customWidth="1"/>
    <col min="7472" max="7472" width="15.140625" style="89" customWidth="1"/>
    <col min="7473" max="7473" width="11.42578125" style="89" customWidth="1"/>
    <col min="7474" max="7474" width="51.7109375" style="89" customWidth="1"/>
    <col min="7475" max="7476" width="29.5703125" style="89" customWidth="1"/>
    <col min="7477" max="7477" width="44.42578125" style="89" customWidth="1"/>
    <col min="7478" max="7478" width="36.28515625" style="89" customWidth="1"/>
    <col min="7479" max="7479" width="27.42578125" style="89" bestFit="1" customWidth="1"/>
    <col min="7480" max="7700" width="11.42578125" style="89"/>
    <col min="7701" max="7701" width="15.5703125" style="89" bestFit="1" customWidth="1"/>
    <col min="7702" max="7702" width="33.7109375" style="89" customWidth="1"/>
    <col min="7703" max="7703" width="19" style="89" customWidth="1"/>
    <col min="7704" max="7704" width="19.85546875" style="89" customWidth="1"/>
    <col min="7705" max="7705" width="18.5703125" style="89" customWidth="1"/>
    <col min="7706" max="7706" width="19.7109375" style="89" customWidth="1"/>
    <col min="7707" max="7707" width="14.85546875" style="89" customWidth="1"/>
    <col min="7708" max="7708" width="16.85546875" style="89" customWidth="1"/>
    <col min="7709" max="7711" width="11.42578125" style="89" customWidth="1"/>
    <col min="7712" max="7712" width="18.140625" style="89" customWidth="1"/>
    <col min="7713" max="7713" width="11.42578125" style="89" customWidth="1"/>
    <col min="7714" max="7714" width="12.5703125" style="89" customWidth="1"/>
    <col min="7715" max="7715" width="25" style="89" customWidth="1"/>
    <col min="7716" max="7716" width="16.5703125" style="89" bestFit="1" customWidth="1"/>
    <col min="7717" max="7717" width="24" style="89" customWidth="1"/>
    <col min="7718" max="7718" width="11.42578125" style="89" customWidth="1"/>
    <col min="7719" max="7719" width="20" style="89" customWidth="1"/>
    <col min="7720" max="7720" width="11.42578125" style="89" customWidth="1"/>
    <col min="7721" max="7721" width="19" style="89" customWidth="1"/>
    <col min="7722" max="7725" width="11.42578125" style="89" customWidth="1"/>
    <col min="7726" max="7726" width="15.140625" style="89" customWidth="1"/>
    <col min="7727" max="7727" width="14" style="89" customWidth="1"/>
    <col min="7728" max="7728" width="15.140625" style="89" customWidth="1"/>
    <col min="7729" max="7729" width="11.42578125" style="89" customWidth="1"/>
    <col min="7730" max="7730" width="51.7109375" style="89" customWidth="1"/>
    <col min="7731" max="7732" width="29.5703125" style="89" customWidth="1"/>
    <col min="7733" max="7733" width="44.42578125" style="89" customWidth="1"/>
    <col min="7734" max="7734" width="36.28515625" style="89" customWidth="1"/>
    <col min="7735" max="7735" width="27.42578125" style="89" bestFit="1" customWidth="1"/>
    <col min="7736" max="7956" width="11.42578125" style="89"/>
    <col min="7957" max="7957" width="15.5703125" style="89" bestFit="1" customWidth="1"/>
    <col min="7958" max="7958" width="33.7109375" style="89" customWidth="1"/>
    <col min="7959" max="7959" width="19" style="89" customWidth="1"/>
    <col min="7960" max="7960" width="19.85546875" style="89" customWidth="1"/>
    <col min="7961" max="7961" width="18.5703125" style="89" customWidth="1"/>
    <col min="7962" max="7962" width="19.7109375" style="89" customWidth="1"/>
    <col min="7963" max="7963" width="14.85546875" style="89" customWidth="1"/>
    <col min="7964" max="7964" width="16.85546875" style="89" customWidth="1"/>
    <col min="7965" max="7967" width="11.42578125" style="89" customWidth="1"/>
    <col min="7968" max="7968" width="18.140625" style="89" customWidth="1"/>
    <col min="7969" max="7969" width="11.42578125" style="89" customWidth="1"/>
    <col min="7970" max="7970" width="12.5703125" style="89" customWidth="1"/>
    <col min="7971" max="7971" width="25" style="89" customWidth="1"/>
    <col min="7972" max="7972" width="16.5703125" style="89" bestFit="1" customWidth="1"/>
    <col min="7973" max="7973" width="24" style="89" customWidth="1"/>
    <col min="7974" max="7974" width="11.42578125" style="89" customWidth="1"/>
    <col min="7975" max="7975" width="20" style="89" customWidth="1"/>
    <col min="7976" max="7976" width="11.42578125" style="89" customWidth="1"/>
    <col min="7977" max="7977" width="19" style="89" customWidth="1"/>
    <col min="7978" max="7981" width="11.42578125" style="89" customWidth="1"/>
    <col min="7982" max="7982" width="15.140625" style="89" customWidth="1"/>
    <col min="7983" max="7983" width="14" style="89" customWidth="1"/>
    <col min="7984" max="7984" width="15.140625" style="89" customWidth="1"/>
    <col min="7985" max="7985" width="11.42578125" style="89" customWidth="1"/>
    <col min="7986" max="7986" width="51.7109375" style="89" customWidth="1"/>
    <col min="7987" max="7988" width="29.5703125" style="89" customWidth="1"/>
    <col min="7989" max="7989" width="44.42578125" style="89" customWidth="1"/>
    <col min="7990" max="7990" width="36.28515625" style="89" customWidth="1"/>
    <col min="7991" max="7991" width="27.42578125" style="89" bestFit="1" customWidth="1"/>
    <col min="7992" max="8212" width="11.42578125" style="89"/>
    <col min="8213" max="8213" width="15.5703125" style="89" bestFit="1" customWidth="1"/>
    <col min="8214" max="8214" width="33.7109375" style="89" customWidth="1"/>
    <col min="8215" max="8215" width="19" style="89" customWidth="1"/>
    <col min="8216" max="8216" width="19.85546875" style="89" customWidth="1"/>
    <col min="8217" max="8217" width="18.5703125" style="89" customWidth="1"/>
    <col min="8218" max="8218" width="19.7109375" style="89" customWidth="1"/>
    <col min="8219" max="8219" width="14.85546875" style="89" customWidth="1"/>
    <col min="8220" max="8220" width="16.85546875" style="89" customWidth="1"/>
    <col min="8221" max="8223" width="11.42578125" style="89" customWidth="1"/>
    <col min="8224" max="8224" width="18.140625" style="89" customWidth="1"/>
    <col min="8225" max="8225" width="11.42578125" style="89" customWidth="1"/>
    <col min="8226" max="8226" width="12.5703125" style="89" customWidth="1"/>
    <col min="8227" max="8227" width="25" style="89" customWidth="1"/>
    <col min="8228" max="8228" width="16.5703125" style="89" bestFit="1" customWidth="1"/>
    <col min="8229" max="8229" width="24" style="89" customWidth="1"/>
    <col min="8230" max="8230" width="11.42578125" style="89" customWidth="1"/>
    <col min="8231" max="8231" width="20" style="89" customWidth="1"/>
    <col min="8232" max="8232" width="11.42578125" style="89" customWidth="1"/>
    <col min="8233" max="8233" width="19" style="89" customWidth="1"/>
    <col min="8234" max="8237" width="11.42578125" style="89" customWidth="1"/>
    <col min="8238" max="8238" width="15.140625" style="89" customWidth="1"/>
    <col min="8239" max="8239" width="14" style="89" customWidth="1"/>
    <col min="8240" max="8240" width="15.140625" style="89" customWidth="1"/>
    <col min="8241" max="8241" width="11.42578125" style="89" customWidth="1"/>
    <col min="8242" max="8242" width="51.7109375" style="89" customWidth="1"/>
    <col min="8243" max="8244" width="29.5703125" style="89" customWidth="1"/>
    <col min="8245" max="8245" width="44.42578125" style="89" customWidth="1"/>
    <col min="8246" max="8246" width="36.28515625" style="89" customWidth="1"/>
    <col min="8247" max="8247" width="27.42578125" style="89" bestFit="1" customWidth="1"/>
    <col min="8248" max="8468" width="11.42578125" style="89"/>
    <col min="8469" max="8469" width="15.5703125" style="89" bestFit="1" customWidth="1"/>
    <col min="8470" max="8470" width="33.7109375" style="89" customWidth="1"/>
    <col min="8471" max="8471" width="19" style="89" customWidth="1"/>
    <col min="8472" max="8472" width="19.85546875" style="89" customWidth="1"/>
    <col min="8473" max="8473" width="18.5703125" style="89" customWidth="1"/>
    <col min="8474" max="8474" width="19.7109375" style="89" customWidth="1"/>
    <col min="8475" max="8475" width="14.85546875" style="89" customWidth="1"/>
    <col min="8476" max="8476" width="16.85546875" style="89" customWidth="1"/>
    <col min="8477" max="8479" width="11.42578125" style="89" customWidth="1"/>
    <col min="8480" max="8480" width="18.140625" style="89" customWidth="1"/>
    <col min="8481" max="8481" width="11.42578125" style="89" customWidth="1"/>
    <col min="8482" max="8482" width="12.5703125" style="89" customWidth="1"/>
    <col min="8483" max="8483" width="25" style="89" customWidth="1"/>
    <col min="8484" max="8484" width="16.5703125" style="89" bestFit="1" customWidth="1"/>
    <col min="8485" max="8485" width="24" style="89" customWidth="1"/>
    <col min="8486" max="8486" width="11.42578125" style="89" customWidth="1"/>
    <col min="8487" max="8487" width="20" style="89" customWidth="1"/>
    <col min="8488" max="8488" width="11.42578125" style="89" customWidth="1"/>
    <col min="8489" max="8489" width="19" style="89" customWidth="1"/>
    <col min="8490" max="8493" width="11.42578125" style="89" customWidth="1"/>
    <col min="8494" max="8494" width="15.140625" style="89" customWidth="1"/>
    <col min="8495" max="8495" width="14" style="89" customWidth="1"/>
    <col min="8496" max="8496" width="15.140625" style="89" customWidth="1"/>
    <col min="8497" max="8497" width="11.42578125" style="89" customWidth="1"/>
    <col min="8498" max="8498" width="51.7109375" style="89" customWidth="1"/>
    <col min="8499" max="8500" width="29.5703125" style="89" customWidth="1"/>
    <col min="8501" max="8501" width="44.42578125" style="89" customWidth="1"/>
    <col min="8502" max="8502" width="36.28515625" style="89" customWidth="1"/>
    <col min="8503" max="8503" width="27.42578125" style="89" bestFit="1" customWidth="1"/>
    <col min="8504" max="8724" width="11.42578125" style="89"/>
    <col min="8725" max="8725" width="15.5703125" style="89" bestFit="1" customWidth="1"/>
    <col min="8726" max="8726" width="33.7109375" style="89" customWidth="1"/>
    <col min="8727" max="8727" width="19" style="89" customWidth="1"/>
    <col min="8728" max="8728" width="19.85546875" style="89" customWidth="1"/>
    <col min="8729" max="8729" width="18.5703125" style="89" customWidth="1"/>
    <col min="8730" max="8730" width="19.7109375" style="89" customWidth="1"/>
    <col min="8731" max="8731" width="14.85546875" style="89" customWidth="1"/>
    <col min="8732" max="8732" width="16.85546875" style="89" customWidth="1"/>
    <col min="8733" max="8735" width="11.42578125" style="89" customWidth="1"/>
    <col min="8736" max="8736" width="18.140625" style="89" customWidth="1"/>
    <col min="8737" max="8737" width="11.42578125" style="89" customWidth="1"/>
    <col min="8738" max="8738" width="12.5703125" style="89" customWidth="1"/>
    <col min="8739" max="8739" width="25" style="89" customWidth="1"/>
    <col min="8740" max="8740" width="16.5703125" style="89" bestFit="1" customWidth="1"/>
    <col min="8741" max="8741" width="24" style="89" customWidth="1"/>
    <col min="8742" max="8742" width="11.42578125" style="89" customWidth="1"/>
    <col min="8743" max="8743" width="20" style="89" customWidth="1"/>
    <col min="8744" max="8744" width="11.42578125" style="89" customWidth="1"/>
    <col min="8745" max="8745" width="19" style="89" customWidth="1"/>
    <col min="8746" max="8749" width="11.42578125" style="89" customWidth="1"/>
    <col min="8750" max="8750" width="15.140625" style="89" customWidth="1"/>
    <col min="8751" max="8751" width="14" style="89" customWidth="1"/>
    <col min="8752" max="8752" width="15.140625" style="89" customWidth="1"/>
    <col min="8753" max="8753" width="11.42578125" style="89" customWidth="1"/>
    <col min="8754" max="8754" width="51.7109375" style="89" customWidth="1"/>
    <col min="8755" max="8756" width="29.5703125" style="89" customWidth="1"/>
    <col min="8757" max="8757" width="44.42578125" style="89" customWidth="1"/>
    <col min="8758" max="8758" width="36.28515625" style="89" customWidth="1"/>
    <col min="8759" max="8759" width="27.42578125" style="89" bestFit="1" customWidth="1"/>
    <col min="8760" max="8980" width="11.42578125" style="89"/>
    <col min="8981" max="8981" width="15.5703125" style="89" bestFit="1" customWidth="1"/>
    <col min="8982" max="8982" width="33.7109375" style="89" customWidth="1"/>
    <col min="8983" max="8983" width="19" style="89" customWidth="1"/>
    <col min="8984" max="8984" width="19.85546875" style="89" customWidth="1"/>
    <col min="8985" max="8985" width="18.5703125" style="89" customWidth="1"/>
    <col min="8986" max="8986" width="19.7109375" style="89" customWidth="1"/>
    <col min="8987" max="8987" width="14.85546875" style="89" customWidth="1"/>
    <col min="8988" max="8988" width="16.85546875" style="89" customWidth="1"/>
    <col min="8989" max="8991" width="11.42578125" style="89" customWidth="1"/>
    <col min="8992" max="8992" width="18.140625" style="89" customWidth="1"/>
    <col min="8993" max="8993" width="11.42578125" style="89" customWidth="1"/>
    <col min="8994" max="8994" width="12.5703125" style="89" customWidth="1"/>
    <col min="8995" max="8995" width="25" style="89" customWidth="1"/>
    <col min="8996" max="8996" width="16.5703125" style="89" bestFit="1" customWidth="1"/>
    <col min="8997" max="8997" width="24" style="89" customWidth="1"/>
    <col min="8998" max="8998" width="11.42578125" style="89" customWidth="1"/>
    <col min="8999" max="8999" width="20" style="89" customWidth="1"/>
    <col min="9000" max="9000" width="11.42578125" style="89" customWidth="1"/>
    <col min="9001" max="9001" width="19" style="89" customWidth="1"/>
    <col min="9002" max="9005" width="11.42578125" style="89" customWidth="1"/>
    <col min="9006" max="9006" width="15.140625" style="89" customWidth="1"/>
    <col min="9007" max="9007" width="14" style="89" customWidth="1"/>
    <col min="9008" max="9008" width="15.140625" style="89" customWidth="1"/>
    <col min="9009" max="9009" width="11.42578125" style="89" customWidth="1"/>
    <col min="9010" max="9010" width="51.7109375" style="89" customWidth="1"/>
    <col min="9011" max="9012" width="29.5703125" style="89" customWidth="1"/>
    <col min="9013" max="9013" width="44.42578125" style="89" customWidth="1"/>
    <col min="9014" max="9014" width="36.28515625" style="89" customWidth="1"/>
    <col min="9015" max="9015" width="27.42578125" style="89" bestFit="1" customWidth="1"/>
    <col min="9016" max="9236" width="11.42578125" style="89"/>
    <col min="9237" max="9237" width="15.5703125" style="89" bestFit="1" customWidth="1"/>
    <col min="9238" max="9238" width="33.7109375" style="89" customWidth="1"/>
    <col min="9239" max="9239" width="19" style="89" customWidth="1"/>
    <col min="9240" max="9240" width="19.85546875" style="89" customWidth="1"/>
    <col min="9241" max="9241" width="18.5703125" style="89" customWidth="1"/>
    <col min="9242" max="9242" width="19.7109375" style="89" customWidth="1"/>
    <col min="9243" max="9243" width="14.85546875" style="89" customWidth="1"/>
    <col min="9244" max="9244" width="16.85546875" style="89" customWidth="1"/>
    <col min="9245" max="9247" width="11.42578125" style="89" customWidth="1"/>
    <col min="9248" max="9248" width="18.140625" style="89" customWidth="1"/>
    <col min="9249" max="9249" width="11.42578125" style="89" customWidth="1"/>
    <col min="9250" max="9250" width="12.5703125" style="89" customWidth="1"/>
    <col min="9251" max="9251" width="25" style="89" customWidth="1"/>
    <col min="9252" max="9252" width="16.5703125" style="89" bestFit="1" customWidth="1"/>
    <col min="9253" max="9253" width="24" style="89" customWidth="1"/>
    <col min="9254" max="9254" width="11.42578125" style="89" customWidth="1"/>
    <col min="9255" max="9255" width="20" style="89" customWidth="1"/>
    <col min="9256" max="9256" width="11.42578125" style="89" customWidth="1"/>
    <col min="9257" max="9257" width="19" style="89" customWidth="1"/>
    <col min="9258" max="9261" width="11.42578125" style="89" customWidth="1"/>
    <col min="9262" max="9262" width="15.140625" style="89" customWidth="1"/>
    <col min="9263" max="9263" width="14" style="89" customWidth="1"/>
    <col min="9264" max="9264" width="15.140625" style="89" customWidth="1"/>
    <col min="9265" max="9265" width="11.42578125" style="89" customWidth="1"/>
    <col min="9266" max="9266" width="51.7109375" style="89" customWidth="1"/>
    <col min="9267" max="9268" width="29.5703125" style="89" customWidth="1"/>
    <col min="9269" max="9269" width="44.42578125" style="89" customWidth="1"/>
    <col min="9270" max="9270" width="36.28515625" style="89" customWidth="1"/>
    <col min="9271" max="9271" width="27.42578125" style="89" bestFit="1" customWidth="1"/>
    <col min="9272" max="9492" width="11.42578125" style="89"/>
    <col min="9493" max="9493" width="15.5703125" style="89" bestFit="1" customWidth="1"/>
    <col min="9494" max="9494" width="33.7109375" style="89" customWidth="1"/>
    <col min="9495" max="9495" width="19" style="89" customWidth="1"/>
    <col min="9496" max="9496" width="19.85546875" style="89" customWidth="1"/>
    <col min="9497" max="9497" width="18.5703125" style="89" customWidth="1"/>
    <col min="9498" max="9498" width="19.7109375" style="89" customWidth="1"/>
    <col min="9499" max="9499" width="14.85546875" style="89" customWidth="1"/>
    <col min="9500" max="9500" width="16.85546875" style="89" customWidth="1"/>
    <col min="9501" max="9503" width="11.42578125" style="89" customWidth="1"/>
    <col min="9504" max="9504" width="18.140625" style="89" customWidth="1"/>
    <col min="9505" max="9505" width="11.42578125" style="89" customWidth="1"/>
    <col min="9506" max="9506" width="12.5703125" style="89" customWidth="1"/>
    <col min="9507" max="9507" width="25" style="89" customWidth="1"/>
    <col min="9508" max="9508" width="16.5703125" style="89" bestFit="1" customWidth="1"/>
    <col min="9509" max="9509" width="24" style="89" customWidth="1"/>
    <col min="9510" max="9510" width="11.42578125" style="89" customWidth="1"/>
    <col min="9511" max="9511" width="20" style="89" customWidth="1"/>
    <col min="9512" max="9512" width="11.42578125" style="89" customWidth="1"/>
    <col min="9513" max="9513" width="19" style="89" customWidth="1"/>
    <col min="9514" max="9517" width="11.42578125" style="89" customWidth="1"/>
    <col min="9518" max="9518" width="15.140625" style="89" customWidth="1"/>
    <col min="9519" max="9519" width="14" style="89" customWidth="1"/>
    <col min="9520" max="9520" width="15.140625" style="89" customWidth="1"/>
    <col min="9521" max="9521" width="11.42578125" style="89" customWidth="1"/>
    <col min="9522" max="9522" width="51.7109375" style="89" customWidth="1"/>
    <col min="9523" max="9524" width="29.5703125" style="89" customWidth="1"/>
    <col min="9525" max="9525" width="44.42578125" style="89" customWidth="1"/>
    <col min="9526" max="9526" width="36.28515625" style="89" customWidth="1"/>
    <col min="9527" max="9527" width="27.42578125" style="89" bestFit="1" customWidth="1"/>
    <col min="9528" max="9748" width="11.42578125" style="89"/>
    <col min="9749" max="9749" width="15.5703125" style="89" bestFit="1" customWidth="1"/>
    <col min="9750" max="9750" width="33.7109375" style="89" customWidth="1"/>
    <col min="9751" max="9751" width="19" style="89" customWidth="1"/>
    <col min="9752" max="9752" width="19.85546875" style="89" customWidth="1"/>
    <col min="9753" max="9753" width="18.5703125" style="89" customWidth="1"/>
    <col min="9754" max="9754" width="19.7109375" style="89" customWidth="1"/>
    <col min="9755" max="9755" width="14.85546875" style="89" customWidth="1"/>
    <col min="9756" max="9756" width="16.85546875" style="89" customWidth="1"/>
    <col min="9757" max="9759" width="11.42578125" style="89" customWidth="1"/>
    <col min="9760" max="9760" width="18.140625" style="89" customWidth="1"/>
    <col min="9761" max="9761" width="11.42578125" style="89" customWidth="1"/>
    <col min="9762" max="9762" width="12.5703125" style="89" customWidth="1"/>
    <col min="9763" max="9763" width="25" style="89" customWidth="1"/>
    <col min="9764" max="9764" width="16.5703125" style="89" bestFit="1" customWidth="1"/>
    <col min="9765" max="9765" width="24" style="89" customWidth="1"/>
    <col min="9766" max="9766" width="11.42578125" style="89" customWidth="1"/>
    <col min="9767" max="9767" width="20" style="89" customWidth="1"/>
    <col min="9768" max="9768" width="11.42578125" style="89" customWidth="1"/>
    <col min="9769" max="9769" width="19" style="89" customWidth="1"/>
    <col min="9770" max="9773" width="11.42578125" style="89" customWidth="1"/>
    <col min="9774" max="9774" width="15.140625" style="89" customWidth="1"/>
    <col min="9775" max="9775" width="14" style="89" customWidth="1"/>
    <col min="9776" max="9776" width="15.140625" style="89" customWidth="1"/>
    <col min="9777" max="9777" width="11.42578125" style="89" customWidth="1"/>
    <col min="9778" max="9778" width="51.7109375" style="89" customWidth="1"/>
    <col min="9779" max="9780" width="29.5703125" style="89" customWidth="1"/>
    <col min="9781" max="9781" width="44.42578125" style="89" customWidth="1"/>
    <col min="9782" max="9782" width="36.28515625" style="89" customWidth="1"/>
    <col min="9783" max="9783" width="27.42578125" style="89" bestFit="1" customWidth="1"/>
    <col min="9784" max="10004" width="11.42578125" style="89"/>
    <col min="10005" max="10005" width="15.5703125" style="89" bestFit="1" customWidth="1"/>
    <col min="10006" max="10006" width="33.7109375" style="89" customWidth="1"/>
    <col min="10007" max="10007" width="19" style="89" customWidth="1"/>
    <col min="10008" max="10008" width="19.85546875" style="89" customWidth="1"/>
    <col min="10009" max="10009" width="18.5703125" style="89" customWidth="1"/>
    <col min="10010" max="10010" width="19.7109375" style="89" customWidth="1"/>
    <col min="10011" max="10011" width="14.85546875" style="89" customWidth="1"/>
    <col min="10012" max="10012" width="16.85546875" style="89" customWidth="1"/>
    <col min="10013" max="10015" width="11.42578125" style="89" customWidth="1"/>
    <col min="10016" max="10016" width="18.140625" style="89" customWidth="1"/>
    <col min="10017" max="10017" width="11.42578125" style="89" customWidth="1"/>
    <col min="10018" max="10018" width="12.5703125" style="89" customWidth="1"/>
    <col min="10019" max="10019" width="25" style="89" customWidth="1"/>
    <col min="10020" max="10020" width="16.5703125" style="89" bestFit="1" customWidth="1"/>
    <col min="10021" max="10021" width="24" style="89" customWidth="1"/>
    <col min="10022" max="10022" width="11.42578125" style="89" customWidth="1"/>
    <col min="10023" max="10023" width="20" style="89" customWidth="1"/>
    <col min="10024" max="10024" width="11.42578125" style="89" customWidth="1"/>
    <col min="10025" max="10025" width="19" style="89" customWidth="1"/>
    <col min="10026" max="10029" width="11.42578125" style="89" customWidth="1"/>
    <col min="10030" max="10030" width="15.140625" style="89" customWidth="1"/>
    <col min="10031" max="10031" width="14" style="89" customWidth="1"/>
    <col min="10032" max="10032" width="15.140625" style="89" customWidth="1"/>
    <col min="10033" max="10033" width="11.42578125" style="89" customWidth="1"/>
    <col min="10034" max="10034" width="51.7109375" style="89" customWidth="1"/>
    <col min="10035" max="10036" width="29.5703125" style="89" customWidth="1"/>
    <col min="10037" max="10037" width="44.42578125" style="89" customWidth="1"/>
    <col min="10038" max="10038" width="36.28515625" style="89" customWidth="1"/>
    <col min="10039" max="10039" width="27.42578125" style="89" bestFit="1" customWidth="1"/>
    <col min="10040" max="10260" width="11.42578125" style="89"/>
    <col min="10261" max="10261" width="15.5703125" style="89" bestFit="1" customWidth="1"/>
    <col min="10262" max="10262" width="33.7109375" style="89" customWidth="1"/>
    <col min="10263" max="10263" width="19" style="89" customWidth="1"/>
    <col min="10264" max="10264" width="19.85546875" style="89" customWidth="1"/>
    <col min="10265" max="10265" width="18.5703125" style="89" customWidth="1"/>
    <col min="10266" max="10266" width="19.7109375" style="89" customWidth="1"/>
    <col min="10267" max="10267" width="14.85546875" style="89" customWidth="1"/>
    <col min="10268" max="10268" width="16.85546875" style="89" customWidth="1"/>
    <col min="10269" max="10271" width="11.42578125" style="89" customWidth="1"/>
    <col min="10272" max="10272" width="18.140625" style="89" customWidth="1"/>
    <col min="10273" max="10273" width="11.42578125" style="89" customWidth="1"/>
    <col min="10274" max="10274" width="12.5703125" style="89" customWidth="1"/>
    <col min="10275" max="10275" width="25" style="89" customWidth="1"/>
    <col min="10276" max="10276" width="16.5703125" style="89" bestFit="1" customWidth="1"/>
    <col min="10277" max="10277" width="24" style="89" customWidth="1"/>
    <col min="10278" max="10278" width="11.42578125" style="89" customWidth="1"/>
    <col min="10279" max="10279" width="20" style="89" customWidth="1"/>
    <col min="10280" max="10280" width="11.42578125" style="89" customWidth="1"/>
    <col min="10281" max="10281" width="19" style="89" customWidth="1"/>
    <col min="10282" max="10285" width="11.42578125" style="89" customWidth="1"/>
    <col min="10286" max="10286" width="15.140625" style="89" customWidth="1"/>
    <col min="10287" max="10287" width="14" style="89" customWidth="1"/>
    <col min="10288" max="10288" width="15.140625" style="89" customWidth="1"/>
    <col min="10289" max="10289" width="11.42578125" style="89" customWidth="1"/>
    <col min="10290" max="10290" width="51.7109375" style="89" customWidth="1"/>
    <col min="10291" max="10292" width="29.5703125" style="89" customWidth="1"/>
    <col min="10293" max="10293" width="44.42578125" style="89" customWidth="1"/>
    <col min="10294" max="10294" width="36.28515625" style="89" customWidth="1"/>
    <col min="10295" max="10295" width="27.42578125" style="89" bestFit="1" customWidth="1"/>
    <col min="10296" max="10516" width="11.42578125" style="89"/>
    <col min="10517" max="10517" width="15.5703125" style="89" bestFit="1" customWidth="1"/>
    <col min="10518" max="10518" width="33.7109375" style="89" customWidth="1"/>
    <col min="10519" max="10519" width="19" style="89" customWidth="1"/>
    <col min="10520" max="10520" width="19.85546875" style="89" customWidth="1"/>
    <col min="10521" max="10521" width="18.5703125" style="89" customWidth="1"/>
    <col min="10522" max="10522" width="19.7109375" style="89" customWidth="1"/>
    <col min="10523" max="10523" width="14.85546875" style="89" customWidth="1"/>
    <col min="10524" max="10524" width="16.85546875" style="89" customWidth="1"/>
    <col min="10525" max="10527" width="11.42578125" style="89" customWidth="1"/>
    <col min="10528" max="10528" width="18.140625" style="89" customWidth="1"/>
    <col min="10529" max="10529" width="11.42578125" style="89" customWidth="1"/>
    <col min="10530" max="10530" width="12.5703125" style="89" customWidth="1"/>
    <col min="10531" max="10531" width="25" style="89" customWidth="1"/>
    <col min="10532" max="10532" width="16.5703125" style="89" bestFit="1" customWidth="1"/>
    <col min="10533" max="10533" width="24" style="89" customWidth="1"/>
    <col min="10534" max="10534" width="11.42578125" style="89" customWidth="1"/>
    <col min="10535" max="10535" width="20" style="89" customWidth="1"/>
    <col min="10536" max="10536" width="11.42578125" style="89" customWidth="1"/>
    <col min="10537" max="10537" width="19" style="89" customWidth="1"/>
    <col min="10538" max="10541" width="11.42578125" style="89" customWidth="1"/>
    <col min="10542" max="10542" width="15.140625" style="89" customWidth="1"/>
    <col min="10543" max="10543" width="14" style="89" customWidth="1"/>
    <col min="10544" max="10544" width="15.140625" style="89" customWidth="1"/>
    <col min="10545" max="10545" width="11.42578125" style="89" customWidth="1"/>
    <col min="10546" max="10546" width="51.7109375" style="89" customWidth="1"/>
    <col min="10547" max="10548" width="29.5703125" style="89" customWidth="1"/>
    <col min="10549" max="10549" width="44.42578125" style="89" customWidth="1"/>
    <col min="10550" max="10550" width="36.28515625" style="89" customWidth="1"/>
    <col min="10551" max="10551" width="27.42578125" style="89" bestFit="1" customWidth="1"/>
    <col min="10552" max="10772" width="11.42578125" style="89"/>
    <col min="10773" max="10773" width="15.5703125" style="89" bestFit="1" customWidth="1"/>
    <col min="10774" max="10774" width="33.7109375" style="89" customWidth="1"/>
    <col min="10775" max="10775" width="19" style="89" customWidth="1"/>
    <col min="10776" max="10776" width="19.85546875" style="89" customWidth="1"/>
    <col min="10777" max="10777" width="18.5703125" style="89" customWidth="1"/>
    <col min="10778" max="10778" width="19.7109375" style="89" customWidth="1"/>
    <col min="10779" max="10779" width="14.85546875" style="89" customWidth="1"/>
    <col min="10780" max="10780" width="16.85546875" style="89" customWidth="1"/>
    <col min="10781" max="10783" width="11.42578125" style="89" customWidth="1"/>
    <col min="10784" max="10784" width="18.140625" style="89" customWidth="1"/>
    <col min="10785" max="10785" width="11.42578125" style="89" customWidth="1"/>
    <col min="10786" max="10786" width="12.5703125" style="89" customWidth="1"/>
    <col min="10787" max="10787" width="25" style="89" customWidth="1"/>
    <col min="10788" max="10788" width="16.5703125" style="89" bestFit="1" customWidth="1"/>
    <col min="10789" max="10789" width="24" style="89" customWidth="1"/>
    <col min="10790" max="10790" width="11.42578125" style="89" customWidth="1"/>
    <col min="10791" max="10791" width="20" style="89" customWidth="1"/>
    <col min="10792" max="10792" width="11.42578125" style="89" customWidth="1"/>
    <col min="10793" max="10793" width="19" style="89" customWidth="1"/>
    <col min="10794" max="10797" width="11.42578125" style="89" customWidth="1"/>
    <col min="10798" max="10798" width="15.140625" style="89" customWidth="1"/>
    <col min="10799" max="10799" width="14" style="89" customWidth="1"/>
    <col min="10800" max="10800" width="15.140625" style="89" customWidth="1"/>
    <col min="10801" max="10801" width="11.42578125" style="89" customWidth="1"/>
    <col min="10802" max="10802" width="51.7109375" style="89" customWidth="1"/>
    <col min="10803" max="10804" width="29.5703125" style="89" customWidth="1"/>
    <col min="10805" max="10805" width="44.42578125" style="89" customWidth="1"/>
    <col min="10806" max="10806" width="36.28515625" style="89" customWidth="1"/>
    <col min="10807" max="10807" width="27.42578125" style="89" bestFit="1" customWidth="1"/>
    <col min="10808" max="11028" width="11.42578125" style="89"/>
    <col min="11029" max="11029" width="15.5703125" style="89" bestFit="1" customWidth="1"/>
    <col min="11030" max="11030" width="33.7109375" style="89" customWidth="1"/>
    <col min="11031" max="11031" width="19" style="89" customWidth="1"/>
    <col min="11032" max="11032" width="19.85546875" style="89" customWidth="1"/>
    <col min="11033" max="11033" width="18.5703125" style="89" customWidth="1"/>
    <col min="11034" max="11034" width="19.7109375" style="89" customWidth="1"/>
    <col min="11035" max="11035" width="14.85546875" style="89" customWidth="1"/>
    <col min="11036" max="11036" width="16.85546875" style="89" customWidth="1"/>
    <col min="11037" max="11039" width="11.42578125" style="89" customWidth="1"/>
    <col min="11040" max="11040" width="18.140625" style="89" customWidth="1"/>
    <col min="11041" max="11041" width="11.42578125" style="89" customWidth="1"/>
    <col min="11042" max="11042" width="12.5703125" style="89" customWidth="1"/>
    <col min="11043" max="11043" width="25" style="89" customWidth="1"/>
    <col min="11044" max="11044" width="16.5703125" style="89" bestFit="1" customWidth="1"/>
    <col min="11045" max="11045" width="24" style="89" customWidth="1"/>
    <col min="11046" max="11046" width="11.42578125" style="89" customWidth="1"/>
    <col min="11047" max="11047" width="20" style="89" customWidth="1"/>
    <col min="11048" max="11048" width="11.42578125" style="89" customWidth="1"/>
    <col min="11049" max="11049" width="19" style="89" customWidth="1"/>
    <col min="11050" max="11053" width="11.42578125" style="89" customWidth="1"/>
    <col min="11054" max="11054" width="15.140625" style="89" customWidth="1"/>
    <col min="11055" max="11055" width="14" style="89" customWidth="1"/>
    <col min="11056" max="11056" width="15.140625" style="89" customWidth="1"/>
    <col min="11057" max="11057" width="11.42578125" style="89" customWidth="1"/>
    <col min="11058" max="11058" width="51.7109375" style="89" customWidth="1"/>
    <col min="11059" max="11060" width="29.5703125" style="89" customWidth="1"/>
    <col min="11061" max="11061" width="44.42578125" style="89" customWidth="1"/>
    <col min="11062" max="11062" width="36.28515625" style="89" customWidth="1"/>
    <col min="11063" max="11063" width="27.42578125" style="89" bestFit="1" customWidth="1"/>
    <col min="11064" max="11284" width="11.42578125" style="89"/>
    <col min="11285" max="11285" width="15.5703125" style="89" bestFit="1" customWidth="1"/>
    <col min="11286" max="11286" width="33.7109375" style="89" customWidth="1"/>
    <col min="11287" max="11287" width="19" style="89" customWidth="1"/>
    <col min="11288" max="11288" width="19.85546875" style="89" customWidth="1"/>
    <col min="11289" max="11289" width="18.5703125" style="89" customWidth="1"/>
    <col min="11290" max="11290" width="19.7109375" style="89" customWidth="1"/>
    <col min="11291" max="11291" width="14.85546875" style="89" customWidth="1"/>
    <col min="11292" max="11292" width="16.85546875" style="89" customWidth="1"/>
    <col min="11293" max="11295" width="11.42578125" style="89" customWidth="1"/>
    <col min="11296" max="11296" width="18.140625" style="89" customWidth="1"/>
    <col min="11297" max="11297" width="11.42578125" style="89" customWidth="1"/>
    <col min="11298" max="11298" width="12.5703125" style="89" customWidth="1"/>
    <col min="11299" max="11299" width="25" style="89" customWidth="1"/>
    <col min="11300" max="11300" width="16.5703125" style="89" bestFit="1" customWidth="1"/>
    <col min="11301" max="11301" width="24" style="89" customWidth="1"/>
    <col min="11302" max="11302" width="11.42578125" style="89" customWidth="1"/>
    <col min="11303" max="11303" width="20" style="89" customWidth="1"/>
    <col min="11304" max="11304" width="11.42578125" style="89" customWidth="1"/>
    <col min="11305" max="11305" width="19" style="89" customWidth="1"/>
    <col min="11306" max="11309" width="11.42578125" style="89" customWidth="1"/>
    <col min="11310" max="11310" width="15.140625" style="89" customWidth="1"/>
    <col min="11311" max="11311" width="14" style="89" customWidth="1"/>
    <col min="11312" max="11312" width="15.140625" style="89" customWidth="1"/>
    <col min="11313" max="11313" width="11.42578125" style="89" customWidth="1"/>
    <col min="11314" max="11314" width="51.7109375" style="89" customWidth="1"/>
    <col min="11315" max="11316" width="29.5703125" style="89" customWidth="1"/>
    <col min="11317" max="11317" width="44.42578125" style="89" customWidth="1"/>
    <col min="11318" max="11318" width="36.28515625" style="89" customWidth="1"/>
    <col min="11319" max="11319" width="27.42578125" style="89" bestFit="1" customWidth="1"/>
    <col min="11320" max="11540" width="11.42578125" style="89"/>
    <col min="11541" max="11541" width="15.5703125" style="89" bestFit="1" customWidth="1"/>
    <col min="11542" max="11542" width="33.7109375" style="89" customWidth="1"/>
    <col min="11543" max="11543" width="19" style="89" customWidth="1"/>
    <col min="11544" max="11544" width="19.85546875" style="89" customWidth="1"/>
    <col min="11545" max="11545" width="18.5703125" style="89" customWidth="1"/>
    <col min="11546" max="11546" width="19.7109375" style="89" customWidth="1"/>
    <col min="11547" max="11547" width="14.85546875" style="89" customWidth="1"/>
    <col min="11548" max="11548" width="16.85546875" style="89" customWidth="1"/>
    <col min="11549" max="11551" width="11.42578125" style="89" customWidth="1"/>
    <col min="11552" max="11552" width="18.140625" style="89" customWidth="1"/>
    <col min="11553" max="11553" width="11.42578125" style="89" customWidth="1"/>
    <col min="11554" max="11554" width="12.5703125" style="89" customWidth="1"/>
    <col min="11555" max="11555" width="25" style="89" customWidth="1"/>
    <col min="11556" max="11556" width="16.5703125" style="89" bestFit="1" customWidth="1"/>
    <col min="11557" max="11557" width="24" style="89" customWidth="1"/>
    <col min="11558" max="11558" width="11.42578125" style="89" customWidth="1"/>
    <col min="11559" max="11559" width="20" style="89" customWidth="1"/>
    <col min="11560" max="11560" width="11.42578125" style="89" customWidth="1"/>
    <col min="11561" max="11561" width="19" style="89" customWidth="1"/>
    <col min="11562" max="11565" width="11.42578125" style="89" customWidth="1"/>
    <col min="11566" max="11566" width="15.140625" style="89" customWidth="1"/>
    <col min="11567" max="11567" width="14" style="89" customWidth="1"/>
    <col min="11568" max="11568" width="15.140625" style="89" customWidth="1"/>
    <col min="11569" max="11569" width="11.42578125" style="89" customWidth="1"/>
    <col min="11570" max="11570" width="51.7109375" style="89" customWidth="1"/>
    <col min="11571" max="11572" width="29.5703125" style="89" customWidth="1"/>
    <col min="11573" max="11573" width="44.42578125" style="89" customWidth="1"/>
    <col min="11574" max="11574" width="36.28515625" style="89" customWidth="1"/>
    <col min="11575" max="11575" width="27.42578125" style="89" bestFit="1" customWidth="1"/>
    <col min="11576" max="11796" width="11.42578125" style="89"/>
    <col min="11797" max="11797" width="15.5703125" style="89" bestFit="1" customWidth="1"/>
    <col min="11798" max="11798" width="33.7109375" style="89" customWidth="1"/>
    <col min="11799" max="11799" width="19" style="89" customWidth="1"/>
    <col min="11800" max="11800" width="19.85546875" style="89" customWidth="1"/>
    <col min="11801" max="11801" width="18.5703125" style="89" customWidth="1"/>
    <col min="11802" max="11802" width="19.7109375" style="89" customWidth="1"/>
    <col min="11803" max="11803" width="14.85546875" style="89" customWidth="1"/>
    <col min="11804" max="11804" width="16.85546875" style="89" customWidth="1"/>
    <col min="11805" max="11807" width="11.42578125" style="89" customWidth="1"/>
    <col min="11808" max="11808" width="18.140625" style="89" customWidth="1"/>
    <col min="11809" max="11809" width="11.42578125" style="89" customWidth="1"/>
    <col min="11810" max="11810" width="12.5703125" style="89" customWidth="1"/>
    <col min="11811" max="11811" width="25" style="89" customWidth="1"/>
    <col min="11812" max="11812" width="16.5703125" style="89" bestFit="1" customWidth="1"/>
    <col min="11813" max="11813" width="24" style="89" customWidth="1"/>
    <col min="11814" max="11814" width="11.42578125" style="89" customWidth="1"/>
    <col min="11815" max="11815" width="20" style="89" customWidth="1"/>
    <col min="11816" max="11816" width="11.42578125" style="89" customWidth="1"/>
    <col min="11817" max="11817" width="19" style="89" customWidth="1"/>
    <col min="11818" max="11821" width="11.42578125" style="89" customWidth="1"/>
    <col min="11822" max="11822" width="15.140625" style="89" customWidth="1"/>
    <col min="11823" max="11823" width="14" style="89" customWidth="1"/>
    <col min="11824" max="11824" width="15.140625" style="89" customWidth="1"/>
    <col min="11825" max="11825" width="11.42578125" style="89" customWidth="1"/>
    <col min="11826" max="11826" width="51.7109375" style="89" customWidth="1"/>
    <col min="11827" max="11828" width="29.5703125" style="89" customWidth="1"/>
    <col min="11829" max="11829" width="44.42578125" style="89" customWidth="1"/>
    <col min="11830" max="11830" width="36.28515625" style="89" customWidth="1"/>
    <col min="11831" max="11831" width="27.42578125" style="89" bestFit="1" customWidth="1"/>
    <col min="11832" max="12052" width="11.42578125" style="89"/>
    <col min="12053" max="12053" width="15.5703125" style="89" bestFit="1" customWidth="1"/>
    <col min="12054" max="12054" width="33.7109375" style="89" customWidth="1"/>
    <col min="12055" max="12055" width="19" style="89" customWidth="1"/>
    <col min="12056" max="12056" width="19.85546875" style="89" customWidth="1"/>
    <col min="12057" max="12057" width="18.5703125" style="89" customWidth="1"/>
    <col min="12058" max="12058" width="19.7109375" style="89" customWidth="1"/>
    <col min="12059" max="12059" width="14.85546875" style="89" customWidth="1"/>
    <col min="12060" max="12060" width="16.85546875" style="89" customWidth="1"/>
    <col min="12061" max="12063" width="11.42578125" style="89" customWidth="1"/>
    <col min="12064" max="12064" width="18.140625" style="89" customWidth="1"/>
    <col min="12065" max="12065" width="11.42578125" style="89" customWidth="1"/>
    <col min="12066" max="12066" width="12.5703125" style="89" customWidth="1"/>
    <col min="12067" max="12067" width="25" style="89" customWidth="1"/>
    <col min="12068" max="12068" width="16.5703125" style="89" bestFit="1" customWidth="1"/>
    <col min="12069" max="12069" width="24" style="89" customWidth="1"/>
    <col min="12070" max="12070" width="11.42578125" style="89" customWidth="1"/>
    <col min="12071" max="12071" width="20" style="89" customWidth="1"/>
    <col min="12072" max="12072" width="11.42578125" style="89" customWidth="1"/>
    <col min="12073" max="12073" width="19" style="89" customWidth="1"/>
    <col min="12074" max="12077" width="11.42578125" style="89" customWidth="1"/>
    <col min="12078" max="12078" width="15.140625" style="89" customWidth="1"/>
    <col min="12079" max="12079" width="14" style="89" customWidth="1"/>
    <col min="12080" max="12080" width="15.140625" style="89" customWidth="1"/>
    <col min="12081" max="12081" width="11.42578125" style="89" customWidth="1"/>
    <col min="12082" max="12082" width="51.7109375" style="89" customWidth="1"/>
    <col min="12083" max="12084" width="29.5703125" style="89" customWidth="1"/>
    <col min="12085" max="12085" width="44.42578125" style="89" customWidth="1"/>
    <col min="12086" max="12086" width="36.28515625" style="89" customWidth="1"/>
    <col min="12087" max="12087" width="27.42578125" style="89" bestFit="1" customWidth="1"/>
    <col min="12088" max="12308" width="11.42578125" style="89"/>
    <col min="12309" max="12309" width="15.5703125" style="89" bestFit="1" customWidth="1"/>
    <col min="12310" max="12310" width="33.7109375" style="89" customWidth="1"/>
    <col min="12311" max="12311" width="19" style="89" customWidth="1"/>
    <col min="12312" max="12312" width="19.85546875" style="89" customWidth="1"/>
    <col min="12313" max="12313" width="18.5703125" style="89" customWidth="1"/>
    <col min="12314" max="12314" width="19.7109375" style="89" customWidth="1"/>
    <col min="12315" max="12315" width="14.85546875" style="89" customWidth="1"/>
    <col min="12316" max="12316" width="16.85546875" style="89" customWidth="1"/>
    <col min="12317" max="12319" width="11.42578125" style="89" customWidth="1"/>
    <col min="12320" max="12320" width="18.140625" style="89" customWidth="1"/>
    <col min="12321" max="12321" width="11.42578125" style="89" customWidth="1"/>
    <col min="12322" max="12322" width="12.5703125" style="89" customWidth="1"/>
    <col min="12323" max="12323" width="25" style="89" customWidth="1"/>
    <col min="12324" max="12324" width="16.5703125" style="89" bestFit="1" customWidth="1"/>
    <col min="12325" max="12325" width="24" style="89" customWidth="1"/>
    <col min="12326" max="12326" width="11.42578125" style="89" customWidth="1"/>
    <col min="12327" max="12327" width="20" style="89" customWidth="1"/>
    <col min="12328" max="12328" width="11.42578125" style="89" customWidth="1"/>
    <col min="12329" max="12329" width="19" style="89" customWidth="1"/>
    <col min="12330" max="12333" width="11.42578125" style="89" customWidth="1"/>
    <col min="12334" max="12334" width="15.140625" style="89" customWidth="1"/>
    <col min="12335" max="12335" width="14" style="89" customWidth="1"/>
    <col min="12336" max="12336" width="15.140625" style="89" customWidth="1"/>
    <col min="12337" max="12337" width="11.42578125" style="89" customWidth="1"/>
    <col min="12338" max="12338" width="51.7109375" style="89" customWidth="1"/>
    <col min="12339" max="12340" width="29.5703125" style="89" customWidth="1"/>
    <col min="12341" max="12341" width="44.42578125" style="89" customWidth="1"/>
    <col min="12342" max="12342" width="36.28515625" style="89" customWidth="1"/>
    <col min="12343" max="12343" width="27.42578125" style="89" bestFit="1" customWidth="1"/>
    <col min="12344" max="12564" width="11.42578125" style="89"/>
    <col min="12565" max="12565" width="15.5703125" style="89" bestFit="1" customWidth="1"/>
    <col min="12566" max="12566" width="33.7109375" style="89" customWidth="1"/>
    <col min="12567" max="12567" width="19" style="89" customWidth="1"/>
    <col min="12568" max="12568" width="19.85546875" style="89" customWidth="1"/>
    <col min="12569" max="12569" width="18.5703125" style="89" customWidth="1"/>
    <col min="12570" max="12570" width="19.7109375" style="89" customWidth="1"/>
    <col min="12571" max="12571" width="14.85546875" style="89" customWidth="1"/>
    <col min="12572" max="12572" width="16.85546875" style="89" customWidth="1"/>
    <col min="12573" max="12575" width="11.42578125" style="89" customWidth="1"/>
    <col min="12576" max="12576" width="18.140625" style="89" customWidth="1"/>
    <col min="12577" max="12577" width="11.42578125" style="89" customWidth="1"/>
    <col min="12578" max="12578" width="12.5703125" style="89" customWidth="1"/>
    <col min="12579" max="12579" width="25" style="89" customWidth="1"/>
    <col min="12580" max="12580" width="16.5703125" style="89" bestFit="1" customWidth="1"/>
    <col min="12581" max="12581" width="24" style="89" customWidth="1"/>
    <col min="12582" max="12582" width="11.42578125" style="89" customWidth="1"/>
    <col min="12583" max="12583" width="20" style="89" customWidth="1"/>
    <col min="12584" max="12584" width="11.42578125" style="89" customWidth="1"/>
    <col min="12585" max="12585" width="19" style="89" customWidth="1"/>
    <col min="12586" max="12589" width="11.42578125" style="89" customWidth="1"/>
    <col min="12590" max="12590" width="15.140625" style="89" customWidth="1"/>
    <col min="12591" max="12591" width="14" style="89" customWidth="1"/>
    <col min="12592" max="12592" width="15.140625" style="89" customWidth="1"/>
    <col min="12593" max="12593" width="11.42578125" style="89" customWidth="1"/>
    <col min="12594" max="12594" width="51.7109375" style="89" customWidth="1"/>
    <col min="12595" max="12596" width="29.5703125" style="89" customWidth="1"/>
    <col min="12597" max="12597" width="44.42578125" style="89" customWidth="1"/>
    <col min="12598" max="12598" width="36.28515625" style="89" customWidth="1"/>
    <col min="12599" max="12599" width="27.42578125" style="89" bestFit="1" customWidth="1"/>
    <col min="12600" max="12820" width="11.42578125" style="89"/>
    <col min="12821" max="12821" width="15.5703125" style="89" bestFit="1" customWidth="1"/>
    <col min="12822" max="12822" width="33.7109375" style="89" customWidth="1"/>
    <col min="12823" max="12823" width="19" style="89" customWidth="1"/>
    <col min="12824" max="12824" width="19.85546875" style="89" customWidth="1"/>
    <col min="12825" max="12825" width="18.5703125" style="89" customWidth="1"/>
    <col min="12826" max="12826" width="19.7109375" style="89" customWidth="1"/>
    <col min="12827" max="12827" width="14.85546875" style="89" customWidth="1"/>
    <col min="12828" max="12828" width="16.85546875" style="89" customWidth="1"/>
    <col min="12829" max="12831" width="11.42578125" style="89" customWidth="1"/>
    <col min="12832" max="12832" width="18.140625" style="89" customWidth="1"/>
    <col min="12833" max="12833" width="11.42578125" style="89" customWidth="1"/>
    <col min="12834" max="12834" width="12.5703125" style="89" customWidth="1"/>
    <col min="12835" max="12835" width="25" style="89" customWidth="1"/>
    <col min="12836" max="12836" width="16.5703125" style="89" bestFit="1" customWidth="1"/>
    <col min="12837" max="12837" width="24" style="89" customWidth="1"/>
    <col min="12838" max="12838" width="11.42578125" style="89" customWidth="1"/>
    <col min="12839" max="12839" width="20" style="89" customWidth="1"/>
    <col min="12840" max="12840" width="11.42578125" style="89" customWidth="1"/>
    <col min="12841" max="12841" width="19" style="89" customWidth="1"/>
    <col min="12842" max="12845" width="11.42578125" style="89" customWidth="1"/>
    <col min="12846" max="12846" width="15.140625" style="89" customWidth="1"/>
    <col min="12847" max="12847" width="14" style="89" customWidth="1"/>
    <col min="12848" max="12848" width="15.140625" style="89" customWidth="1"/>
    <col min="12849" max="12849" width="11.42578125" style="89" customWidth="1"/>
    <col min="12850" max="12850" width="51.7109375" style="89" customWidth="1"/>
    <col min="12851" max="12852" width="29.5703125" style="89" customWidth="1"/>
    <col min="12853" max="12853" width="44.42578125" style="89" customWidth="1"/>
    <col min="12854" max="12854" width="36.28515625" style="89" customWidth="1"/>
    <col min="12855" max="12855" width="27.42578125" style="89" bestFit="1" customWidth="1"/>
    <col min="12856" max="13076" width="11.42578125" style="89"/>
    <col min="13077" max="13077" width="15.5703125" style="89" bestFit="1" customWidth="1"/>
    <col min="13078" max="13078" width="33.7109375" style="89" customWidth="1"/>
    <col min="13079" max="13079" width="19" style="89" customWidth="1"/>
    <col min="13080" max="13080" width="19.85546875" style="89" customWidth="1"/>
    <col min="13081" max="13081" width="18.5703125" style="89" customWidth="1"/>
    <col min="13082" max="13082" width="19.7109375" style="89" customWidth="1"/>
    <col min="13083" max="13083" width="14.85546875" style="89" customWidth="1"/>
    <col min="13084" max="13084" width="16.85546875" style="89" customWidth="1"/>
    <col min="13085" max="13087" width="11.42578125" style="89" customWidth="1"/>
    <col min="13088" max="13088" width="18.140625" style="89" customWidth="1"/>
    <col min="13089" max="13089" width="11.42578125" style="89" customWidth="1"/>
    <col min="13090" max="13090" width="12.5703125" style="89" customWidth="1"/>
    <col min="13091" max="13091" width="25" style="89" customWidth="1"/>
    <col min="13092" max="13092" width="16.5703125" style="89" bestFit="1" customWidth="1"/>
    <col min="13093" max="13093" width="24" style="89" customWidth="1"/>
    <col min="13094" max="13094" width="11.42578125" style="89" customWidth="1"/>
    <col min="13095" max="13095" width="20" style="89" customWidth="1"/>
    <col min="13096" max="13096" width="11.42578125" style="89" customWidth="1"/>
    <col min="13097" max="13097" width="19" style="89" customWidth="1"/>
    <col min="13098" max="13101" width="11.42578125" style="89" customWidth="1"/>
    <col min="13102" max="13102" width="15.140625" style="89" customWidth="1"/>
    <col min="13103" max="13103" width="14" style="89" customWidth="1"/>
    <col min="13104" max="13104" width="15.140625" style="89" customWidth="1"/>
    <col min="13105" max="13105" width="11.42578125" style="89" customWidth="1"/>
    <col min="13106" max="13106" width="51.7109375" style="89" customWidth="1"/>
    <col min="13107" max="13108" width="29.5703125" style="89" customWidth="1"/>
    <col min="13109" max="13109" width="44.42578125" style="89" customWidth="1"/>
    <col min="13110" max="13110" width="36.28515625" style="89" customWidth="1"/>
    <col min="13111" max="13111" width="27.42578125" style="89" bestFit="1" customWidth="1"/>
    <col min="13112" max="13332" width="11.42578125" style="89"/>
    <col min="13333" max="13333" width="15.5703125" style="89" bestFit="1" customWidth="1"/>
    <col min="13334" max="13334" width="33.7109375" style="89" customWidth="1"/>
    <col min="13335" max="13335" width="19" style="89" customWidth="1"/>
    <col min="13336" max="13336" width="19.85546875" style="89" customWidth="1"/>
    <col min="13337" max="13337" width="18.5703125" style="89" customWidth="1"/>
    <col min="13338" max="13338" width="19.7109375" style="89" customWidth="1"/>
    <col min="13339" max="13339" width="14.85546875" style="89" customWidth="1"/>
    <col min="13340" max="13340" width="16.85546875" style="89" customWidth="1"/>
    <col min="13341" max="13343" width="11.42578125" style="89" customWidth="1"/>
    <col min="13344" max="13344" width="18.140625" style="89" customWidth="1"/>
    <col min="13345" max="13345" width="11.42578125" style="89" customWidth="1"/>
    <col min="13346" max="13346" width="12.5703125" style="89" customWidth="1"/>
    <col min="13347" max="13347" width="25" style="89" customWidth="1"/>
    <col min="13348" max="13348" width="16.5703125" style="89" bestFit="1" customWidth="1"/>
    <col min="13349" max="13349" width="24" style="89" customWidth="1"/>
    <col min="13350" max="13350" width="11.42578125" style="89" customWidth="1"/>
    <col min="13351" max="13351" width="20" style="89" customWidth="1"/>
    <col min="13352" max="13352" width="11.42578125" style="89" customWidth="1"/>
    <col min="13353" max="13353" width="19" style="89" customWidth="1"/>
    <col min="13354" max="13357" width="11.42578125" style="89" customWidth="1"/>
    <col min="13358" max="13358" width="15.140625" style="89" customWidth="1"/>
    <col min="13359" max="13359" width="14" style="89" customWidth="1"/>
    <col min="13360" max="13360" width="15.140625" style="89" customWidth="1"/>
    <col min="13361" max="13361" width="11.42578125" style="89" customWidth="1"/>
    <col min="13362" max="13362" width="51.7109375" style="89" customWidth="1"/>
    <col min="13363" max="13364" width="29.5703125" style="89" customWidth="1"/>
    <col min="13365" max="13365" width="44.42578125" style="89" customWidth="1"/>
    <col min="13366" max="13366" width="36.28515625" style="89" customWidth="1"/>
    <col min="13367" max="13367" width="27.42578125" style="89" bestFit="1" customWidth="1"/>
    <col min="13368" max="13588" width="11.42578125" style="89"/>
    <col min="13589" max="13589" width="15.5703125" style="89" bestFit="1" customWidth="1"/>
    <col min="13590" max="13590" width="33.7109375" style="89" customWidth="1"/>
    <col min="13591" max="13591" width="19" style="89" customWidth="1"/>
    <col min="13592" max="13592" width="19.85546875" style="89" customWidth="1"/>
    <col min="13593" max="13593" width="18.5703125" style="89" customWidth="1"/>
    <col min="13594" max="13594" width="19.7109375" style="89" customWidth="1"/>
    <col min="13595" max="13595" width="14.85546875" style="89" customWidth="1"/>
    <col min="13596" max="13596" width="16.85546875" style="89" customWidth="1"/>
    <col min="13597" max="13599" width="11.42578125" style="89" customWidth="1"/>
    <col min="13600" max="13600" width="18.140625" style="89" customWidth="1"/>
    <col min="13601" max="13601" width="11.42578125" style="89" customWidth="1"/>
    <col min="13602" max="13602" width="12.5703125" style="89" customWidth="1"/>
    <col min="13603" max="13603" width="25" style="89" customWidth="1"/>
    <col min="13604" max="13604" width="16.5703125" style="89" bestFit="1" customWidth="1"/>
    <col min="13605" max="13605" width="24" style="89" customWidth="1"/>
    <col min="13606" max="13606" width="11.42578125" style="89" customWidth="1"/>
    <col min="13607" max="13607" width="20" style="89" customWidth="1"/>
    <col min="13608" max="13608" width="11.42578125" style="89" customWidth="1"/>
    <col min="13609" max="13609" width="19" style="89" customWidth="1"/>
    <col min="13610" max="13613" width="11.42578125" style="89" customWidth="1"/>
    <col min="13614" max="13614" width="15.140625" style="89" customWidth="1"/>
    <col min="13615" max="13615" width="14" style="89" customWidth="1"/>
    <col min="13616" max="13616" width="15.140625" style="89" customWidth="1"/>
    <col min="13617" max="13617" width="11.42578125" style="89" customWidth="1"/>
    <col min="13618" max="13618" width="51.7109375" style="89" customWidth="1"/>
    <col min="13619" max="13620" width="29.5703125" style="89" customWidth="1"/>
    <col min="13621" max="13621" width="44.42578125" style="89" customWidth="1"/>
    <col min="13622" max="13622" width="36.28515625" style="89" customWidth="1"/>
    <col min="13623" max="13623" width="27.42578125" style="89" bestFit="1" customWidth="1"/>
    <col min="13624" max="13844" width="11.42578125" style="89"/>
    <col min="13845" max="13845" width="15.5703125" style="89" bestFit="1" customWidth="1"/>
    <col min="13846" max="13846" width="33.7109375" style="89" customWidth="1"/>
    <col min="13847" max="13847" width="19" style="89" customWidth="1"/>
    <col min="13848" max="13848" width="19.85546875" style="89" customWidth="1"/>
    <col min="13849" max="13849" width="18.5703125" style="89" customWidth="1"/>
    <col min="13850" max="13850" width="19.7109375" style="89" customWidth="1"/>
    <col min="13851" max="13851" width="14.85546875" style="89" customWidth="1"/>
    <col min="13852" max="13852" width="16.85546875" style="89" customWidth="1"/>
    <col min="13853" max="13855" width="11.42578125" style="89" customWidth="1"/>
    <col min="13856" max="13856" width="18.140625" style="89" customWidth="1"/>
    <col min="13857" max="13857" width="11.42578125" style="89" customWidth="1"/>
    <col min="13858" max="13858" width="12.5703125" style="89" customWidth="1"/>
    <col min="13859" max="13859" width="25" style="89" customWidth="1"/>
    <col min="13860" max="13860" width="16.5703125" style="89" bestFit="1" customWidth="1"/>
    <col min="13861" max="13861" width="24" style="89" customWidth="1"/>
    <col min="13862" max="13862" width="11.42578125" style="89" customWidth="1"/>
    <col min="13863" max="13863" width="20" style="89" customWidth="1"/>
    <col min="13864" max="13864" width="11.42578125" style="89" customWidth="1"/>
    <col min="13865" max="13865" width="19" style="89" customWidth="1"/>
    <col min="13866" max="13869" width="11.42578125" style="89" customWidth="1"/>
    <col min="13870" max="13870" width="15.140625" style="89" customWidth="1"/>
    <col min="13871" max="13871" width="14" style="89" customWidth="1"/>
    <col min="13872" max="13872" width="15.140625" style="89" customWidth="1"/>
    <col min="13873" max="13873" width="11.42578125" style="89" customWidth="1"/>
    <col min="13874" max="13874" width="51.7109375" style="89" customWidth="1"/>
    <col min="13875" max="13876" width="29.5703125" style="89" customWidth="1"/>
    <col min="13877" max="13877" width="44.42578125" style="89" customWidth="1"/>
    <col min="13878" max="13878" width="36.28515625" style="89" customWidth="1"/>
    <col min="13879" max="13879" width="27.42578125" style="89" bestFit="1" customWidth="1"/>
    <col min="13880" max="14100" width="11.42578125" style="89"/>
    <col min="14101" max="14101" width="15.5703125" style="89" bestFit="1" customWidth="1"/>
    <col min="14102" max="14102" width="33.7109375" style="89" customWidth="1"/>
    <col min="14103" max="14103" width="19" style="89" customWidth="1"/>
    <col min="14104" max="14104" width="19.85546875" style="89" customWidth="1"/>
    <col min="14105" max="14105" width="18.5703125" style="89" customWidth="1"/>
    <col min="14106" max="14106" width="19.7109375" style="89" customWidth="1"/>
    <col min="14107" max="14107" width="14.85546875" style="89" customWidth="1"/>
    <col min="14108" max="14108" width="16.85546875" style="89" customWidth="1"/>
    <col min="14109" max="14111" width="11.42578125" style="89" customWidth="1"/>
    <col min="14112" max="14112" width="18.140625" style="89" customWidth="1"/>
    <col min="14113" max="14113" width="11.42578125" style="89" customWidth="1"/>
    <col min="14114" max="14114" width="12.5703125" style="89" customWidth="1"/>
    <col min="14115" max="14115" width="25" style="89" customWidth="1"/>
    <col min="14116" max="14116" width="16.5703125" style="89" bestFit="1" customWidth="1"/>
    <col min="14117" max="14117" width="24" style="89" customWidth="1"/>
    <col min="14118" max="14118" width="11.42578125" style="89" customWidth="1"/>
    <col min="14119" max="14119" width="20" style="89" customWidth="1"/>
    <col min="14120" max="14120" width="11.42578125" style="89" customWidth="1"/>
    <col min="14121" max="14121" width="19" style="89" customWidth="1"/>
    <col min="14122" max="14125" width="11.42578125" style="89" customWidth="1"/>
    <col min="14126" max="14126" width="15.140625" style="89" customWidth="1"/>
    <col min="14127" max="14127" width="14" style="89" customWidth="1"/>
    <col min="14128" max="14128" width="15.140625" style="89" customWidth="1"/>
    <col min="14129" max="14129" width="11.42578125" style="89" customWidth="1"/>
    <col min="14130" max="14130" width="51.7109375" style="89" customWidth="1"/>
    <col min="14131" max="14132" width="29.5703125" style="89" customWidth="1"/>
    <col min="14133" max="14133" width="44.42578125" style="89" customWidth="1"/>
    <col min="14134" max="14134" width="36.28515625" style="89" customWidth="1"/>
    <col min="14135" max="14135" width="27.42578125" style="89" bestFit="1" customWidth="1"/>
    <col min="14136" max="14356" width="11.42578125" style="89"/>
    <col min="14357" max="14357" width="15.5703125" style="89" bestFit="1" customWidth="1"/>
    <col min="14358" max="14358" width="33.7109375" style="89" customWidth="1"/>
    <col min="14359" max="14359" width="19" style="89" customWidth="1"/>
    <col min="14360" max="14360" width="19.85546875" style="89" customWidth="1"/>
    <col min="14361" max="14361" width="18.5703125" style="89" customWidth="1"/>
    <col min="14362" max="14362" width="19.7109375" style="89" customWidth="1"/>
    <col min="14363" max="14363" width="14.85546875" style="89" customWidth="1"/>
    <col min="14364" max="14364" width="16.85546875" style="89" customWidth="1"/>
    <col min="14365" max="14367" width="11.42578125" style="89" customWidth="1"/>
    <col min="14368" max="14368" width="18.140625" style="89" customWidth="1"/>
    <col min="14369" max="14369" width="11.42578125" style="89" customWidth="1"/>
    <col min="14370" max="14370" width="12.5703125" style="89" customWidth="1"/>
    <col min="14371" max="14371" width="25" style="89" customWidth="1"/>
    <col min="14372" max="14372" width="16.5703125" style="89" bestFit="1" customWidth="1"/>
    <col min="14373" max="14373" width="24" style="89" customWidth="1"/>
    <col min="14374" max="14374" width="11.42578125" style="89" customWidth="1"/>
    <col min="14375" max="14375" width="20" style="89" customWidth="1"/>
    <col min="14376" max="14376" width="11.42578125" style="89" customWidth="1"/>
    <col min="14377" max="14377" width="19" style="89" customWidth="1"/>
    <col min="14378" max="14381" width="11.42578125" style="89" customWidth="1"/>
    <col min="14382" max="14382" width="15.140625" style="89" customWidth="1"/>
    <col min="14383" max="14383" width="14" style="89" customWidth="1"/>
    <col min="14384" max="14384" width="15.140625" style="89" customWidth="1"/>
    <col min="14385" max="14385" width="11.42578125" style="89" customWidth="1"/>
    <col min="14386" max="14386" width="51.7109375" style="89" customWidth="1"/>
    <col min="14387" max="14388" width="29.5703125" style="89" customWidth="1"/>
    <col min="14389" max="14389" width="44.42578125" style="89" customWidth="1"/>
    <col min="14390" max="14390" width="36.28515625" style="89" customWidth="1"/>
    <col min="14391" max="14391" width="27.42578125" style="89" bestFit="1" customWidth="1"/>
    <col min="14392" max="14612" width="11.42578125" style="89"/>
    <col min="14613" max="14613" width="15.5703125" style="89" bestFit="1" customWidth="1"/>
    <col min="14614" max="14614" width="33.7109375" style="89" customWidth="1"/>
    <col min="14615" max="14615" width="19" style="89" customWidth="1"/>
    <col min="14616" max="14616" width="19.85546875" style="89" customWidth="1"/>
    <col min="14617" max="14617" width="18.5703125" style="89" customWidth="1"/>
    <col min="14618" max="14618" width="19.7109375" style="89" customWidth="1"/>
    <col min="14619" max="14619" width="14.85546875" style="89" customWidth="1"/>
    <col min="14620" max="14620" width="16.85546875" style="89" customWidth="1"/>
    <col min="14621" max="14623" width="11.42578125" style="89" customWidth="1"/>
    <col min="14624" max="14624" width="18.140625" style="89" customWidth="1"/>
    <col min="14625" max="14625" width="11.42578125" style="89" customWidth="1"/>
    <col min="14626" max="14626" width="12.5703125" style="89" customWidth="1"/>
    <col min="14627" max="14627" width="25" style="89" customWidth="1"/>
    <col min="14628" max="14628" width="16.5703125" style="89" bestFit="1" customWidth="1"/>
    <col min="14629" max="14629" width="24" style="89" customWidth="1"/>
    <col min="14630" max="14630" width="11.42578125" style="89" customWidth="1"/>
    <col min="14631" max="14631" width="20" style="89" customWidth="1"/>
    <col min="14632" max="14632" width="11.42578125" style="89" customWidth="1"/>
    <col min="14633" max="14633" width="19" style="89" customWidth="1"/>
    <col min="14634" max="14637" width="11.42578125" style="89" customWidth="1"/>
    <col min="14638" max="14638" width="15.140625" style="89" customWidth="1"/>
    <col min="14639" max="14639" width="14" style="89" customWidth="1"/>
    <col min="14640" max="14640" width="15.140625" style="89" customWidth="1"/>
    <col min="14641" max="14641" width="11.42578125" style="89" customWidth="1"/>
    <col min="14642" max="14642" width="51.7109375" style="89" customWidth="1"/>
    <col min="14643" max="14644" width="29.5703125" style="89" customWidth="1"/>
    <col min="14645" max="14645" width="44.42578125" style="89" customWidth="1"/>
    <col min="14646" max="14646" width="36.28515625" style="89" customWidth="1"/>
    <col min="14647" max="14647" width="27.42578125" style="89" bestFit="1" customWidth="1"/>
    <col min="14648" max="14868" width="11.42578125" style="89"/>
    <col min="14869" max="14869" width="15.5703125" style="89" bestFit="1" customWidth="1"/>
    <col min="14870" max="14870" width="33.7109375" style="89" customWidth="1"/>
    <col min="14871" max="14871" width="19" style="89" customWidth="1"/>
    <col min="14872" max="14872" width="19.85546875" style="89" customWidth="1"/>
    <col min="14873" max="14873" width="18.5703125" style="89" customWidth="1"/>
    <col min="14874" max="14874" width="19.7109375" style="89" customWidth="1"/>
    <col min="14875" max="14875" width="14.85546875" style="89" customWidth="1"/>
    <col min="14876" max="14876" width="16.85546875" style="89" customWidth="1"/>
    <col min="14877" max="14879" width="11.42578125" style="89" customWidth="1"/>
    <col min="14880" max="14880" width="18.140625" style="89" customWidth="1"/>
    <col min="14881" max="14881" width="11.42578125" style="89" customWidth="1"/>
    <col min="14882" max="14882" width="12.5703125" style="89" customWidth="1"/>
    <col min="14883" max="14883" width="25" style="89" customWidth="1"/>
    <col min="14884" max="14884" width="16.5703125" style="89" bestFit="1" customWidth="1"/>
    <col min="14885" max="14885" width="24" style="89" customWidth="1"/>
    <col min="14886" max="14886" width="11.42578125" style="89" customWidth="1"/>
    <col min="14887" max="14887" width="20" style="89" customWidth="1"/>
    <col min="14888" max="14888" width="11.42578125" style="89" customWidth="1"/>
    <col min="14889" max="14889" width="19" style="89" customWidth="1"/>
    <col min="14890" max="14893" width="11.42578125" style="89" customWidth="1"/>
    <col min="14894" max="14894" width="15.140625" style="89" customWidth="1"/>
    <col min="14895" max="14895" width="14" style="89" customWidth="1"/>
    <col min="14896" max="14896" width="15.140625" style="89" customWidth="1"/>
    <col min="14897" max="14897" width="11.42578125" style="89" customWidth="1"/>
    <col min="14898" max="14898" width="51.7109375" style="89" customWidth="1"/>
    <col min="14899" max="14900" width="29.5703125" style="89" customWidth="1"/>
    <col min="14901" max="14901" width="44.42578125" style="89" customWidth="1"/>
    <col min="14902" max="14902" width="36.28515625" style="89" customWidth="1"/>
    <col min="14903" max="14903" width="27.42578125" style="89" bestFit="1" customWidth="1"/>
    <col min="14904" max="15124" width="11.42578125" style="89"/>
    <col min="15125" max="15125" width="15.5703125" style="89" bestFit="1" customWidth="1"/>
    <col min="15126" max="15126" width="33.7109375" style="89" customWidth="1"/>
    <col min="15127" max="15127" width="19" style="89" customWidth="1"/>
    <col min="15128" max="15128" width="19.85546875" style="89" customWidth="1"/>
    <col min="15129" max="15129" width="18.5703125" style="89" customWidth="1"/>
    <col min="15130" max="15130" width="19.7109375" style="89" customWidth="1"/>
    <col min="15131" max="15131" width="14.85546875" style="89" customWidth="1"/>
    <col min="15132" max="15132" width="16.85546875" style="89" customWidth="1"/>
    <col min="15133" max="15135" width="11.42578125" style="89" customWidth="1"/>
    <col min="15136" max="15136" width="18.140625" style="89" customWidth="1"/>
    <col min="15137" max="15137" width="11.42578125" style="89" customWidth="1"/>
    <col min="15138" max="15138" width="12.5703125" style="89" customWidth="1"/>
    <col min="15139" max="15139" width="25" style="89" customWidth="1"/>
    <col min="15140" max="15140" width="16.5703125" style="89" bestFit="1" customWidth="1"/>
    <col min="15141" max="15141" width="24" style="89" customWidth="1"/>
    <col min="15142" max="15142" width="11.42578125" style="89" customWidth="1"/>
    <col min="15143" max="15143" width="20" style="89" customWidth="1"/>
    <col min="15144" max="15144" width="11.42578125" style="89" customWidth="1"/>
    <col min="15145" max="15145" width="19" style="89" customWidth="1"/>
    <col min="15146" max="15149" width="11.42578125" style="89" customWidth="1"/>
    <col min="15150" max="15150" width="15.140625" style="89" customWidth="1"/>
    <col min="15151" max="15151" width="14" style="89" customWidth="1"/>
    <col min="15152" max="15152" width="15.140625" style="89" customWidth="1"/>
    <col min="15153" max="15153" width="11.42578125" style="89" customWidth="1"/>
    <col min="15154" max="15154" width="51.7109375" style="89" customWidth="1"/>
    <col min="15155" max="15156" width="29.5703125" style="89" customWidth="1"/>
    <col min="15157" max="15157" width="44.42578125" style="89" customWidth="1"/>
    <col min="15158" max="15158" width="36.28515625" style="89" customWidth="1"/>
    <col min="15159" max="15159" width="27.42578125" style="89" bestFit="1" customWidth="1"/>
    <col min="15160" max="15380" width="11.42578125" style="89"/>
    <col min="15381" max="15381" width="15.5703125" style="89" bestFit="1" customWidth="1"/>
    <col min="15382" max="15382" width="33.7109375" style="89" customWidth="1"/>
    <col min="15383" max="15383" width="19" style="89" customWidth="1"/>
    <col min="15384" max="15384" width="19.85546875" style="89" customWidth="1"/>
    <col min="15385" max="15385" width="18.5703125" style="89" customWidth="1"/>
    <col min="15386" max="15386" width="19.7109375" style="89" customWidth="1"/>
    <col min="15387" max="15387" width="14.85546875" style="89" customWidth="1"/>
    <col min="15388" max="15388" width="16.85546875" style="89" customWidth="1"/>
    <col min="15389" max="15391" width="11.42578125" style="89" customWidth="1"/>
    <col min="15392" max="15392" width="18.140625" style="89" customWidth="1"/>
    <col min="15393" max="15393" width="11.42578125" style="89" customWidth="1"/>
    <col min="15394" max="15394" width="12.5703125" style="89" customWidth="1"/>
    <col min="15395" max="15395" width="25" style="89" customWidth="1"/>
    <col min="15396" max="15396" width="16.5703125" style="89" bestFit="1" customWidth="1"/>
    <col min="15397" max="15397" width="24" style="89" customWidth="1"/>
    <col min="15398" max="15398" width="11.42578125" style="89" customWidth="1"/>
    <col min="15399" max="15399" width="20" style="89" customWidth="1"/>
    <col min="15400" max="15400" width="11.42578125" style="89" customWidth="1"/>
    <col min="15401" max="15401" width="19" style="89" customWidth="1"/>
    <col min="15402" max="15405" width="11.42578125" style="89" customWidth="1"/>
    <col min="15406" max="15406" width="15.140625" style="89" customWidth="1"/>
    <col min="15407" max="15407" width="14" style="89" customWidth="1"/>
    <col min="15408" max="15408" width="15.140625" style="89" customWidth="1"/>
    <col min="15409" max="15409" width="11.42578125" style="89" customWidth="1"/>
    <col min="15410" max="15410" width="51.7109375" style="89" customWidth="1"/>
    <col min="15411" max="15412" width="29.5703125" style="89" customWidth="1"/>
    <col min="15413" max="15413" width="44.42578125" style="89" customWidth="1"/>
    <col min="15414" max="15414" width="36.28515625" style="89" customWidth="1"/>
    <col min="15415" max="15415" width="27.42578125" style="89" bestFit="1" customWidth="1"/>
    <col min="15416" max="15636" width="11.42578125" style="89"/>
    <col min="15637" max="15637" width="15.5703125" style="89" bestFit="1" customWidth="1"/>
    <col min="15638" max="15638" width="33.7109375" style="89" customWidth="1"/>
    <col min="15639" max="15639" width="19" style="89" customWidth="1"/>
    <col min="15640" max="15640" width="19.85546875" style="89" customWidth="1"/>
    <col min="15641" max="15641" width="18.5703125" style="89" customWidth="1"/>
    <col min="15642" max="15642" width="19.7109375" style="89" customWidth="1"/>
    <col min="15643" max="15643" width="14.85546875" style="89" customWidth="1"/>
    <col min="15644" max="15644" width="16.85546875" style="89" customWidth="1"/>
    <col min="15645" max="15647" width="11.42578125" style="89" customWidth="1"/>
    <col min="15648" max="15648" width="18.140625" style="89" customWidth="1"/>
    <col min="15649" max="15649" width="11.42578125" style="89" customWidth="1"/>
    <col min="15650" max="15650" width="12.5703125" style="89" customWidth="1"/>
    <col min="15651" max="15651" width="25" style="89" customWidth="1"/>
    <col min="15652" max="15652" width="16.5703125" style="89" bestFit="1" customWidth="1"/>
    <col min="15653" max="15653" width="24" style="89" customWidth="1"/>
    <col min="15654" max="15654" width="11.42578125" style="89" customWidth="1"/>
    <col min="15655" max="15655" width="20" style="89" customWidth="1"/>
    <col min="15656" max="15656" width="11.42578125" style="89" customWidth="1"/>
    <col min="15657" max="15657" width="19" style="89" customWidth="1"/>
    <col min="15658" max="15661" width="11.42578125" style="89" customWidth="1"/>
    <col min="15662" max="15662" width="15.140625" style="89" customWidth="1"/>
    <col min="15663" max="15663" width="14" style="89" customWidth="1"/>
    <col min="15664" max="15664" width="15.140625" style="89" customWidth="1"/>
    <col min="15665" max="15665" width="11.42578125" style="89" customWidth="1"/>
    <col min="15666" max="15666" width="51.7109375" style="89" customWidth="1"/>
    <col min="15667" max="15668" width="29.5703125" style="89" customWidth="1"/>
    <col min="15669" max="15669" width="44.42578125" style="89" customWidth="1"/>
    <col min="15670" max="15670" width="36.28515625" style="89" customWidth="1"/>
    <col min="15671" max="15671" width="27.42578125" style="89" bestFit="1" customWidth="1"/>
    <col min="15672" max="15892" width="11.42578125" style="89"/>
    <col min="15893" max="15893" width="15.5703125" style="89" bestFit="1" customWidth="1"/>
    <col min="15894" max="15894" width="33.7109375" style="89" customWidth="1"/>
    <col min="15895" max="15895" width="19" style="89" customWidth="1"/>
    <col min="15896" max="15896" width="19.85546875" style="89" customWidth="1"/>
    <col min="15897" max="15897" width="18.5703125" style="89" customWidth="1"/>
    <col min="15898" max="15898" width="19.7109375" style="89" customWidth="1"/>
    <col min="15899" max="15899" width="14.85546875" style="89" customWidth="1"/>
    <col min="15900" max="15900" width="16.85546875" style="89" customWidth="1"/>
    <col min="15901" max="15903" width="11.42578125" style="89" customWidth="1"/>
    <col min="15904" max="15904" width="18.140625" style="89" customWidth="1"/>
    <col min="15905" max="15905" width="11.42578125" style="89" customWidth="1"/>
    <col min="15906" max="15906" width="12.5703125" style="89" customWidth="1"/>
    <col min="15907" max="15907" width="25" style="89" customWidth="1"/>
    <col min="15908" max="15908" width="16.5703125" style="89" bestFit="1" customWidth="1"/>
    <col min="15909" max="15909" width="24" style="89" customWidth="1"/>
    <col min="15910" max="15910" width="11.42578125" style="89" customWidth="1"/>
    <col min="15911" max="15911" width="20" style="89" customWidth="1"/>
    <col min="15912" max="15912" width="11.42578125" style="89" customWidth="1"/>
    <col min="15913" max="15913" width="19" style="89" customWidth="1"/>
    <col min="15914" max="15917" width="11.42578125" style="89" customWidth="1"/>
    <col min="15918" max="15918" width="15.140625" style="89" customWidth="1"/>
    <col min="15919" max="15919" width="14" style="89" customWidth="1"/>
    <col min="15920" max="15920" width="15.140625" style="89" customWidth="1"/>
    <col min="15921" max="15921" width="11.42578125" style="89" customWidth="1"/>
    <col min="15922" max="15922" width="51.7109375" style="89" customWidth="1"/>
    <col min="15923" max="15924" width="29.5703125" style="89" customWidth="1"/>
    <col min="15925" max="15925" width="44.42578125" style="89" customWidth="1"/>
    <col min="15926" max="15926" width="36.28515625" style="89" customWidth="1"/>
    <col min="15927" max="15927" width="27.42578125" style="89" bestFit="1" customWidth="1"/>
    <col min="15928" max="16148" width="11.42578125" style="89"/>
    <col min="16149" max="16149" width="15.5703125" style="89" bestFit="1" customWidth="1"/>
    <col min="16150" max="16150" width="33.7109375" style="89" customWidth="1"/>
    <col min="16151" max="16151" width="19" style="89" customWidth="1"/>
    <col min="16152" max="16152" width="19.85546875" style="89" customWidth="1"/>
    <col min="16153" max="16153" width="18.5703125" style="89" customWidth="1"/>
    <col min="16154" max="16154" width="19.7109375" style="89" customWidth="1"/>
    <col min="16155" max="16155" width="14.85546875" style="89" customWidth="1"/>
    <col min="16156" max="16156" width="16.85546875" style="89" customWidth="1"/>
    <col min="16157" max="16159" width="11.42578125" style="89" customWidth="1"/>
    <col min="16160" max="16160" width="18.140625" style="89" customWidth="1"/>
    <col min="16161" max="16161" width="11.42578125" style="89" customWidth="1"/>
    <col min="16162" max="16162" width="12.5703125" style="89" customWidth="1"/>
    <col min="16163" max="16163" width="25" style="89" customWidth="1"/>
    <col min="16164" max="16164" width="16.5703125" style="89" bestFit="1" customWidth="1"/>
    <col min="16165" max="16165" width="24" style="89" customWidth="1"/>
    <col min="16166" max="16166" width="11.42578125" style="89" customWidth="1"/>
    <col min="16167" max="16167" width="20" style="89" customWidth="1"/>
    <col min="16168" max="16168" width="11.42578125" style="89" customWidth="1"/>
    <col min="16169" max="16169" width="19" style="89" customWidth="1"/>
    <col min="16170" max="16173" width="11.42578125" style="89" customWidth="1"/>
    <col min="16174" max="16174" width="15.140625" style="89" customWidth="1"/>
    <col min="16175" max="16175" width="14" style="89" customWidth="1"/>
    <col min="16176" max="16176" width="15.140625" style="89" customWidth="1"/>
    <col min="16177" max="16177" width="11.42578125" style="89" customWidth="1"/>
    <col min="16178" max="16178" width="51.7109375" style="89" customWidth="1"/>
    <col min="16179" max="16180" width="29.5703125" style="89" customWidth="1"/>
    <col min="16181" max="16181" width="44.42578125" style="89" customWidth="1"/>
    <col min="16182" max="16182" width="36.28515625" style="89" customWidth="1"/>
    <col min="16183" max="16183" width="27.42578125" style="89" bestFit="1" customWidth="1"/>
    <col min="16184" max="16384" width="11.42578125" style="89"/>
  </cols>
  <sheetData>
    <row r="1" spans="1:76" s="90" customFormat="1" ht="34.5" customHeight="1" x14ac:dyDescent="0.6">
      <c r="AD1" s="238"/>
      <c r="AH1" s="238"/>
      <c r="AI1" s="238"/>
      <c r="AJ1" s="238"/>
      <c r="AR1" s="238"/>
      <c r="BL1" s="242" t="s">
        <v>218</v>
      </c>
      <c r="BM1" s="243"/>
      <c r="BN1" s="243"/>
      <c r="BO1" s="243"/>
      <c r="BP1" s="243"/>
      <c r="BQ1" s="243"/>
      <c r="BR1" s="243"/>
      <c r="BS1" s="243"/>
      <c r="BT1" s="243"/>
      <c r="BU1" s="243"/>
    </row>
    <row r="2" spans="1:76" ht="76.5" x14ac:dyDescent="0.25">
      <c r="A2" s="233" t="s">
        <v>176</v>
      </c>
      <c r="B2" s="234" t="s">
        <v>89</v>
      </c>
      <c r="C2" s="235" t="s">
        <v>90</v>
      </c>
      <c r="D2" s="235" t="s">
        <v>91</v>
      </c>
      <c r="E2" s="235" t="s">
        <v>92</v>
      </c>
      <c r="F2" s="236" t="s">
        <v>93</v>
      </c>
      <c r="G2" s="236" t="s">
        <v>94</v>
      </c>
      <c r="H2" s="236" t="s">
        <v>206</v>
      </c>
      <c r="I2" s="229" t="s">
        <v>95</v>
      </c>
      <c r="J2" s="226" t="s">
        <v>96</v>
      </c>
      <c r="K2" s="230" t="s">
        <v>97</v>
      </c>
      <c r="L2" s="226" t="s">
        <v>98</v>
      </c>
      <c r="M2" s="231" t="s">
        <v>99</v>
      </c>
      <c r="N2" s="231" t="s">
        <v>100</v>
      </c>
      <c r="O2" s="231" t="s">
        <v>101</v>
      </c>
      <c r="P2" s="226" t="s">
        <v>102</v>
      </c>
      <c r="Q2" s="226" t="s">
        <v>103</v>
      </c>
      <c r="R2" s="231" t="s">
        <v>145</v>
      </c>
      <c r="S2" s="237" t="s">
        <v>157</v>
      </c>
      <c r="T2" s="237" t="s">
        <v>158</v>
      </c>
      <c r="U2" s="237" t="s">
        <v>159</v>
      </c>
      <c r="V2" s="237" t="s">
        <v>160</v>
      </c>
      <c r="W2" s="237" t="s">
        <v>161</v>
      </c>
      <c r="X2" s="237" t="s">
        <v>211</v>
      </c>
      <c r="Y2" s="237" t="s">
        <v>212</v>
      </c>
      <c r="Z2" s="237" t="s">
        <v>213</v>
      </c>
      <c r="AA2" s="237" t="s">
        <v>162</v>
      </c>
      <c r="AB2" s="237" t="s">
        <v>163</v>
      </c>
      <c r="AC2" s="237" t="s">
        <v>164</v>
      </c>
      <c r="AD2" s="237" t="s">
        <v>165</v>
      </c>
      <c r="AE2" s="237" t="s">
        <v>166</v>
      </c>
      <c r="AF2" s="237" t="s">
        <v>167</v>
      </c>
      <c r="AG2" s="237" t="s">
        <v>178</v>
      </c>
      <c r="AH2" s="237" t="s">
        <v>179</v>
      </c>
      <c r="AI2" s="237" t="s">
        <v>104</v>
      </c>
      <c r="AJ2" s="237" t="s">
        <v>150</v>
      </c>
      <c r="AK2" s="237" t="s">
        <v>207</v>
      </c>
      <c r="AL2" s="231" t="s">
        <v>184</v>
      </c>
      <c r="AM2" s="231" t="s">
        <v>185</v>
      </c>
      <c r="AN2" s="231" t="s">
        <v>168</v>
      </c>
      <c r="AO2" s="231" t="s">
        <v>169</v>
      </c>
      <c r="AP2" s="237" t="s">
        <v>172</v>
      </c>
      <c r="AQ2" s="237" t="s">
        <v>173</v>
      </c>
      <c r="AR2" s="237" t="s">
        <v>181</v>
      </c>
      <c r="AS2" s="237" t="s">
        <v>180</v>
      </c>
      <c r="AT2" s="237" t="s">
        <v>170</v>
      </c>
      <c r="AU2" s="237" t="s">
        <v>171</v>
      </c>
      <c r="AV2" s="237" t="s">
        <v>182</v>
      </c>
      <c r="AW2" s="237" t="s">
        <v>183</v>
      </c>
      <c r="AX2" s="232" t="s">
        <v>105</v>
      </c>
      <c r="AY2" s="232" t="s">
        <v>106</v>
      </c>
      <c r="AZ2" s="226" t="s">
        <v>107</v>
      </c>
      <c r="BA2" s="232" t="s">
        <v>65</v>
      </c>
      <c r="BB2" s="226" t="s">
        <v>108</v>
      </c>
      <c r="BC2" s="226" t="s">
        <v>146</v>
      </c>
      <c r="BD2" s="226" t="s">
        <v>147</v>
      </c>
      <c r="BE2" s="227" t="s">
        <v>186</v>
      </c>
      <c r="BF2" s="227" t="s">
        <v>187</v>
      </c>
      <c r="BG2" s="227" t="s">
        <v>188</v>
      </c>
      <c r="BH2" s="228" t="s">
        <v>216</v>
      </c>
      <c r="BI2" s="228" t="s">
        <v>217</v>
      </c>
      <c r="BK2" s="239" t="s">
        <v>219</v>
      </c>
      <c r="BL2" s="239" t="s">
        <v>219</v>
      </c>
      <c r="BM2" s="239" t="s">
        <v>219</v>
      </c>
      <c r="BN2" s="239" t="s">
        <v>219</v>
      </c>
      <c r="BO2" s="239" t="s">
        <v>219</v>
      </c>
      <c r="BP2" s="239" t="s">
        <v>219</v>
      </c>
      <c r="BQ2" s="239" t="s">
        <v>219</v>
      </c>
      <c r="BR2" s="239" t="s">
        <v>219</v>
      </c>
      <c r="BS2" s="239" t="s">
        <v>219</v>
      </c>
      <c r="BT2" s="239" t="s">
        <v>219</v>
      </c>
      <c r="BU2" s="239" t="s">
        <v>219</v>
      </c>
      <c r="BV2" s="239" t="s">
        <v>219</v>
      </c>
      <c r="BW2" s="239" t="s">
        <v>219</v>
      </c>
      <c r="BX2" s="239" t="s">
        <v>219</v>
      </c>
    </row>
    <row r="3" spans="1:76" x14ac:dyDescent="0.25">
      <c r="A3" s="169" t="s">
        <v>139</v>
      </c>
      <c r="B3" s="170">
        <v>860072</v>
      </c>
      <c r="C3" s="165" t="s">
        <v>198</v>
      </c>
      <c r="D3" s="171" t="s">
        <v>109</v>
      </c>
      <c r="E3" s="189">
        <v>43830</v>
      </c>
      <c r="F3" s="188" t="s">
        <v>115</v>
      </c>
      <c r="G3" s="189" t="s">
        <v>114</v>
      </c>
      <c r="H3" s="189" t="s">
        <v>208</v>
      </c>
      <c r="I3" s="189">
        <v>43899</v>
      </c>
      <c r="J3" s="189">
        <v>43937</v>
      </c>
      <c r="K3" s="190">
        <f>IF(I3="","",MONTH(I3))</f>
        <v>3</v>
      </c>
      <c r="L3" s="190">
        <f>IF(I3="","",DAYS360(E3,I3))</f>
        <v>69</v>
      </c>
      <c r="M3" s="188"/>
      <c r="N3" s="188"/>
      <c r="O3" s="188"/>
      <c r="P3" s="188"/>
      <c r="Q3" s="188"/>
      <c r="R3" s="188"/>
      <c r="S3" s="213">
        <v>100</v>
      </c>
      <c r="T3" s="207">
        <v>50</v>
      </c>
      <c r="U3" s="219"/>
      <c r="V3" s="213">
        <v>200</v>
      </c>
      <c r="W3" s="219">
        <v>200</v>
      </c>
      <c r="X3" s="219">
        <v>300</v>
      </c>
      <c r="Y3" s="219">
        <v>20</v>
      </c>
      <c r="Z3" s="219"/>
      <c r="AA3" s="219">
        <v>200</v>
      </c>
      <c r="AB3" s="219">
        <v>100</v>
      </c>
      <c r="AC3" s="219">
        <v>2000</v>
      </c>
      <c r="AD3" s="219">
        <v>200</v>
      </c>
      <c r="AE3" s="219">
        <v>600</v>
      </c>
      <c r="AF3" s="219">
        <v>500</v>
      </c>
      <c r="AG3" s="219">
        <v>4470</v>
      </c>
      <c r="AH3" s="225">
        <f>SUM(PORTEFEUILLE_FREDERIQUE[[#This Row],[PCR COMPTABLE €]:[MONTANT
RESPONSABLE RELATION CLIENT €]])-PORTEFEUILLE_FREDERIQUE[[#This Row],[MONTANT TOTAL LETTRE DE MISION €]]</f>
        <v>0</v>
      </c>
      <c r="AI3" s="191" t="s">
        <v>152</v>
      </c>
      <c r="AJ3" s="188" t="s">
        <v>155</v>
      </c>
      <c r="AK3" s="188" t="s">
        <v>153</v>
      </c>
      <c r="AL3" s="188" t="s">
        <v>199</v>
      </c>
      <c r="AM3" s="188" t="s">
        <v>200</v>
      </c>
      <c r="AN3" s="188">
        <v>36</v>
      </c>
      <c r="AO3" s="188">
        <v>16</v>
      </c>
      <c r="AP3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Q3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400</v>
      </c>
      <c r="AR3" s="188" t="str">
        <f>IF(PORTEFEUILLE_FREDERIQUE[[#This Row],[BONI AAC]]&lt;&gt;0,1,"")</f>
        <v/>
      </c>
      <c r="AS3" s="188">
        <f>IF(PORTEFEUILLE_FREDERIQUE[[#This Row],[MALI AAC]]&lt;&gt;0,1,"")</f>
        <v>1</v>
      </c>
      <c r="AT3" s="225">
        <f>IF(AN3&lt;&gt;"",IF((AN3*Paramètres!$H$4)-PORTEFEUILLE_FREDERIQUE[[#This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€]]-(DELPHINE!AN3*Paramètres!$H$4),0),0)</f>
        <v>0</v>
      </c>
      <c r="AU3" s="225">
        <f>IF(AN3&lt;&gt;"",IF(((AN3*Paramètres!$H$4)-PORTEFEUILLE_FREDERIQUE[[#This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€]])&gt;0,(AN3*Paramètres!$H$4)-PORTEFEUILLE_FREDERIQUE[[#This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V3" s="190" t="str">
        <f>IF(PORTEFEUILLE_FREDERIQUE[[#This Row],[BONI COMPTABLE]]&lt;&gt;0,1,"")</f>
        <v/>
      </c>
      <c r="AW3" s="190" t="str">
        <f>IF(PORTEFEUILLE_FREDERIQUE[[#This Row],[MALI COMPTABLE]]&lt;&gt;0,1,"")</f>
        <v/>
      </c>
      <c r="AX3" s="188">
        <v>2</v>
      </c>
      <c r="AY3" s="188" t="s">
        <v>209</v>
      </c>
      <c r="AZ3" s="188" t="s">
        <v>209</v>
      </c>
      <c r="BA3" s="188"/>
      <c r="BB3" s="188"/>
      <c r="BC3" s="188"/>
      <c r="BD3" s="188"/>
      <c r="BE3" s="192" t="s">
        <v>214</v>
      </c>
      <c r="BF3" s="192" t="s">
        <v>191</v>
      </c>
      <c r="BG3" s="192" t="s">
        <v>200</v>
      </c>
      <c r="BH3" s="193"/>
      <c r="BI3" s="192"/>
    </row>
    <row r="4" spans="1:76" x14ac:dyDescent="0.25">
      <c r="A4" s="169" t="s">
        <v>139</v>
      </c>
      <c r="B4" s="170">
        <v>860073</v>
      </c>
      <c r="C4" s="165" t="s">
        <v>210</v>
      </c>
      <c r="D4" s="171" t="s">
        <v>109</v>
      </c>
      <c r="E4" s="189">
        <v>43830</v>
      </c>
      <c r="F4" s="188" t="s">
        <v>112</v>
      </c>
      <c r="G4" s="189" t="s">
        <v>111</v>
      </c>
      <c r="H4" s="189"/>
      <c r="I4" s="189">
        <v>43873</v>
      </c>
      <c r="J4" s="189">
        <v>43938</v>
      </c>
      <c r="K4" s="190">
        <f t="shared" ref="K4:K60" si="0">IF(I4="","",MONTH(I4))</f>
        <v>2</v>
      </c>
      <c r="L4" s="190">
        <f t="shared" ref="L4:L60" si="1">IF(I4="","",DAYS360(E4,I4))</f>
        <v>42</v>
      </c>
      <c r="M4" s="188" t="s">
        <v>200</v>
      </c>
      <c r="N4" s="188"/>
      <c r="O4" s="188"/>
      <c r="P4" s="188"/>
      <c r="Q4" s="188"/>
      <c r="R4" s="188"/>
      <c r="S4" s="213">
        <v>0</v>
      </c>
      <c r="T4" s="207">
        <v>100</v>
      </c>
      <c r="U4" s="219"/>
      <c r="V4" s="219">
        <v>50</v>
      </c>
      <c r="W4" s="219">
        <v>550</v>
      </c>
      <c r="X4" s="219"/>
      <c r="Y4" s="219"/>
      <c r="Z4" s="219"/>
      <c r="AA4" s="219"/>
      <c r="AB4" s="219"/>
      <c r="AC4" s="219"/>
      <c r="AD4" s="219"/>
      <c r="AE4" s="219"/>
      <c r="AF4" s="219"/>
      <c r="AG4" s="219">
        <v>700</v>
      </c>
      <c r="AH4" s="225">
        <f>SUM(PORTEFEUILLE_FREDERIQUE[[#This Row],[PCR COMPTABLE €]:[MONTANT
RESPONSABLE RELATION CLIENT €]])-PORTEFEUILLE_FREDERIQUE[[#This Row],[MONTANT TOTAL LETTRE DE MISION €]]</f>
        <v>0</v>
      </c>
      <c r="AI4" s="191" t="s">
        <v>153</v>
      </c>
      <c r="AJ4" s="188" t="s">
        <v>154</v>
      </c>
      <c r="AK4" s="188"/>
      <c r="AL4" s="188" t="s">
        <v>199</v>
      </c>
      <c r="AM4" s="188"/>
      <c r="AN4" s="188">
        <v>30</v>
      </c>
      <c r="AO4" s="188">
        <v>20</v>
      </c>
      <c r="AP4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Q4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1000</v>
      </c>
      <c r="AR4" s="188" t="str">
        <f>IF(PORTEFEUILLE_FREDERIQUE[[#This Row],[BONI AAC]]&lt;&gt;0,1,"")</f>
        <v/>
      </c>
      <c r="AS4" s="188">
        <f>IF(PORTEFEUILLE_FREDERIQUE[[#This Row],[MALI AAC]]&lt;&gt;0,1,"")</f>
        <v>1</v>
      </c>
      <c r="AT4" s="225">
        <f>IF(AN4&lt;&gt;"",IF((AN4*Paramètres!$H$4)-PORTEFEUILLE_FREDERIQUE[[#This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€]]-(DELPHINE!AN4*Paramètres!$H$4),0),0)</f>
        <v>0</v>
      </c>
      <c r="AU4" s="225">
        <f>IF(AN4&lt;&gt;"",IF(((AN4*Paramètres!$H$4)-PORTEFEUILLE_FREDERIQUE[[#This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€]])&gt;0,(AN4*Paramètres!$H$4)-PORTEFEUILLE_FREDERIQUE[[#This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3000</v>
      </c>
      <c r="AV4" s="190" t="str">
        <f>IF(PORTEFEUILLE_FREDERIQUE[[#This Row],[BONI COMPTABLE]]&lt;&gt;0,1,"")</f>
        <v/>
      </c>
      <c r="AW4" s="190">
        <f>IF(PORTEFEUILLE_FREDERIQUE[[#This Row],[MALI COMPTABLE]]&lt;&gt;0,1,"")</f>
        <v>1</v>
      </c>
      <c r="AX4" s="188">
        <v>4</v>
      </c>
      <c r="AY4" s="188" t="s">
        <v>209</v>
      </c>
      <c r="AZ4" s="188" t="s">
        <v>209</v>
      </c>
      <c r="BA4" s="188"/>
      <c r="BB4" s="188"/>
      <c r="BC4" s="188"/>
      <c r="BD4" s="188"/>
      <c r="BE4" s="192" t="s">
        <v>214</v>
      </c>
      <c r="BF4" s="194" t="s">
        <v>138</v>
      </c>
      <c r="BG4" s="194" t="s">
        <v>215</v>
      </c>
      <c r="BH4" s="195"/>
      <c r="BI4" s="194"/>
    </row>
    <row r="5" spans="1:76" x14ac:dyDescent="0.25">
      <c r="A5" s="169" t="s">
        <v>139</v>
      </c>
      <c r="B5" s="170">
        <v>860074</v>
      </c>
      <c r="C5" s="165" t="s">
        <v>204</v>
      </c>
      <c r="D5" s="171" t="s">
        <v>109</v>
      </c>
      <c r="E5" s="189">
        <v>43830</v>
      </c>
      <c r="F5" s="188" t="s">
        <v>130</v>
      </c>
      <c r="G5" s="189" t="s">
        <v>114</v>
      </c>
      <c r="H5" s="189" t="s">
        <v>208</v>
      </c>
      <c r="I5" s="189"/>
      <c r="J5" s="189"/>
      <c r="K5" s="190" t="str">
        <f t="shared" si="0"/>
        <v/>
      </c>
      <c r="L5" s="190" t="str">
        <f t="shared" si="1"/>
        <v/>
      </c>
      <c r="M5" s="188"/>
      <c r="N5" s="188"/>
      <c r="O5" s="188"/>
      <c r="P5" s="188"/>
      <c r="Q5" s="188"/>
      <c r="R5" s="188"/>
      <c r="S5" s="213">
        <v>85</v>
      </c>
      <c r="T5" s="207">
        <v>85</v>
      </c>
      <c r="U5" s="219">
        <v>200</v>
      </c>
      <c r="V5" s="219">
        <v>200</v>
      </c>
      <c r="W5" s="219">
        <v>400</v>
      </c>
      <c r="X5" s="219"/>
      <c r="Y5" s="219">
        <v>400</v>
      </c>
      <c r="Z5" s="219"/>
      <c r="AA5" s="219">
        <v>600</v>
      </c>
      <c r="AB5" s="219"/>
      <c r="AC5" s="219">
        <v>1500</v>
      </c>
      <c r="AD5" s="219">
        <v>200</v>
      </c>
      <c r="AE5" s="219">
        <v>0</v>
      </c>
      <c r="AF5" s="219">
        <v>65</v>
      </c>
      <c r="AG5" s="219">
        <v>3735</v>
      </c>
      <c r="AH5" s="225">
        <f>SUM(PORTEFEUILLE_FREDERIQUE[[#This Row],[PCR COMPTABLE €]:[MONTANT
RESPONSABLE RELATION CLIENT €]])-PORTEFEUILLE_FREDERIQUE[[#This Row],[MONTANT TOTAL LETTRE DE MISION €]]</f>
        <v>0</v>
      </c>
      <c r="AI5" s="191" t="s">
        <v>153</v>
      </c>
      <c r="AJ5" s="188" t="s">
        <v>156</v>
      </c>
      <c r="AK5" s="188" t="s">
        <v>153</v>
      </c>
      <c r="AL5" s="188"/>
      <c r="AM5" s="188"/>
      <c r="AN5" s="188">
        <v>60</v>
      </c>
      <c r="AO5" s="188">
        <v>60</v>
      </c>
      <c r="AP5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Q5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2200</v>
      </c>
      <c r="AR5" s="188" t="str">
        <f>IF(PORTEFEUILLE_FREDERIQUE[[#This Row],[BONI AAC]]&lt;&gt;0,1,"")</f>
        <v/>
      </c>
      <c r="AS5" s="188">
        <f>IF(PORTEFEUILLE_FREDERIQUE[[#This Row],[MALI AAC]]&lt;&gt;0,1,"")</f>
        <v>1</v>
      </c>
      <c r="AT5" s="225">
        <f>IF(AN5&lt;&gt;"",IF((AN5*Paramètres!$H$4)-PORTEFEUILLE_FREDERIQUE[[#This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€]]-(DELPHINE!AN5*Paramètres!$H$4),0),0)</f>
        <v>0</v>
      </c>
      <c r="AU5" s="225">
        <f>IF(AN5&lt;&gt;"",IF(((AN5*Paramètres!$H$4)-PORTEFEUILLE_FREDERIQUE[[#This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€]])&gt;0,(AN5*Paramètres!$H$4)-PORTEFEUILLE_FREDERIQUE[[#This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4150</v>
      </c>
      <c r="AV5" s="190" t="str">
        <f>IF(PORTEFEUILLE_FREDERIQUE[[#This Row],[BONI COMPTABLE]]&lt;&gt;0,1,"")</f>
        <v/>
      </c>
      <c r="AW5" s="190">
        <f>IF(PORTEFEUILLE_FREDERIQUE[[#This Row],[MALI COMPTABLE]]&lt;&gt;0,1,"")</f>
        <v>1</v>
      </c>
      <c r="AX5" s="188"/>
      <c r="AY5" s="188"/>
      <c r="AZ5" s="188"/>
      <c r="BA5" s="188"/>
      <c r="BB5" s="188"/>
      <c r="BC5" s="188"/>
      <c r="BD5" s="188"/>
      <c r="BE5" s="192" t="s">
        <v>214</v>
      </c>
      <c r="BF5" s="194" t="s">
        <v>140</v>
      </c>
      <c r="BG5" s="194" t="s">
        <v>205</v>
      </c>
      <c r="BH5" s="195" t="s">
        <v>200</v>
      </c>
      <c r="BI5" s="194"/>
    </row>
    <row r="6" spans="1:76" x14ac:dyDescent="0.25">
      <c r="A6" s="172"/>
      <c r="B6" s="170"/>
      <c r="C6" s="165"/>
      <c r="D6" s="171"/>
      <c r="E6" s="189"/>
      <c r="F6" s="188"/>
      <c r="G6" s="189"/>
      <c r="H6" s="189"/>
      <c r="I6" s="189"/>
      <c r="J6" s="189"/>
      <c r="K6" s="190" t="str">
        <f t="shared" si="0"/>
        <v/>
      </c>
      <c r="L6" s="190" t="str">
        <f t="shared" si="1"/>
        <v/>
      </c>
      <c r="M6" s="188"/>
      <c r="N6" s="188"/>
      <c r="O6" s="188"/>
      <c r="P6" s="188"/>
      <c r="Q6" s="188"/>
      <c r="R6" s="188"/>
      <c r="S6" s="213"/>
      <c r="T6" s="207"/>
      <c r="U6" s="219"/>
      <c r="V6" s="219"/>
      <c r="W6" s="219"/>
      <c r="X6" s="219"/>
      <c r="Y6" s="219"/>
      <c r="Z6" s="219"/>
      <c r="AA6" s="219"/>
      <c r="AB6" s="219"/>
      <c r="AC6" s="219"/>
      <c r="AD6" s="219"/>
      <c r="AE6" s="219"/>
      <c r="AF6" s="219"/>
      <c r="AG6" s="219"/>
      <c r="AH6" s="225">
        <f>SUM(PORTEFEUILLE_FREDERIQUE[[#This Row],[PCR COMPTABLE €]:[MONTANT
RESPONSABLE RELATION CLIENT €]])-PORTEFEUILLE_FREDERIQUE[[#This Row],[MONTANT TOTAL LETTRE DE MISION €]]</f>
        <v>0</v>
      </c>
      <c r="AI6" s="191"/>
      <c r="AJ6" s="188"/>
      <c r="AK6" s="188"/>
      <c r="AL6" s="188"/>
      <c r="AM6" s="188"/>
      <c r="AN6" s="188"/>
      <c r="AO6" s="188"/>
      <c r="AP6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Q6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R6" s="188" t="str">
        <f>IF(PORTEFEUILLE_FREDERIQUE[[#This Row],[BONI AAC]]&lt;&gt;0,1,"")</f>
        <v/>
      </c>
      <c r="AS6" s="188" t="str">
        <f>IF(PORTEFEUILLE_FREDERIQUE[[#This Row],[MALI AAC]]&lt;&gt;0,1,"")</f>
        <v/>
      </c>
      <c r="AT6" s="225">
        <f>IF(AN6&lt;&gt;"",IF((AN6*Paramètres!$H$4)-PORTEFEUILLE_FREDERIQUE[[#This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€]]-(DELPHINE!AN6*Paramètres!$H$4),0),0)</f>
        <v>0</v>
      </c>
      <c r="AU6" s="225">
        <f>IF(AN6&lt;&gt;"",IF(((AN6*Paramètres!$H$4)-PORTEFEUILLE_FREDERIQUE[[#This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€]])&gt;0,(AN6*Paramètres!$H$4)-PORTEFEUILLE_FREDERIQUE[[#This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V6" s="190" t="str">
        <f>IF(PORTEFEUILLE_FREDERIQUE[[#This Row],[BONI COMPTABLE]]&lt;&gt;0,1,"")</f>
        <v/>
      </c>
      <c r="AW6" s="190" t="str">
        <f>IF(PORTEFEUILLE_FREDERIQUE[[#This Row],[MALI COMPTABLE]]&lt;&gt;0,1,"")</f>
        <v/>
      </c>
      <c r="AX6" s="188"/>
      <c r="AY6" s="188"/>
      <c r="AZ6" s="188"/>
      <c r="BA6" s="188"/>
      <c r="BB6" s="188"/>
      <c r="BC6" s="188"/>
      <c r="BD6" s="188"/>
      <c r="BE6" s="192"/>
      <c r="BF6" s="194"/>
      <c r="BG6" s="194"/>
      <c r="BH6" s="195"/>
      <c r="BI6" s="194"/>
    </row>
    <row r="7" spans="1:76" x14ac:dyDescent="0.25">
      <c r="A7" s="172"/>
      <c r="B7" s="173"/>
      <c r="C7" s="165"/>
      <c r="D7" s="171"/>
      <c r="E7" s="189"/>
      <c r="F7" s="188"/>
      <c r="G7" s="189"/>
      <c r="H7" s="189"/>
      <c r="I7" s="189"/>
      <c r="J7" s="189"/>
      <c r="K7" s="190" t="str">
        <f t="shared" si="0"/>
        <v/>
      </c>
      <c r="L7" s="190" t="str">
        <f t="shared" si="1"/>
        <v/>
      </c>
      <c r="M7" s="188"/>
      <c r="N7" s="188"/>
      <c r="O7" s="188"/>
      <c r="P7" s="188"/>
      <c r="Q7" s="188"/>
      <c r="R7" s="188"/>
      <c r="S7" s="213"/>
      <c r="T7" s="207"/>
      <c r="U7" s="219"/>
      <c r="V7" s="219"/>
      <c r="W7" s="219"/>
      <c r="X7" s="219"/>
      <c r="Y7" s="219"/>
      <c r="Z7" s="219"/>
      <c r="AA7" s="219"/>
      <c r="AB7" s="219"/>
      <c r="AC7" s="219"/>
      <c r="AD7" s="219"/>
      <c r="AE7" s="219"/>
      <c r="AF7" s="219"/>
      <c r="AG7" s="219"/>
      <c r="AH7" s="225">
        <f>SUM(PORTEFEUILLE_FREDERIQUE[[#This Row],[PCR COMPTABLE €]:[MONTANT
RESPONSABLE RELATION CLIENT €]])-PORTEFEUILLE_FREDERIQUE[[#This Row],[MONTANT TOTAL LETTRE DE MISION €]]</f>
        <v>0</v>
      </c>
      <c r="AI7" s="191"/>
      <c r="AJ7" s="188"/>
      <c r="AK7" s="188"/>
      <c r="AL7" s="188"/>
      <c r="AM7" s="188"/>
      <c r="AN7" s="188"/>
      <c r="AO7" s="188"/>
      <c r="AP7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Q7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R7" s="188" t="str">
        <f>IF(PORTEFEUILLE_FREDERIQUE[[#This Row],[BONI AAC]]&lt;&gt;0,1,"")</f>
        <v/>
      </c>
      <c r="AS7" s="188" t="str">
        <f>IF(PORTEFEUILLE_FREDERIQUE[[#This Row],[MALI AAC]]&lt;&gt;0,1,"")</f>
        <v/>
      </c>
      <c r="AT7" s="225">
        <f>IF(AN7&lt;&gt;"",IF((AN7*Paramètres!$H$4)-PORTEFEUILLE_FREDERIQUE[[#This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€]]-(DELPHINE!AN7*Paramètres!$H$4),0),0)</f>
        <v>0</v>
      </c>
      <c r="AU7" s="225">
        <f>IF(AN7&lt;&gt;"",IF(((AN7*Paramètres!$H$4)-PORTEFEUILLE_FREDERIQUE[[#This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€]])&gt;0,(AN7*Paramètres!$H$4)-PORTEFEUILLE_FREDERIQUE[[#This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V7" s="190" t="str">
        <f>IF(PORTEFEUILLE_FREDERIQUE[[#This Row],[BONI COMPTABLE]]&lt;&gt;0,1,"")</f>
        <v/>
      </c>
      <c r="AW7" s="190" t="str">
        <f>IF(PORTEFEUILLE_FREDERIQUE[[#This Row],[MALI COMPTABLE]]&lt;&gt;0,1,"")</f>
        <v/>
      </c>
      <c r="AX7" s="188"/>
      <c r="AY7" s="188"/>
      <c r="AZ7" s="188"/>
      <c r="BA7" s="188"/>
      <c r="BB7" s="196"/>
      <c r="BC7" s="196"/>
      <c r="BD7" s="196"/>
      <c r="BE7" s="192"/>
      <c r="BF7" s="194"/>
      <c r="BG7" s="194"/>
      <c r="BH7" s="195"/>
      <c r="BI7" s="194"/>
    </row>
    <row r="8" spans="1:76" x14ac:dyDescent="0.25">
      <c r="A8" s="172"/>
      <c r="B8" s="170"/>
      <c r="C8" s="165"/>
      <c r="D8" s="171"/>
      <c r="E8" s="189"/>
      <c r="F8" s="188"/>
      <c r="G8" s="189"/>
      <c r="H8" s="189"/>
      <c r="I8" s="189"/>
      <c r="J8" s="189"/>
      <c r="K8" s="190" t="str">
        <f t="shared" si="0"/>
        <v/>
      </c>
      <c r="L8" s="190" t="str">
        <f t="shared" si="1"/>
        <v/>
      </c>
      <c r="M8" s="188"/>
      <c r="N8" s="188"/>
      <c r="O8" s="188"/>
      <c r="P8" s="188"/>
      <c r="Q8" s="188"/>
      <c r="R8" s="188"/>
      <c r="S8" s="213"/>
      <c r="T8" s="207"/>
      <c r="U8" s="219"/>
      <c r="V8" s="219"/>
      <c r="W8" s="219"/>
      <c r="X8" s="219"/>
      <c r="Y8" s="219"/>
      <c r="Z8" s="219"/>
      <c r="AA8" s="219"/>
      <c r="AB8" s="219"/>
      <c r="AC8" s="219"/>
      <c r="AD8" s="219"/>
      <c r="AE8" s="219"/>
      <c r="AF8" s="219"/>
      <c r="AG8" s="219"/>
      <c r="AH8" s="225">
        <f>SUM(PORTEFEUILLE_FREDERIQUE[[#This Row],[PCR COMPTABLE €]:[MONTANT
RESPONSABLE RELATION CLIENT €]])-PORTEFEUILLE_FREDERIQUE[[#This Row],[MONTANT TOTAL LETTRE DE MISION €]]</f>
        <v>0</v>
      </c>
      <c r="AI8" s="191"/>
      <c r="AJ8" s="188"/>
      <c r="AK8" s="188"/>
      <c r="AL8" s="188"/>
      <c r="AM8" s="188"/>
      <c r="AN8" s="188"/>
      <c r="AO8" s="188"/>
      <c r="AP8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Q8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R8" s="188" t="str">
        <f>IF(PORTEFEUILLE_FREDERIQUE[[#This Row],[BONI AAC]]&lt;&gt;0,1,"")</f>
        <v/>
      </c>
      <c r="AS8" s="188" t="str">
        <f>IF(PORTEFEUILLE_FREDERIQUE[[#This Row],[MALI AAC]]&lt;&gt;0,1,"")</f>
        <v/>
      </c>
      <c r="AT8" s="225">
        <f>IF(AN8&lt;&gt;"",IF((AN8*Paramètres!$H$4)-PORTEFEUILLE_FREDERIQUE[[#This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€]]-(DELPHINE!AN8*Paramètres!$H$4),0),0)</f>
        <v>0</v>
      </c>
      <c r="AU8" s="225">
        <f>IF(AN8&lt;&gt;"",IF(((AN8*Paramètres!$H$4)-PORTEFEUILLE_FREDERIQUE[[#This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€]])&gt;0,(AN8*Paramètres!$H$4)-PORTEFEUILLE_FREDERIQUE[[#This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V8" s="190" t="str">
        <f>IF(PORTEFEUILLE_FREDERIQUE[[#This Row],[BONI COMPTABLE]]&lt;&gt;0,1,"")</f>
        <v/>
      </c>
      <c r="AW8" s="190" t="str">
        <f>IF(PORTEFEUILLE_FREDERIQUE[[#This Row],[MALI COMPTABLE]]&lt;&gt;0,1,"")</f>
        <v/>
      </c>
      <c r="AX8" s="188"/>
      <c r="AY8" s="188"/>
      <c r="AZ8" s="188"/>
      <c r="BA8" s="188"/>
      <c r="BB8" s="188"/>
      <c r="BC8" s="188"/>
      <c r="BD8" s="188"/>
      <c r="BE8" s="192"/>
      <c r="BF8" s="194"/>
      <c r="BG8" s="194"/>
      <c r="BH8" s="195"/>
      <c r="BI8" s="194"/>
    </row>
    <row r="9" spans="1:76" x14ac:dyDescent="0.25">
      <c r="A9" s="172"/>
      <c r="B9" s="170"/>
      <c r="C9" s="165"/>
      <c r="D9" s="171"/>
      <c r="E9" s="189"/>
      <c r="F9" s="188"/>
      <c r="G9" s="188"/>
      <c r="H9" s="189"/>
      <c r="I9" s="189"/>
      <c r="J9" s="189"/>
      <c r="K9" s="190" t="str">
        <f t="shared" si="0"/>
        <v/>
      </c>
      <c r="L9" s="190" t="str">
        <f t="shared" si="1"/>
        <v/>
      </c>
      <c r="M9" s="188"/>
      <c r="N9" s="188"/>
      <c r="O9" s="188"/>
      <c r="P9" s="188"/>
      <c r="Q9" s="188"/>
      <c r="R9" s="188"/>
      <c r="S9" s="214"/>
      <c r="T9" s="208"/>
      <c r="U9" s="220"/>
      <c r="V9" s="220"/>
      <c r="W9" s="220"/>
      <c r="X9" s="220"/>
      <c r="Y9" s="220"/>
      <c r="Z9" s="220"/>
      <c r="AA9" s="220"/>
      <c r="AB9" s="220"/>
      <c r="AC9" s="220"/>
      <c r="AD9" s="220"/>
      <c r="AE9" s="220"/>
      <c r="AF9" s="220"/>
      <c r="AG9" s="219"/>
      <c r="AH9" s="225">
        <f>SUM(PORTEFEUILLE_FREDERIQUE[[#This Row],[PCR COMPTABLE €]:[MONTANT
RESPONSABLE RELATION CLIENT €]])-PORTEFEUILLE_FREDERIQUE[[#This Row],[MONTANT TOTAL LETTRE DE MISION €]]</f>
        <v>0</v>
      </c>
      <c r="AI9" s="191"/>
      <c r="AJ9" s="188"/>
      <c r="AK9" s="188"/>
      <c r="AL9" s="196"/>
      <c r="AM9" s="196"/>
      <c r="AN9" s="196"/>
      <c r="AO9" s="196"/>
      <c r="AP9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Q9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R9" s="188" t="str">
        <f>IF(PORTEFEUILLE_FREDERIQUE[[#This Row],[BONI AAC]]&lt;&gt;0,1,"")</f>
        <v/>
      </c>
      <c r="AS9" s="188" t="str">
        <f>IF(PORTEFEUILLE_FREDERIQUE[[#This Row],[MALI AAC]]&lt;&gt;0,1,"")</f>
        <v/>
      </c>
      <c r="AT9" s="225">
        <f>IF(AN9&lt;&gt;"",IF((AN9*Paramètres!$H$4)-PORTEFEUILLE_FREDERIQUE[[#This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€]]-(DELPHINE!AN9*Paramètres!$H$4),0),0)</f>
        <v>0</v>
      </c>
      <c r="AU9" s="225">
        <f>IF(AN9&lt;&gt;"",IF(((AN9*Paramètres!$H$4)-PORTEFEUILLE_FREDERIQUE[[#This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€]])&gt;0,(AN9*Paramètres!$H$4)-PORTEFEUILLE_FREDERIQUE[[#This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V9" s="190" t="str">
        <f>IF(PORTEFEUILLE_FREDERIQUE[[#This Row],[BONI COMPTABLE]]&lt;&gt;0,1,"")</f>
        <v/>
      </c>
      <c r="AW9" s="190" t="str">
        <f>IF(PORTEFEUILLE_FREDERIQUE[[#This Row],[MALI COMPTABLE]]&lt;&gt;0,1,"")</f>
        <v/>
      </c>
      <c r="AX9" s="196"/>
      <c r="AY9" s="188"/>
      <c r="AZ9" s="188"/>
      <c r="BA9" s="188"/>
      <c r="BB9" s="188"/>
      <c r="BC9" s="188"/>
      <c r="BD9" s="188"/>
      <c r="BE9" s="192"/>
      <c r="BF9" s="194"/>
      <c r="BG9" s="194"/>
      <c r="BH9" s="195"/>
      <c r="BI9" s="194"/>
    </row>
    <row r="10" spans="1:76" x14ac:dyDescent="0.25">
      <c r="A10" s="172"/>
      <c r="B10" s="170"/>
      <c r="C10" s="165"/>
      <c r="D10" s="171"/>
      <c r="E10" s="189"/>
      <c r="F10" s="188"/>
      <c r="G10" s="189"/>
      <c r="H10" s="189"/>
      <c r="I10" s="189"/>
      <c r="J10" s="189"/>
      <c r="K10" s="190" t="str">
        <f t="shared" si="0"/>
        <v/>
      </c>
      <c r="L10" s="190" t="str">
        <f t="shared" si="1"/>
        <v/>
      </c>
      <c r="M10" s="188"/>
      <c r="N10" s="188"/>
      <c r="O10" s="188"/>
      <c r="P10" s="188"/>
      <c r="Q10" s="188"/>
      <c r="R10" s="188"/>
      <c r="S10" s="213"/>
      <c r="T10" s="207"/>
      <c r="U10" s="219"/>
      <c r="V10" s="219"/>
      <c r="W10" s="219"/>
      <c r="X10" s="219"/>
      <c r="Y10" s="219"/>
      <c r="Z10" s="219"/>
      <c r="AA10" s="219"/>
      <c r="AB10" s="219"/>
      <c r="AC10" s="219"/>
      <c r="AD10" s="219"/>
      <c r="AE10" s="219"/>
      <c r="AF10" s="219"/>
      <c r="AG10" s="219"/>
      <c r="AH10" s="225">
        <f>SUM(PORTEFEUILLE_FREDERIQUE[[#This Row],[PCR COMPTABLE €]:[MONTANT
RESPONSABLE RELATION CLIENT €]])-PORTEFEUILLE_FREDERIQUE[[#This Row],[MONTANT TOTAL LETTRE DE MISION €]]</f>
        <v>0</v>
      </c>
      <c r="AI10" s="191"/>
      <c r="AJ10" s="188"/>
      <c r="AK10" s="188"/>
      <c r="AL10" s="188"/>
      <c r="AM10" s="188"/>
      <c r="AN10" s="188"/>
      <c r="AO10" s="188"/>
      <c r="AP10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Q10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R10" s="188" t="str">
        <f>IF(PORTEFEUILLE_FREDERIQUE[[#This Row],[BONI AAC]]&lt;&gt;0,1,"")</f>
        <v/>
      </c>
      <c r="AS10" s="188" t="str">
        <f>IF(PORTEFEUILLE_FREDERIQUE[[#This Row],[MALI AAC]]&lt;&gt;0,1,"")</f>
        <v/>
      </c>
      <c r="AT10" s="225">
        <f>IF(AN10&lt;&gt;"",IF((AN10*Paramètres!$H$4)-PORTEFEUILLE_FREDERIQUE[[#This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€]]-(DELPHINE!AN10*Paramètres!$H$4),0),0)</f>
        <v>0</v>
      </c>
      <c r="AU10" s="225">
        <f>IF(AN10&lt;&gt;"",IF(((AN10*Paramètres!$H$4)-PORTEFEUILLE_FREDERIQUE[[#This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€]])&gt;0,(AN10*Paramètres!$H$4)-PORTEFEUILLE_FREDERIQUE[[#This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V10" s="190" t="str">
        <f>IF(PORTEFEUILLE_FREDERIQUE[[#This Row],[BONI COMPTABLE]]&lt;&gt;0,1,"")</f>
        <v/>
      </c>
      <c r="AW10" s="190" t="str">
        <f>IF(PORTEFEUILLE_FREDERIQUE[[#This Row],[MALI COMPTABLE]]&lt;&gt;0,1,"")</f>
        <v/>
      </c>
      <c r="AX10" s="188"/>
      <c r="AY10" s="188"/>
      <c r="AZ10" s="188"/>
      <c r="BA10" s="188"/>
      <c r="BB10" s="188"/>
      <c r="BC10" s="188"/>
      <c r="BD10" s="188"/>
      <c r="BE10" s="192"/>
      <c r="BF10" s="194"/>
      <c r="BG10" s="194"/>
      <c r="BH10" s="195"/>
      <c r="BI10" s="194"/>
    </row>
    <row r="11" spans="1:76" x14ac:dyDescent="0.25">
      <c r="A11" s="172"/>
      <c r="B11" s="173"/>
      <c r="C11" s="165"/>
      <c r="D11" s="171"/>
      <c r="E11" s="189"/>
      <c r="F11" s="188"/>
      <c r="G11" s="189"/>
      <c r="H11" s="189"/>
      <c r="I11" s="189"/>
      <c r="J11" s="189"/>
      <c r="K11" s="190" t="str">
        <f t="shared" si="0"/>
        <v/>
      </c>
      <c r="L11" s="190" t="str">
        <f t="shared" si="1"/>
        <v/>
      </c>
      <c r="M11" s="188"/>
      <c r="N11" s="188"/>
      <c r="O11" s="188"/>
      <c r="P11" s="188"/>
      <c r="Q11" s="188"/>
      <c r="R11" s="188"/>
      <c r="S11" s="213"/>
      <c r="T11" s="207"/>
      <c r="U11" s="219"/>
      <c r="V11" s="219"/>
      <c r="W11" s="219"/>
      <c r="X11" s="219"/>
      <c r="Y11" s="219"/>
      <c r="Z11" s="219"/>
      <c r="AA11" s="219"/>
      <c r="AB11" s="219"/>
      <c r="AC11" s="219"/>
      <c r="AD11" s="219"/>
      <c r="AE11" s="219"/>
      <c r="AF11" s="219"/>
      <c r="AG11" s="219"/>
      <c r="AH11" s="225">
        <f>SUM(PORTEFEUILLE_FREDERIQUE[[#This Row],[PCR COMPTABLE €]:[MONTANT
RESPONSABLE RELATION CLIENT €]])-PORTEFEUILLE_FREDERIQUE[[#This Row],[MONTANT TOTAL LETTRE DE MISION €]]</f>
        <v>0</v>
      </c>
      <c r="AI11" s="191"/>
      <c r="AJ11" s="188"/>
      <c r="AK11" s="188"/>
      <c r="AL11" s="188"/>
      <c r="AM11" s="188"/>
      <c r="AN11" s="188"/>
      <c r="AO11" s="188"/>
      <c r="AP11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Q11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R11" s="188" t="str">
        <f>IF(PORTEFEUILLE_FREDERIQUE[[#This Row],[BONI AAC]]&lt;&gt;0,1,"")</f>
        <v/>
      </c>
      <c r="AS11" s="188" t="str">
        <f>IF(PORTEFEUILLE_FREDERIQUE[[#This Row],[MALI AAC]]&lt;&gt;0,1,"")</f>
        <v/>
      </c>
      <c r="AT11" s="225">
        <f>IF(AN11&lt;&gt;"",IF((AN11*Paramètres!$H$4)-PORTEFEUILLE_FREDERIQUE[[#This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€]]-(DELPHINE!AN11*Paramètres!$H$4),0),0)</f>
        <v>0</v>
      </c>
      <c r="AU11" s="225">
        <f>IF(AN11&lt;&gt;"",IF(((AN11*Paramètres!$H$4)-PORTEFEUILLE_FREDERIQUE[[#This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€]])&gt;0,(AN11*Paramètres!$H$4)-PORTEFEUILLE_FREDERIQUE[[#This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V11" s="190" t="str">
        <f>IF(PORTEFEUILLE_FREDERIQUE[[#This Row],[BONI COMPTABLE]]&lt;&gt;0,1,"")</f>
        <v/>
      </c>
      <c r="AW11" s="190" t="str">
        <f>IF(PORTEFEUILLE_FREDERIQUE[[#This Row],[MALI COMPTABLE]]&lt;&gt;0,1,"")</f>
        <v/>
      </c>
      <c r="AX11" s="188"/>
      <c r="AY11" s="188"/>
      <c r="AZ11" s="188"/>
      <c r="BA11" s="188"/>
      <c r="BB11" s="188"/>
      <c r="BC11" s="188"/>
      <c r="BD11" s="188"/>
      <c r="BE11" s="192"/>
      <c r="BF11" s="194"/>
      <c r="BG11" s="194"/>
      <c r="BH11" s="195"/>
      <c r="BI11" s="194"/>
    </row>
    <row r="12" spans="1:76" x14ac:dyDescent="0.25">
      <c r="A12" s="172"/>
      <c r="B12" s="170"/>
      <c r="C12" s="165"/>
      <c r="D12" s="171"/>
      <c r="E12" s="189"/>
      <c r="F12" s="188"/>
      <c r="G12" s="189"/>
      <c r="H12" s="189"/>
      <c r="I12" s="189"/>
      <c r="J12" s="189"/>
      <c r="K12" s="190" t="str">
        <f t="shared" si="0"/>
        <v/>
      </c>
      <c r="L12" s="190" t="str">
        <f t="shared" si="1"/>
        <v/>
      </c>
      <c r="M12" s="188"/>
      <c r="N12" s="188"/>
      <c r="O12" s="188"/>
      <c r="P12" s="188"/>
      <c r="Q12" s="188"/>
      <c r="R12" s="188"/>
      <c r="S12" s="213"/>
      <c r="T12" s="207"/>
      <c r="U12" s="219"/>
      <c r="V12" s="219"/>
      <c r="W12" s="219"/>
      <c r="X12" s="219"/>
      <c r="Y12" s="219"/>
      <c r="Z12" s="219"/>
      <c r="AA12" s="219"/>
      <c r="AB12" s="219"/>
      <c r="AC12" s="219"/>
      <c r="AD12" s="219"/>
      <c r="AE12" s="219"/>
      <c r="AF12" s="219"/>
      <c r="AG12" s="219"/>
      <c r="AH12" s="225">
        <f>SUM(PORTEFEUILLE_FREDERIQUE[[#This Row],[PCR COMPTABLE €]:[MONTANT
RESPONSABLE RELATION CLIENT €]])-PORTEFEUILLE_FREDERIQUE[[#This Row],[MONTANT TOTAL LETTRE DE MISION €]]</f>
        <v>0</v>
      </c>
      <c r="AI12" s="191"/>
      <c r="AJ12" s="188"/>
      <c r="AK12" s="188"/>
      <c r="AL12" s="188"/>
      <c r="AM12" s="188"/>
      <c r="AN12" s="188"/>
      <c r="AO12" s="188"/>
      <c r="AP12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Q12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R12" s="188" t="str">
        <f>IF(PORTEFEUILLE_FREDERIQUE[[#This Row],[BONI AAC]]&lt;&gt;0,1,"")</f>
        <v/>
      </c>
      <c r="AS12" s="188" t="str">
        <f>IF(PORTEFEUILLE_FREDERIQUE[[#This Row],[MALI AAC]]&lt;&gt;0,1,"")</f>
        <v/>
      </c>
      <c r="AT12" s="225">
        <f>IF(AN12&lt;&gt;"",IF((AN12*Paramètres!$H$4)-PORTEFEUILLE_FREDERIQUE[[#This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€]]-(DELPHINE!AN12*Paramètres!$H$4),0),0)</f>
        <v>0</v>
      </c>
      <c r="AU12" s="225">
        <f>IF(AN12&lt;&gt;"",IF(((AN12*Paramètres!$H$4)-PORTEFEUILLE_FREDERIQUE[[#This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€]])&gt;0,(AN12*Paramètres!$H$4)-PORTEFEUILLE_FREDERIQUE[[#This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V12" s="190" t="str">
        <f>IF(PORTEFEUILLE_FREDERIQUE[[#This Row],[BONI COMPTABLE]]&lt;&gt;0,1,"")</f>
        <v/>
      </c>
      <c r="AW12" s="190" t="str">
        <f>IF(PORTEFEUILLE_FREDERIQUE[[#This Row],[MALI COMPTABLE]]&lt;&gt;0,1,"")</f>
        <v/>
      </c>
      <c r="AX12" s="188"/>
      <c r="AY12" s="188"/>
      <c r="AZ12" s="188"/>
      <c r="BA12" s="188"/>
      <c r="BB12" s="188"/>
      <c r="BC12" s="188"/>
      <c r="BD12" s="188"/>
      <c r="BE12" s="192"/>
      <c r="BF12" s="194"/>
      <c r="BG12" s="194"/>
      <c r="BH12" s="195"/>
      <c r="BI12" s="194"/>
    </row>
    <row r="13" spans="1:76" x14ac:dyDescent="0.25">
      <c r="A13" s="172"/>
      <c r="B13" s="170"/>
      <c r="C13" s="165"/>
      <c r="D13" s="171"/>
      <c r="E13" s="189"/>
      <c r="F13" s="188"/>
      <c r="G13" s="189"/>
      <c r="H13" s="189"/>
      <c r="I13" s="189"/>
      <c r="J13" s="189"/>
      <c r="K13" s="190" t="str">
        <f t="shared" si="0"/>
        <v/>
      </c>
      <c r="L13" s="190" t="str">
        <f t="shared" si="1"/>
        <v/>
      </c>
      <c r="M13" s="188"/>
      <c r="N13" s="188"/>
      <c r="O13" s="188"/>
      <c r="P13" s="188"/>
      <c r="Q13" s="188"/>
      <c r="R13" s="188"/>
      <c r="S13" s="213"/>
      <c r="T13" s="207"/>
      <c r="U13" s="219"/>
      <c r="V13" s="219"/>
      <c r="W13" s="219"/>
      <c r="X13" s="219"/>
      <c r="Y13" s="219"/>
      <c r="Z13" s="219"/>
      <c r="AA13" s="219"/>
      <c r="AB13" s="219"/>
      <c r="AC13" s="219"/>
      <c r="AD13" s="219"/>
      <c r="AE13" s="219"/>
      <c r="AF13" s="219"/>
      <c r="AG13" s="219"/>
      <c r="AH13" s="225">
        <f>SUM(PORTEFEUILLE_FREDERIQUE[[#This Row],[PCR COMPTABLE €]:[MONTANT
RESPONSABLE RELATION CLIENT €]])-PORTEFEUILLE_FREDERIQUE[[#This Row],[MONTANT TOTAL LETTRE DE MISION €]]</f>
        <v>0</v>
      </c>
      <c r="AI13" s="191"/>
      <c r="AJ13" s="188"/>
      <c r="AK13" s="188"/>
      <c r="AL13" s="188"/>
      <c r="AM13" s="188"/>
      <c r="AN13" s="188"/>
      <c r="AO13" s="188"/>
      <c r="AP13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Q13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R13" s="188" t="str">
        <f>IF(PORTEFEUILLE_FREDERIQUE[[#This Row],[BONI AAC]]&lt;&gt;0,1,"")</f>
        <v/>
      </c>
      <c r="AS13" s="188" t="str">
        <f>IF(PORTEFEUILLE_FREDERIQUE[[#This Row],[MALI AAC]]&lt;&gt;0,1,"")</f>
        <v/>
      </c>
      <c r="AT13" s="225">
        <f>IF(AN13&lt;&gt;"",IF((AN13*Paramètres!$H$4)-PORTEFEUILLE_FREDERIQUE[[#This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€]]-(DELPHINE!AN13*Paramètres!$H$4),0),0)</f>
        <v>0</v>
      </c>
      <c r="AU13" s="225">
        <f>IF(AN13&lt;&gt;"",IF(((AN13*Paramètres!$H$4)-PORTEFEUILLE_FREDERIQUE[[#This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€]])&gt;0,(AN13*Paramètres!$H$4)-PORTEFEUILLE_FREDERIQUE[[#This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V13" s="190" t="str">
        <f>IF(PORTEFEUILLE_FREDERIQUE[[#This Row],[BONI COMPTABLE]]&lt;&gt;0,1,"")</f>
        <v/>
      </c>
      <c r="AW13" s="190" t="str">
        <f>IF(PORTEFEUILLE_FREDERIQUE[[#This Row],[MALI COMPTABLE]]&lt;&gt;0,1,"")</f>
        <v/>
      </c>
      <c r="AX13" s="188"/>
      <c r="AY13" s="188"/>
      <c r="AZ13" s="188"/>
      <c r="BA13" s="188"/>
      <c r="BB13" s="188"/>
      <c r="BC13" s="188"/>
      <c r="BD13" s="188"/>
      <c r="BE13" s="192"/>
      <c r="BF13" s="194"/>
      <c r="BG13" s="194"/>
      <c r="BH13" s="195"/>
      <c r="BI13" s="194"/>
    </row>
    <row r="14" spans="1:76" x14ac:dyDescent="0.25">
      <c r="A14" s="172"/>
      <c r="B14" s="170"/>
      <c r="C14" s="165"/>
      <c r="D14" s="171"/>
      <c r="E14" s="189"/>
      <c r="F14" s="188"/>
      <c r="G14" s="189"/>
      <c r="H14" s="189"/>
      <c r="I14" s="189"/>
      <c r="J14" s="189"/>
      <c r="K14" s="190" t="str">
        <f t="shared" si="0"/>
        <v/>
      </c>
      <c r="L14" s="190" t="str">
        <f t="shared" si="1"/>
        <v/>
      </c>
      <c r="M14" s="188"/>
      <c r="N14" s="188"/>
      <c r="O14" s="188"/>
      <c r="P14" s="188"/>
      <c r="Q14" s="188"/>
      <c r="R14" s="188"/>
      <c r="S14" s="213"/>
      <c r="T14" s="207"/>
      <c r="U14" s="219"/>
      <c r="V14" s="219"/>
      <c r="W14" s="219"/>
      <c r="X14" s="219"/>
      <c r="Y14" s="219"/>
      <c r="Z14" s="219"/>
      <c r="AA14" s="219"/>
      <c r="AB14" s="219"/>
      <c r="AC14" s="219"/>
      <c r="AD14" s="219"/>
      <c r="AE14" s="219"/>
      <c r="AF14" s="219"/>
      <c r="AG14" s="219"/>
      <c r="AH14" s="225">
        <f>SUM(PORTEFEUILLE_FREDERIQUE[[#This Row],[PCR COMPTABLE €]:[MONTANT
RESPONSABLE RELATION CLIENT €]])-PORTEFEUILLE_FREDERIQUE[[#This Row],[MONTANT TOTAL LETTRE DE MISION €]]</f>
        <v>0</v>
      </c>
      <c r="AI14" s="191"/>
      <c r="AJ14" s="188"/>
      <c r="AK14" s="188"/>
      <c r="AL14" s="188"/>
      <c r="AM14" s="188"/>
      <c r="AN14" s="188"/>
      <c r="AO14" s="188"/>
      <c r="AP14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Q14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R14" s="188" t="str">
        <f>IF(PORTEFEUILLE_FREDERIQUE[[#This Row],[BONI AAC]]&lt;&gt;0,1,"")</f>
        <v/>
      </c>
      <c r="AS14" s="188" t="str">
        <f>IF(PORTEFEUILLE_FREDERIQUE[[#This Row],[MALI AAC]]&lt;&gt;0,1,"")</f>
        <v/>
      </c>
      <c r="AT14" s="225">
        <f>IF(AN14&lt;&gt;"",IF((AN14*Paramètres!$H$4)-PORTEFEUILLE_FREDERIQUE[[#This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€]]-(DELPHINE!AN14*Paramètres!$H$4),0),0)</f>
        <v>0</v>
      </c>
      <c r="AU14" s="225">
        <f>IF(AN14&lt;&gt;"",IF(((AN14*Paramètres!$H$4)-PORTEFEUILLE_FREDERIQUE[[#This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€]])&gt;0,(AN14*Paramètres!$H$4)-PORTEFEUILLE_FREDERIQUE[[#This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V14" s="190" t="str">
        <f>IF(PORTEFEUILLE_FREDERIQUE[[#This Row],[BONI COMPTABLE]]&lt;&gt;0,1,"")</f>
        <v/>
      </c>
      <c r="AW14" s="190" t="str">
        <f>IF(PORTEFEUILLE_FREDERIQUE[[#This Row],[MALI COMPTABLE]]&lt;&gt;0,1,"")</f>
        <v/>
      </c>
      <c r="AX14" s="188"/>
      <c r="AY14" s="188"/>
      <c r="AZ14" s="188"/>
      <c r="BA14" s="188"/>
      <c r="BB14" s="188"/>
      <c r="BC14" s="188"/>
      <c r="BD14" s="188"/>
      <c r="BE14" s="192"/>
      <c r="BF14" s="194"/>
      <c r="BG14" s="194"/>
      <c r="BH14" s="195"/>
      <c r="BI14" s="194"/>
    </row>
    <row r="15" spans="1:76" x14ac:dyDescent="0.25">
      <c r="A15" s="172"/>
      <c r="B15" s="170"/>
      <c r="C15" s="170"/>
      <c r="D15" s="171"/>
      <c r="E15" s="189"/>
      <c r="F15" s="188"/>
      <c r="G15" s="189"/>
      <c r="H15" s="189"/>
      <c r="I15" s="189"/>
      <c r="J15" s="189"/>
      <c r="K15" s="190" t="str">
        <f t="shared" si="0"/>
        <v/>
      </c>
      <c r="L15" s="190" t="str">
        <f t="shared" si="1"/>
        <v/>
      </c>
      <c r="M15" s="188"/>
      <c r="N15" s="188"/>
      <c r="O15" s="188"/>
      <c r="P15" s="188"/>
      <c r="Q15" s="188"/>
      <c r="R15" s="188"/>
      <c r="S15" s="213"/>
      <c r="T15" s="207"/>
      <c r="U15" s="219"/>
      <c r="V15" s="219"/>
      <c r="W15" s="219"/>
      <c r="X15" s="219"/>
      <c r="Y15" s="219"/>
      <c r="Z15" s="219"/>
      <c r="AA15" s="219"/>
      <c r="AB15" s="219"/>
      <c r="AC15" s="219"/>
      <c r="AD15" s="219"/>
      <c r="AE15" s="219"/>
      <c r="AF15" s="219"/>
      <c r="AG15" s="219"/>
      <c r="AH15" s="225">
        <f>SUM(PORTEFEUILLE_FREDERIQUE[[#This Row],[PCR COMPTABLE €]:[MONTANT
RESPONSABLE RELATION CLIENT €]])-PORTEFEUILLE_FREDERIQUE[[#This Row],[MONTANT TOTAL LETTRE DE MISION €]]</f>
        <v>0</v>
      </c>
      <c r="AI15" s="191"/>
      <c r="AJ15" s="188"/>
      <c r="AK15" s="188"/>
      <c r="AL15" s="188"/>
      <c r="AM15" s="188"/>
      <c r="AN15" s="188"/>
      <c r="AO15" s="188"/>
      <c r="AP15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Q15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R15" s="188" t="str">
        <f>IF(PORTEFEUILLE_FREDERIQUE[[#This Row],[BONI AAC]]&lt;&gt;0,1,"")</f>
        <v/>
      </c>
      <c r="AS15" s="188" t="str">
        <f>IF(PORTEFEUILLE_FREDERIQUE[[#This Row],[MALI AAC]]&lt;&gt;0,1,"")</f>
        <v/>
      </c>
      <c r="AT15" s="225">
        <f>IF(AN15&lt;&gt;"",IF((AN15*Paramètres!$H$4)-PORTEFEUILLE_FREDERIQUE[[#This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€]]-(DELPHINE!AN15*Paramètres!$H$4),0),0)</f>
        <v>0</v>
      </c>
      <c r="AU15" s="225">
        <f>IF(AN15&lt;&gt;"",IF(((AN15*Paramètres!$H$4)-PORTEFEUILLE_FREDERIQUE[[#This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€]])&gt;0,(AN15*Paramètres!$H$4)-PORTEFEUILLE_FREDERIQUE[[#This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V15" s="190" t="str">
        <f>IF(PORTEFEUILLE_FREDERIQUE[[#This Row],[BONI COMPTABLE]]&lt;&gt;0,1,"")</f>
        <v/>
      </c>
      <c r="AW15" s="190" t="str">
        <f>IF(PORTEFEUILLE_FREDERIQUE[[#This Row],[MALI COMPTABLE]]&lt;&gt;0,1,"")</f>
        <v/>
      </c>
      <c r="AX15" s="188"/>
      <c r="AY15" s="188"/>
      <c r="AZ15" s="188"/>
      <c r="BA15" s="188"/>
      <c r="BB15" s="188"/>
      <c r="BC15" s="188"/>
      <c r="BD15" s="188"/>
      <c r="BE15" s="192"/>
      <c r="BF15" s="194"/>
      <c r="BG15" s="194"/>
      <c r="BH15" s="195"/>
      <c r="BI15" s="194"/>
    </row>
    <row r="16" spans="1:76" x14ac:dyDescent="0.25">
      <c r="A16" s="172"/>
      <c r="B16" s="170"/>
      <c r="C16" s="174"/>
      <c r="D16" s="171"/>
      <c r="E16" s="189"/>
      <c r="F16" s="188"/>
      <c r="G16" s="189"/>
      <c r="H16" s="189"/>
      <c r="I16" s="189"/>
      <c r="J16" s="189"/>
      <c r="K16" s="190" t="str">
        <f t="shared" si="0"/>
        <v/>
      </c>
      <c r="L16" s="190" t="str">
        <f t="shared" si="1"/>
        <v/>
      </c>
      <c r="M16" s="188"/>
      <c r="N16" s="188"/>
      <c r="O16" s="188"/>
      <c r="P16" s="188"/>
      <c r="Q16" s="188"/>
      <c r="R16" s="188"/>
      <c r="S16" s="213"/>
      <c r="T16" s="207"/>
      <c r="U16" s="219"/>
      <c r="V16" s="219"/>
      <c r="W16" s="219"/>
      <c r="X16" s="219"/>
      <c r="Y16" s="219"/>
      <c r="Z16" s="219"/>
      <c r="AA16" s="219"/>
      <c r="AB16" s="219"/>
      <c r="AC16" s="219"/>
      <c r="AD16" s="219"/>
      <c r="AE16" s="219"/>
      <c r="AF16" s="219"/>
      <c r="AG16" s="219"/>
      <c r="AH16" s="225">
        <f>SUM(PORTEFEUILLE_FREDERIQUE[[#This Row],[PCR COMPTABLE €]:[MONTANT
RESPONSABLE RELATION CLIENT €]])-PORTEFEUILLE_FREDERIQUE[[#This Row],[MONTANT TOTAL LETTRE DE MISION €]]</f>
        <v>0</v>
      </c>
      <c r="AI16" s="191"/>
      <c r="AJ16" s="188"/>
      <c r="AK16" s="188"/>
      <c r="AL16" s="188"/>
      <c r="AM16" s="188"/>
      <c r="AN16" s="188"/>
      <c r="AO16" s="188"/>
      <c r="AP16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Q16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R16" s="188" t="str">
        <f>IF(PORTEFEUILLE_FREDERIQUE[[#This Row],[BONI AAC]]&lt;&gt;0,1,"")</f>
        <v/>
      </c>
      <c r="AS16" s="188" t="str">
        <f>IF(PORTEFEUILLE_FREDERIQUE[[#This Row],[MALI AAC]]&lt;&gt;0,1,"")</f>
        <v/>
      </c>
      <c r="AT16" s="225">
        <f>IF(AN16&lt;&gt;"",IF((AN16*Paramètres!$H$4)-PORTEFEUILLE_FREDERIQUE[[#This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€]]-(DELPHINE!AN16*Paramètres!$H$4),0),0)</f>
        <v>0</v>
      </c>
      <c r="AU16" s="225">
        <f>IF(AN16&lt;&gt;"",IF(((AN16*Paramètres!$H$4)-PORTEFEUILLE_FREDERIQUE[[#This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€]])&gt;0,(AN16*Paramètres!$H$4)-PORTEFEUILLE_FREDERIQUE[[#This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V16" s="190" t="str">
        <f>IF(PORTEFEUILLE_FREDERIQUE[[#This Row],[BONI COMPTABLE]]&lt;&gt;0,1,"")</f>
        <v/>
      </c>
      <c r="AW16" s="190" t="str">
        <f>IF(PORTEFEUILLE_FREDERIQUE[[#This Row],[MALI COMPTABLE]]&lt;&gt;0,1,"")</f>
        <v/>
      </c>
      <c r="AX16" s="188"/>
      <c r="AY16" s="188"/>
      <c r="AZ16" s="188"/>
      <c r="BA16" s="188"/>
      <c r="BB16" s="188"/>
      <c r="BC16" s="188"/>
      <c r="BD16" s="188"/>
      <c r="BE16" s="192"/>
      <c r="BF16" s="194"/>
      <c r="BG16" s="194"/>
      <c r="BH16" s="195"/>
      <c r="BI16" s="194"/>
    </row>
    <row r="17" spans="1:61" x14ac:dyDescent="0.25">
      <c r="A17" s="172"/>
      <c r="B17" s="170"/>
      <c r="C17" s="175"/>
      <c r="D17" s="171"/>
      <c r="E17" s="189"/>
      <c r="F17" s="188"/>
      <c r="G17" s="189"/>
      <c r="H17" s="189"/>
      <c r="I17" s="189"/>
      <c r="J17" s="189"/>
      <c r="K17" s="190" t="str">
        <f t="shared" si="0"/>
        <v/>
      </c>
      <c r="L17" s="190" t="str">
        <f t="shared" si="1"/>
        <v/>
      </c>
      <c r="M17" s="188"/>
      <c r="N17" s="188"/>
      <c r="O17" s="188"/>
      <c r="P17" s="188"/>
      <c r="Q17" s="188"/>
      <c r="R17" s="188"/>
      <c r="S17" s="213"/>
      <c r="T17" s="207"/>
      <c r="U17" s="219"/>
      <c r="V17" s="219"/>
      <c r="W17" s="219"/>
      <c r="X17" s="219"/>
      <c r="Y17" s="219"/>
      <c r="Z17" s="219"/>
      <c r="AA17" s="219"/>
      <c r="AB17" s="219"/>
      <c r="AC17" s="219"/>
      <c r="AD17" s="219"/>
      <c r="AE17" s="219"/>
      <c r="AF17" s="219"/>
      <c r="AG17" s="219"/>
      <c r="AH17" s="225">
        <f>SUM(PORTEFEUILLE_FREDERIQUE[[#This Row],[PCR COMPTABLE €]:[MONTANT
RESPONSABLE RELATION CLIENT €]])-PORTEFEUILLE_FREDERIQUE[[#This Row],[MONTANT TOTAL LETTRE DE MISION €]]</f>
        <v>0</v>
      </c>
      <c r="AI17" s="191"/>
      <c r="AJ17" s="188"/>
      <c r="AK17" s="188"/>
      <c r="AL17" s="188"/>
      <c r="AM17" s="188"/>
      <c r="AN17" s="188"/>
      <c r="AO17" s="188"/>
      <c r="AP17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Q17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R17" s="188" t="str">
        <f>IF(PORTEFEUILLE_FREDERIQUE[[#This Row],[BONI AAC]]&lt;&gt;0,1,"")</f>
        <v/>
      </c>
      <c r="AS17" s="188" t="str">
        <f>IF(PORTEFEUILLE_FREDERIQUE[[#This Row],[MALI AAC]]&lt;&gt;0,1,"")</f>
        <v/>
      </c>
      <c r="AT17" s="225">
        <f>IF(AN17&lt;&gt;"",IF((AN17*Paramètres!$H$4)-PORTEFEUILLE_FREDERIQUE[[#This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€]]-(DELPHINE!AN17*Paramètres!$H$4),0),0)</f>
        <v>0</v>
      </c>
      <c r="AU17" s="225">
        <f>IF(AN17&lt;&gt;"",IF(((AN17*Paramètres!$H$4)-PORTEFEUILLE_FREDERIQUE[[#This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€]])&gt;0,(AN17*Paramètres!$H$4)-PORTEFEUILLE_FREDERIQUE[[#This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V17" s="190" t="str">
        <f>IF(PORTEFEUILLE_FREDERIQUE[[#This Row],[BONI COMPTABLE]]&lt;&gt;0,1,"")</f>
        <v/>
      </c>
      <c r="AW17" s="190" t="str">
        <f>IF(PORTEFEUILLE_FREDERIQUE[[#This Row],[MALI COMPTABLE]]&lt;&gt;0,1,"")</f>
        <v/>
      </c>
      <c r="AX17" s="188"/>
      <c r="AY17" s="188"/>
      <c r="AZ17" s="188"/>
      <c r="BA17" s="188"/>
      <c r="BB17" s="188"/>
      <c r="BC17" s="188"/>
      <c r="BD17" s="188"/>
      <c r="BE17" s="192"/>
      <c r="BF17" s="194"/>
      <c r="BG17" s="194"/>
      <c r="BH17" s="195"/>
      <c r="BI17" s="194"/>
    </row>
    <row r="18" spans="1:61" s="241" customFormat="1" x14ac:dyDescent="0.25">
      <c r="A18" s="172"/>
      <c r="B18" s="170"/>
      <c r="C18" s="165"/>
      <c r="D18" s="171"/>
      <c r="E18" s="189"/>
      <c r="F18" s="188"/>
      <c r="G18" s="189"/>
      <c r="H18" s="189"/>
      <c r="I18" s="189"/>
      <c r="J18" s="189"/>
      <c r="K18" s="190" t="str">
        <f t="shared" si="0"/>
        <v/>
      </c>
      <c r="L18" s="190" t="str">
        <f t="shared" si="1"/>
        <v/>
      </c>
      <c r="M18" s="188"/>
      <c r="N18" s="188"/>
      <c r="O18" s="188"/>
      <c r="P18" s="188"/>
      <c r="Q18" s="188"/>
      <c r="R18" s="188"/>
      <c r="S18" s="213"/>
      <c r="T18" s="207"/>
      <c r="U18" s="219"/>
      <c r="V18" s="219"/>
      <c r="W18" s="219"/>
      <c r="X18" s="219"/>
      <c r="Y18" s="219"/>
      <c r="Z18" s="219"/>
      <c r="AA18" s="219"/>
      <c r="AB18" s="219"/>
      <c r="AC18" s="219"/>
      <c r="AD18" s="219"/>
      <c r="AE18" s="219"/>
      <c r="AF18" s="219"/>
      <c r="AG18" s="219"/>
      <c r="AH18" s="225">
        <f>SUM(PORTEFEUILLE_FREDERIQUE[[#This Row],[PCR COMPTABLE €]:[MONTANT
RESPONSABLE RELATION CLIENT €]])-PORTEFEUILLE_FREDERIQUE[[#This Row],[MONTANT TOTAL LETTRE DE MISION €]]</f>
        <v>0</v>
      </c>
      <c r="AI18" s="191"/>
      <c r="AJ18" s="188"/>
      <c r="AK18" s="188"/>
      <c r="AL18" s="188"/>
      <c r="AM18" s="188"/>
      <c r="AN18" s="188"/>
      <c r="AO18" s="188"/>
      <c r="AP18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Q18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R18" s="188" t="str">
        <f>IF(PORTEFEUILLE_FREDERIQUE[[#This Row],[BONI AAC]]&lt;&gt;0,1,"")</f>
        <v/>
      </c>
      <c r="AS18" s="188" t="str">
        <f>IF(PORTEFEUILLE_FREDERIQUE[[#This Row],[MALI AAC]]&lt;&gt;0,1,"")</f>
        <v/>
      </c>
      <c r="AT18" s="225">
        <f>IF(AN18&lt;&gt;"",IF((AN18*Paramètres!$H$4)-PORTEFEUILLE_FREDERIQUE[[#This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€]]-(DELPHINE!AN18*Paramètres!$H$4),0),0)</f>
        <v>0</v>
      </c>
      <c r="AU18" s="225">
        <f>IF(AN18&lt;&gt;"",IF(((AN18*Paramètres!$H$4)-PORTEFEUILLE_FREDERIQUE[[#This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€]])&gt;0,(AN18*Paramètres!$H$4)-PORTEFEUILLE_FREDERIQUE[[#This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V18" s="190" t="str">
        <f>IF(PORTEFEUILLE_FREDERIQUE[[#This Row],[BONI COMPTABLE]]&lt;&gt;0,1,"")</f>
        <v/>
      </c>
      <c r="AW18" s="190" t="str">
        <f>IF(PORTEFEUILLE_FREDERIQUE[[#This Row],[MALI COMPTABLE]]&lt;&gt;0,1,"")</f>
        <v/>
      </c>
      <c r="AX18" s="188"/>
      <c r="AY18" s="188"/>
      <c r="AZ18" s="188"/>
      <c r="BA18" s="188"/>
      <c r="BB18" s="188"/>
      <c r="BC18" s="188"/>
      <c r="BD18" s="188"/>
      <c r="BE18" s="192"/>
      <c r="BF18" s="194"/>
      <c r="BG18" s="194"/>
      <c r="BH18" s="195"/>
      <c r="BI18" s="194"/>
    </row>
    <row r="19" spans="1:61" x14ac:dyDescent="0.25">
      <c r="A19" s="172"/>
      <c r="B19" s="170"/>
      <c r="C19" s="165"/>
      <c r="D19" s="171"/>
      <c r="E19" s="189"/>
      <c r="F19" s="188"/>
      <c r="G19" s="189"/>
      <c r="H19" s="189"/>
      <c r="I19" s="189"/>
      <c r="J19" s="189"/>
      <c r="K19" s="190" t="str">
        <f t="shared" si="0"/>
        <v/>
      </c>
      <c r="L19" s="190" t="str">
        <f t="shared" si="1"/>
        <v/>
      </c>
      <c r="M19" s="188"/>
      <c r="N19" s="188"/>
      <c r="O19" s="188"/>
      <c r="P19" s="188"/>
      <c r="Q19" s="188"/>
      <c r="R19" s="188"/>
      <c r="S19" s="213"/>
      <c r="T19" s="207"/>
      <c r="U19" s="219"/>
      <c r="V19" s="219"/>
      <c r="W19" s="219"/>
      <c r="X19" s="219"/>
      <c r="Y19" s="219"/>
      <c r="Z19" s="219"/>
      <c r="AA19" s="219"/>
      <c r="AB19" s="219"/>
      <c r="AC19" s="219"/>
      <c r="AD19" s="219"/>
      <c r="AE19" s="219"/>
      <c r="AF19" s="219"/>
      <c r="AG19" s="219"/>
      <c r="AH19" s="225">
        <f>SUM(PORTEFEUILLE_FREDERIQUE[[#This Row],[PCR COMPTABLE €]:[MONTANT
RESPONSABLE RELATION CLIENT €]])-PORTEFEUILLE_FREDERIQUE[[#This Row],[MONTANT TOTAL LETTRE DE MISION €]]</f>
        <v>0</v>
      </c>
      <c r="AI19" s="191"/>
      <c r="AJ19" s="188"/>
      <c r="AK19" s="188"/>
      <c r="AL19" s="188"/>
      <c r="AM19" s="188"/>
      <c r="AN19" s="188"/>
      <c r="AO19" s="188"/>
      <c r="AP19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Q19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R19" s="188" t="str">
        <f>IF(PORTEFEUILLE_FREDERIQUE[[#This Row],[BONI AAC]]&lt;&gt;0,1,"")</f>
        <v/>
      </c>
      <c r="AS19" s="188" t="str">
        <f>IF(PORTEFEUILLE_FREDERIQUE[[#This Row],[MALI AAC]]&lt;&gt;0,1,"")</f>
        <v/>
      </c>
      <c r="AT19" s="225">
        <f>IF(AN19&lt;&gt;"",IF((AN19*Paramètres!$H$4)-PORTEFEUILLE_FREDERIQUE[[#This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€]]-(DELPHINE!AN19*Paramètres!$H$4),0),0)</f>
        <v>0</v>
      </c>
      <c r="AU19" s="225">
        <f>IF(AN19&lt;&gt;"",IF(((AN19*Paramètres!$H$4)-PORTEFEUILLE_FREDERIQUE[[#This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€]])&gt;0,(AN19*Paramètres!$H$4)-PORTEFEUILLE_FREDERIQUE[[#This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V19" s="190" t="str">
        <f>IF(PORTEFEUILLE_FREDERIQUE[[#This Row],[BONI COMPTABLE]]&lt;&gt;0,1,"")</f>
        <v/>
      </c>
      <c r="AW19" s="190" t="str">
        <f>IF(PORTEFEUILLE_FREDERIQUE[[#This Row],[MALI COMPTABLE]]&lt;&gt;0,1,"")</f>
        <v/>
      </c>
      <c r="AX19" s="188"/>
      <c r="AY19" s="188"/>
      <c r="AZ19" s="188"/>
      <c r="BA19" s="188"/>
      <c r="BB19" s="188"/>
      <c r="BC19" s="188"/>
      <c r="BD19" s="188"/>
      <c r="BE19" s="192"/>
      <c r="BF19" s="194"/>
      <c r="BG19" s="194"/>
      <c r="BH19" s="195"/>
      <c r="BI19" s="194"/>
    </row>
    <row r="20" spans="1:61" x14ac:dyDescent="0.25">
      <c r="A20" s="172"/>
      <c r="B20" s="170"/>
      <c r="C20" s="165"/>
      <c r="D20" s="171"/>
      <c r="E20" s="189"/>
      <c r="F20" s="188"/>
      <c r="G20" s="188"/>
      <c r="H20" s="189"/>
      <c r="I20" s="189"/>
      <c r="J20" s="189"/>
      <c r="K20" s="190" t="str">
        <f t="shared" si="0"/>
        <v/>
      </c>
      <c r="L20" s="190" t="str">
        <f t="shared" si="1"/>
        <v/>
      </c>
      <c r="M20" s="188"/>
      <c r="N20" s="188"/>
      <c r="O20" s="188"/>
      <c r="P20" s="188"/>
      <c r="Q20" s="188"/>
      <c r="R20" s="188"/>
      <c r="S20" s="214"/>
      <c r="T20" s="208"/>
      <c r="U20" s="220"/>
      <c r="V20" s="220"/>
      <c r="W20" s="220"/>
      <c r="X20" s="220"/>
      <c r="Y20" s="220"/>
      <c r="Z20" s="220"/>
      <c r="AA20" s="220"/>
      <c r="AB20" s="220"/>
      <c r="AC20" s="220"/>
      <c r="AD20" s="220"/>
      <c r="AE20" s="220"/>
      <c r="AF20" s="220"/>
      <c r="AG20" s="219"/>
      <c r="AH20" s="225">
        <f>SUM(PORTEFEUILLE_FREDERIQUE[[#This Row],[PCR COMPTABLE €]:[MONTANT
RESPONSABLE RELATION CLIENT €]])-PORTEFEUILLE_FREDERIQUE[[#This Row],[MONTANT TOTAL LETTRE DE MISION €]]</f>
        <v>0</v>
      </c>
      <c r="AI20" s="191"/>
      <c r="AJ20" s="188"/>
      <c r="AK20" s="188"/>
      <c r="AL20" s="196"/>
      <c r="AM20" s="196"/>
      <c r="AN20" s="196"/>
      <c r="AO20" s="196"/>
      <c r="AP20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Q20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R20" s="188" t="str">
        <f>IF(PORTEFEUILLE_FREDERIQUE[[#This Row],[BONI AAC]]&lt;&gt;0,1,"")</f>
        <v/>
      </c>
      <c r="AS20" s="188" t="str">
        <f>IF(PORTEFEUILLE_FREDERIQUE[[#This Row],[MALI AAC]]&lt;&gt;0,1,"")</f>
        <v/>
      </c>
      <c r="AT20" s="225">
        <f>IF(AN20&lt;&gt;"",IF((AN20*Paramètres!$H$4)-PORTEFEUILLE_FREDERIQUE[[#This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€]]-(DELPHINE!AN20*Paramètres!$H$4),0),0)</f>
        <v>0</v>
      </c>
      <c r="AU20" s="225">
        <f>IF(AN20&lt;&gt;"",IF(((AN20*Paramètres!$H$4)-PORTEFEUILLE_FREDERIQUE[[#This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€]])&gt;0,(AN20*Paramètres!$H$4)-PORTEFEUILLE_FREDERIQUE[[#This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V20" s="190" t="str">
        <f>IF(PORTEFEUILLE_FREDERIQUE[[#This Row],[BONI COMPTABLE]]&lt;&gt;0,1,"")</f>
        <v/>
      </c>
      <c r="AW20" s="190" t="str">
        <f>IF(PORTEFEUILLE_FREDERIQUE[[#This Row],[MALI COMPTABLE]]&lt;&gt;0,1,"")</f>
        <v/>
      </c>
      <c r="AX20" s="196"/>
      <c r="AY20" s="188"/>
      <c r="AZ20" s="188"/>
      <c r="BA20" s="188"/>
      <c r="BB20" s="196"/>
      <c r="BC20" s="196"/>
      <c r="BD20" s="196"/>
      <c r="BE20" s="192"/>
      <c r="BF20" s="194"/>
      <c r="BG20" s="194"/>
      <c r="BH20" s="195"/>
      <c r="BI20" s="194"/>
    </row>
    <row r="21" spans="1:61" x14ac:dyDescent="0.25">
      <c r="A21" s="172"/>
      <c r="B21" s="170"/>
      <c r="C21" s="165"/>
      <c r="D21" s="171"/>
      <c r="E21" s="189"/>
      <c r="F21" s="188"/>
      <c r="G21" s="189"/>
      <c r="H21" s="189"/>
      <c r="I21" s="189"/>
      <c r="J21" s="189"/>
      <c r="K21" s="190" t="str">
        <f t="shared" si="0"/>
        <v/>
      </c>
      <c r="L21" s="190" t="str">
        <f t="shared" si="1"/>
        <v/>
      </c>
      <c r="M21" s="188"/>
      <c r="N21" s="188"/>
      <c r="O21" s="188"/>
      <c r="P21" s="188"/>
      <c r="Q21" s="188"/>
      <c r="R21" s="188"/>
      <c r="S21" s="213"/>
      <c r="T21" s="207"/>
      <c r="U21" s="219"/>
      <c r="V21" s="219"/>
      <c r="W21" s="219"/>
      <c r="X21" s="219"/>
      <c r="Y21" s="219"/>
      <c r="Z21" s="219"/>
      <c r="AA21" s="219"/>
      <c r="AB21" s="219"/>
      <c r="AC21" s="219"/>
      <c r="AD21" s="219"/>
      <c r="AE21" s="219"/>
      <c r="AF21" s="219"/>
      <c r="AG21" s="219"/>
      <c r="AH21" s="225">
        <f>SUM(PORTEFEUILLE_FREDERIQUE[[#This Row],[PCR COMPTABLE €]:[MONTANT
RESPONSABLE RELATION CLIENT €]])-PORTEFEUILLE_FREDERIQUE[[#This Row],[MONTANT TOTAL LETTRE DE MISION €]]</f>
        <v>0</v>
      </c>
      <c r="AI21" s="191"/>
      <c r="AJ21" s="188"/>
      <c r="AK21" s="188"/>
      <c r="AL21" s="188"/>
      <c r="AM21" s="188"/>
      <c r="AN21" s="188"/>
      <c r="AO21" s="188"/>
      <c r="AP21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Q21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R21" s="188" t="str">
        <f>IF(PORTEFEUILLE_FREDERIQUE[[#This Row],[BONI AAC]]&lt;&gt;0,1,"")</f>
        <v/>
      </c>
      <c r="AS21" s="188" t="str">
        <f>IF(PORTEFEUILLE_FREDERIQUE[[#This Row],[MALI AAC]]&lt;&gt;0,1,"")</f>
        <v/>
      </c>
      <c r="AT21" s="225">
        <f>IF(AN21&lt;&gt;"",IF((AN21*Paramètres!$H$4)-PORTEFEUILLE_FREDERIQUE[[#This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€]]-(DELPHINE!AN21*Paramètres!$H$4),0),0)</f>
        <v>0</v>
      </c>
      <c r="AU21" s="225">
        <f>IF(AN21&lt;&gt;"",IF(((AN21*Paramètres!$H$4)-PORTEFEUILLE_FREDERIQUE[[#This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€]])&gt;0,(AN21*Paramètres!$H$4)-PORTEFEUILLE_FREDERIQUE[[#This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V21" s="190" t="str">
        <f>IF(PORTEFEUILLE_FREDERIQUE[[#This Row],[BONI COMPTABLE]]&lt;&gt;0,1,"")</f>
        <v/>
      </c>
      <c r="AW21" s="190" t="str">
        <f>IF(PORTEFEUILLE_FREDERIQUE[[#This Row],[MALI COMPTABLE]]&lt;&gt;0,1,"")</f>
        <v/>
      </c>
      <c r="AX21" s="188"/>
      <c r="AY21" s="188"/>
      <c r="AZ21" s="188"/>
      <c r="BA21" s="188"/>
      <c r="BB21" s="196"/>
      <c r="BC21" s="196"/>
      <c r="BD21" s="196"/>
      <c r="BE21" s="192"/>
      <c r="BF21" s="194"/>
      <c r="BG21" s="194"/>
      <c r="BH21" s="195"/>
      <c r="BI21" s="194"/>
    </row>
    <row r="22" spans="1:61" x14ac:dyDescent="0.25">
      <c r="A22" s="172"/>
      <c r="B22" s="170"/>
      <c r="C22" s="165"/>
      <c r="D22" s="171"/>
      <c r="E22" s="189"/>
      <c r="F22" s="188"/>
      <c r="G22" s="189"/>
      <c r="H22" s="189"/>
      <c r="I22" s="189"/>
      <c r="J22" s="189"/>
      <c r="K22" s="190" t="str">
        <f t="shared" si="0"/>
        <v/>
      </c>
      <c r="L22" s="190" t="str">
        <f t="shared" si="1"/>
        <v/>
      </c>
      <c r="M22" s="188"/>
      <c r="N22" s="188"/>
      <c r="O22" s="188"/>
      <c r="P22" s="188"/>
      <c r="Q22" s="188"/>
      <c r="R22" s="188"/>
      <c r="S22" s="215"/>
      <c r="T22" s="209"/>
      <c r="U22" s="221"/>
      <c r="V22" s="221"/>
      <c r="W22" s="221"/>
      <c r="X22" s="221"/>
      <c r="Y22" s="221"/>
      <c r="Z22" s="221"/>
      <c r="AA22" s="221"/>
      <c r="AB22" s="221"/>
      <c r="AC22" s="221"/>
      <c r="AD22" s="221"/>
      <c r="AE22" s="221"/>
      <c r="AF22" s="221"/>
      <c r="AG22" s="219"/>
      <c r="AH22" s="225">
        <f>SUM(PORTEFEUILLE_FREDERIQUE[[#This Row],[PCR COMPTABLE €]:[MONTANT
RESPONSABLE RELATION CLIENT €]])-PORTEFEUILLE_FREDERIQUE[[#This Row],[MONTANT TOTAL LETTRE DE MISION €]]</f>
        <v>0</v>
      </c>
      <c r="AI22" s="191"/>
      <c r="AJ22" s="188"/>
      <c r="AK22" s="188"/>
      <c r="AL22" s="197"/>
      <c r="AM22" s="197"/>
      <c r="AN22" s="197"/>
      <c r="AO22" s="197"/>
      <c r="AP22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Q22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R22" s="188" t="str">
        <f>IF(PORTEFEUILLE_FREDERIQUE[[#This Row],[BONI AAC]]&lt;&gt;0,1,"")</f>
        <v/>
      </c>
      <c r="AS22" s="188" t="str">
        <f>IF(PORTEFEUILLE_FREDERIQUE[[#This Row],[MALI AAC]]&lt;&gt;0,1,"")</f>
        <v/>
      </c>
      <c r="AT22" s="225">
        <f>IF(AN22&lt;&gt;"",IF((AN22*Paramètres!$H$4)-PORTEFEUILLE_FREDERIQUE[[#This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€]]-(DELPHINE!AN22*Paramètres!$H$4),0),0)</f>
        <v>0</v>
      </c>
      <c r="AU22" s="225">
        <f>IF(AN22&lt;&gt;"",IF(((AN22*Paramètres!$H$4)-PORTEFEUILLE_FREDERIQUE[[#This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€]])&gt;0,(AN22*Paramètres!$H$4)-PORTEFEUILLE_FREDERIQUE[[#This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V22" s="190" t="str">
        <f>IF(PORTEFEUILLE_FREDERIQUE[[#This Row],[BONI COMPTABLE]]&lt;&gt;0,1,"")</f>
        <v/>
      </c>
      <c r="AW22" s="190" t="str">
        <f>IF(PORTEFEUILLE_FREDERIQUE[[#This Row],[MALI COMPTABLE]]&lt;&gt;0,1,"")</f>
        <v/>
      </c>
      <c r="AX22" s="188"/>
      <c r="AY22" s="188"/>
      <c r="AZ22" s="188"/>
      <c r="BA22" s="188"/>
      <c r="BB22" s="196"/>
      <c r="BC22" s="196"/>
      <c r="BD22" s="196"/>
      <c r="BE22" s="192"/>
      <c r="BF22" s="194"/>
      <c r="BG22" s="194"/>
      <c r="BH22" s="195"/>
      <c r="BI22" s="194"/>
    </row>
    <row r="23" spans="1:61" x14ac:dyDescent="0.25">
      <c r="A23" s="172"/>
      <c r="B23" s="170"/>
      <c r="C23" s="165"/>
      <c r="D23" s="171"/>
      <c r="E23" s="189"/>
      <c r="F23" s="188"/>
      <c r="G23" s="189"/>
      <c r="H23" s="189"/>
      <c r="I23" s="189"/>
      <c r="J23" s="189"/>
      <c r="K23" s="190" t="str">
        <f t="shared" si="0"/>
        <v/>
      </c>
      <c r="L23" s="190" t="str">
        <f t="shared" si="1"/>
        <v/>
      </c>
      <c r="M23" s="188"/>
      <c r="N23" s="188"/>
      <c r="O23" s="188"/>
      <c r="P23" s="188"/>
      <c r="Q23" s="188"/>
      <c r="R23" s="188"/>
      <c r="S23" s="213"/>
      <c r="T23" s="207"/>
      <c r="U23" s="219"/>
      <c r="V23" s="219"/>
      <c r="W23" s="219"/>
      <c r="X23" s="219"/>
      <c r="Y23" s="219"/>
      <c r="Z23" s="219"/>
      <c r="AA23" s="219"/>
      <c r="AB23" s="219"/>
      <c r="AC23" s="219"/>
      <c r="AD23" s="219"/>
      <c r="AE23" s="219"/>
      <c r="AF23" s="219"/>
      <c r="AG23" s="219"/>
      <c r="AH23" s="225">
        <f>SUM(PORTEFEUILLE_FREDERIQUE[[#This Row],[PCR COMPTABLE €]:[MONTANT
RESPONSABLE RELATION CLIENT €]])-PORTEFEUILLE_FREDERIQUE[[#This Row],[MONTANT TOTAL LETTRE DE MISION €]]</f>
        <v>0</v>
      </c>
      <c r="AI23" s="191"/>
      <c r="AJ23" s="188"/>
      <c r="AK23" s="188"/>
      <c r="AL23" s="188"/>
      <c r="AM23" s="188"/>
      <c r="AN23" s="188"/>
      <c r="AO23" s="188"/>
      <c r="AP23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Q23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R23" s="188" t="str">
        <f>IF(PORTEFEUILLE_FREDERIQUE[[#This Row],[BONI AAC]]&lt;&gt;0,1,"")</f>
        <v/>
      </c>
      <c r="AS23" s="188" t="str">
        <f>IF(PORTEFEUILLE_FREDERIQUE[[#This Row],[MALI AAC]]&lt;&gt;0,1,"")</f>
        <v/>
      </c>
      <c r="AT23" s="225">
        <f>IF(AN23&lt;&gt;"",IF((AN23*Paramètres!$H$4)-PORTEFEUILLE_FREDERIQUE[[#This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€]]-(DELPHINE!AN23*Paramètres!$H$4),0),0)</f>
        <v>0</v>
      </c>
      <c r="AU23" s="225">
        <f>IF(AN23&lt;&gt;"",IF(((AN23*Paramètres!$H$4)-PORTEFEUILLE_FREDERIQUE[[#This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€]])&gt;0,(AN23*Paramètres!$H$4)-PORTEFEUILLE_FREDERIQUE[[#This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V23" s="190" t="str">
        <f>IF(PORTEFEUILLE_FREDERIQUE[[#This Row],[BONI COMPTABLE]]&lt;&gt;0,1,"")</f>
        <v/>
      </c>
      <c r="AW23" s="190" t="str">
        <f>IF(PORTEFEUILLE_FREDERIQUE[[#This Row],[MALI COMPTABLE]]&lt;&gt;0,1,"")</f>
        <v/>
      </c>
      <c r="AX23" s="188"/>
      <c r="AY23" s="188"/>
      <c r="AZ23" s="188"/>
      <c r="BA23" s="188"/>
      <c r="BB23" s="188"/>
      <c r="BC23" s="188"/>
      <c r="BD23" s="188"/>
      <c r="BE23" s="192"/>
      <c r="BF23" s="194"/>
      <c r="BG23" s="194"/>
      <c r="BH23" s="195"/>
      <c r="BI23" s="194"/>
    </row>
    <row r="24" spans="1:61" x14ac:dyDescent="0.25">
      <c r="A24" s="172"/>
      <c r="B24" s="170"/>
      <c r="C24" s="165"/>
      <c r="D24" s="171"/>
      <c r="E24" s="189"/>
      <c r="F24" s="188"/>
      <c r="G24" s="188"/>
      <c r="H24" s="189"/>
      <c r="I24" s="189"/>
      <c r="J24" s="189"/>
      <c r="K24" s="190" t="str">
        <f t="shared" si="0"/>
        <v/>
      </c>
      <c r="L24" s="190" t="str">
        <f t="shared" si="1"/>
        <v/>
      </c>
      <c r="M24" s="188"/>
      <c r="N24" s="188"/>
      <c r="O24" s="188"/>
      <c r="P24" s="188"/>
      <c r="Q24" s="188"/>
      <c r="R24" s="188"/>
      <c r="S24" s="214"/>
      <c r="T24" s="208"/>
      <c r="U24" s="220"/>
      <c r="V24" s="220"/>
      <c r="W24" s="220"/>
      <c r="X24" s="220"/>
      <c r="Y24" s="220"/>
      <c r="Z24" s="220"/>
      <c r="AA24" s="220"/>
      <c r="AB24" s="220"/>
      <c r="AC24" s="220"/>
      <c r="AD24" s="220"/>
      <c r="AE24" s="220"/>
      <c r="AF24" s="220"/>
      <c r="AG24" s="219"/>
      <c r="AH24" s="225">
        <f>SUM(PORTEFEUILLE_FREDERIQUE[[#This Row],[PCR COMPTABLE €]:[MONTANT
RESPONSABLE RELATION CLIENT €]])-PORTEFEUILLE_FREDERIQUE[[#This Row],[MONTANT TOTAL LETTRE DE MISION €]]</f>
        <v>0</v>
      </c>
      <c r="AI24" s="191"/>
      <c r="AJ24" s="188"/>
      <c r="AK24" s="188"/>
      <c r="AL24" s="196"/>
      <c r="AM24" s="196"/>
      <c r="AN24" s="196"/>
      <c r="AO24" s="196"/>
      <c r="AP24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Q24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R24" s="188" t="str">
        <f>IF(PORTEFEUILLE_FREDERIQUE[[#This Row],[BONI AAC]]&lt;&gt;0,1,"")</f>
        <v/>
      </c>
      <c r="AS24" s="188" t="str">
        <f>IF(PORTEFEUILLE_FREDERIQUE[[#This Row],[MALI AAC]]&lt;&gt;0,1,"")</f>
        <v/>
      </c>
      <c r="AT24" s="225">
        <f>IF(AN24&lt;&gt;"",IF((AN24*Paramètres!$H$4)-PORTEFEUILLE_FREDERIQUE[[#This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€]]-(DELPHINE!AN24*Paramètres!$H$4),0),0)</f>
        <v>0</v>
      </c>
      <c r="AU24" s="225">
        <f>IF(AN24&lt;&gt;"",IF(((AN24*Paramètres!$H$4)-PORTEFEUILLE_FREDERIQUE[[#This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€]])&gt;0,(AN24*Paramètres!$H$4)-PORTEFEUILLE_FREDERIQUE[[#This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V24" s="190" t="str">
        <f>IF(PORTEFEUILLE_FREDERIQUE[[#This Row],[BONI COMPTABLE]]&lt;&gt;0,1,"")</f>
        <v/>
      </c>
      <c r="AW24" s="190" t="str">
        <f>IF(PORTEFEUILLE_FREDERIQUE[[#This Row],[MALI COMPTABLE]]&lt;&gt;0,1,"")</f>
        <v/>
      </c>
      <c r="AX24" s="196"/>
      <c r="AY24" s="188"/>
      <c r="AZ24" s="188"/>
      <c r="BA24" s="188"/>
      <c r="BB24" s="188"/>
      <c r="BC24" s="188"/>
      <c r="BD24" s="188"/>
      <c r="BE24" s="192"/>
      <c r="BF24" s="194"/>
      <c r="BG24" s="194"/>
      <c r="BH24" s="195"/>
      <c r="BI24" s="194"/>
    </row>
    <row r="25" spans="1:61" x14ac:dyDescent="0.25">
      <c r="A25" s="172"/>
      <c r="B25" s="170"/>
      <c r="C25" s="165"/>
      <c r="D25" s="171"/>
      <c r="E25" s="189"/>
      <c r="F25" s="188"/>
      <c r="G25" s="188"/>
      <c r="H25" s="189"/>
      <c r="I25" s="189"/>
      <c r="J25" s="189"/>
      <c r="K25" s="190" t="str">
        <f t="shared" si="0"/>
        <v/>
      </c>
      <c r="L25" s="190" t="str">
        <f t="shared" si="1"/>
        <v/>
      </c>
      <c r="M25" s="188"/>
      <c r="N25" s="188"/>
      <c r="O25" s="188"/>
      <c r="P25" s="188"/>
      <c r="Q25" s="188"/>
      <c r="R25" s="188"/>
      <c r="S25" s="214"/>
      <c r="T25" s="208"/>
      <c r="U25" s="220"/>
      <c r="V25" s="220"/>
      <c r="W25" s="220"/>
      <c r="X25" s="220"/>
      <c r="Y25" s="220"/>
      <c r="Z25" s="220"/>
      <c r="AA25" s="220"/>
      <c r="AB25" s="220"/>
      <c r="AC25" s="220"/>
      <c r="AD25" s="220"/>
      <c r="AE25" s="220"/>
      <c r="AF25" s="220"/>
      <c r="AG25" s="219"/>
      <c r="AH25" s="225">
        <f>SUM(PORTEFEUILLE_FREDERIQUE[[#This Row],[PCR COMPTABLE €]:[MONTANT
RESPONSABLE RELATION CLIENT €]])-PORTEFEUILLE_FREDERIQUE[[#This Row],[MONTANT TOTAL LETTRE DE MISION €]]</f>
        <v>0</v>
      </c>
      <c r="AI25" s="191"/>
      <c r="AJ25" s="188"/>
      <c r="AK25" s="188"/>
      <c r="AL25" s="196"/>
      <c r="AM25" s="196"/>
      <c r="AN25" s="196"/>
      <c r="AO25" s="196"/>
      <c r="AP25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Q25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R25" s="188" t="str">
        <f>IF(PORTEFEUILLE_FREDERIQUE[[#This Row],[BONI AAC]]&lt;&gt;0,1,"")</f>
        <v/>
      </c>
      <c r="AS25" s="188" t="str">
        <f>IF(PORTEFEUILLE_FREDERIQUE[[#This Row],[MALI AAC]]&lt;&gt;0,1,"")</f>
        <v/>
      </c>
      <c r="AT25" s="225">
        <f>IF(AN25&lt;&gt;"",IF((AN25*Paramètres!$H$4)-PORTEFEUILLE_FREDERIQUE[[#This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€]]-(DELPHINE!AN25*Paramètres!$H$4),0),0)</f>
        <v>0</v>
      </c>
      <c r="AU25" s="225">
        <f>IF(AN25&lt;&gt;"",IF(((AN25*Paramètres!$H$4)-PORTEFEUILLE_FREDERIQUE[[#This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€]])&gt;0,(AN25*Paramètres!$H$4)-PORTEFEUILLE_FREDERIQUE[[#This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V25" s="190" t="str">
        <f>IF(PORTEFEUILLE_FREDERIQUE[[#This Row],[BONI COMPTABLE]]&lt;&gt;0,1,"")</f>
        <v/>
      </c>
      <c r="AW25" s="190" t="str">
        <f>IF(PORTEFEUILLE_FREDERIQUE[[#This Row],[MALI COMPTABLE]]&lt;&gt;0,1,"")</f>
        <v/>
      </c>
      <c r="AX25" s="196"/>
      <c r="AY25" s="188"/>
      <c r="AZ25" s="188"/>
      <c r="BA25" s="188"/>
      <c r="BB25" s="188"/>
      <c r="BC25" s="188"/>
      <c r="BD25" s="188"/>
      <c r="BE25" s="192"/>
      <c r="BF25" s="194"/>
      <c r="BG25" s="194"/>
      <c r="BH25" s="195"/>
      <c r="BI25" s="194"/>
    </row>
    <row r="26" spans="1:61" x14ac:dyDescent="0.25">
      <c r="A26" s="172"/>
      <c r="B26" s="170"/>
      <c r="C26" s="165"/>
      <c r="D26" s="171"/>
      <c r="E26" s="189"/>
      <c r="F26" s="188"/>
      <c r="G26" s="188"/>
      <c r="H26" s="189"/>
      <c r="I26" s="189"/>
      <c r="J26" s="189"/>
      <c r="K26" s="190" t="str">
        <f t="shared" si="0"/>
        <v/>
      </c>
      <c r="L26" s="190" t="str">
        <f t="shared" si="1"/>
        <v/>
      </c>
      <c r="M26" s="188"/>
      <c r="N26" s="188"/>
      <c r="O26" s="188"/>
      <c r="P26" s="188"/>
      <c r="Q26" s="188"/>
      <c r="R26" s="188"/>
      <c r="S26" s="214"/>
      <c r="T26" s="208"/>
      <c r="U26" s="220"/>
      <c r="V26" s="220"/>
      <c r="W26" s="220"/>
      <c r="X26" s="220"/>
      <c r="Y26" s="220"/>
      <c r="Z26" s="220"/>
      <c r="AA26" s="220"/>
      <c r="AB26" s="220"/>
      <c r="AC26" s="220"/>
      <c r="AD26" s="220"/>
      <c r="AE26" s="220"/>
      <c r="AF26" s="220"/>
      <c r="AG26" s="219"/>
      <c r="AH26" s="225">
        <f>SUM(PORTEFEUILLE_FREDERIQUE[[#This Row],[PCR COMPTABLE €]:[MONTANT
RESPONSABLE RELATION CLIENT €]])-PORTEFEUILLE_FREDERIQUE[[#This Row],[MONTANT TOTAL LETTRE DE MISION €]]</f>
        <v>0</v>
      </c>
      <c r="AI26" s="191"/>
      <c r="AJ26" s="188"/>
      <c r="AK26" s="188"/>
      <c r="AL26" s="196"/>
      <c r="AM26" s="196"/>
      <c r="AN26" s="196"/>
      <c r="AO26" s="196"/>
      <c r="AP26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Q26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R26" s="188" t="str">
        <f>IF(PORTEFEUILLE_FREDERIQUE[[#This Row],[BONI AAC]]&lt;&gt;0,1,"")</f>
        <v/>
      </c>
      <c r="AS26" s="188" t="str">
        <f>IF(PORTEFEUILLE_FREDERIQUE[[#This Row],[MALI AAC]]&lt;&gt;0,1,"")</f>
        <v/>
      </c>
      <c r="AT26" s="225">
        <f>IF(AN26&lt;&gt;"",IF((AN26*Paramètres!$H$4)-PORTEFEUILLE_FREDERIQUE[[#This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€]]-(DELPHINE!AN26*Paramètres!$H$4),0),0)</f>
        <v>0</v>
      </c>
      <c r="AU26" s="225">
        <f>IF(AN26&lt;&gt;"",IF(((AN26*Paramètres!$H$4)-PORTEFEUILLE_FREDERIQUE[[#This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€]])&gt;0,(AN26*Paramètres!$H$4)-PORTEFEUILLE_FREDERIQUE[[#This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V26" s="190" t="str">
        <f>IF(PORTEFEUILLE_FREDERIQUE[[#This Row],[BONI COMPTABLE]]&lt;&gt;0,1,"")</f>
        <v/>
      </c>
      <c r="AW26" s="190" t="str">
        <f>IF(PORTEFEUILLE_FREDERIQUE[[#This Row],[MALI COMPTABLE]]&lt;&gt;0,1,"")</f>
        <v/>
      </c>
      <c r="AX26" s="196"/>
      <c r="AY26" s="188"/>
      <c r="AZ26" s="188"/>
      <c r="BA26" s="188"/>
      <c r="BB26" s="188"/>
      <c r="BC26" s="188"/>
      <c r="BD26" s="188"/>
      <c r="BE26" s="192"/>
      <c r="BF26" s="194"/>
      <c r="BG26" s="194"/>
      <c r="BH26" s="195"/>
      <c r="BI26" s="194"/>
    </row>
    <row r="27" spans="1:61" x14ac:dyDescent="0.25">
      <c r="A27" s="172"/>
      <c r="B27" s="170"/>
      <c r="C27" s="165"/>
      <c r="D27" s="171"/>
      <c r="E27" s="189"/>
      <c r="F27" s="188"/>
      <c r="G27" s="188"/>
      <c r="H27" s="189"/>
      <c r="I27" s="189"/>
      <c r="J27" s="189"/>
      <c r="K27" s="190" t="str">
        <f t="shared" si="0"/>
        <v/>
      </c>
      <c r="L27" s="190" t="str">
        <f t="shared" si="1"/>
        <v/>
      </c>
      <c r="M27" s="188"/>
      <c r="N27" s="188"/>
      <c r="O27" s="188"/>
      <c r="P27" s="188"/>
      <c r="Q27" s="188"/>
      <c r="R27" s="188"/>
      <c r="S27" s="214"/>
      <c r="T27" s="208"/>
      <c r="U27" s="220"/>
      <c r="V27" s="220"/>
      <c r="W27" s="220"/>
      <c r="X27" s="220"/>
      <c r="Y27" s="220"/>
      <c r="Z27" s="220"/>
      <c r="AA27" s="220"/>
      <c r="AB27" s="220"/>
      <c r="AC27" s="220"/>
      <c r="AD27" s="220"/>
      <c r="AE27" s="220"/>
      <c r="AF27" s="220"/>
      <c r="AG27" s="219"/>
      <c r="AH27" s="225">
        <f>SUM(PORTEFEUILLE_FREDERIQUE[[#This Row],[PCR COMPTABLE €]:[MONTANT
RESPONSABLE RELATION CLIENT €]])-PORTEFEUILLE_FREDERIQUE[[#This Row],[MONTANT TOTAL LETTRE DE MISION €]]</f>
        <v>0</v>
      </c>
      <c r="AI27" s="191"/>
      <c r="AJ27" s="188"/>
      <c r="AK27" s="188"/>
      <c r="AL27" s="196"/>
      <c r="AM27" s="196"/>
      <c r="AN27" s="196"/>
      <c r="AO27" s="196"/>
      <c r="AP27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Q27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R27" s="188" t="str">
        <f>IF(PORTEFEUILLE_FREDERIQUE[[#This Row],[BONI AAC]]&lt;&gt;0,1,"")</f>
        <v/>
      </c>
      <c r="AS27" s="188" t="str">
        <f>IF(PORTEFEUILLE_FREDERIQUE[[#This Row],[MALI AAC]]&lt;&gt;0,1,"")</f>
        <v/>
      </c>
      <c r="AT27" s="225">
        <f>IF(AN27&lt;&gt;"",IF((AN27*Paramètres!$H$4)-PORTEFEUILLE_FREDERIQUE[[#This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€]]-(DELPHINE!AN27*Paramètres!$H$4),0),0)</f>
        <v>0</v>
      </c>
      <c r="AU27" s="225">
        <f>IF(AN27&lt;&gt;"",IF(((AN27*Paramètres!$H$4)-PORTEFEUILLE_FREDERIQUE[[#This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€]])&gt;0,(AN27*Paramètres!$H$4)-PORTEFEUILLE_FREDERIQUE[[#This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V27" s="190" t="str">
        <f>IF(PORTEFEUILLE_FREDERIQUE[[#This Row],[BONI COMPTABLE]]&lt;&gt;0,1,"")</f>
        <v/>
      </c>
      <c r="AW27" s="190" t="str">
        <f>IF(PORTEFEUILLE_FREDERIQUE[[#This Row],[MALI COMPTABLE]]&lt;&gt;0,1,"")</f>
        <v/>
      </c>
      <c r="AX27" s="196"/>
      <c r="AY27" s="188"/>
      <c r="AZ27" s="188"/>
      <c r="BA27" s="188"/>
      <c r="BB27" s="188"/>
      <c r="BC27" s="188"/>
      <c r="BD27" s="188"/>
      <c r="BE27" s="192"/>
      <c r="BF27" s="194"/>
      <c r="BG27" s="194"/>
      <c r="BH27" s="195"/>
      <c r="BI27" s="194"/>
    </row>
    <row r="28" spans="1:61" s="90" customFormat="1" x14ac:dyDescent="0.25">
      <c r="A28" s="176"/>
      <c r="B28" s="170"/>
      <c r="C28" s="165"/>
      <c r="D28" s="171"/>
      <c r="E28" s="189"/>
      <c r="F28" s="188"/>
      <c r="G28" s="189"/>
      <c r="H28" s="189"/>
      <c r="I28" s="189"/>
      <c r="J28" s="189"/>
      <c r="K28" s="190" t="str">
        <f t="shared" si="0"/>
        <v/>
      </c>
      <c r="L28" s="190" t="str">
        <f t="shared" si="1"/>
        <v/>
      </c>
      <c r="M28" s="188"/>
      <c r="N28" s="188"/>
      <c r="O28" s="188"/>
      <c r="P28" s="188"/>
      <c r="Q28" s="188"/>
      <c r="R28" s="188"/>
      <c r="S28" s="213"/>
      <c r="T28" s="207"/>
      <c r="U28" s="219"/>
      <c r="V28" s="219"/>
      <c r="W28" s="219"/>
      <c r="X28" s="219"/>
      <c r="Y28" s="219"/>
      <c r="Z28" s="219"/>
      <c r="AA28" s="219"/>
      <c r="AB28" s="219"/>
      <c r="AC28" s="219"/>
      <c r="AD28" s="219"/>
      <c r="AE28" s="219"/>
      <c r="AF28" s="219"/>
      <c r="AG28" s="219"/>
      <c r="AH28" s="225">
        <f>SUM(PORTEFEUILLE_FREDERIQUE[[#This Row],[PCR COMPTABLE €]:[MONTANT
RESPONSABLE RELATION CLIENT €]])-PORTEFEUILLE_FREDERIQUE[[#This Row],[MONTANT TOTAL LETTRE DE MISION €]]</f>
        <v>0</v>
      </c>
      <c r="AI28" s="191"/>
      <c r="AJ28" s="188"/>
      <c r="AK28" s="188"/>
      <c r="AL28" s="188"/>
      <c r="AM28" s="188"/>
      <c r="AN28" s="188"/>
      <c r="AO28" s="188"/>
      <c r="AP28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Q28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R28" s="188" t="str">
        <f>IF(PORTEFEUILLE_FREDERIQUE[[#This Row],[BONI AAC]]&lt;&gt;0,1,"")</f>
        <v/>
      </c>
      <c r="AS28" s="188" t="str">
        <f>IF(PORTEFEUILLE_FREDERIQUE[[#This Row],[MALI AAC]]&lt;&gt;0,1,"")</f>
        <v/>
      </c>
      <c r="AT28" s="225">
        <f>IF(AN28&lt;&gt;"",IF((AN28*Paramètres!$H$4)-PORTEFEUILLE_FREDERIQUE[[#This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€]]-(DELPHINE!AN28*Paramètres!$H$4),0),0)</f>
        <v>0</v>
      </c>
      <c r="AU28" s="225">
        <f>IF(AN28&lt;&gt;"",IF(((AN28*Paramètres!$H$4)-PORTEFEUILLE_FREDERIQUE[[#This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€]])&gt;0,(AN28*Paramètres!$H$4)-PORTEFEUILLE_FREDERIQUE[[#This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V28" s="190" t="str">
        <f>IF(PORTEFEUILLE_FREDERIQUE[[#This Row],[BONI COMPTABLE]]&lt;&gt;0,1,"")</f>
        <v/>
      </c>
      <c r="AW28" s="190" t="str">
        <f>IF(PORTEFEUILLE_FREDERIQUE[[#This Row],[MALI COMPTABLE]]&lt;&gt;0,1,"")</f>
        <v/>
      </c>
      <c r="AX28" s="188"/>
      <c r="AY28" s="188"/>
      <c r="AZ28" s="188"/>
      <c r="BA28" s="188"/>
      <c r="BB28" s="196"/>
      <c r="BC28" s="196"/>
      <c r="BD28" s="196"/>
      <c r="BE28" s="192"/>
      <c r="BF28" s="196"/>
      <c r="BG28" s="196"/>
      <c r="BH28" s="198"/>
      <c r="BI28" s="196"/>
    </row>
    <row r="29" spans="1:61" x14ac:dyDescent="0.25">
      <c r="A29" s="172"/>
      <c r="B29" s="170"/>
      <c r="C29" s="165"/>
      <c r="D29" s="171"/>
      <c r="E29" s="189"/>
      <c r="F29" s="188"/>
      <c r="G29" s="189"/>
      <c r="H29" s="189"/>
      <c r="I29" s="189"/>
      <c r="J29" s="189"/>
      <c r="K29" s="190" t="str">
        <f t="shared" si="0"/>
        <v/>
      </c>
      <c r="L29" s="190" t="str">
        <f t="shared" si="1"/>
        <v/>
      </c>
      <c r="M29" s="188"/>
      <c r="N29" s="188"/>
      <c r="O29" s="188"/>
      <c r="P29" s="188"/>
      <c r="Q29" s="188"/>
      <c r="R29" s="188"/>
      <c r="S29" s="213"/>
      <c r="T29" s="207"/>
      <c r="U29" s="219"/>
      <c r="V29" s="219"/>
      <c r="W29" s="219"/>
      <c r="X29" s="219"/>
      <c r="Y29" s="219"/>
      <c r="Z29" s="219"/>
      <c r="AA29" s="219"/>
      <c r="AB29" s="219"/>
      <c r="AC29" s="219"/>
      <c r="AD29" s="219"/>
      <c r="AE29" s="219"/>
      <c r="AF29" s="219"/>
      <c r="AG29" s="219"/>
      <c r="AH29" s="225">
        <f>SUM(PORTEFEUILLE_FREDERIQUE[[#This Row],[PCR COMPTABLE €]:[MONTANT
RESPONSABLE RELATION CLIENT €]])-PORTEFEUILLE_FREDERIQUE[[#This Row],[MONTANT TOTAL LETTRE DE MISION €]]</f>
        <v>0</v>
      </c>
      <c r="AI29" s="191"/>
      <c r="AJ29" s="188"/>
      <c r="AK29" s="188"/>
      <c r="AL29" s="188"/>
      <c r="AM29" s="188"/>
      <c r="AN29" s="188"/>
      <c r="AO29" s="188"/>
      <c r="AP29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Q29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R29" s="188" t="str">
        <f>IF(PORTEFEUILLE_FREDERIQUE[[#This Row],[BONI AAC]]&lt;&gt;0,1,"")</f>
        <v/>
      </c>
      <c r="AS29" s="188" t="str">
        <f>IF(PORTEFEUILLE_FREDERIQUE[[#This Row],[MALI AAC]]&lt;&gt;0,1,"")</f>
        <v/>
      </c>
      <c r="AT29" s="225">
        <f>IF(AN29&lt;&gt;"",IF((AN29*Paramètres!$H$4)-PORTEFEUILLE_FREDERIQUE[[#This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€]]-(DELPHINE!AN29*Paramètres!$H$4),0),0)</f>
        <v>0</v>
      </c>
      <c r="AU29" s="225">
        <f>IF(AN29&lt;&gt;"",IF(((AN29*Paramètres!$H$4)-PORTEFEUILLE_FREDERIQUE[[#This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€]])&gt;0,(AN29*Paramètres!$H$4)-PORTEFEUILLE_FREDERIQUE[[#This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V29" s="190" t="str">
        <f>IF(PORTEFEUILLE_FREDERIQUE[[#This Row],[BONI COMPTABLE]]&lt;&gt;0,1,"")</f>
        <v/>
      </c>
      <c r="AW29" s="190" t="str">
        <f>IF(PORTEFEUILLE_FREDERIQUE[[#This Row],[MALI COMPTABLE]]&lt;&gt;0,1,"")</f>
        <v/>
      </c>
      <c r="AX29" s="188"/>
      <c r="AY29" s="188"/>
      <c r="AZ29" s="188"/>
      <c r="BA29" s="188"/>
      <c r="BB29" s="196"/>
      <c r="BC29" s="196"/>
      <c r="BD29" s="196"/>
      <c r="BE29" s="192"/>
      <c r="BF29" s="194"/>
      <c r="BG29" s="194"/>
      <c r="BH29" s="195"/>
      <c r="BI29" s="194"/>
    </row>
    <row r="30" spans="1:61" x14ac:dyDescent="0.25">
      <c r="A30" s="172"/>
      <c r="B30" s="170"/>
      <c r="C30" s="165"/>
      <c r="D30" s="171"/>
      <c r="E30" s="189"/>
      <c r="F30" s="188"/>
      <c r="G30" s="189"/>
      <c r="H30" s="189"/>
      <c r="I30" s="189"/>
      <c r="J30" s="189"/>
      <c r="K30" s="190" t="str">
        <f t="shared" si="0"/>
        <v/>
      </c>
      <c r="L30" s="190" t="str">
        <f t="shared" si="1"/>
        <v/>
      </c>
      <c r="M30" s="188"/>
      <c r="N30" s="188"/>
      <c r="O30" s="188"/>
      <c r="P30" s="188"/>
      <c r="Q30" s="188"/>
      <c r="R30" s="188"/>
      <c r="S30" s="213"/>
      <c r="T30" s="207"/>
      <c r="U30" s="219"/>
      <c r="V30" s="219"/>
      <c r="W30" s="219"/>
      <c r="X30" s="219"/>
      <c r="Y30" s="219"/>
      <c r="Z30" s="219"/>
      <c r="AA30" s="219"/>
      <c r="AB30" s="219"/>
      <c r="AC30" s="219"/>
      <c r="AD30" s="219"/>
      <c r="AE30" s="219"/>
      <c r="AF30" s="219"/>
      <c r="AG30" s="219"/>
      <c r="AH30" s="225">
        <f>SUM(PORTEFEUILLE_FREDERIQUE[[#This Row],[PCR COMPTABLE €]:[MONTANT
RESPONSABLE RELATION CLIENT €]])-PORTEFEUILLE_FREDERIQUE[[#This Row],[MONTANT TOTAL LETTRE DE MISION €]]</f>
        <v>0</v>
      </c>
      <c r="AI30" s="191"/>
      <c r="AJ30" s="188"/>
      <c r="AK30" s="188"/>
      <c r="AL30" s="188"/>
      <c r="AM30" s="188"/>
      <c r="AN30" s="188"/>
      <c r="AO30" s="188"/>
      <c r="AP30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Q30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R30" s="188" t="str">
        <f>IF(PORTEFEUILLE_FREDERIQUE[[#This Row],[BONI AAC]]&lt;&gt;0,1,"")</f>
        <v/>
      </c>
      <c r="AS30" s="188" t="str">
        <f>IF(PORTEFEUILLE_FREDERIQUE[[#This Row],[MALI AAC]]&lt;&gt;0,1,"")</f>
        <v/>
      </c>
      <c r="AT30" s="225">
        <f>IF(AN30&lt;&gt;"",IF((AN30*Paramètres!$H$4)-PORTEFEUILLE_FREDERIQUE[[#This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€]]-(DELPHINE!AN30*Paramètres!$H$4),0),0)</f>
        <v>0</v>
      </c>
      <c r="AU30" s="225">
        <f>IF(AN30&lt;&gt;"",IF(((AN30*Paramètres!$H$4)-PORTEFEUILLE_FREDERIQUE[[#This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€]])&gt;0,(AN30*Paramètres!$H$4)-PORTEFEUILLE_FREDERIQUE[[#This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V30" s="190" t="str">
        <f>IF(PORTEFEUILLE_FREDERIQUE[[#This Row],[BONI COMPTABLE]]&lt;&gt;0,1,"")</f>
        <v/>
      </c>
      <c r="AW30" s="190" t="str">
        <f>IF(PORTEFEUILLE_FREDERIQUE[[#This Row],[MALI COMPTABLE]]&lt;&gt;0,1,"")</f>
        <v/>
      </c>
      <c r="AX30" s="188"/>
      <c r="AY30" s="188"/>
      <c r="AZ30" s="188"/>
      <c r="BA30" s="188"/>
      <c r="BB30" s="188"/>
      <c r="BC30" s="188"/>
      <c r="BD30" s="188"/>
      <c r="BE30" s="192"/>
      <c r="BF30" s="194"/>
      <c r="BG30" s="194"/>
      <c r="BH30" s="195"/>
      <c r="BI30" s="194"/>
    </row>
    <row r="31" spans="1:61" x14ac:dyDescent="0.25">
      <c r="A31" s="172"/>
      <c r="B31" s="170"/>
      <c r="C31" s="165"/>
      <c r="D31" s="171"/>
      <c r="E31" s="189"/>
      <c r="F31" s="188"/>
      <c r="G31" s="189"/>
      <c r="H31" s="189"/>
      <c r="I31" s="189"/>
      <c r="J31" s="189"/>
      <c r="K31" s="190" t="str">
        <f t="shared" si="0"/>
        <v/>
      </c>
      <c r="L31" s="190" t="str">
        <f t="shared" si="1"/>
        <v/>
      </c>
      <c r="M31" s="188"/>
      <c r="N31" s="188"/>
      <c r="O31" s="188"/>
      <c r="P31" s="188"/>
      <c r="Q31" s="188"/>
      <c r="R31" s="188"/>
      <c r="S31" s="213"/>
      <c r="T31" s="207"/>
      <c r="U31" s="219"/>
      <c r="V31" s="219"/>
      <c r="W31" s="219"/>
      <c r="X31" s="219"/>
      <c r="Y31" s="219"/>
      <c r="Z31" s="219"/>
      <c r="AA31" s="219"/>
      <c r="AB31" s="219"/>
      <c r="AC31" s="219"/>
      <c r="AD31" s="219"/>
      <c r="AE31" s="219"/>
      <c r="AF31" s="219"/>
      <c r="AG31" s="219"/>
      <c r="AH31" s="225">
        <f>SUM(PORTEFEUILLE_FREDERIQUE[[#This Row],[PCR COMPTABLE €]:[MONTANT
RESPONSABLE RELATION CLIENT €]])-PORTEFEUILLE_FREDERIQUE[[#This Row],[MONTANT TOTAL LETTRE DE MISION €]]</f>
        <v>0</v>
      </c>
      <c r="AI31" s="191"/>
      <c r="AJ31" s="188"/>
      <c r="AK31" s="188"/>
      <c r="AL31" s="188"/>
      <c r="AM31" s="188"/>
      <c r="AN31" s="188"/>
      <c r="AO31" s="188"/>
      <c r="AP31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Q31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R31" s="188" t="str">
        <f>IF(PORTEFEUILLE_FREDERIQUE[[#This Row],[BONI AAC]]&lt;&gt;0,1,"")</f>
        <v/>
      </c>
      <c r="AS31" s="188" t="str">
        <f>IF(PORTEFEUILLE_FREDERIQUE[[#This Row],[MALI AAC]]&lt;&gt;0,1,"")</f>
        <v/>
      </c>
      <c r="AT31" s="225">
        <f>IF(AN31&lt;&gt;"",IF((AN31*Paramètres!$H$4)-PORTEFEUILLE_FREDERIQUE[[#This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€]]-(DELPHINE!AN31*Paramètres!$H$4),0),0)</f>
        <v>0</v>
      </c>
      <c r="AU31" s="225">
        <f>IF(AN31&lt;&gt;"",IF(((AN31*Paramètres!$H$4)-PORTEFEUILLE_FREDERIQUE[[#This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€]])&gt;0,(AN31*Paramètres!$H$4)-PORTEFEUILLE_FREDERIQUE[[#This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V31" s="190" t="str">
        <f>IF(PORTEFEUILLE_FREDERIQUE[[#This Row],[BONI COMPTABLE]]&lt;&gt;0,1,"")</f>
        <v/>
      </c>
      <c r="AW31" s="190" t="str">
        <f>IF(PORTEFEUILLE_FREDERIQUE[[#This Row],[MALI COMPTABLE]]&lt;&gt;0,1,"")</f>
        <v/>
      </c>
      <c r="AX31" s="188"/>
      <c r="AY31" s="188"/>
      <c r="AZ31" s="188"/>
      <c r="BA31" s="188"/>
      <c r="BB31" s="196"/>
      <c r="BC31" s="196"/>
      <c r="BD31" s="196"/>
      <c r="BE31" s="192"/>
      <c r="BF31" s="194"/>
      <c r="BG31" s="194"/>
      <c r="BH31" s="195"/>
      <c r="BI31" s="194"/>
    </row>
    <row r="32" spans="1:61" x14ac:dyDescent="0.25">
      <c r="A32" s="172"/>
      <c r="B32" s="177"/>
      <c r="C32" s="165"/>
      <c r="D32" s="171"/>
      <c r="E32" s="189"/>
      <c r="F32" s="188"/>
      <c r="G32" s="189"/>
      <c r="H32" s="189"/>
      <c r="I32" s="189"/>
      <c r="J32" s="189"/>
      <c r="K32" s="190" t="str">
        <f t="shared" si="0"/>
        <v/>
      </c>
      <c r="L32" s="190" t="str">
        <f t="shared" si="1"/>
        <v/>
      </c>
      <c r="M32" s="188"/>
      <c r="N32" s="188"/>
      <c r="O32" s="188"/>
      <c r="P32" s="188"/>
      <c r="Q32" s="188"/>
      <c r="R32" s="188"/>
      <c r="S32" s="213"/>
      <c r="T32" s="207"/>
      <c r="U32" s="219"/>
      <c r="V32" s="219"/>
      <c r="W32" s="219"/>
      <c r="X32" s="219"/>
      <c r="Y32" s="219"/>
      <c r="Z32" s="219"/>
      <c r="AA32" s="219"/>
      <c r="AB32" s="219"/>
      <c r="AC32" s="219"/>
      <c r="AD32" s="219"/>
      <c r="AE32" s="219"/>
      <c r="AF32" s="219"/>
      <c r="AG32" s="219"/>
      <c r="AH32" s="225">
        <f>SUM(PORTEFEUILLE_FREDERIQUE[[#This Row],[PCR COMPTABLE €]:[MONTANT
RESPONSABLE RELATION CLIENT €]])-PORTEFEUILLE_FREDERIQUE[[#This Row],[MONTANT TOTAL LETTRE DE MISION €]]</f>
        <v>0</v>
      </c>
      <c r="AI32" s="191"/>
      <c r="AJ32" s="188"/>
      <c r="AK32" s="188"/>
      <c r="AL32" s="188"/>
      <c r="AM32" s="188"/>
      <c r="AN32" s="188"/>
      <c r="AO32" s="188"/>
      <c r="AP32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Q32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R32" s="188" t="str">
        <f>IF(PORTEFEUILLE_FREDERIQUE[[#This Row],[BONI AAC]]&lt;&gt;0,1,"")</f>
        <v/>
      </c>
      <c r="AS32" s="188" t="str">
        <f>IF(PORTEFEUILLE_FREDERIQUE[[#This Row],[MALI AAC]]&lt;&gt;0,1,"")</f>
        <v/>
      </c>
      <c r="AT32" s="225">
        <f>IF(AN32&lt;&gt;"",IF((AN32*Paramètres!$H$4)-PORTEFEUILLE_FREDERIQUE[[#This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€]]-(DELPHINE!AN32*Paramètres!$H$4),0),0)</f>
        <v>0</v>
      </c>
      <c r="AU32" s="225">
        <f>IF(AN32&lt;&gt;"",IF(((AN32*Paramètres!$H$4)-PORTEFEUILLE_FREDERIQUE[[#This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€]])&gt;0,(AN32*Paramètres!$H$4)-PORTEFEUILLE_FREDERIQUE[[#This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V32" s="190" t="str">
        <f>IF(PORTEFEUILLE_FREDERIQUE[[#This Row],[BONI COMPTABLE]]&lt;&gt;0,1,"")</f>
        <v/>
      </c>
      <c r="AW32" s="190" t="str">
        <f>IF(PORTEFEUILLE_FREDERIQUE[[#This Row],[MALI COMPTABLE]]&lt;&gt;0,1,"")</f>
        <v/>
      </c>
      <c r="AX32" s="188"/>
      <c r="AY32" s="188"/>
      <c r="AZ32" s="188"/>
      <c r="BA32" s="188"/>
      <c r="BB32" s="188"/>
      <c r="BC32" s="188"/>
      <c r="BD32" s="188"/>
      <c r="BE32" s="192"/>
      <c r="BF32" s="194"/>
      <c r="BG32" s="194"/>
      <c r="BH32" s="195"/>
      <c r="BI32" s="194"/>
    </row>
    <row r="33" spans="1:61" x14ac:dyDescent="0.25">
      <c r="A33" s="172"/>
      <c r="B33" s="177"/>
      <c r="C33" s="165"/>
      <c r="D33" s="171"/>
      <c r="E33" s="189"/>
      <c r="F33" s="188"/>
      <c r="G33" s="188"/>
      <c r="H33" s="189"/>
      <c r="I33" s="188"/>
      <c r="J33" s="189"/>
      <c r="K33" s="190" t="str">
        <f t="shared" si="0"/>
        <v/>
      </c>
      <c r="L33" s="190" t="str">
        <f t="shared" si="1"/>
        <v/>
      </c>
      <c r="M33" s="188"/>
      <c r="N33" s="188"/>
      <c r="O33" s="188"/>
      <c r="P33" s="188"/>
      <c r="Q33" s="188"/>
      <c r="R33" s="188"/>
      <c r="S33" s="214"/>
      <c r="T33" s="208"/>
      <c r="U33" s="220"/>
      <c r="V33" s="220"/>
      <c r="W33" s="220"/>
      <c r="X33" s="220"/>
      <c r="Y33" s="220"/>
      <c r="Z33" s="220"/>
      <c r="AA33" s="220"/>
      <c r="AB33" s="220"/>
      <c r="AC33" s="220"/>
      <c r="AD33" s="220"/>
      <c r="AE33" s="220"/>
      <c r="AF33" s="220"/>
      <c r="AG33" s="219"/>
      <c r="AH33" s="225">
        <f>SUM(PORTEFEUILLE_FREDERIQUE[[#This Row],[PCR COMPTABLE €]:[MONTANT
RESPONSABLE RELATION CLIENT €]])-PORTEFEUILLE_FREDERIQUE[[#This Row],[MONTANT TOTAL LETTRE DE MISION €]]</f>
        <v>0</v>
      </c>
      <c r="AI33" s="191"/>
      <c r="AJ33" s="188"/>
      <c r="AK33" s="188"/>
      <c r="AL33" s="196"/>
      <c r="AM33" s="196"/>
      <c r="AN33" s="196"/>
      <c r="AO33" s="196"/>
      <c r="AP33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Q33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R33" s="188" t="str">
        <f>IF(PORTEFEUILLE_FREDERIQUE[[#This Row],[BONI AAC]]&lt;&gt;0,1,"")</f>
        <v/>
      </c>
      <c r="AS33" s="188" t="str">
        <f>IF(PORTEFEUILLE_FREDERIQUE[[#This Row],[MALI AAC]]&lt;&gt;0,1,"")</f>
        <v/>
      </c>
      <c r="AT33" s="225">
        <f>IF(AN33&lt;&gt;"",IF((AN33*Paramètres!$H$4)-PORTEFEUILLE_FREDERIQUE[[#This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€]]-(DELPHINE!AN33*Paramètres!$H$4),0),0)</f>
        <v>0</v>
      </c>
      <c r="AU33" s="225">
        <f>IF(AN33&lt;&gt;"",IF(((AN33*Paramètres!$H$4)-PORTEFEUILLE_FREDERIQUE[[#This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€]])&gt;0,(AN33*Paramètres!$H$4)-PORTEFEUILLE_FREDERIQUE[[#This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V33" s="190" t="str">
        <f>IF(PORTEFEUILLE_FREDERIQUE[[#This Row],[BONI COMPTABLE]]&lt;&gt;0,1,"")</f>
        <v/>
      </c>
      <c r="AW33" s="190" t="str">
        <f>IF(PORTEFEUILLE_FREDERIQUE[[#This Row],[MALI COMPTABLE]]&lt;&gt;0,1,"")</f>
        <v/>
      </c>
      <c r="AX33" s="196"/>
      <c r="AY33" s="188"/>
      <c r="AZ33" s="188"/>
      <c r="BA33" s="188"/>
      <c r="BB33" s="196"/>
      <c r="BC33" s="196"/>
      <c r="BD33" s="196"/>
      <c r="BE33" s="192"/>
      <c r="BF33" s="194"/>
      <c r="BG33" s="194"/>
      <c r="BH33" s="195"/>
      <c r="BI33" s="194"/>
    </row>
    <row r="34" spans="1:61" x14ac:dyDescent="0.25">
      <c r="A34" s="172"/>
      <c r="B34" s="177"/>
      <c r="C34" s="165"/>
      <c r="D34" s="171"/>
      <c r="E34" s="189"/>
      <c r="F34" s="188"/>
      <c r="G34" s="188"/>
      <c r="H34" s="189"/>
      <c r="I34" s="189"/>
      <c r="J34" s="189"/>
      <c r="K34" s="190" t="str">
        <f t="shared" si="0"/>
        <v/>
      </c>
      <c r="L34" s="190" t="str">
        <f t="shared" si="1"/>
        <v/>
      </c>
      <c r="M34" s="188"/>
      <c r="N34" s="188"/>
      <c r="O34" s="188"/>
      <c r="P34" s="188"/>
      <c r="Q34" s="188"/>
      <c r="R34" s="188"/>
      <c r="S34" s="214"/>
      <c r="T34" s="208"/>
      <c r="U34" s="220"/>
      <c r="V34" s="220"/>
      <c r="W34" s="220"/>
      <c r="X34" s="220"/>
      <c r="Y34" s="220"/>
      <c r="Z34" s="220"/>
      <c r="AA34" s="220"/>
      <c r="AB34" s="220"/>
      <c r="AC34" s="220"/>
      <c r="AD34" s="220"/>
      <c r="AE34" s="220"/>
      <c r="AF34" s="220"/>
      <c r="AG34" s="219"/>
      <c r="AH34" s="225">
        <f>SUM(PORTEFEUILLE_FREDERIQUE[[#This Row],[PCR COMPTABLE €]:[MONTANT
RESPONSABLE RELATION CLIENT €]])-PORTEFEUILLE_FREDERIQUE[[#This Row],[MONTANT TOTAL LETTRE DE MISION €]]</f>
        <v>0</v>
      </c>
      <c r="AI34" s="191"/>
      <c r="AJ34" s="188"/>
      <c r="AK34" s="188"/>
      <c r="AL34" s="196"/>
      <c r="AM34" s="196"/>
      <c r="AN34" s="196"/>
      <c r="AO34" s="196"/>
      <c r="AP34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Q34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R34" s="188" t="str">
        <f>IF(PORTEFEUILLE_FREDERIQUE[[#This Row],[BONI AAC]]&lt;&gt;0,1,"")</f>
        <v/>
      </c>
      <c r="AS34" s="188" t="str">
        <f>IF(PORTEFEUILLE_FREDERIQUE[[#This Row],[MALI AAC]]&lt;&gt;0,1,"")</f>
        <v/>
      </c>
      <c r="AT34" s="225">
        <f>IF(AN34&lt;&gt;"",IF((AN34*Paramètres!$H$4)-PORTEFEUILLE_FREDERIQUE[[#This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€]]-(DELPHINE!AN34*Paramètres!$H$4),0),0)</f>
        <v>0</v>
      </c>
      <c r="AU34" s="225">
        <f>IF(AN34&lt;&gt;"",IF(((AN34*Paramètres!$H$4)-PORTEFEUILLE_FREDERIQUE[[#This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€]])&gt;0,(AN34*Paramètres!$H$4)-PORTEFEUILLE_FREDERIQUE[[#This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V34" s="190" t="str">
        <f>IF(PORTEFEUILLE_FREDERIQUE[[#This Row],[BONI COMPTABLE]]&lt;&gt;0,1,"")</f>
        <v/>
      </c>
      <c r="AW34" s="190" t="str">
        <f>IF(PORTEFEUILLE_FREDERIQUE[[#This Row],[MALI COMPTABLE]]&lt;&gt;0,1,"")</f>
        <v/>
      </c>
      <c r="AX34" s="196"/>
      <c r="AY34" s="188"/>
      <c r="AZ34" s="188"/>
      <c r="BA34" s="188"/>
      <c r="BB34" s="188"/>
      <c r="BC34" s="188"/>
      <c r="BD34" s="188"/>
      <c r="BE34" s="192"/>
      <c r="BF34" s="194"/>
      <c r="BG34" s="194"/>
      <c r="BH34" s="195"/>
      <c r="BI34" s="194"/>
    </row>
    <row r="35" spans="1:61" x14ac:dyDescent="0.25">
      <c r="A35" s="172"/>
      <c r="B35" s="177"/>
      <c r="C35" s="165"/>
      <c r="D35" s="171"/>
      <c r="E35" s="189"/>
      <c r="F35" s="188"/>
      <c r="G35" s="189"/>
      <c r="H35" s="189"/>
      <c r="I35" s="189"/>
      <c r="J35" s="189"/>
      <c r="K35" s="190" t="str">
        <f t="shared" si="0"/>
        <v/>
      </c>
      <c r="L35" s="190" t="str">
        <f t="shared" si="1"/>
        <v/>
      </c>
      <c r="M35" s="188"/>
      <c r="N35" s="188"/>
      <c r="O35" s="188"/>
      <c r="P35" s="188"/>
      <c r="Q35" s="188"/>
      <c r="R35" s="188"/>
      <c r="S35" s="213"/>
      <c r="T35" s="207"/>
      <c r="U35" s="219"/>
      <c r="V35" s="219"/>
      <c r="W35" s="219"/>
      <c r="X35" s="219"/>
      <c r="Y35" s="219"/>
      <c r="Z35" s="219"/>
      <c r="AA35" s="219"/>
      <c r="AB35" s="219"/>
      <c r="AC35" s="219"/>
      <c r="AD35" s="219"/>
      <c r="AE35" s="219"/>
      <c r="AF35" s="219"/>
      <c r="AG35" s="219"/>
      <c r="AH35" s="225">
        <f>SUM(PORTEFEUILLE_FREDERIQUE[[#This Row],[PCR COMPTABLE €]:[MONTANT
RESPONSABLE RELATION CLIENT €]])-PORTEFEUILLE_FREDERIQUE[[#This Row],[MONTANT TOTAL LETTRE DE MISION €]]</f>
        <v>0</v>
      </c>
      <c r="AI35" s="191"/>
      <c r="AJ35" s="188"/>
      <c r="AK35" s="188"/>
      <c r="AL35" s="188"/>
      <c r="AM35" s="188"/>
      <c r="AN35" s="188"/>
      <c r="AO35" s="188"/>
      <c r="AP35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Q35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R35" s="188" t="str">
        <f>IF(PORTEFEUILLE_FREDERIQUE[[#This Row],[BONI AAC]]&lt;&gt;0,1,"")</f>
        <v/>
      </c>
      <c r="AS35" s="188" t="str">
        <f>IF(PORTEFEUILLE_FREDERIQUE[[#This Row],[MALI AAC]]&lt;&gt;0,1,"")</f>
        <v/>
      </c>
      <c r="AT35" s="225">
        <f>IF(AN35&lt;&gt;"",IF((AN35*Paramètres!$H$4)-PORTEFEUILLE_FREDERIQUE[[#This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€]]-(DELPHINE!AN35*Paramètres!$H$4),0),0)</f>
        <v>0</v>
      </c>
      <c r="AU35" s="225">
        <f>IF(AN35&lt;&gt;"",IF(((AN35*Paramètres!$H$4)-PORTEFEUILLE_FREDERIQUE[[#This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€]])&gt;0,(AN35*Paramètres!$H$4)-PORTEFEUILLE_FREDERIQUE[[#This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V35" s="190" t="str">
        <f>IF(PORTEFEUILLE_FREDERIQUE[[#This Row],[BONI COMPTABLE]]&lt;&gt;0,1,"")</f>
        <v/>
      </c>
      <c r="AW35" s="190" t="str">
        <f>IF(PORTEFEUILLE_FREDERIQUE[[#This Row],[MALI COMPTABLE]]&lt;&gt;0,1,"")</f>
        <v/>
      </c>
      <c r="AX35" s="188"/>
      <c r="AY35" s="188"/>
      <c r="AZ35" s="188"/>
      <c r="BA35" s="188"/>
      <c r="BB35" s="188"/>
      <c r="BC35" s="188"/>
      <c r="BD35" s="188"/>
      <c r="BE35" s="192"/>
      <c r="BF35" s="194"/>
      <c r="BG35" s="194"/>
      <c r="BH35" s="195"/>
      <c r="BI35" s="194"/>
    </row>
    <row r="36" spans="1:61" x14ac:dyDescent="0.25">
      <c r="A36" s="172"/>
      <c r="B36" s="178"/>
      <c r="C36" s="165"/>
      <c r="D36" s="171"/>
      <c r="E36" s="189"/>
      <c r="F36" s="188"/>
      <c r="G36" s="189"/>
      <c r="H36" s="189"/>
      <c r="I36" s="189"/>
      <c r="J36" s="189"/>
      <c r="K36" s="190" t="str">
        <f t="shared" si="0"/>
        <v/>
      </c>
      <c r="L36" s="190" t="str">
        <f t="shared" si="1"/>
        <v/>
      </c>
      <c r="M36" s="188"/>
      <c r="N36" s="188"/>
      <c r="O36" s="188"/>
      <c r="P36" s="188"/>
      <c r="Q36" s="188"/>
      <c r="R36" s="188"/>
      <c r="S36" s="213"/>
      <c r="T36" s="207"/>
      <c r="U36" s="219"/>
      <c r="V36" s="219"/>
      <c r="W36" s="219"/>
      <c r="X36" s="219"/>
      <c r="Y36" s="219"/>
      <c r="Z36" s="219"/>
      <c r="AA36" s="219"/>
      <c r="AB36" s="219"/>
      <c r="AC36" s="219"/>
      <c r="AD36" s="219"/>
      <c r="AE36" s="219"/>
      <c r="AF36" s="219"/>
      <c r="AG36" s="219"/>
      <c r="AH36" s="225">
        <f>SUM(PORTEFEUILLE_FREDERIQUE[[#This Row],[PCR COMPTABLE €]:[MONTANT
RESPONSABLE RELATION CLIENT €]])-PORTEFEUILLE_FREDERIQUE[[#This Row],[MONTANT TOTAL LETTRE DE MISION €]]</f>
        <v>0</v>
      </c>
      <c r="AI36" s="191"/>
      <c r="AJ36" s="188"/>
      <c r="AK36" s="188"/>
      <c r="AL36" s="188"/>
      <c r="AM36" s="188"/>
      <c r="AN36" s="188"/>
      <c r="AO36" s="188"/>
      <c r="AP36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Q36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R36" s="188" t="str">
        <f>IF(PORTEFEUILLE_FREDERIQUE[[#This Row],[BONI AAC]]&lt;&gt;0,1,"")</f>
        <v/>
      </c>
      <c r="AS36" s="188" t="str">
        <f>IF(PORTEFEUILLE_FREDERIQUE[[#This Row],[MALI AAC]]&lt;&gt;0,1,"")</f>
        <v/>
      </c>
      <c r="AT36" s="225">
        <f>IF(AN36&lt;&gt;"",IF((AN36*Paramètres!$H$4)-PORTEFEUILLE_FREDERIQUE[[#This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€]]-(DELPHINE!AN36*Paramètres!$H$4),0),0)</f>
        <v>0</v>
      </c>
      <c r="AU36" s="225">
        <f>IF(AN36&lt;&gt;"",IF(((AN36*Paramètres!$H$4)-PORTEFEUILLE_FREDERIQUE[[#This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€]])&gt;0,(AN36*Paramètres!$H$4)-PORTEFEUILLE_FREDERIQUE[[#This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V36" s="190" t="str">
        <f>IF(PORTEFEUILLE_FREDERIQUE[[#This Row],[BONI COMPTABLE]]&lt;&gt;0,1,"")</f>
        <v/>
      </c>
      <c r="AW36" s="190" t="str">
        <f>IF(PORTEFEUILLE_FREDERIQUE[[#This Row],[MALI COMPTABLE]]&lt;&gt;0,1,"")</f>
        <v/>
      </c>
      <c r="AX36" s="188"/>
      <c r="AY36" s="188"/>
      <c r="AZ36" s="188"/>
      <c r="BA36" s="188"/>
      <c r="BB36" s="196"/>
      <c r="BC36" s="196"/>
      <c r="BD36" s="196"/>
      <c r="BE36" s="192"/>
      <c r="BF36" s="194"/>
      <c r="BG36" s="194"/>
      <c r="BH36" s="195"/>
      <c r="BI36" s="194"/>
    </row>
    <row r="37" spans="1:61" x14ac:dyDescent="0.25">
      <c r="A37" s="172"/>
      <c r="B37" s="178"/>
      <c r="C37" s="165"/>
      <c r="D37" s="171"/>
      <c r="E37" s="189"/>
      <c r="F37" s="188"/>
      <c r="G37" s="189"/>
      <c r="H37" s="189"/>
      <c r="I37" s="189"/>
      <c r="J37" s="189"/>
      <c r="K37" s="190" t="str">
        <f t="shared" si="0"/>
        <v/>
      </c>
      <c r="L37" s="190" t="str">
        <f t="shared" si="1"/>
        <v/>
      </c>
      <c r="M37" s="188"/>
      <c r="N37" s="188"/>
      <c r="O37" s="188"/>
      <c r="P37" s="188"/>
      <c r="Q37" s="188"/>
      <c r="R37" s="188"/>
      <c r="S37" s="213"/>
      <c r="T37" s="207"/>
      <c r="U37" s="219"/>
      <c r="V37" s="219"/>
      <c r="W37" s="219"/>
      <c r="X37" s="219"/>
      <c r="Y37" s="219"/>
      <c r="Z37" s="219"/>
      <c r="AA37" s="219"/>
      <c r="AB37" s="219"/>
      <c r="AC37" s="219"/>
      <c r="AD37" s="219"/>
      <c r="AE37" s="219"/>
      <c r="AF37" s="219"/>
      <c r="AG37" s="219"/>
      <c r="AH37" s="225">
        <f>SUM(PORTEFEUILLE_FREDERIQUE[[#This Row],[PCR COMPTABLE €]:[MONTANT
RESPONSABLE RELATION CLIENT €]])-PORTEFEUILLE_FREDERIQUE[[#This Row],[MONTANT TOTAL LETTRE DE MISION €]]</f>
        <v>0</v>
      </c>
      <c r="AI37" s="191"/>
      <c r="AJ37" s="188"/>
      <c r="AK37" s="188"/>
      <c r="AL37" s="188"/>
      <c r="AM37" s="188"/>
      <c r="AN37" s="188"/>
      <c r="AO37" s="188"/>
      <c r="AP37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Q37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R37" s="188" t="str">
        <f>IF(PORTEFEUILLE_FREDERIQUE[[#This Row],[BONI AAC]]&lt;&gt;0,1,"")</f>
        <v/>
      </c>
      <c r="AS37" s="188" t="str">
        <f>IF(PORTEFEUILLE_FREDERIQUE[[#This Row],[MALI AAC]]&lt;&gt;0,1,"")</f>
        <v/>
      </c>
      <c r="AT37" s="225">
        <f>IF(AN37&lt;&gt;"",IF((AN37*Paramètres!$H$4)-PORTEFEUILLE_FREDERIQUE[[#This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€]]-(DELPHINE!AN37*Paramètres!$H$4),0),0)</f>
        <v>0</v>
      </c>
      <c r="AU37" s="225">
        <f>IF(AN37&lt;&gt;"",IF(((AN37*Paramètres!$H$4)-PORTEFEUILLE_FREDERIQUE[[#This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€]])&gt;0,(AN37*Paramètres!$H$4)-PORTEFEUILLE_FREDERIQUE[[#This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V37" s="190" t="str">
        <f>IF(PORTEFEUILLE_FREDERIQUE[[#This Row],[BONI COMPTABLE]]&lt;&gt;0,1,"")</f>
        <v/>
      </c>
      <c r="AW37" s="190" t="str">
        <f>IF(PORTEFEUILLE_FREDERIQUE[[#This Row],[MALI COMPTABLE]]&lt;&gt;0,1,"")</f>
        <v/>
      </c>
      <c r="AX37" s="188"/>
      <c r="AY37" s="188"/>
      <c r="AZ37" s="188"/>
      <c r="BA37" s="188"/>
      <c r="BB37" s="196"/>
      <c r="BC37" s="196"/>
      <c r="BD37" s="196"/>
      <c r="BE37" s="192"/>
      <c r="BF37" s="194"/>
      <c r="BG37" s="194"/>
      <c r="BH37" s="195"/>
      <c r="BI37" s="194"/>
    </row>
    <row r="38" spans="1:61" x14ac:dyDescent="0.25">
      <c r="A38" s="172"/>
      <c r="B38" s="179"/>
      <c r="C38" s="165"/>
      <c r="D38" s="171"/>
      <c r="E38" s="189"/>
      <c r="F38" s="188"/>
      <c r="G38" s="188"/>
      <c r="H38" s="189"/>
      <c r="I38" s="189"/>
      <c r="J38" s="199"/>
      <c r="K38" s="190" t="str">
        <f t="shared" si="0"/>
        <v/>
      </c>
      <c r="L38" s="190" t="str">
        <f t="shared" si="1"/>
        <v/>
      </c>
      <c r="M38" s="188"/>
      <c r="N38" s="188"/>
      <c r="O38" s="188"/>
      <c r="P38" s="188"/>
      <c r="Q38" s="188"/>
      <c r="R38" s="188"/>
      <c r="S38" s="213"/>
      <c r="T38" s="207"/>
      <c r="U38" s="219"/>
      <c r="V38" s="219"/>
      <c r="W38" s="219"/>
      <c r="X38" s="219"/>
      <c r="Y38" s="219"/>
      <c r="Z38" s="219"/>
      <c r="AA38" s="219"/>
      <c r="AB38" s="219"/>
      <c r="AC38" s="219"/>
      <c r="AD38" s="219"/>
      <c r="AE38" s="219"/>
      <c r="AF38" s="219"/>
      <c r="AG38" s="219"/>
      <c r="AH38" s="225">
        <f>SUM(PORTEFEUILLE_FREDERIQUE[[#This Row],[PCR COMPTABLE €]:[MONTANT
RESPONSABLE RELATION CLIENT €]])-PORTEFEUILLE_FREDERIQUE[[#This Row],[MONTANT TOTAL LETTRE DE MISION €]]</f>
        <v>0</v>
      </c>
      <c r="AI38" s="191"/>
      <c r="AJ38" s="188"/>
      <c r="AK38" s="188"/>
      <c r="AL38" s="188"/>
      <c r="AM38" s="188"/>
      <c r="AN38" s="188"/>
      <c r="AO38" s="188"/>
      <c r="AP38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Q38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R38" s="188" t="str">
        <f>IF(PORTEFEUILLE_FREDERIQUE[[#This Row],[BONI AAC]]&lt;&gt;0,1,"")</f>
        <v/>
      </c>
      <c r="AS38" s="188" t="str">
        <f>IF(PORTEFEUILLE_FREDERIQUE[[#This Row],[MALI AAC]]&lt;&gt;0,1,"")</f>
        <v/>
      </c>
      <c r="AT38" s="225">
        <f>IF(AN38&lt;&gt;"",IF((AN38*Paramètres!$H$4)-PORTEFEUILLE_FREDERIQUE[[#This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€]]-(DELPHINE!AN38*Paramètres!$H$4),0),0)</f>
        <v>0</v>
      </c>
      <c r="AU38" s="225">
        <f>IF(AN38&lt;&gt;"",IF(((AN38*Paramètres!$H$4)-PORTEFEUILLE_FREDERIQUE[[#This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€]])&gt;0,(AN38*Paramètres!$H$4)-PORTEFEUILLE_FREDERIQUE[[#This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V38" s="190" t="str">
        <f>IF(PORTEFEUILLE_FREDERIQUE[[#This Row],[BONI COMPTABLE]]&lt;&gt;0,1,"")</f>
        <v/>
      </c>
      <c r="AW38" s="190" t="str">
        <f>IF(PORTEFEUILLE_FREDERIQUE[[#This Row],[MALI COMPTABLE]]&lt;&gt;0,1,"")</f>
        <v/>
      </c>
      <c r="AX38" s="188"/>
      <c r="AY38" s="188"/>
      <c r="AZ38" s="188"/>
      <c r="BA38" s="188"/>
      <c r="BB38" s="196"/>
      <c r="BC38" s="196"/>
      <c r="BD38" s="196"/>
      <c r="BE38" s="192"/>
      <c r="BF38" s="194"/>
      <c r="BG38" s="194"/>
      <c r="BH38" s="195"/>
      <c r="BI38" s="194"/>
    </row>
    <row r="39" spans="1:61" x14ac:dyDescent="0.25">
      <c r="A39" s="172"/>
      <c r="B39" s="180"/>
      <c r="C39" s="165"/>
      <c r="D39" s="171"/>
      <c r="E39" s="189"/>
      <c r="F39" s="188"/>
      <c r="G39" s="189"/>
      <c r="H39" s="189"/>
      <c r="I39" s="189"/>
      <c r="J39" s="189"/>
      <c r="K39" s="190" t="str">
        <f t="shared" si="0"/>
        <v/>
      </c>
      <c r="L39" s="190" t="str">
        <f t="shared" si="1"/>
        <v/>
      </c>
      <c r="M39" s="188"/>
      <c r="N39" s="188"/>
      <c r="O39" s="188"/>
      <c r="P39" s="188"/>
      <c r="Q39" s="188"/>
      <c r="R39" s="188"/>
      <c r="S39" s="213"/>
      <c r="T39" s="207"/>
      <c r="U39" s="219"/>
      <c r="V39" s="219"/>
      <c r="W39" s="219"/>
      <c r="X39" s="219"/>
      <c r="Y39" s="219"/>
      <c r="Z39" s="219"/>
      <c r="AA39" s="219"/>
      <c r="AB39" s="219"/>
      <c r="AC39" s="219"/>
      <c r="AD39" s="219"/>
      <c r="AE39" s="219"/>
      <c r="AF39" s="219"/>
      <c r="AG39" s="219"/>
      <c r="AH39" s="225">
        <f>SUM(PORTEFEUILLE_FREDERIQUE[[#This Row],[PCR COMPTABLE €]:[MONTANT
RESPONSABLE RELATION CLIENT €]])-PORTEFEUILLE_FREDERIQUE[[#This Row],[MONTANT TOTAL LETTRE DE MISION €]]</f>
        <v>0</v>
      </c>
      <c r="AI39" s="191"/>
      <c r="AJ39" s="188"/>
      <c r="AK39" s="188"/>
      <c r="AL39" s="188"/>
      <c r="AM39" s="188"/>
      <c r="AN39" s="188"/>
      <c r="AO39" s="188"/>
      <c r="AP39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Q39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R39" s="188" t="str">
        <f>IF(PORTEFEUILLE_FREDERIQUE[[#This Row],[BONI AAC]]&lt;&gt;0,1,"")</f>
        <v/>
      </c>
      <c r="AS39" s="188" t="str">
        <f>IF(PORTEFEUILLE_FREDERIQUE[[#This Row],[MALI AAC]]&lt;&gt;0,1,"")</f>
        <v/>
      </c>
      <c r="AT39" s="225">
        <f>IF(AN39&lt;&gt;"",IF((AN39*Paramètres!$H$4)-PORTEFEUILLE_FREDERIQUE[[#This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€]]-(DELPHINE!AN39*Paramètres!$H$4),0),0)</f>
        <v>0</v>
      </c>
      <c r="AU39" s="225">
        <f>IF(AN39&lt;&gt;"",IF(((AN39*Paramètres!$H$4)-PORTEFEUILLE_FREDERIQUE[[#This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€]])&gt;0,(AN39*Paramètres!$H$4)-PORTEFEUILLE_FREDERIQUE[[#This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V39" s="190" t="str">
        <f>IF(PORTEFEUILLE_FREDERIQUE[[#This Row],[BONI COMPTABLE]]&lt;&gt;0,1,"")</f>
        <v/>
      </c>
      <c r="AW39" s="190" t="str">
        <f>IF(PORTEFEUILLE_FREDERIQUE[[#This Row],[MALI COMPTABLE]]&lt;&gt;0,1,"")</f>
        <v/>
      </c>
      <c r="AX39" s="188"/>
      <c r="AY39" s="188"/>
      <c r="AZ39" s="188"/>
      <c r="BA39" s="188"/>
      <c r="BB39" s="188"/>
      <c r="BC39" s="188"/>
      <c r="BD39" s="188"/>
      <c r="BE39" s="192"/>
      <c r="BF39" s="194"/>
      <c r="BG39" s="194"/>
      <c r="BH39" s="195"/>
      <c r="BI39" s="194"/>
    </row>
    <row r="40" spans="1:61" x14ac:dyDescent="0.25">
      <c r="A40" s="172"/>
      <c r="B40" s="178"/>
      <c r="C40" s="165"/>
      <c r="D40" s="171"/>
      <c r="E40" s="189"/>
      <c r="F40" s="188"/>
      <c r="G40" s="189"/>
      <c r="H40" s="189"/>
      <c r="I40" s="189"/>
      <c r="J40" s="189"/>
      <c r="K40" s="190" t="str">
        <f t="shared" si="0"/>
        <v/>
      </c>
      <c r="L40" s="190" t="str">
        <f t="shared" si="1"/>
        <v/>
      </c>
      <c r="M40" s="188"/>
      <c r="N40" s="188"/>
      <c r="O40" s="188"/>
      <c r="P40" s="188"/>
      <c r="Q40" s="188"/>
      <c r="R40" s="188"/>
      <c r="S40" s="213"/>
      <c r="T40" s="207"/>
      <c r="U40" s="219"/>
      <c r="V40" s="219"/>
      <c r="W40" s="219"/>
      <c r="X40" s="219"/>
      <c r="Y40" s="219"/>
      <c r="Z40" s="219"/>
      <c r="AA40" s="219"/>
      <c r="AB40" s="219"/>
      <c r="AC40" s="219"/>
      <c r="AD40" s="219"/>
      <c r="AE40" s="219"/>
      <c r="AF40" s="219"/>
      <c r="AG40" s="219"/>
      <c r="AH40" s="225">
        <f>SUM(PORTEFEUILLE_FREDERIQUE[[#This Row],[PCR COMPTABLE €]:[MONTANT
RESPONSABLE RELATION CLIENT €]])-PORTEFEUILLE_FREDERIQUE[[#This Row],[MONTANT TOTAL LETTRE DE MISION €]]</f>
        <v>0</v>
      </c>
      <c r="AI40" s="191"/>
      <c r="AJ40" s="188"/>
      <c r="AK40" s="188"/>
      <c r="AL40" s="188"/>
      <c r="AM40" s="188"/>
      <c r="AN40" s="188"/>
      <c r="AO40" s="188"/>
      <c r="AP40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Q40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R40" s="188" t="str">
        <f>IF(PORTEFEUILLE_FREDERIQUE[[#This Row],[BONI AAC]]&lt;&gt;0,1,"")</f>
        <v/>
      </c>
      <c r="AS40" s="188" t="str">
        <f>IF(PORTEFEUILLE_FREDERIQUE[[#This Row],[MALI AAC]]&lt;&gt;0,1,"")</f>
        <v/>
      </c>
      <c r="AT40" s="225">
        <f>IF(AN40&lt;&gt;"",IF((AN40*Paramètres!$H$4)-PORTEFEUILLE_FREDERIQUE[[#This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€]]-(DELPHINE!AN40*Paramètres!$H$4),0),0)</f>
        <v>0</v>
      </c>
      <c r="AU40" s="225">
        <f>IF(AN40&lt;&gt;"",IF(((AN40*Paramètres!$H$4)-PORTEFEUILLE_FREDERIQUE[[#This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€]])&gt;0,(AN40*Paramètres!$H$4)-PORTEFEUILLE_FREDERIQUE[[#This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V40" s="190" t="str">
        <f>IF(PORTEFEUILLE_FREDERIQUE[[#This Row],[BONI COMPTABLE]]&lt;&gt;0,1,"")</f>
        <v/>
      </c>
      <c r="AW40" s="190" t="str">
        <f>IF(PORTEFEUILLE_FREDERIQUE[[#This Row],[MALI COMPTABLE]]&lt;&gt;0,1,"")</f>
        <v/>
      </c>
      <c r="AX40" s="188"/>
      <c r="AY40" s="188"/>
      <c r="AZ40" s="188"/>
      <c r="BA40" s="188"/>
      <c r="BB40" s="188"/>
      <c r="BC40" s="188"/>
      <c r="BD40" s="188"/>
      <c r="BE40" s="192"/>
      <c r="BF40" s="194"/>
      <c r="BG40" s="194"/>
      <c r="BH40" s="195"/>
      <c r="BI40" s="194"/>
    </row>
    <row r="41" spans="1:61" x14ac:dyDescent="0.25">
      <c r="A41" s="172"/>
      <c r="B41" s="178"/>
      <c r="C41" s="165"/>
      <c r="D41" s="171"/>
      <c r="E41" s="189"/>
      <c r="F41" s="188"/>
      <c r="G41" s="188"/>
      <c r="H41" s="189"/>
      <c r="I41" s="189"/>
      <c r="J41" s="189"/>
      <c r="K41" s="190" t="str">
        <f t="shared" si="0"/>
        <v/>
      </c>
      <c r="L41" s="190" t="str">
        <f t="shared" si="1"/>
        <v/>
      </c>
      <c r="M41" s="188"/>
      <c r="N41" s="188"/>
      <c r="O41" s="188"/>
      <c r="P41" s="188"/>
      <c r="Q41" s="188"/>
      <c r="R41" s="188"/>
      <c r="S41" s="214"/>
      <c r="T41" s="208"/>
      <c r="U41" s="220"/>
      <c r="V41" s="220"/>
      <c r="W41" s="220"/>
      <c r="X41" s="220"/>
      <c r="Y41" s="220"/>
      <c r="Z41" s="220"/>
      <c r="AA41" s="220"/>
      <c r="AB41" s="220"/>
      <c r="AC41" s="220"/>
      <c r="AD41" s="220"/>
      <c r="AE41" s="220"/>
      <c r="AF41" s="220"/>
      <c r="AG41" s="219"/>
      <c r="AH41" s="225">
        <f>SUM(PORTEFEUILLE_FREDERIQUE[[#This Row],[PCR COMPTABLE €]:[MONTANT
RESPONSABLE RELATION CLIENT €]])-PORTEFEUILLE_FREDERIQUE[[#This Row],[MONTANT TOTAL LETTRE DE MISION €]]</f>
        <v>0</v>
      </c>
      <c r="AI41" s="191"/>
      <c r="AJ41" s="188"/>
      <c r="AK41" s="188"/>
      <c r="AL41" s="196"/>
      <c r="AM41" s="196"/>
      <c r="AN41" s="196"/>
      <c r="AO41" s="196"/>
      <c r="AP41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Q41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R41" s="188" t="str">
        <f>IF(PORTEFEUILLE_FREDERIQUE[[#This Row],[BONI AAC]]&lt;&gt;0,1,"")</f>
        <v/>
      </c>
      <c r="AS41" s="188" t="str">
        <f>IF(PORTEFEUILLE_FREDERIQUE[[#This Row],[MALI AAC]]&lt;&gt;0,1,"")</f>
        <v/>
      </c>
      <c r="AT41" s="225">
        <f>IF(AN41&lt;&gt;"",IF((AN41*Paramètres!$H$4)-PORTEFEUILLE_FREDERIQUE[[#This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€]]-(DELPHINE!AN41*Paramètres!$H$4),0),0)</f>
        <v>0</v>
      </c>
      <c r="AU41" s="225">
        <f>IF(AN41&lt;&gt;"",IF(((AN41*Paramètres!$H$4)-PORTEFEUILLE_FREDERIQUE[[#This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€]])&gt;0,(AN41*Paramètres!$H$4)-PORTEFEUILLE_FREDERIQUE[[#This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V41" s="190" t="str">
        <f>IF(PORTEFEUILLE_FREDERIQUE[[#This Row],[BONI COMPTABLE]]&lt;&gt;0,1,"")</f>
        <v/>
      </c>
      <c r="AW41" s="190" t="str">
        <f>IF(PORTEFEUILLE_FREDERIQUE[[#This Row],[MALI COMPTABLE]]&lt;&gt;0,1,"")</f>
        <v/>
      </c>
      <c r="AX41" s="196"/>
      <c r="AY41" s="188"/>
      <c r="AZ41" s="188"/>
      <c r="BA41" s="188"/>
      <c r="BB41" s="188"/>
      <c r="BC41" s="188"/>
      <c r="BD41" s="188"/>
      <c r="BE41" s="192"/>
      <c r="BF41" s="194"/>
      <c r="BG41" s="194"/>
      <c r="BH41" s="195"/>
      <c r="BI41" s="194"/>
    </row>
    <row r="42" spans="1:61" x14ac:dyDescent="0.25">
      <c r="A42" s="172"/>
      <c r="B42" s="178"/>
      <c r="C42" s="165"/>
      <c r="D42" s="171"/>
      <c r="E42" s="189"/>
      <c r="F42" s="188"/>
      <c r="G42" s="188"/>
      <c r="H42" s="189"/>
      <c r="I42" s="188"/>
      <c r="J42" s="189"/>
      <c r="K42" s="190" t="str">
        <f t="shared" si="0"/>
        <v/>
      </c>
      <c r="L42" s="190" t="str">
        <f t="shared" si="1"/>
        <v/>
      </c>
      <c r="M42" s="188"/>
      <c r="N42" s="188"/>
      <c r="O42" s="188"/>
      <c r="P42" s="188"/>
      <c r="Q42" s="188"/>
      <c r="R42" s="188"/>
      <c r="S42" s="214"/>
      <c r="T42" s="208"/>
      <c r="U42" s="220"/>
      <c r="V42" s="220"/>
      <c r="W42" s="220"/>
      <c r="X42" s="220"/>
      <c r="Y42" s="220"/>
      <c r="Z42" s="220"/>
      <c r="AA42" s="220"/>
      <c r="AB42" s="220"/>
      <c r="AC42" s="220"/>
      <c r="AD42" s="220"/>
      <c r="AE42" s="220"/>
      <c r="AF42" s="220"/>
      <c r="AG42" s="219"/>
      <c r="AH42" s="225">
        <f>SUM(PORTEFEUILLE_FREDERIQUE[[#This Row],[PCR COMPTABLE €]:[MONTANT
RESPONSABLE RELATION CLIENT €]])-PORTEFEUILLE_FREDERIQUE[[#This Row],[MONTANT TOTAL LETTRE DE MISION €]]</f>
        <v>0</v>
      </c>
      <c r="AI42" s="191"/>
      <c r="AJ42" s="188"/>
      <c r="AK42" s="188"/>
      <c r="AL42" s="196"/>
      <c r="AM42" s="196"/>
      <c r="AN42" s="196"/>
      <c r="AO42" s="196"/>
      <c r="AP42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Q42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R42" s="188" t="str">
        <f>IF(PORTEFEUILLE_FREDERIQUE[[#This Row],[BONI AAC]]&lt;&gt;0,1,"")</f>
        <v/>
      </c>
      <c r="AS42" s="188" t="str">
        <f>IF(PORTEFEUILLE_FREDERIQUE[[#This Row],[MALI AAC]]&lt;&gt;0,1,"")</f>
        <v/>
      </c>
      <c r="AT42" s="225">
        <f>IF(AN42&lt;&gt;"",IF((AN42*Paramètres!$H$4)-PORTEFEUILLE_FREDERIQUE[[#This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€]]-(DELPHINE!AN42*Paramètres!$H$4),0),0)</f>
        <v>0</v>
      </c>
      <c r="AU42" s="225">
        <f>IF(AN42&lt;&gt;"",IF(((AN42*Paramètres!$H$4)-PORTEFEUILLE_FREDERIQUE[[#This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€]])&gt;0,(AN42*Paramètres!$H$4)-PORTEFEUILLE_FREDERIQUE[[#This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V42" s="190" t="str">
        <f>IF(PORTEFEUILLE_FREDERIQUE[[#This Row],[BONI COMPTABLE]]&lt;&gt;0,1,"")</f>
        <v/>
      </c>
      <c r="AW42" s="190" t="str">
        <f>IF(PORTEFEUILLE_FREDERIQUE[[#This Row],[MALI COMPTABLE]]&lt;&gt;0,1,"")</f>
        <v/>
      </c>
      <c r="AX42" s="196"/>
      <c r="AY42" s="188"/>
      <c r="AZ42" s="188"/>
      <c r="BA42" s="188"/>
      <c r="BB42" s="196"/>
      <c r="BC42" s="196"/>
      <c r="BD42" s="196"/>
      <c r="BE42" s="192"/>
      <c r="BF42" s="194"/>
      <c r="BG42" s="194"/>
      <c r="BH42" s="195"/>
      <c r="BI42" s="194"/>
    </row>
    <row r="43" spans="1:61" x14ac:dyDescent="0.25">
      <c r="A43" s="172"/>
      <c r="B43" s="178"/>
      <c r="C43" s="165"/>
      <c r="D43" s="171"/>
      <c r="E43" s="189"/>
      <c r="F43" s="188"/>
      <c r="G43" s="189"/>
      <c r="H43" s="189"/>
      <c r="I43" s="189"/>
      <c r="J43" s="189"/>
      <c r="K43" s="190" t="str">
        <f t="shared" si="0"/>
        <v/>
      </c>
      <c r="L43" s="190" t="str">
        <f t="shared" si="1"/>
        <v/>
      </c>
      <c r="M43" s="188"/>
      <c r="N43" s="188"/>
      <c r="O43" s="188"/>
      <c r="P43" s="188"/>
      <c r="Q43" s="188"/>
      <c r="R43" s="188"/>
      <c r="S43" s="213"/>
      <c r="T43" s="207"/>
      <c r="U43" s="219"/>
      <c r="V43" s="219"/>
      <c r="W43" s="219"/>
      <c r="X43" s="219"/>
      <c r="Y43" s="219"/>
      <c r="Z43" s="219"/>
      <c r="AA43" s="219"/>
      <c r="AB43" s="219"/>
      <c r="AC43" s="219"/>
      <c r="AD43" s="219"/>
      <c r="AE43" s="219"/>
      <c r="AF43" s="219"/>
      <c r="AG43" s="219"/>
      <c r="AH43" s="225">
        <f>SUM(PORTEFEUILLE_FREDERIQUE[[#This Row],[PCR COMPTABLE €]:[MONTANT
RESPONSABLE RELATION CLIENT €]])-PORTEFEUILLE_FREDERIQUE[[#This Row],[MONTANT TOTAL LETTRE DE MISION €]]</f>
        <v>0</v>
      </c>
      <c r="AI43" s="191"/>
      <c r="AJ43" s="188"/>
      <c r="AK43" s="188"/>
      <c r="AL43" s="188"/>
      <c r="AM43" s="188"/>
      <c r="AN43" s="188"/>
      <c r="AO43" s="188"/>
      <c r="AP43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Q43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R43" s="188" t="str">
        <f>IF(PORTEFEUILLE_FREDERIQUE[[#This Row],[BONI AAC]]&lt;&gt;0,1,"")</f>
        <v/>
      </c>
      <c r="AS43" s="188" t="str">
        <f>IF(PORTEFEUILLE_FREDERIQUE[[#This Row],[MALI AAC]]&lt;&gt;0,1,"")</f>
        <v/>
      </c>
      <c r="AT43" s="225">
        <f>IF(AN43&lt;&gt;"",IF((AN43*Paramètres!$H$4)-PORTEFEUILLE_FREDERIQUE[[#This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€]]-(DELPHINE!AN43*Paramètres!$H$4),0),0)</f>
        <v>0</v>
      </c>
      <c r="AU43" s="225">
        <f>IF(AN43&lt;&gt;"",IF(((AN43*Paramètres!$H$4)-PORTEFEUILLE_FREDERIQUE[[#This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€]])&gt;0,(AN43*Paramètres!$H$4)-PORTEFEUILLE_FREDERIQUE[[#This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V43" s="190" t="str">
        <f>IF(PORTEFEUILLE_FREDERIQUE[[#This Row],[BONI COMPTABLE]]&lt;&gt;0,1,"")</f>
        <v/>
      </c>
      <c r="AW43" s="190" t="str">
        <f>IF(PORTEFEUILLE_FREDERIQUE[[#This Row],[MALI COMPTABLE]]&lt;&gt;0,1,"")</f>
        <v/>
      </c>
      <c r="AX43" s="188"/>
      <c r="AY43" s="188"/>
      <c r="AZ43" s="188"/>
      <c r="BA43" s="188"/>
      <c r="BB43" s="196"/>
      <c r="BC43" s="196"/>
      <c r="BD43" s="196"/>
      <c r="BE43" s="192"/>
      <c r="BF43" s="194"/>
      <c r="BG43" s="194"/>
      <c r="BH43" s="195"/>
      <c r="BI43" s="194"/>
    </row>
    <row r="44" spans="1:61" s="241" customFormat="1" x14ac:dyDescent="0.25">
      <c r="A44" s="172"/>
      <c r="B44" s="181"/>
      <c r="C44" s="165"/>
      <c r="D44" s="165"/>
      <c r="E44" s="189"/>
      <c r="F44" s="188"/>
      <c r="G44" s="189"/>
      <c r="H44" s="189"/>
      <c r="I44" s="189"/>
      <c r="J44" s="199"/>
      <c r="K44" s="190" t="str">
        <f t="shared" si="0"/>
        <v/>
      </c>
      <c r="L44" s="190" t="str">
        <f t="shared" si="1"/>
        <v/>
      </c>
      <c r="M44" s="188"/>
      <c r="N44" s="188"/>
      <c r="O44" s="188"/>
      <c r="P44" s="188"/>
      <c r="Q44" s="188"/>
      <c r="R44" s="188"/>
      <c r="S44" s="213"/>
      <c r="T44" s="207"/>
      <c r="U44" s="219"/>
      <c r="V44" s="219"/>
      <c r="W44" s="219"/>
      <c r="X44" s="219"/>
      <c r="Y44" s="219"/>
      <c r="Z44" s="219"/>
      <c r="AA44" s="219"/>
      <c r="AB44" s="219"/>
      <c r="AC44" s="219"/>
      <c r="AD44" s="219"/>
      <c r="AE44" s="219"/>
      <c r="AF44" s="219"/>
      <c r="AG44" s="219"/>
      <c r="AH44" s="225">
        <f>SUM(PORTEFEUILLE_FREDERIQUE[[#This Row],[PCR COMPTABLE €]:[MONTANT
RESPONSABLE RELATION CLIENT €]])-PORTEFEUILLE_FREDERIQUE[[#This Row],[MONTANT TOTAL LETTRE DE MISION €]]</f>
        <v>0</v>
      </c>
      <c r="AI44" s="191"/>
      <c r="AJ44" s="188"/>
      <c r="AK44" s="188"/>
      <c r="AL44" s="188"/>
      <c r="AM44" s="188"/>
      <c r="AN44" s="188"/>
      <c r="AO44" s="188"/>
      <c r="AP44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Q44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R44" s="188" t="str">
        <f>IF(PORTEFEUILLE_FREDERIQUE[[#This Row],[BONI AAC]]&lt;&gt;0,1,"")</f>
        <v/>
      </c>
      <c r="AS44" s="188" t="str">
        <f>IF(PORTEFEUILLE_FREDERIQUE[[#This Row],[MALI AAC]]&lt;&gt;0,1,"")</f>
        <v/>
      </c>
      <c r="AT44" s="225">
        <f>IF(AN44&lt;&gt;"",IF((AN44*Paramètres!$H$4)-PORTEFEUILLE_FREDERIQUE[[#This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€]]-(DELPHINE!AN44*Paramètres!$H$4),0),0)</f>
        <v>0</v>
      </c>
      <c r="AU44" s="225">
        <f>IF(AN44&lt;&gt;"",IF(((AN44*Paramètres!$H$4)-PORTEFEUILLE_FREDERIQUE[[#This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€]])&gt;0,(AN44*Paramètres!$H$4)-PORTEFEUILLE_FREDERIQUE[[#This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V44" s="190" t="str">
        <f>IF(PORTEFEUILLE_FREDERIQUE[[#This Row],[BONI COMPTABLE]]&lt;&gt;0,1,"")</f>
        <v/>
      </c>
      <c r="AW44" s="190" t="str">
        <f>IF(PORTEFEUILLE_FREDERIQUE[[#This Row],[MALI COMPTABLE]]&lt;&gt;0,1,"")</f>
        <v/>
      </c>
      <c r="AX44" s="188"/>
      <c r="AY44" s="188"/>
      <c r="AZ44" s="188"/>
      <c r="BA44" s="188"/>
      <c r="BB44" s="196"/>
      <c r="BC44" s="196"/>
      <c r="BD44" s="196"/>
      <c r="BE44" s="192"/>
      <c r="BF44" s="194"/>
      <c r="BG44" s="194"/>
      <c r="BH44" s="195"/>
      <c r="BI44" s="194"/>
    </row>
    <row r="45" spans="1:61" x14ac:dyDescent="0.25">
      <c r="A45" s="172"/>
      <c r="B45" s="181"/>
      <c r="C45" s="165"/>
      <c r="D45" s="165"/>
      <c r="E45" s="189"/>
      <c r="F45" s="188"/>
      <c r="G45" s="189"/>
      <c r="H45" s="189"/>
      <c r="I45" s="189"/>
      <c r="J45" s="189"/>
      <c r="K45" s="190" t="str">
        <f t="shared" si="0"/>
        <v/>
      </c>
      <c r="L45" s="190" t="str">
        <f t="shared" si="1"/>
        <v/>
      </c>
      <c r="M45" s="188"/>
      <c r="N45" s="188"/>
      <c r="O45" s="188"/>
      <c r="P45" s="188"/>
      <c r="Q45" s="188"/>
      <c r="R45" s="188"/>
      <c r="S45" s="213"/>
      <c r="T45" s="207"/>
      <c r="U45" s="219"/>
      <c r="V45" s="219"/>
      <c r="W45" s="219"/>
      <c r="X45" s="219"/>
      <c r="Y45" s="219"/>
      <c r="Z45" s="219"/>
      <c r="AA45" s="219"/>
      <c r="AB45" s="219"/>
      <c r="AC45" s="219"/>
      <c r="AD45" s="219"/>
      <c r="AE45" s="219"/>
      <c r="AF45" s="219"/>
      <c r="AG45" s="219"/>
      <c r="AH45" s="225">
        <f>SUM(PORTEFEUILLE_FREDERIQUE[[#This Row],[PCR COMPTABLE €]:[MONTANT
RESPONSABLE RELATION CLIENT €]])-PORTEFEUILLE_FREDERIQUE[[#This Row],[MONTANT TOTAL LETTRE DE MISION €]]</f>
        <v>0</v>
      </c>
      <c r="AI45" s="191"/>
      <c r="AJ45" s="188"/>
      <c r="AK45" s="188"/>
      <c r="AL45" s="188"/>
      <c r="AM45" s="188"/>
      <c r="AN45" s="188"/>
      <c r="AO45" s="188"/>
      <c r="AP45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Q45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R45" s="188" t="str">
        <f>IF(PORTEFEUILLE_FREDERIQUE[[#This Row],[BONI AAC]]&lt;&gt;0,1,"")</f>
        <v/>
      </c>
      <c r="AS45" s="188" t="str">
        <f>IF(PORTEFEUILLE_FREDERIQUE[[#This Row],[MALI AAC]]&lt;&gt;0,1,"")</f>
        <v/>
      </c>
      <c r="AT45" s="225">
        <f>IF(AN45&lt;&gt;"",IF((AN45*Paramètres!$H$4)-PORTEFEUILLE_FREDERIQUE[[#This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€]]-(DELPHINE!AN45*Paramètres!$H$4),0),0)</f>
        <v>0</v>
      </c>
      <c r="AU45" s="225">
        <f>IF(AN45&lt;&gt;"",IF(((AN45*Paramètres!$H$4)-PORTEFEUILLE_FREDERIQUE[[#This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€]])&gt;0,(AN45*Paramètres!$H$4)-PORTEFEUILLE_FREDERIQUE[[#This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V45" s="190" t="str">
        <f>IF(PORTEFEUILLE_FREDERIQUE[[#This Row],[BONI COMPTABLE]]&lt;&gt;0,1,"")</f>
        <v/>
      </c>
      <c r="AW45" s="190" t="str">
        <f>IF(PORTEFEUILLE_FREDERIQUE[[#This Row],[MALI COMPTABLE]]&lt;&gt;0,1,"")</f>
        <v/>
      </c>
      <c r="AX45" s="188"/>
      <c r="AY45" s="188"/>
      <c r="AZ45" s="188"/>
      <c r="BA45" s="188"/>
      <c r="BB45" s="188"/>
      <c r="BC45" s="188"/>
      <c r="BD45" s="188"/>
      <c r="BE45" s="192"/>
      <c r="BF45" s="194"/>
      <c r="BG45" s="194"/>
      <c r="BH45" s="195"/>
      <c r="BI45" s="194"/>
    </row>
    <row r="46" spans="1:61" x14ac:dyDescent="0.25">
      <c r="A46" s="172"/>
      <c r="B46" s="181"/>
      <c r="C46" s="165"/>
      <c r="D46" s="171"/>
      <c r="E46" s="189"/>
      <c r="F46" s="188"/>
      <c r="G46" s="188"/>
      <c r="H46" s="189"/>
      <c r="I46" s="188"/>
      <c r="J46" s="189"/>
      <c r="K46" s="190" t="str">
        <f t="shared" si="0"/>
        <v/>
      </c>
      <c r="L46" s="190" t="str">
        <f t="shared" si="1"/>
        <v/>
      </c>
      <c r="M46" s="188"/>
      <c r="N46" s="188"/>
      <c r="O46" s="188"/>
      <c r="P46" s="188"/>
      <c r="Q46" s="188"/>
      <c r="R46" s="188"/>
      <c r="S46" s="214"/>
      <c r="T46" s="208"/>
      <c r="U46" s="220"/>
      <c r="V46" s="220"/>
      <c r="W46" s="220"/>
      <c r="X46" s="220"/>
      <c r="Y46" s="220"/>
      <c r="Z46" s="220"/>
      <c r="AA46" s="220"/>
      <c r="AB46" s="220"/>
      <c r="AC46" s="220"/>
      <c r="AD46" s="220"/>
      <c r="AE46" s="220"/>
      <c r="AF46" s="220"/>
      <c r="AG46" s="219"/>
      <c r="AH46" s="225">
        <f>SUM(PORTEFEUILLE_FREDERIQUE[[#This Row],[PCR COMPTABLE €]:[MONTANT
RESPONSABLE RELATION CLIENT €]])-PORTEFEUILLE_FREDERIQUE[[#This Row],[MONTANT TOTAL LETTRE DE MISION €]]</f>
        <v>0</v>
      </c>
      <c r="AI46" s="191"/>
      <c r="AJ46" s="188"/>
      <c r="AK46" s="188"/>
      <c r="AL46" s="196"/>
      <c r="AM46" s="196"/>
      <c r="AN46" s="196"/>
      <c r="AO46" s="196"/>
      <c r="AP46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Q46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R46" s="188" t="str">
        <f>IF(PORTEFEUILLE_FREDERIQUE[[#This Row],[BONI AAC]]&lt;&gt;0,1,"")</f>
        <v/>
      </c>
      <c r="AS46" s="188" t="str">
        <f>IF(PORTEFEUILLE_FREDERIQUE[[#This Row],[MALI AAC]]&lt;&gt;0,1,"")</f>
        <v/>
      </c>
      <c r="AT46" s="225">
        <f>IF(AN46&lt;&gt;"",IF((AN46*Paramètres!$H$4)-PORTEFEUILLE_FREDERIQUE[[#This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€]]-(DELPHINE!AN46*Paramètres!$H$4),0),0)</f>
        <v>0</v>
      </c>
      <c r="AU46" s="225">
        <f>IF(AN46&lt;&gt;"",IF(((AN46*Paramètres!$H$4)-PORTEFEUILLE_FREDERIQUE[[#This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€]])&gt;0,(AN46*Paramètres!$H$4)-PORTEFEUILLE_FREDERIQUE[[#This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V46" s="190" t="str">
        <f>IF(PORTEFEUILLE_FREDERIQUE[[#This Row],[BONI COMPTABLE]]&lt;&gt;0,1,"")</f>
        <v/>
      </c>
      <c r="AW46" s="190" t="str">
        <f>IF(PORTEFEUILLE_FREDERIQUE[[#This Row],[MALI COMPTABLE]]&lt;&gt;0,1,"")</f>
        <v/>
      </c>
      <c r="AX46" s="196"/>
      <c r="AY46" s="188"/>
      <c r="AZ46" s="188"/>
      <c r="BA46" s="188"/>
      <c r="BB46" s="188"/>
      <c r="BC46" s="188"/>
      <c r="BD46" s="188"/>
      <c r="BE46" s="192"/>
      <c r="BF46" s="194"/>
      <c r="BG46" s="194"/>
      <c r="BH46" s="195"/>
      <c r="BI46" s="194"/>
    </row>
    <row r="47" spans="1:61" x14ac:dyDescent="0.25">
      <c r="A47" s="172"/>
      <c r="B47" s="181"/>
      <c r="C47" s="165"/>
      <c r="D47" s="171"/>
      <c r="E47" s="189"/>
      <c r="F47" s="188"/>
      <c r="G47" s="189"/>
      <c r="H47" s="189"/>
      <c r="I47" s="189"/>
      <c r="J47" s="189"/>
      <c r="K47" s="190" t="str">
        <f t="shared" si="0"/>
        <v/>
      </c>
      <c r="L47" s="190" t="str">
        <f t="shared" si="1"/>
        <v/>
      </c>
      <c r="M47" s="188"/>
      <c r="N47" s="188"/>
      <c r="O47" s="188"/>
      <c r="P47" s="188"/>
      <c r="Q47" s="188"/>
      <c r="R47" s="188"/>
      <c r="S47" s="213"/>
      <c r="T47" s="207"/>
      <c r="U47" s="219"/>
      <c r="V47" s="219"/>
      <c r="W47" s="219"/>
      <c r="X47" s="219"/>
      <c r="Y47" s="219"/>
      <c r="Z47" s="219"/>
      <c r="AA47" s="219"/>
      <c r="AB47" s="219"/>
      <c r="AC47" s="219"/>
      <c r="AD47" s="219"/>
      <c r="AE47" s="219"/>
      <c r="AF47" s="219"/>
      <c r="AG47" s="219"/>
      <c r="AH47" s="225">
        <f>SUM(PORTEFEUILLE_FREDERIQUE[[#This Row],[PCR COMPTABLE €]:[MONTANT
RESPONSABLE RELATION CLIENT €]])-PORTEFEUILLE_FREDERIQUE[[#This Row],[MONTANT TOTAL LETTRE DE MISION €]]</f>
        <v>0</v>
      </c>
      <c r="AI47" s="191"/>
      <c r="AJ47" s="188"/>
      <c r="AK47" s="188"/>
      <c r="AL47" s="188"/>
      <c r="AM47" s="188"/>
      <c r="AN47" s="188"/>
      <c r="AO47" s="188"/>
      <c r="AP47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Q47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R47" s="188" t="str">
        <f>IF(PORTEFEUILLE_FREDERIQUE[[#This Row],[BONI AAC]]&lt;&gt;0,1,"")</f>
        <v/>
      </c>
      <c r="AS47" s="188" t="str">
        <f>IF(PORTEFEUILLE_FREDERIQUE[[#This Row],[MALI AAC]]&lt;&gt;0,1,"")</f>
        <v/>
      </c>
      <c r="AT47" s="225">
        <f>IF(AN47&lt;&gt;"",IF((AN47*Paramètres!$H$4)-PORTEFEUILLE_FREDERIQUE[[#This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€]]-(DELPHINE!AN47*Paramètres!$H$4),0),0)</f>
        <v>0</v>
      </c>
      <c r="AU47" s="225">
        <f>IF(AN47&lt;&gt;"",IF(((AN47*Paramètres!$H$4)-PORTEFEUILLE_FREDERIQUE[[#This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€]])&gt;0,(AN47*Paramètres!$H$4)-PORTEFEUILLE_FREDERIQUE[[#This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V47" s="190" t="str">
        <f>IF(PORTEFEUILLE_FREDERIQUE[[#This Row],[BONI COMPTABLE]]&lt;&gt;0,1,"")</f>
        <v/>
      </c>
      <c r="AW47" s="190" t="str">
        <f>IF(PORTEFEUILLE_FREDERIQUE[[#This Row],[MALI COMPTABLE]]&lt;&gt;0,1,"")</f>
        <v/>
      </c>
      <c r="AX47" s="188"/>
      <c r="AY47" s="188"/>
      <c r="AZ47" s="188"/>
      <c r="BA47" s="188"/>
      <c r="BB47" s="188"/>
      <c r="BC47" s="188"/>
      <c r="BD47" s="188"/>
      <c r="BE47" s="192"/>
      <c r="BF47" s="194"/>
      <c r="BG47" s="194"/>
      <c r="BH47" s="195"/>
      <c r="BI47" s="194"/>
    </row>
    <row r="48" spans="1:61" x14ac:dyDescent="0.25">
      <c r="A48" s="172"/>
      <c r="B48" s="180"/>
      <c r="C48" s="165"/>
      <c r="D48" s="171"/>
      <c r="E48" s="189"/>
      <c r="F48" s="188"/>
      <c r="G48" s="188"/>
      <c r="H48" s="189"/>
      <c r="I48" s="189"/>
      <c r="J48" s="189"/>
      <c r="K48" s="190" t="str">
        <f t="shared" si="0"/>
        <v/>
      </c>
      <c r="L48" s="190" t="str">
        <f t="shared" si="1"/>
        <v/>
      </c>
      <c r="M48" s="188"/>
      <c r="N48" s="188"/>
      <c r="O48" s="188"/>
      <c r="P48" s="188"/>
      <c r="Q48" s="188"/>
      <c r="R48" s="188"/>
      <c r="S48" s="214"/>
      <c r="T48" s="208"/>
      <c r="U48" s="220"/>
      <c r="V48" s="220"/>
      <c r="W48" s="220"/>
      <c r="X48" s="220"/>
      <c r="Y48" s="220"/>
      <c r="Z48" s="220"/>
      <c r="AA48" s="220"/>
      <c r="AB48" s="220"/>
      <c r="AC48" s="220"/>
      <c r="AD48" s="220"/>
      <c r="AE48" s="220"/>
      <c r="AF48" s="220"/>
      <c r="AG48" s="219"/>
      <c r="AH48" s="225">
        <f>SUM(PORTEFEUILLE_FREDERIQUE[[#This Row],[PCR COMPTABLE €]:[MONTANT
RESPONSABLE RELATION CLIENT €]])-PORTEFEUILLE_FREDERIQUE[[#This Row],[MONTANT TOTAL LETTRE DE MISION €]]</f>
        <v>0</v>
      </c>
      <c r="AI48" s="191"/>
      <c r="AJ48" s="188"/>
      <c r="AK48" s="188"/>
      <c r="AL48" s="196"/>
      <c r="AM48" s="196"/>
      <c r="AN48" s="196"/>
      <c r="AO48" s="196"/>
      <c r="AP48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Q48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R48" s="188" t="str">
        <f>IF(PORTEFEUILLE_FREDERIQUE[[#This Row],[BONI AAC]]&lt;&gt;0,1,"")</f>
        <v/>
      </c>
      <c r="AS48" s="188" t="str">
        <f>IF(PORTEFEUILLE_FREDERIQUE[[#This Row],[MALI AAC]]&lt;&gt;0,1,"")</f>
        <v/>
      </c>
      <c r="AT48" s="225">
        <f>IF(AN48&lt;&gt;"",IF((AN48*Paramètres!$H$4)-PORTEFEUILLE_FREDERIQUE[[#This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€]]-(DELPHINE!AN48*Paramètres!$H$4),0),0)</f>
        <v>0</v>
      </c>
      <c r="AU48" s="225">
        <f>IF(AN48&lt;&gt;"",IF(((AN48*Paramètres!$H$4)-PORTEFEUILLE_FREDERIQUE[[#This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€]])&gt;0,(AN48*Paramètres!$H$4)-PORTEFEUILLE_FREDERIQUE[[#This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V48" s="190" t="str">
        <f>IF(PORTEFEUILLE_FREDERIQUE[[#This Row],[BONI COMPTABLE]]&lt;&gt;0,1,"")</f>
        <v/>
      </c>
      <c r="AW48" s="190" t="str">
        <f>IF(PORTEFEUILLE_FREDERIQUE[[#This Row],[MALI COMPTABLE]]&lt;&gt;0,1,"")</f>
        <v/>
      </c>
      <c r="AX48" s="196"/>
      <c r="AY48" s="188"/>
      <c r="AZ48" s="188"/>
      <c r="BA48" s="188"/>
      <c r="BB48" s="188"/>
      <c r="BC48" s="188"/>
      <c r="BD48" s="188"/>
      <c r="BE48" s="192"/>
      <c r="BF48" s="194"/>
      <c r="BG48" s="194"/>
      <c r="BH48" s="195"/>
      <c r="BI48" s="194"/>
    </row>
    <row r="49" spans="1:61" x14ac:dyDescent="0.25">
      <c r="A49" s="172"/>
      <c r="B49" s="180"/>
      <c r="C49" s="165"/>
      <c r="D49" s="171"/>
      <c r="E49" s="189"/>
      <c r="F49" s="188"/>
      <c r="G49" s="189"/>
      <c r="H49" s="189"/>
      <c r="I49" s="189"/>
      <c r="J49" s="189"/>
      <c r="K49" s="190" t="str">
        <f t="shared" si="0"/>
        <v/>
      </c>
      <c r="L49" s="190" t="str">
        <f t="shared" si="1"/>
        <v/>
      </c>
      <c r="M49" s="188"/>
      <c r="N49" s="188"/>
      <c r="O49" s="188"/>
      <c r="P49" s="188"/>
      <c r="Q49" s="188"/>
      <c r="R49" s="188"/>
      <c r="S49" s="213"/>
      <c r="T49" s="207"/>
      <c r="U49" s="219"/>
      <c r="V49" s="219"/>
      <c r="W49" s="219"/>
      <c r="X49" s="219"/>
      <c r="Y49" s="219"/>
      <c r="Z49" s="219"/>
      <c r="AA49" s="219"/>
      <c r="AB49" s="219"/>
      <c r="AC49" s="219"/>
      <c r="AD49" s="219"/>
      <c r="AE49" s="219"/>
      <c r="AF49" s="219"/>
      <c r="AG49" s="219"/>
      <c r="AH49" s="225">
        <f>SUM(PORTEFEUILLE_FREDERIQUE[[#This Row],[PCR COMPTABLE €]:[MONTANT
RESPONSABLE RELATION CLIENT €]])-PORTEFEUILLE_FREDERIQUE[[#This Row],[MONTANT TOTAL LETTRE DE MISION €]]</f>
        <v>0</v>
      </c>
      <c r="AI49" s="191"/>
      <c r="AJ49" s="188"/>
      <c r="AK49" s="188"/>
      <c r="AL49" s="188"/>
      <c r="AM49" s="188"/>
      <c r="AN49" s="188"/>
      <c r="AO49" s="188"/>
      <c r="AP49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Q49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R49" s="188" t="str">
        <f>IF(PORTEFEUILLE_FREDERIQUE[[#This Row],[BONI AAC]]&lt;&gt;0,1,"")</f>
        <v/>
      </c>
      <c r="AS49" s="188" t="str">
        <f>IF(PORTEFEUILLE_FREDERIQUE[[#This Row],[MALI AAC]]&lt;&gt;0,1,"")</f>
        <v/>
      </c>
      <c r="AT49" s="225">
        <f>IF(AN49&lt;&gt;"",IF((AN49*Paramètres!$H$4)-PORTEFEUILLE_FREDERIQUE[[#This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€]]-(DELPHINE!AN49*Paramètres!$H$4),0),0)</f>
        <v>0</v>
      </c>
      <c r="AU49" s="225">
        <f>IF(AN49&lt;&gt;"",IF(((AN49*Paramètres!$H$4)-PORTEFEUILLE_FREDERIQUE[[#This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€]])&gt;0,(AN49*Paramètres!$H$4)-PORTEFEUILLE_FREDERIQUE[[#This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V49" s="190" t="str">
        <f>IF(PORTEFEUILLE_FREDERIQUE[[#This Row],[BONI COMPTABLE]]&lt;&gt;0,1,"")</f>
        <v/>
      </c>
      <c r="AW49" s="190" t="str">
        <f>IF(PORTEFEUILLE_FREDERIQUE[[#This Row],[MALI COMPTABLE]]&lt;&gt;0,1,"")</f>
        <v/>
      </c>
      <c r="AX49" s="188"/>
      <c r="AY49" s="188"/>
      <c r="AZ49" s="188"/>
      <c r="BA49" s="188"/>
      <c r="BB49" s="196"/>
      <c r="BC49" s="188"/>
      <c r="BD49" s="188"/>
      <c r="BE49" s="192"/>
      <c r="BF49" s="194"/>
      <c r="BG49" s="194"/>
      <c r="BH49" s="195"/>
      <c r="BI49" s="194"/>
    </row>
    <row r="50" spans="1:61" x14ac:dyDescent="0.25">
      <c r="A50" s="172"/>
      <c r="B50" s="170"/>
      <c r="C50" s="165"/>
      <c r="D50" s="171"/>
      <c r="E50" s="189"/>
      <c r="F50" s="188"/>
      <c r="G50" s="188"/>
      <c r="H50" s="189"/>
      <c r="I50" s="188"/>
      <c r="J50" s="188"/>
      <c r="K50" s="190" t="str">
        <f t="shared" si="0"/>
        <v/>
      </c>
      <c r="L50" s="190" t="str">
        <f t="shared" si="1"/>
        <v/>
      </c>
      <c r="M50" s="188"/>
      <c r="N50" s="188"/>
      <c r="O50" s="188"/>
      <c r="P50" s="188"/>
      <c r="Q50" s="188"/>
      <c r="R50" s="188"/>
      <c r="S50" s="214"/>
      <c r="T50" s="208"/>
      <c r="U50" s="220"/>
      <c r="V50" s="220"/>
      <c r="W50" s="220"/>
      <c r="X50" s="220"/>
      <c r="Y50" s="220"/>
      <c r="Z50" s="220"/>
      <c r="AA50" s="220"/>
      <c r="AB50" s="220"/>
      <c r="AC50" s="220"/>
      <c r="AD50" s="220"/>
      <c r="AE50" s="220"/>
      <c r="AF50" s="220"/>
      <c r="AG50" s="219"/>
      <c r="AH50" s="225">
        <f>SUM(PORTEFEUILLE_FREDERIQUE[[#This Row],[PCR COMPTABLE €]:[MONTANT
RESPONSABLE RELATION CLIENT €]])-PORTEFEUILLE_FREDERIQUE[[#This Row],[MONTANT TOTAL LETTRE DE MISION €]]</f>
        <v>0</v>
      </c>
      <c r="AI50" s="191"/>
      <c r="AJ50" s="188"/>
      <c r="AK50" s="188"/>
      <c r="AL50" s="196"/>
      <c r="AM50" s="196"/>
      <c r="AN50" s="196"/>
      <c r="AO50" s="196"/>
      <c r="AP50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Q50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R50" s="188" t="str">
        <f>IF(PORTEFEUILLE_FREDERIQUE[[#This Row],[BONI AAC]]&lt;&gt;0,1,"")</f>
        <v/>
      </c>
      <c r="AS50" s="188" t="str">
        <f>IF(PORTEFEUILLE_FREDERIQUE[[#This Row],[MALI AAC]]&lt;&gt;0,1,"")</f>
        <v/>
      </c>
      <c r="AT50" s="225">
        <f>IF(AN50&lt;&gt;"",IF((AN50*Paramètres!$H$4)-PORTEFEUILLE_FREDERIQUE[[#This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€]]-(DELPHINE!AN50*Paramètres!$H$4),0),0)</f>
        <v>0</v>
      </c>
      <c r="AU50" s="225">
        <f>IF(AN50&lt;&gt;"",IF(((AN50*Paramètres!$H$4)-PORTEFEUILLE_FREDERIQUE[[#This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€]])&gt;0,(AN50*Paramètres!$H$4)-PORTEFEUILLE_FREDERIQUE[[#This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V50" s="190" t="str">
        <f>IF(PORTEFEUILLE_FREDERIQUE[[#This Row],[BONI COMPTABLE]]&lt;&gt;0,1,"")</f>
        <v/>
      </c>
      <c r="AW50" s="190" t="str">
        <f>IF(PORTEFEUILLE_FREDERIQUE[[#This Row],[MALI COMPTABLE]]&lt;&gt;0,1,"")</f>
        <v/>
      </c>
      <c r="AX50" s="196"/>
      <c r="AY50" s="188"/>
      <c r="AZ50" s="188"/>
      <c r="BA50" s="188"/>
      <c r="BB50" s="196"/>
      <c r="BC50" s="196"/>
      <c r="BD50" s="196"/>
      <c r="BE50" s="192"/>
      <c r="BF50" s="194"/>
      <c r="BG50" s="194"/>
      <c r="BH50" s="195"/>
      <c r="BI50" s="194"/>
    </row>
    <row r="51" spans="1:61" x14ac:dyDescent="0.25">
      <c r="A51" s="172"/>
      <c r="B51" s="170"/>
      <c r="C51" s="165"/>
      <c r="D51" s="171"/>
      <c r="E51" s="189"/>
      <c r="F51" s="188"/>
      <c r="G51" s="188"/>
      <c r="H51" s="189"/>
      <c r="I51" s="188"/>
      <c r="J51" s="189"/>
      <c r="K51" s="190" t="str">
        <f t="shared" si="0"/>
        <v/>
      </c>
      <c r="L51" s="190" t="str">
        <f t="shared" si="1"/>
        <v/>
      </c>
      <c r="M51" s="188"/>
      <c r="N51" s="188"/>
      <c r="O51" s="188"/>
      <c r="P51" s="188"/>
      <c r="Q51" s="188"/>
      <c r="R51" s="188"/>
      <c r="S51" s="214"/>
      <c r="T51" s="208"/>
      <c r="U51" s="220"/>
      <c r="V51" s="220"/>
      <c r="W51" s="220"/>
      <c r="X51" s="220"/>
      <c r="Y51" s="220"/>
      <c r="Z51" s="220"/>
      <c r="AA51" s="220"/>
      <c r="AB51" s="220"/>
      <c r="AC51" s="220"/>
      <c r="AD51" s="220"/>
      <c r="AE51" s="220"/>
      <c r="AF51" s="220"/>
      <c r="AG51" s="219"/>
      <c r="AH51" s="225">
        <f>SUM(PORTEFEUILLE_FREDERIQUE[[#This Row],[PCR COMPTABLE €]:[MONTANT
RESPONSABLE RELATION CLIENT €]])-PORTEFEUILLE_FREDERIQUE[[#This Row],[MONTANT TOTAL LETTRE DE MISION €]]</f>
        <v>0</v>
      </c>
      <c r="AI51" s="191"/>
      <c r="AJ51" s="188"/>
      <c r="AK51" s="188"/>
      <c r="AL51" s="196"/>
      <c r="AM51" s="196"/>
      <c r="AN51" s="196"/>
      <c r="AO51" s="196"/>
      <c r="AP51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Q51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R51" s="188" t="str">
        <f>IF(PORTEFEUILLE_FREDERIQUE[[#This Row],[BONI AAC]]&lt;&gt;0,1,"")</f>
        <v/>
      </c>
      <c r="AS51" s="188" t="str">
        <f>IF(PORTEFEUILLE_FREDERIQUE[[#This Row],[MALI AAC]]&lt;&gt;0,1,"")</f>
        <v/>
      </c>
      <c r="AT51" s="225">
        <f>IF(AN51&lt;&gt;"",IF((AN51*Paramètres!$H$4)-PORTEFEUILLE_FREDERIQUE[[#This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€]]-(DELPHINE!AN51*Paramètres!$H$4),0),0)</f>
        <v>0</v>
      </c>
      <c r="AU51" s="225">
        <f>IF(AN51&lt;&gt;"",IF(((AN51*Paramètres!$H$4)-PORTEFEUILLE_FREDERIQUE[[#This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€]])&gt;0,(AN51*Paramètres!$H$4)-PORTEFEUILLE_FREDERIQUE[[#This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V51" s="190" t="str">
        <f>IF(PORTEFEUILLE_FREDERIQUE[[#This Row],[BONI COMPTABLE]]&lt;&gt;0,1,"")</f>
        <v/>
      </c>
      <c r="AW51" s="190" t="str">
        <f>IF(PORTEFEUILLE_FREDERIQUE[[#This Row],[MALI COMPTABLE]]&lt;&gt;0,1,"")</f>
        <v/>
      </c>
      <c r="AX51" s="196"/>
      <c r="AY51" s="188"/>
      <c r="AZ51" s="188"/>
      <c r="BA51" s="188"/>
      <c r="BB51" s="196"/>
      <c r="BC51" s="196"/>
      <c r="BD51" s="196"/>
      <c r="BE51" s="192"/>
      <c r="BF51" s="194"/>
      <c r="BG51" s="194"/>
      <c r="BH51" s="195"/>
      <c r="BI51" s="194"/>
    </row>
    <row r="52" spans="1:61" x14ac:dyDescent="0.25">
      <c r="A52" s="172"/>
      <c r="B52" s="170"/>
      <c r="C52" s="165"/>
      <c r="D52" s="171"/>
      <c r="E52" s="189"/>
      <c r="F52" s="188"/>
      <c r="G52" s="188"/>
      <c r="H52" s="189"/>
      <c r="I52" s="188"/>
      <c r="J52" s="189"/>
      <c r="K52" s="190" t="str">
        <f t="shared" si="0"/>
        <v/>
      </c>
      <c r="L52" s="190" t="str">
        <f t="shared" si="1"/>
        <v/>
      </c>
      <c r="M52" s="188"/>
      <c r="N52" s="188"/>
      <c r="O52" s="188"/>
      <c r="P52" s="188"/>
      <c r="Q52" s="188"/>
      <c r="R52" s="188"/>
      <c r="S52" s="214"/>
      <c r="T52" s="208"/>
      <c r="U52" s="220"/>
      <c r="V52" s="220"/>
      <c r="W52" s="220"/>
      <c r="X52" s="220"/>
      <c r="Y52" s="220"/>
      <c r="Z52" s="220"/>
      <c r="AA52" s="220"/>
      <c r="AB52" s="220"/>
      <c r="AC52" s="220"/>
      <c r="AD52" s="220"/>
      <c r="AE52" s="220"/>
      <c r="AF52" s="220"/>
      <c r="AG52" s="219"/>
      <c r="AH52" s="225">
        <f>SUM(PORTEFEUILLE_FREDERIQUE[[#This Row],[PCR COMPTABLE €]:[MONTANT
RESPONSABLE RELATION CLIENT €]])-PORTEFEUILLE_FREDERIQUE[[#This Row],[MONTANT TOTAL LETTRE DE MISION €]]</f>
        <v>0</v>
      </c>
      <c r="AI52" s="191"/>
      <c r="AJ52" s="188"/>
      <c r="AK52" s="188"/>
      <c r="AL52" s="196"/>
      <c r="AM52" s="196"/>
      <c r="AN52" s="196"/>
      <c r="AO52" s="196"/>
      <c r="AP52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Q52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R52" s="188" t="str">
        <f>IF(PORTEFEUILLE_FREDERIQUE[[#This Row],[BONI AAC]]&lt;&gt;0,1,"")</f>
        <v/>
      </c>
      <c r="AS52" s="188" t="str">
        <f>IF(PORTEFEUILLE_FREDERIQUE[[#This Row],[MALI AAC]]&lt;&gt;0,1,"")</f>
        <v/>
      </c>
      <c r="AT52" s="225">
        <f>IF(AN52&lt;&gt;"",IF((AN52*Paramètres!$H$4)-PORTEFEUILLE_FREDERIQUE[[#This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€]]-(DELPHINE!AN52*Paramètres!$H$4),0),0)</f>
        <v>0</v>
      </c>
      <c r="AU52" s="225">
        <f>IF(AN52&lt;&gt;"",IF(((AN52*Paramètres!$H$4)-PORTEFEUILLE_FREDERIQUE[[#This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€]])&gt;0,(AN52*Paramètres!$H$4)-PORTEFEUILLE_FREDERIQUE[[#This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V52" s="190" t="str">
        <f>IF(PORTEFEUILLE_FREDERIQUE[[#This Row],[BONI COMPTABLE]]&lt;&gt;0,1,"")</f>
        <v/>
      </c>
      <c r="AW52" s="190" t="str">
        <f>IF(PORTEFEUILLE_FREDERIQUE[[#This Row],[MALI COMPTABLE]]&lt;&gt;0,1,"")</f>
        <v/>
      </c>
      <c r="AX52" s="196"/>
      <c r="AY52" s="188"/>
      <c r="AZ52" s="188"/>
      <c r="BA52" s="188"/>
      <c r="BB52" s="196"/>
      <c r="BC52" s="196"/>
      <c r="BD52" s="196"/>
      <c r="BE52" s="192"/>
      <c r="BF52" s="194"/>
      <c r="BG52" s="194"/>
      <c r="BH52" s="195"/>
      <c r="BI52" s="194"/>
    </row>
    <row r="53" spans="1:61" x14ac:dyDescent="0.25">
      <c r="A53" s="172"/>
      <c r="B53" s="182"/>
      <c r="C53" s="183"/>
      <c r="D53" s="184"/>
      <c r="E53" s="200"/>
      <c r="F53" s="201"/>
      <c r="G53" s="201"/>
      <c r="H53" s="189"/>
      <c r="I53" s="201"/>
      <c r="J53" s="201"/>
      <c r="K53" s="190" t="str">
        <f t="shared" si="0"/>
        <v/>
      </c>
      <c r="L53" s="190" t="str">
        <f t="shared" si="1"/>
        <v/>
      </c>
      <c r="M53" s="188"/>
      <c r="N53" s="188"/>
      <c r="O53" s="188"/>
      <c r="P53" s="188"/>
      <c r="Q53" s="188"/>
      <c r="R53" s="188"/>
      <c r="S53" s="216"/>
      <c r="T53" s="210"/>
      <c r="U53" s="222"/>
      <c r="V53" s="222"/>
      <c r="W53" s="222"/>
      <c r="X53" s="222"/>
      <c r="Y53" s="222"/>
      <c r="Z53" s="222"/>
      <c r="AA53" s="222"/>
      <c r="AB53" s="222"/>
      <c r="AC53" s="222"/>
      <c r="AD53" s="222"/>
      <c r="AE53" s="222"/>
      <c r="AF53" s="222"/>
      <c r="AG53" s="219"/>
      <c r="AH53" s="225">
        <f>SUM(PORTEFEUILLE_FREDERIQUE[[#This Row],[PCR COMPTABLE €]:[MONTANT
RESPONSABLE RELATION CLIENT €]])-PORTEFEUILLE_FREDERIQUE[[#This Row],[MONTANT TOTAL LETTRE DE MISION €]]</f>
        <v>0</v>
      </c>
      <c r="AI53" s="191"/>
      <c r="AJ53" s="188"/>
      <c r="AK53" s="201"/>
      <c r="AL53" s="202"/>
      <c r="AM53" s="202"/>
      <c r="AN53" s="202"/>
      <c r="AO53" s="202"/>
      <c r="AP53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Q53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R53" s="188" t="str">
        <f>IF(PORTEFEUILLE_FREDERIQUE[[#This Row],[BONI AAC]]&lt;&gt;0,1,"")</f>
        <v/>
      </c>
      <c r="AS53" s="188" t="str">
        <f>IF(PORTEFEUILLE_FREDERIQUE[[#This Row],[MALI AAC]]&lt;&gt;0,1,"")</f>
        <v/>
      </c>
      <c r="AT53" s="225">
        <f>IF(AN53&lt;&gt;"",IF((AN53*Paramètres!$H$4)-PORTEFEUILLE_FREDERIQUE[[#This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€]]-(DELPHINE!AN53*Paramètres!$H$4),0),0)</f>
        <v>0</v>
      </c>
      <c r="AU53" s="225">
        <f>IF(AN53&lt;&gt;"",IF(((AN53*Paramètres!$H$4)-PORTEFEUILLE_FREDERIQUE[[#This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€]])&gt;0,(AN53*Paramètres!$H$4)-PORTEFEUILLE_FREDERIQUE[[#This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V53" s="190" t="str">
        <f>IF(PORTEFEUILLE_FREDERIQUE[[#This Row],[BONI COMPTABLE]]&lt;&gt;0,1,"")</f>
        <v/>
      </c>
      <c r="AW53" s="190" t="str">
        <f>IF(PORTEFEUILLE_FREDERIQUE[[#This Row],[MALI COMPTABLE]]&lt;&gt;0,1,"")</f>
        <v/>
      </c>
      <c r="AX53" s="202"/>
      <c r="AY53" s="188"/>
      <c r="AZ53" s="188"/>
      <c r="BA53" s="188"/>
      <c r="BB53" s="202"/>
      <c r="BC53" s="202"/>
      <c r="BD53" s="202"/>
      <c r="BE53" s="192"/>
      <c r="BF53" s="194"/>
      <c r="BG53" s="194"/>
      <c r="BH53" s="195"/>
      <c r="BI53" s="194"/>
    </row>
    <row r="54" spans="1:61" x14ac:dyDescent="0.25">
      <c r="A54" s="172"/>
      <c r="B54" s="185"/>
      <c r="C54" s="172"/>
      <c r="D54" s="172"/>
      <c r="E54" s="203"/>
      <c r="F54" s="194"/>
      <c r="G54" s="194"/>
      <c r="H54" s="189"/>
      <c r="I54" s="194"/>
      <c r="J54" s="194"/>
      <c r="K54" s="190" t="str">
        <f t="shared" si="0"/>
        <v/>
      </c>
      <c r="L54" s="190" t="str">
        <f t="shared" si="1"/>
        <v/>
      </c>
      <c r="M54" s="188"/>
      <c r="N54" s="188"/>
      <c r="O54" s="188"/>
      <c r="P54" s="188"/>
      <c r="Q54" s="188"/>
      <c r="R54" s="188"/>
      <c r="S54" s="217"/>
      <c r="T54" s="211"/>
      <c r="U54" s="223"/>
      <c r="V54" s="223"/>
      <c r="W54" s="223"/>
      <c r="X54" s="223"/>
      <c r="Y54" s="223"/>
      <c r="Z54" s="223"/>
      <c r="AA54" s="223"/>
      <c r="AB54" s="223"/>
      <c r="AC54" s="223"/>
      <c r="AD54" s="223"/>
      <c r="AE54" s="223"/>
      <c r="AF54" s="223"/>
      <c r="AG54" s="219"/>
      <c r="AH54" s="225">
        <f>SUM(PORTEFEUILLE_FREDERIQUE[[#This Row],[PCR COMPTABLE €]:[MONTANT
RESPONSABLE RELATION CLIENT €]])-PORTEFEUILLE_FREDERIQUE[[#This Row],[MONTANT TOTAL LETTRE DE MISION €]]</f>
        <v>0</v>
      </c>
      <c r="AI54" s="191"/>
      <c r="AJ54" s="188"/>
      <c r="AK54" s="188"/>
      <c r="AL54" s="194"/>
      <c r="AM54" s="194"/>
      <c r="AN54" s="194"/>
      <c r="AO54" s="194"/>
      <c r="AP54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Q54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R54" s="188" t="str">
        <f>IF(PORTEFEUILLE_FREDERIQUE[[#This Row],[BONI AAC]]&lt;&gt;0,1,"")</f>
        <v/>
      </c>
      <c r="AS54" s="188" t="str">
        <f>IF(PORTEFEUILLE_FREDERIQUE[[#This Row],[MALI AAC]]&lt;&gt;0,1,"")</f>
        <v/>
      </c>
      <c r="AT54" s="225">
        <f>IF(AN54&lt;&gt;"",IF((AN54*Paramètres!$H$4)-PORTEFEUILLE_FREDERIQUE[[#This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€]]-(DELPHINE!AN54*Paramètres!$H$4),0),0)</f>
        <v>0</v>
      </c>
      <c r="AU54" s="225">
        <f>IF(AN54&lt;&gt;"",IF(((AN54*Paramètres!$H$4)-PORTEFEUILLE_FREDERIQUE[[#This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€]])&gt;0,(AN54*Paramètres!$H$4)-PORTEFEUILLE_FREDERIQUE[[#This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V54" s="190" t="str">
        <f>IF(PORTEFEUILLE_FREDERIQUE[[#This Row],[BONI COMPTABLE]]&lt;&gt;0,1,"")</f>
        <v/>
      </c>
      <c r="AW54" s="190" t="str">
        <f>IF(PORTEFEUILLE_FREDERIQUE[[#This Row],[MALI COMPTABLE]]&lt;&gt;0,1,"")</f>
        <v/>
      </c>
      <c r="AX54" s="194"/>
      <c r="AY54" s="188"/>
      <c r="AZ54" s="188"/>
      <c r="BA54" s="188"/>
      <c r="BB54" s="194"/>
      <c r="BC54" s="194"/>
      <c r="BD54" s="194"/>
      <c r="BE54" s="192"/>
      <c r="BF54" s="194"/>
      <c r="BG54" s="194"/>
      <c r="BH54" s="195"/>
      <c r="BI54" s="194"/>
    </row>
    <row r="55" spans="1:61" x14ac:dyDescent="0.25">
      <c r="A55" s="172"/>
      <c r="B55" s="185"/>
      <c r="C55" s="172"/>
      <c r="D55" s="172"/>
      <c r="E55" s="203"/>
      <c r="F55" s="194"/>
      <c r="G55" s="194"/>
      <c r="H55" s="189"/>
      <c r="I55" s="194"/>
      <c r="J55" s="194"/>
      <c r="K55" s="190" t="str">
        <f t="shared" si="0"/>
        <v/>
      </c>
      <c r="L55" s="190" t="str">
        <f t="shared" si="1"/>
        <v/>
      </c>
      <c r="M55" s="188"/>
      <c r="N55" s="188"/>
      <c r="O55" s="188"/>
      <c r="P55" s="188"/>
      <c r="Q55" s="188"/>
      <c r="R55" s="188"/>
      <c r="S55" s="217"/>
      <c r="T55" s="211"/>
      <c r="U55" s="223"/>
      <c r="V55" s="223"/>
      <c r="W55" s="223"/>
      <c r="X55" s="223"/>
      <c r="Y55" s="223"/>
      <c r="Z55" s="223"/>
      <c r="AA55" s="223"/>
      <c r="AB55" s="223"/>
      <c r="AC55" s="223"/>
      <c r="AD55" s="223"/>
      <c r="AE55" s="223"/>
      <c r="AF55" s="223"/>
      <c r="AG55" s="219"/>
      <c r="AH55" s="225">
        <f>SUM(PORTEFEUILLE_FREDERIQUE[[#This Row],[PCR COMPTABLE €]:[MONTANT
RESPONSABLE RELATION CLIENT €]])-PORTEFEUILLE_FREDERIQUE[[#This Row],[MONTANT TOTAL LETTRE DE MISION €]]</f>
        <v>0</v>
      </c>
      <c r="AI55" s="191"/>
      <c r="AJ55" s="188"/>
      <c r="AK55" s="188"/>
      <c r="AL55" s="194"/>
      <c r="AM55" s="194"/>
      <c r="AN55" s="194"/>
      <c r="AO55" s="194"/>
      <c r="AP55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Q55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R55" s="188" t="str">
        <f>IF(PORTEFEUILLE_FREDERIQUE[[#This Row],[BONI AAC]]&lt;&gt;0,1,"")</f>
        <v/>
      </c>
      <c r="AS55" s="188" t="str">
        <f>IF(PORTEFEUILLE_FREDERIQUE[[#This Row],[MALI AAC]]&lt;&gt;0,1,"")</f>
        <v/>
      </c>
      <c r="AT55" s="225">
        <f>IF(AN55&lt;&gt;"",IF((AN55*Paramètres!$H$4)-PORTEFEUILLE_FREDERIQUE[[#This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€]]-(DELPHINE!AN55*Paramètres!$H$4),0),0)</f>
        <v>0</v>
      </c>
      <c r="AU55" s="225">
        <f>IF(AN55&lt;&gt;"",IF(((AN55*Paramètres!$H$4)-PORTEFEUILLE_FREDERIQUE[[#This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€]])&gt;0,(AN55*Paramètres!$H$4)-PORTEFEUILLE_FREDERIQUE[[#This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V55" s="190" t="str">
        <f>IF(PORTEFEUILLE_FREDERIQUE[[#This Row],[BONI COMPTABLE]]&lt;&gt;0,1,"")</f>
        <v/>
      </c>
      <c r="AW55" s="190" t="str">
        <f>IF(PORTEFEUILLE_FREDERIQUE[[#This Row],[MALI COMPTABLE]]&lt;&gt;0,1,"")</f>
        <v/>
      </c>
      <c r="AX55" s="194"/>
      <c r="AY55" s="188"/>
      <c r="AZ55" s="188"/>
      <c r="BA55" s="188"/>
      <c r="BB55" s="194"/>
      <c r="BC55" s="194"/>
      <c r="BD55" s="194"/>
      <c r="BE55" s="192"/>
      <c r="BF55" s="194"/>
      <c r="BG55" s="194"/>
      <c r="BH55" s="195"/>
      <c r="BI55" s="194"/>
    </row>
    <row r="56" spans="1:61" x14ac:dyDescent="0.25">
      <c r="A56" s="172"/>
      <c r="B56" s="185"/>
      <c r="C56" s="172"/>
      <c r="D56" s="172"/>
      <c r="E56" s="203"/>
      <c r="F56" s="194"/>
      <c r="G56" s="194"/>
      <c r="H56" s="189"/>
      <c r="I56" s="194"/>
      <c r="J56" s="194"/>
      <c r="K56" s="190" t="str">
        <f t="shared" si="0"/>
        <v/>
      </c>
      <c r="L56" s="190" t="str">
        <f t="shared" si="1"/>
        <v/>
      </c>
      <c r="M56" s="188"/>
      <c r="N56" s="188"/>
      <c r="O56" s="188"/>
      <c r="P56" s="188"/>
      <c r="Q56" s="188"/>
      <c r="R56" s="188"/>
      <c r="S56" s="217"/>
      <c r="T56" s="211"/>
      <c r="U56" s="223"/>
      <c r="V56" s="223"/>
      <c r="W56" s="223"/>
      <c r="X56" s="223"/>
      <c r="Y56" s="223"/>
      <c r="Z56" s="223"/>
      <c r="AA56" s="223"/>
      <c r="AB56" s="223"/>
      <c r="AC56" s="223"/>
      <c r="AD56" s="223"/>
      <c r="AE56" s="223"/>
      <c r="AF56" s="223"/>
      <c r="AG56" s="219"/>
      <c r="AH56" s="225">
        <f>SUM(PORTEFEUILLE_FREDERIQUE[[#This Row],[PCR COMPTABLE €]:[MONTANT
RESPONSABLE RELATION CLIENT €]])-PORTEFEUILLE_FREDERIQUE[[#This Row],[MONTANT TOTAL LETTRE DE MISION €]]</f>
        <v>0</v>
      </c>
      <c r="AI56" s="191"/>
      <c r="AJ56" s="188"/>
      <c r="AK56" s="188"/>
      <c r="AL56" s="194"/>
      <c r="AM56" s="194"/>
      <c r="AN56" s="194"/>
      <c r="AO56" s="194"/>
      <c r="AP56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Q56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R56" s="188" t="str">
        <f>IF(PORTEFEUILLE_FREDERIQUE[[#This Row],[BONI AAC]]&lt;&gt;0,1,"")</f>
        <v/>
      </c>
      <c r="AS56" s="188" t="str">
        <f>IF(PORTEFEUILLE_FREDERIQUE[[#This Row],[MALI AAC]]&lt;&gt;0,1,"")</f>
        <v/>
      </c>
      <c r="AT56" s="225">
        <f>IF(AN56&lt;&gt;"",IF((AN56*Paramètres!$H$4)-PORTEFEUILLE_FREDERIQUE[[#This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€]]-(DELPHINE!AN56*Paramètres!$H$4),0),0)</f>
        <v>0</v>
      </c>
      <c r="AU56" s="225">
        <f>IF(AN56&lt;&gt;"",IF(((AN56*Paramètres!$H$4)-PORTEFEUILLE_FREDERIQUE[[#This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€]])&gt;0,(AN56*Paramètres!$H$4)-PORTEFEUILLE_FREDERIQUE[[#This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V56" s="190" t="str">
        <f>IF(PORTEFEUILLE_FREDERIQUE[[#This Row],[BONI COMPTABLE]]&lt;&gt;0,1,"")</f>
        <v/>
      </c>
      <c r="AW56" s="190" t="str">
        <f>IF(PORTEFEUILLE_FREDERIQUE[[#This Row],[MALI COMPTABLE]]&lt;&gt;0,1,"")</f>
        <v/>
      </c>
      <c r="AX56" s="194"/>
      <c r="AY56" s="188"/>
      <c r="AZ56" s="188"/>
      <c r="BA56" s="188"/>
      <c r="BB56" s="194"/>
      <c r="BC56" s="194"/>
      <c r="BD56" s="194"/>
      <c r="BE56" s="192"/>
      <c r="BF56" s="194"/>
      <c r="BG56" s="194"/>
      <c r="BH56" s="195"/>
      <c r="BI56" s="194"/>
    </row>
    <row r="57" spans="1:61" x14ac:dyDescent="0.25">
      <c r="A57" s="172"/>
      <c r="B57" s="185"/>
      <c r="C57" s="172"/>
      <c r="D57" s="172"/>
      <c r="E57" s="203"/>
      <c r="F57" s="194"/>
      <c r="G57" s="194"/>
      <c r="H57" s="189"/>
      <c r="I57" s="194"/>
      <c r="J57" s="194"/>
      <c r="K57" s="190" t="str">
        <f t="shared" si="0"/>
        <v/>
      </c>
      <c r="L57" s="190" t="str">
        <f t="shared" si="1"/>
        <v/>
      </c>
      <c r="M57" s="188"/>
      <c r="N57" s="188"/>
      <c r="O57" s="188"/>
      <c r="P57" s="188"/>
      <c r="Q57" s="188"/>
      <c r="R57" s="188"/>
      <c r="S57" s="217"/>
      <c r="T57" s="211"/>
      <c r="U57" s="223"/>
      <c r="V57" s="223"/>
      <c r="W57" s="223"/>
      <c r="X57" s="223"/>
      <c r="Y57" s="223"/>
      <c r="Z57" s="223"/>
      <c r="AA57" s="223"/>
      <c r="AB57" s="223"/>
      <c r="AC57" s="223"/>
      <c r="AD57" s="223"/>
      <c r="AE57" s="223"/>
      <c r="AF57" s="223"/>
      <c r="AG57" s="219"/>
      <c r="AH57" s="225">
        <f>SUM(PORTEFEUILLE_FREDERIQUE[[#This Row],[PCR COMPTABLE €]:[MONTANT
RESPONSABLE RELATION CLIENT €]])-PORTEFEUILLE_FREDERIQUE[[#This Row],[MONTANT TOTAL LETTRE DE MISION €]]</f>
        <v>0</v>
      </c>
      <c r="AI57" s="191"/>
      <c r="AJ57" s="188"/>
      <c r="AK57" s="188"/>
      <c r="AL57" s="194"/>
      <c r="AM57" s="194"/>
      <c r="AN57" s="194"/>
      <c r="AO57" s="194"/>
      <c r="AP57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Q57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R57" s="188" t="str">
        <f>IF(PORTEFEUILLE_FREDERIQUE[[#This Row],[BONI AAC]]&lt;&gt;0,1,"")</f>
        <v/>
      </c>
      <c r="AS57" s="188" t="str">
        <f>IF(PORTEFEUILLE_FREDERIQUE[[#This Row],[MALI AAC]]&lt;&gt;0,1,"")</f>
        <v/>
      </c>
      <c r="AT57" s="225">
        <f>IF(AN57&lt;&gt;"",IF((AN57*Paramètres!$H$4)-PORTEFEUILLE_FREDERIQUE[[#This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€]]-(DELPHINE!AN57*Paramètres!$H$4),0),0)</f>
        <v>0</v>
      </c>
      <c r="AU57" s="225">
        <f>IF(AN57&lt;&gt;"",IF(((AN57*Paramètres!$H$4)-PORTEFEUILLE_FREDERIQUE[[#This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€]])&gt;0,(AN57*Paramètres!$H$4)-PORTEFEUILLE_FREDERIQUE[[#This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V57" s="190" t="str">
        <f>IF(PORTEFEUILLE_FREDERIQUE[[#This Row],[BONI COMPTABLE]]&lt;&gt;0,1,"")</f>
        <v/>
      </c>
      <c r="AW57" s="190" t="str">
        <f>IF(PORTEFEUILLE_FREDERIQUE[[#This Row],[MALI COMPTABLE]]&lt;&gt;0,1,"")</f>
        <v/>
      </c>
      <c r="AX57" s="194"/>
      <c r="AY57" s="188"/>
      <c r="AZ57" s="188"/>
      <c r="BA57" s="188"/>
      <c r="BB57" s="194"/>
      <c r="BC57" s="194"/>
      <c r="BD57" s="194"/>
      <c r="BE57" s="192"/>
      <c r="BF57" s="194"/>
      <c r="BG57" s="194"/>
      <c r="BH57" s="195"/>
      <c r="BI57" s="194"/>
    </row>
    <row r="58" spans="1:61" x14ac:dyDescent="0.25">
      <c r="A58" s="172"/>
      <c r="B58" s="179"/>
      <c r="C58" s="176"/>
      <c r="D58" s="172"/>
      <c r="E58" s="203"/>
      <c r="F58" s="194"/>
      <c r="G58" s="194"/>
      <c r="H58" s="189"/>
      <c r="I58" s="194"/>
      <c r="J58" s="194"/>
      <c r="K58" s="190" t="str">
        <f t="shared" si="0"/>
        <v/>
      </c>
      <c r="L58" s="190" t="str">
        <f t="shared" si="1"/>
        <v/>
      </c>
      <c r="M58" s="188"/>
      <c r="N58" s="188"/>
      <c r="O58" s="188"/>
      <c r="P58" s="188"/>
      <c r="Q58" s="188"/>
      <c r="R58" s="188"/>
      <c r="S58" s="217"/>
      <c r="T58" s="211"/>
      <c r="U58" s="223"/>
      <c r="V58" s="223"/>
      <c r="W58" s="223"/>
      <c r="X58" s="223"/>
      <c r="Y58" s="223"/>
      <c r="Z58" s="223"/>
      <c r="AA58" s="223"/>
      <c r="AB58" s="223"/>
      <c r="AC58" s="223"/>
      <c r="AD58" s="223"/>
      <c r="AE58" s="223"/>
      <c r="AF58" s="223"/>
      <c r="AG58" s="219"/>
      <c r="AH58" s="225">
        <f>SUM(PORTEFEUILLE_FREDERIQUE[[#This Row],[PCR COMPTABLE €]:[MONTANT
RESPONSABLE RELATION CLIENT €]])-PORTEFEUILLE_FREDERIQUE[[#This Row],[MONTANT TOTAL LETTRE DE MISION €]]</f>
        <v>0</v>
      </c>
      <c r="AI58" s="191"/>
      <c r="AJ58" s="188"/>
      <c r="AK58" s="188"/>
      <c r="AL58" s="194"/>
      <c r="AM58" s="194"/>
      <c r="AN58" s="194"/>
      <c r="AO58" s="194"/>
      <c r="AP58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Q58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R58" s="188" t="str">
        <f>IF(PORTEFEUILLE_FREDERIQUE[[#This Row],[BONI AAC]]&lt;&gt;0,1,"")</f>
        <v/>
      </c>
      <c r="AS58" s="188" t="str">
        <f>IF(PORTEFEUILLE_FREDERIQUE[[#This Row],[MALI AAC]]&lt;&gt;0,1,"")</f>
        <v/>
      </c>
      <c r="AT58" s="225">
        <f>IF(AN58&lt;&gt;"",IF((AN58*Paramètres!$H$4)-PORTEFEUILLE_FREDERIQUE[[#This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€]]-(DELPHINE!AN58*Paramètres!$H$4),0),0)</f>
        <v>0</v>
      </c>
      <c r="AU58" s="225">
        <f>IF(AN58&lt;&gt;"",IF(((AN58*Paramètres!$H$4)-PORTEFEUILLE_FREDERIQUE[[#This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€]])&gt;0,(AN58*Paramètres!$H$4)-PORTEFEUILLE_FREDERIQUE[[#This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V58" s="190" t="str">
        <f>IF(PORTEFEUILLE_FREDERIQUE[[#This Row],[BONI COMPTABLE]]&lt;&gt;0,1,"")</f>
        <v/>
      </c>
      <c r="AW58" s="190" t="str">
        <f>IF(PORTEFEUILLE_FREDERIQUE[[#This Row],[MALI COMPTABLE]]&lt;&gt;0,1,"")</f>
        <v/>
      </c>
      <c r="AX58" s="194"/>
      <c r="AY58" s="188"/>
      <c r="AZ58" s="188"/>
      <c r="BA58" s="188"/>
      <c r="BB58" s="194"/>
      <c r="BC58" s="194"/>
      <c r="BD58" s="194"/>
      <c r="BE58" s="192"/>
      <c r="BF58" s="194"/>
      <c r="BG58" s="194"/>
      <c r="BH58" s="195"/>
      <c r="BI58" s="194"/>
    </row>
    <row r="59" spans="1:61" x14ac:dyDescent="0.25">
      <c r="A59" s="172"/>
      <c r="B59" s="179"/>
      <c r="C59" s="176"/>
      <c r="D59" s="172"/>
      <c r="E59" s="203"/>
      <c r="F59" s="194"/>
      <c r="G59" s="194"/>
      <c r="H59" s="189"/>
      <c r="I59" s="194"/>
      <c r="J59" s="194"/>
      <c r="K59" s="190" t="str">
        <f t="shared" si="0"/>
        <v/>
      </c>
      <c r="L59" s="190" t="str">
        <f t="shared" si="1"/>
        <v/>
      </c>
      <c r="M59" s="188"/>
      <c r="N59" s="188"/>
      <c r="O59" s="188"/>
      <c r="P59" s="188"/>
      <c r="Q59" s="188"/>
      <c r="R59" s="188"/>
      <c r="S59" s="217"/>
      <c r="T59" s="211"/>
      <c r="U59" s="223"/>
      <c r="V59" s="223"/>
      <c r="W59" s="223"/>
      <c r="X59" s="223"/>
      <c r="Y59" s="223"/>
      <c r="Z59" s="223"/>
      <c r="AA59" s="223"/>
      <c r="AB59" s="223"/>
      <c r="AC59" s="223"/>
      <c r="AD59" s="223"/>
      <c r="AE59" s="223"/>
      <c r="AF59" s="223"/>
      <c r="AG59" s="219"/>
      <c r="AH59" s="225">
        <f>SUM(PORTEFEUILLE_FREDERIQUE[[#This Row],[PCR COMPTABLE €]:[MONTANT
RESPONSABLE RELATION CLIENT €]])-PORTEFEUILLE_FREDERIQUE[[#This Row],[MONTANT TOTAL LETTRE DE MISION €]]</f>
        <v>0</v>
      </c>
      <c r="AI59" s="191"/>
      <c r="AJ59" s="188"/>
      <c r="AK59" s="188"/>
      <c r="AL59" s="194"/>
      <c r="AM59" s="194"/>
      <c r="AN59" s="194"/>
      <c r="AO59" s="194"/>
      <c r="AP59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Q59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R59" s="188" t="str">
        <f>IF(PORTEFEUILLE_FREDERIQUE[[#This Row],[BONI AAC]]&lt;&gt;0,1,"")</f>
        <v/>
      </c>
      <c r="AS59" s="188" t="str">
        <f>IF(PORTEFEUILLE_FREDERIQUE[[#This Row],[MALI AAC]]&lt;&gt;0,1,"")</f>
        <v/>
      </c>
      <c r="AT59" s="225">
        <f>IF(AN59&lt;&gt;"",IF((AN59*Paramètres!$H$4)-PORTEFEUILLE_FREDERIQUE[[#This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€]]-(DELPHINE!AN59*Paramètres!$H$4),0),0)</f>
        <v>0</v>
      </c>
      <c r="AU59" s="225">
        <f>IF(AN59&lt;&gt;"",IF(((AN59*Paramètres!$H$4)-PORTEFEUILLE_FREDERIQUE[[#This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€]])&gt;0,(AN59*Paramètres!$H$4)-PORTEFEUILLE_FREDERIQUE[[#This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V59" s="190" t="str">
        <f>IF(PORTEFEUILLE_FREDERIQUE[[#This Row],[BONI COMPTABLE]]&lt;&gt;0,1,"")</f>
        <v/>
      </c>
      <c r="AW59" s="190" t="str">
        <f>IF(PORTEFEUILLE_FREDERIQUE[[#This Row],[MALI COMPTABLE]]&lt;&gt;0,1,"")</f>
        <v/>
      </c>
      <c r="AX59" s="194"/>
      <c r="AY59" s="188"/>
      <c r="AZ59" s="188"/>
      <c r="BA59" s="188"/>
      <c r="BB59" s="194"/>
      <c r="BC59" s="194"/>
      <c r="BD59" s="194"/>
      <c r="BE59" s="192"/>
      <c r="BF59" s="194"/>
      <c r="BG59" s="194"/>
      <c r="BH59" s="195"/>
      <c r="BI59" s="194"/>
    </row>
    <row r="60" spans="1:61" x14ac:dyDescent="0.25">
      <c r="A60" s="186"/>
      <c r="B60" s="187"/>
      <c r="C60" s="186"/>
      <c r="D60" s="186"/>
      <c r="E60" s="204"/>
      <c r="F60" s="205"/>
      <c r="G60" s="205"/>
      <c r="H60" s="189"/>
      <c r="I60" s="205"/>
      <c r="J60" s="205"/>
      <c r="K60" s="190" t="str">
        <f t="shared" si="0"/>
        <v/>
      </c>
      <c r="L60" s="190" t="str">
        <f t="shared" si="1"/>
        <v/>
      </c>
      <c r="M60" s="188"/>
      <c r="N60" s="188"/>
      <c r="O60" s="188"/>
      <c r="P60" s="188"/>
      <c r="Q60" s="188"/>
      <c r="R60" s="188"/>
      <c r="S60" s="218"/>
      <c r="T60" s="212"/>
      <c r="U60" s="224"/>
      <c r="V60" s="224"/>
      <c r="W60" s="224"/>
      <c r="X60" s="224"/>
      <c r="Y60" s="224"/>
      <c r="Z60" s="224"/>
      <c r="AA60" s="224"/>
      <c r="AB60" s="224"/>
      <c r="AC60" s="224"/>
      <c r="AD60" s="224"/>
      <c r="AE60" s="224"/>
      <c r="AF60" s="224"/>
      <c r="AG60" s="219"/>
      <c r="AH60" s="225">
        <f>SUM(PORTEFEUILLE_FREDERIQUE[[#This Row],[PCR COMPTABLE €]:[MONTANT
RESPONSABLE RELATION CLIENT €]])-PORTEFEUILLE_FREDERIQUE[[#This Row],[MONTANT TOTAL LETTRE DE MISION €]]</f>
        <v>0</v>
      </c>
      <c r="AI60" s="191"/>
      <c r="AJ60" s="188"/>
      <c r="AK60" s="201"/>
      <c r="AL60" s="205"/>
      <c r="AM60" s="205"/>
      <c r="AN60" s="205"/>
      <c r="AO60" s="205"/>
      <c r="AP60" s="225">
        <f>IF(PORTEFEUILLE_FREDERIQUE[[#This Row],[TPS PASSE 
AAC H]]&lt;&gt;"",IF((PORTEFEUILLE_FREDERIQUE[[#This Row],[TPS PASSE 
AAC H]]*Paramètres!$I$4)&lt;(PORTEFEUILLE_FREDERIQUE[[#This Row],[SAISIE PAR UNE AAC €]]+PORTEFEUILLE_FREDERIQUE[[#This Row],[DECLARATION TVA AAC €]]),PORTEFEUILLE_FREDERIQUE[[#This Row],[SAISIE PAR UNE AAC €]]+PORTEFEUILLE_FREDERIQUE[[#This Row],[DECLARATION TVA AAC €]]-(PORTEFEUILLE_FREDERIQUE[[#This Row],[TPS PASSE 
AAC H]]*Paramètres!$I$4),0),0)</f>
        <v>0</v>
      </c>
      <c r="AQ60" s="225">
        <f>IF(PORTEFEUILLE_FREDERIQUE[[#This Row],[TPS PASSE 
AAC H]]&lt;&gt;"",IF((Paramètres!$I$4*PORTEFEUILLE_FREDERIQUE[[#This Row],[TPS PASSE 
AAC H]])&gt;(PORTEFEUILLE_FREDERIQUE[[#This Row],[SAISIE PAR UNE AAC €]]+PORTEFEUILLE_FREDERIQUE[[#This Row],[DECLARATION TVA AAC €]]),(PORTEFEUILLE_FREDERIQUE[[#This Row],[TPS PASSE 
AAC H]]*Paramètres!$I$4)-(PORTEFEUILLE_FREDERIQUE[[#This Row],[SAISIE PAR UNE AAC €]]+PORTEFEUILLE_FREDERIQUE[[#This Row],[DECLARATION TVA AAC €]]),0),0)</f>
        <v>0</v>
      </c>
      <c r="AR60" s="188" t="str">
        <f>IF(PORTEFEUILLE_FREDERIQUE[[#This Row],[BONI AAC]]&lt;&gt;0,1,"")</f>
        <v/>
      </c>
      <c r="AS60" s="188" t="str">
        <f>IF(PORTEFEUILLE_FREDERIQUE[[#This Row],[MALI AAC]]&lt;&gt;0,1,"")</f>
        <v/>
      </c>
      <c r="AT60" s="225">
        <f>IF(AN60&lt;&gt;"",IF((AN60*Paramètres!$H$4)-PORTEFEUILLE_FREDERIQUE[[#This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€]]&lt;0,PORTEFEUILLE_FREDERIQUE[[#This Row],[PCR COMPTABLE €]]+PORTEFEUILLE_FREDERIQUE[[#This Row],[RA FAIT PAR LE
COMPTABLE €]]+PORTEFEUILLE_FREDERIQUE[[#This Row],[AGOA COMPTABLE €]]+PORTEFEUILLE_FREDERIQUE[[#This Row],[SAISIE PAR LE COMPTABLE €]]+PORTEFEUILLE_FREDERIQUE[[#This Row],[TRAVAUX 
DE REVISION €]]+PORTEFEUILLE_FREDERIQUE[[#This Row],[DECLARATION TVA COMPTABLE €]]+PORTEFEUILLE_FREDERIQUE[[#This Row],[MONTANT
RESPONSABLE RELATION CLIENT €]]-(DELPHINE!AN60*Paramètres!$H$4),0),0)</f>
        <v>0</v>
      </c>
      <c r="AU60" s="225">
        <f>IF(AN60&lt;&gt;"",IF(((AN60*Paramètres!$H$4)-PORTEFEUILLE_FREDERIQUE[[#This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€]])&gt;0,(AN60*Paramètres!$H$4)-PORTEFEUILLE_FREDERIQUE[[#This Row],[PCR COMPTABLE €]]-PORTEFEUILLE_FREDERIQUE[[#This Row],[RA FAIT PAR LE
COMPTABLE €]]-PORTEFEUILLE_FREDERIQUE[[#This Row],[AGOA COMPTABLE €]]-PORTEFEUILLE_FREDERIQUE[[#This Row],[SAISIE PAR LE COMPTABLE €]]-PORTEFEUILLE_FREDERIQUE[[#This Row],[TRAVAUX 
DE REVISION €]]-PORTEFEUILLE_FREDERIQUE[[#This Row],[DECLARATION TVA COMPTABLE €]]-PORTEFEUILLE_FREDERIQUE[[#This Row],[MONTANT
RESPONSABLE RELATION CLIENT €]],0),0)</f>
        <v>0</v>
      </c>
      <c r="AV60" s="190" t="str">
        <f>IF(PORTEFEUILLE_FREDERIQUE[[#This Row],[BONI COMPTABLE]]&lt;&gt;0,1,"")</f>
        <v/>
      </c>
      <c r="AW60" s="190" t="str">
        <f>IF(PORTEFEUILLE_FREDERIQUE[[#This Row],[MALI COMPTABLE]]&lt;&gt;0,1,"")</f>
        <v/>
      </c>
      <c r="AX60" s="205"/>
      <c r="AY60" s="188"/>
      <c r="AZ60" s="188"/>
      <c r="BA60" s="188"/>
      <c r="BB60" s="205"/>
      <c r="BC60" s="205"/>
      <c r="BD60" s="205"/>
      <c r="BE60" s="192"/>
      <c r="BF60" s="205"/>
      <c r="BG60" s="205"/>
      <c r="BH60" s="206"/>
      <c r="BI60" s="205"/>
    </row>
    <row r="63" spans="1:61" x14ac:dyDescent="0.25">
      <c r="B63" s="89" t="s">
        <v>120</v>
      </c>
    </row>
    <row r="65" spans="2:50" x14ac:dyDescent="0.25">
      <c r="B65" s="274" t="s">
        <v>120</v>
      </c>
      <c r="C65" s="122"/>
      <c r="D65" s="122"/>
      <c r="E65" s="125" t="s">
        <v>112</v>
      </c>
      <c r="F65" s="121" t="s">
        <v>115</v>
      </c>
      <c r="G65" s="126" t="s">
        <v>118</v>
      </c>
      <c r="H65" s="127" t="s">
        <v>116</v>
      </c>
      <c r="I65" s="127" t="s">
        <v>136</v>
      </c>
      <c r="J65" s="128" t="s">
        <v>125</v>
      </c>
      <c r="K65" s="128" t="s">
        <v>110</v>
      </c>
      <c r="L65" s="128" t="s">
        <v>119</v>
      </c>
      <c r="M65" s="128" t="s">
        <v>126</v>
      </c>
      <c r="N65" s="128" t="s">
        <v>127</v>
      </c>
      <c r="O65" s="128" t="s">
        <v>128</v>
      </c>
      <c r="P65" s="128" t="s">
        <v>129</v>
      </c>
      <c r="Q65" s="128" t="s">
        <v>130</v>
      </c>
      <c r="R65" s="128" t="s">
        <v>137</v>
      </c>
      <c r="S65" s="128"/>
      <c r="T65" s="121"/>
      <c r="U65" s="164"/>
      <c r="V65" s="164"/>
      <c r="W65" s="164"/>
      <c r="X65" s="164"/>
      <c r="Y65" s="164"/>
      <c r="Z65" s="164"/>
      <c r="AA65" s="164"/>
      <c r="AB65" s="164"/>
      <c r="AC65" s="164"/>
      <c r="AE65" s="164"/>
      <c r="AF65" s="164"/>
      <c r="AG65" s="164"/>
      <c r="AH65" s="164"/>
      <c r="AI65" s="164"/>
      <c r="AJ65" s="164"/>
      <c r="AK65" s="164"/>
      <c r="AL65" s="164"/>
      <c r="AM65" s="164"/>
      <c r="AN65" s="164"/>
      <c r="AO65" s="164"/>
      <c r="AP65" s="164"/>
      <c r="AQ65" s="164"/>
      <c r="AR65" s="164"/>
      <c r="AS65" s="164"/>
      <c r="AT65" s="164"/>
      <c r="AU65" s="164"/>
      <c r="AV65" s="164"/>
      <c r="AW65" s="164"/>
      <c r="AX65" s="164"/>
    </row>
    <row r="66" spans="2:50" x14ac:dyDescent="0.25">
      <c r="B66" s="275"/>
      <c r="C66" s="120" t="s">
        <v>109</v>
      </c>
      <c r="D66" s="122">
        <f>COUNTIF($D$3:$D$60,"ACS")</f>
        <v>3</v>
      </c>
      <c r="E66" s="129">
        <f>+COUNTIF($F$3:$F$60,"SARL")</f>
        <v>1</v>
      </c>
      <c r="F66" s="121">
        <f>+COUNTIF($F$3:$F$60,"EURL")</f>
        <v>1</v>
      </c>
      <c r="G66" s="124">
        <f>COUNTIFS($F$3:$F$60,"SAS",$D$3:$D$60,"ACS")</f>
        <v>0</v>
      </c>
      <c r="H66" s="122">
        <f>COUNTIFS($F$3:$F$60,"INDIVIDUEL",$D$3:$D$60,"ACS")</f>
        <v>0</v>
      </c>
      <c r="I66" s="122">
        <f>COUNTIF($F$3:$F$60,"ASSOCIATION")</f>
        <v>0</v>
      </c>
      <c r="J66" s="122"/>
      <c r="K66" s="122">
        <f>COUNTIF($F$3:$F$60,"SNC")</f>
        <v>0</v>
      </c>
      <c r="L66" s="122">
        <f>+COUNTIF($F$3:$F$60,"SCI")</f>
        <v>0</v>
      </c>
      <c r="M66" s="130"/>
      <c r="N66" s="131"/>
      <c r="O66" s="132"/>
      <c r="P66" s="122">
        <f>+COUNTIF($F$3:$F$60,"GROUPEMENT")</f>
        <v>0</v>
      </c>
      <c r="Q66" s="121">
        <f>COUNTIF($F$3:$F$60,"EIRL")</f>
        <v>1</v>
      </c>
      <c r="R66" s="121">
        <f>COUNTIF($F$3:$F$60,"AUTRE")</f>
        <v>0</v>
      </c>
      <c r="S66" s="121"/>
      <c r="T66" s="122">
        <f>+SUM(E66:P66)</f>
        <v>2</v>
      </c>
      <c r="U66" s="164"/>
      <c r="V66" s="164"/>
      <c r="W66" s="164"/>
      <c r="X66" s="164"/>
      <c r="Y66" s="164"/>
      <c r="Z66" s="164"/>
      <c r="AA66" s="164"/>
      <c r="AB66" s="164"/>
      <c r="AC66" s="164"/>
      <c r="AE66" s="164"/>
      <c r="AF66" s="164"/>
      <c r="AG66" s="164"/>
      <c r="AH66" s="164"/>
      <c r="AI66" s="164"/>
      <c r="AJ66" s="164"/>
      <c r="AK66" s="164"/>
      <c r="AL66" s="164"/>
      <c r="AM66" s="164"/>
      <c r="AN66" s="164"/>
      <c r="AO66" s="164"/>
      <c r="AP66" s="164"/>
      <c r="AQ66" s="164"/>
      <c r="AR66" s="164"/>
      <c r="AS66" s="164"/>
      <c r="AT66" s="164"/>
      <c r="AU66" s="164"/>
      <c r="AV66" s="164"/>
      <c r="AW66" s="164"/>
      <c r="AX66" s="164"/>
    </row>
    <row r="67" spans="2:50" x14ac:dyDescent="0.25">
      <c r="B67" s="275"/>
      <c r="C67" s="120" t="s">
        <v>121</v>
      </c>
      <c r="D67" s="122">
        <f>COUNTIF($D$3:$D$60,"BNC")</f>
        <v>0</v>
      </c>
      <c r="E67" s="133"/>
      <c r="F67" s="121"/>
      <c r="G67" s="134"/>
      <c r="H67" s="135"/>
      <c r="I67" s="132"/>
      <c r="J67" s="122">
        <f>+COUNTIF($F$3:$F$60,"PROFESSION LIBERALE")</f>
        <v>0</v>
      </c>
      <c r="K67" s="122"/>
      <c r="L67" s="122"/>
      <c r="M67" s="122"/>
      <c r="N67" s="122"/>
      <c r="O67" s="122"/>
      <c r="P67" s="122"/>
      <c r="Q67" s="121"/>
      <c r="R67" s="121"/>
      <c r="S67" s="121"/>
      <c r="T67" s="122">
        <f>+SUM(E67:P67)</f>
        <v>0</v>
      </c>
      <c r="U67" s="164"/>
      <c r="V67" s="164"/>
      <c r="W67" s="164"/>
      <c r="X67" s="164"/>
      <c r="Y67" s="164"/>
      <c r="Z67" s="164"/>
      <c r="AA67" s="164"/>
      <c r="AB67" s="164"/>
      <c r="AC67" s="164"/>
      <c r="AE67" s="164"/>
      <c r="AF67" s="164"/>
      <c r="AG67" s="164"/>
      <c r="AH67" s="164"/>
      <c r="AI67" s="164"/>
      <c r="AJ67" s="164"/>
      <c r="AK67" s="164"/>
      <c r="AL67" s="164"/>
      <c r="AM67" s="164"/>
      <c r="AN67" s="164"/>
      <c r="AO67" s="164"/>
      <c r="AP67" s="164"/>
      <c r="AQ67" s="164"/>
      <c r="AR67" s="164"/>
      <c r="AS67" s="164"/>
      <c r="AT67" s="164"/>
      <c r="AU67" s="164"/>
      <c r="AV67" s="164"/>
      <c r="AW67" s="164"/>
      <c r="AX67" s="164"/>
    </row>
    <row r="68" spans="2:50" x14ac:dyDescent="0.25">
      <c r="B68" s="276"/>
      <c r="C68" s="122" t="s">
        <v>122</v>
      </c>
      <c r="D68" s="122">
        <f>COUNTIF($D$3:$D$60,"AGRI")</f>
        <v>0</v>
      </c>
      <c r="E68" s="129"/>
      <c r="F68" s="121"/>
      <c r="G68" s="124">
        <f>COUNTIFS($F$3:$F$60,"SAS",$D$3:$D$60,"AGRI")</f>
        <v>0</v>
      </c>
      <c r="H68" s="122">
        <f>COUNTIFS($F$3:$F$60,"INDIVIDUEL",$D$3:$D$60,"AGRI")</f>
        <v>0</v>
      </c>
      <c r="I68" s="122"/>
      <c r="J68" s="122"/>
      <c r="K68" s="122"/>
      <c r="L68" s="122"/>
      <c r="M68" s="122">
        <f>COUNTIF($F$5:$F$62,"EARL")</f>
        <v>0</v>
      </c>
      <c r="N68" s="122">
        <f>COUNTIF($F$5:$F$62,"ETA")</f>
        <v>0</v>
      </c>
      <c r="O68" s="122">
        <f>COUNTIF($F$5:$F$62,"SCEA")</f>
        <v>0</v>
      </c>
      <c r="P68" s="122"/>
      <c r="Q68" s="121"/>
      <c r="R68" s="121"/>
      <c r="S68" s="121"/>
      <c r="T68" s="122">
        <f>+SUM(E68:P68)</f>
        <v>0</v>
      </c>
      <c r="U68" s="164"/>
      <c r="V68" s="164"/>
      <c r="W68" s="164"/>
      <c r="X68" s="164"/>
      <c r="Y68" s="164"/>
      <c r="Z68" s="164"/>
      <c r="AA68" s="164"/>
      <c r="AB68" s="164"/>
      <c r="AC68" s="164"/>
      <c r="AE68" s="164"/>
      <c r="AF68" s="164"/>
      <c r="AG68" s="164"/>
      <c r="AH68" s="164"/>
      <c r="AI68" s="164"/>
      <c r="AJ68" s="164"/>
      <c r="AK68" s="164"/>
      <c r="AL68" s="164"/>
      <c r="AM68" s="164"/>
      <c r="AN68" s="164"/>
      <c r="AO68" s="164"/>
      <c r="AP68" s="164"/>
      <c r="AQ68" s="164"/>
      <c r="AR68" s="164"/>
      <c r="AS68" s="164"/>
      <c r="AT68" s="164"/>
      <c r="AU68" s="164"/>
      <c r="AV68" s="164"/>
      <c r="AW68" s="164"/>
      <c r="AX68" s="164"/>
    </row>
    <row r="69" spans="2:50" x14ac:dyDescent="0.25">
      <c r="B69" s="277" t="s">
        <v>123</v>
      </c>
      <c r="C69" s="277"/>
      <c r="D69" s="122">
        <f>+SUM(D66:D68)</f>
        <v>3</v>
      </c>
      <c r="E69" s="129">
        <f>+SUM(E66:E68)</f>
        <v>1</v>
      </c>
      <c r="F69" s="129">
        <f t="shared" ref="F69:R69" si="2">+SUM(F66:F68)</f>
        <v>1</v>
      </c>
      <c r="G69" s="129">
        <f t="shared" si="2"/>
        <v>0</v>
      </c>
      <c r="H69" s="129">
        <f t="shared" si="2"/>
        <v>0</v>
      </c>
      <c r="I69" s="129">
        <f t="shared" si="2"/>
        <v>0</v>
      </c>
      <c r="J69" s="129">
        <f t="shared" si="2"/>
        <v>0</v>
      </c>
      <c r="K69" s="129">
        <f t="shared" si="2"/>
        <v>0</v>
      </c>
      <c r="L69" s="129">
        <f t="shared" si="2"/>
        <v>0</v>
      </c>
      <c r="M69" s="129">
        <f t="shared" si="2"/>
        <v>0</v>
      </c>
      <c r="N69" s="129">
        <f t="shared" si="2"/>
        <v>0</v>
      </c>
      <c r="O69" s="129">
        <f t="shared" si="2"/>
        <v>0</v>
      </c>
      <c r="P69" s="129">
        <f t="shared" si="2"/>
        <v>0</v>
      </c>
      <c r="Q69" s="129">
        <f t="shared" si="2"/>
        <v>1</v>
      </c>
      <c r="R69" s="129">
        <f t="shared" si="2"/>
        <v>0</v>
      </c>
      <c r="S69" s="129"/>
      <c r="T69" s="122">
        <f>+SUM(T66:T68)</f>
        <v>2</v>
      </c>
      <c r="U69" s="164"/>
      <c r="V69" s="164"/>
      <c r="W69" s="164"/>
      <c r="X69" s="164"/>
      <c r="Y69" s="164"/>
      <c r="Z69" s="164"/>
      <c r="AA69" s="164"/>
      <c r="AB69" s="164"/>
      <c r="AC69" s="164"/>
      <c r="AE69" s="164"/>
      <c r="AF69" s="164"/>
      <c r="AG69" s="164"/>
      <c r="AH69" s="164"/>
      <c r="AI69" s="164"/>
      <c r="AJ69" s="164"/>
      <c r="AK69" s="164"/>
      <c r="AL69" s="164"/>
      <c r="AM69" s="164"/>
      <c r="AN69" s="164"/>
      <c r="AO69" s="164"/>
      <c r="AP69" s="164"/>
      <c r="AQ69" s="164"/>
      <c r="AR69" s="164"/>
      <c r="AS69" s="164"/>
      <c r="AT69" s="164"/>
      <c r="AU69" s="164"/>
      <c r="AV69" s="164"/>
      <c r="AW69" s="164"/>
      <c r="AX69" s="164"/>
    </row>
    <row r="70" spans="2:50" x14ac:dyDescent="0.25">
      <c r="B70" s="90"/>
      <c r="C70" s="90"/>
      <c r="D70" s="90"/>
      <c r="E70" s="90"/>
      <c r="G70" s="90"/>
      <c r="H70" s="90"/>
      <c r="I70" s="90"/>
      <c r="J70" s="90"/>
      <c r="K70" s="90"/>
      <c r="L70" s="90"/>
      <c r="M70" s="90"/>
      <c r="N70" s="90"/>
      <c r="O70" s="90"/>
      <c r="P70" s="90"/>
      <c r="T70" s="90"/>
      <c r="U70" s="164"/>
      <c r="V70" s="164"/>
      <c r="W70" s="164"/>
      <c r="X70" s="164"/>
      <c r="Y70" s="164"/>
      <c r="Z70" s="164"/>
      <c r="AA70" s="164"/>
      <c r="AB70" s="164"/>
      <c r="AC70" s="164"/>
      <c r="AE70" s="164"/>
      <c r="AF70" s="164"/>
      <c r="AG70" s="164"/>
      <c r="AH70" s="164"/>
      <c r="AI70" s="164"/>
      <c r="AJ70" s="164"/>
      <c r="AK70" s="164"/>
      <c r="AL70" s="164"/>
      <c r="AM70" s="164"/>
      <c r="AN70" s="164"/>
      <c r="AO70" s="164"/>
      <c r="AP70" s="164"/>
      <c r="AQ70" s="164"/>
      <c r="AR70" s="164"/>
      <c r="AS70" s="164"/>
      <c r="AT70" s="164"/>
      <c r="AU70" s="164"/>
      <c r="AV70" s="164"/>
      <c r="AW70" s="164"/>
      <c r="AX70" s="164"/>
    </row>
    <row r="71" spans="2:50" x14ac:dyDescent="0.25">
      <c r="B71" s="278">
        <v>44196</v>
      </c>
      <c r="C71" s="122"/>
      <c r="D71" s="122"/>
      <c r="E71" s="125" t="str">
        <f t="shared" ref="E71:R71" si="3">E65</f>
        <v>SARL</v>
      </c>
      <c r="F71" s="122" t="str">
        <f t="shared" si="3"/>
        <v>EURL</v>
      </c>
      <c r="G71" s="126" t="str">
        <f t="shared" si="3"/>
        <v>SAS</v>
      </c>
      <c r="H71" s="127" t="str">
        <f t="shared" si="3"/>
        <v>INDIVIDUEL</v>
      </c>
      <c r="I71" s="127" t="str">
        <f t="shared" si="3"/>
        <v>ASSOCIATION</v>
      </c>
      <c r="J71" s="128" t="str">
        <f t="shared" si="3"/>
        <v>PROFESSION LIBERALE</v>
      </c>
      <c r="K71" s="128" t="str">
        <f t="shared" si="3"/>
        <v>SNC</v>
      </c>
      <c r="L71" s="128" t="str">
        <f t="shared" si="3"/>
        <v>SCI</v>
      </c>
      <c r="M71" s="128" t="str">
        <f t="shared" si="3"/>
        <v>EARL</v>
      </c>
      <c r="N71" s="128" t="str">
        <f t="shared" si="3"/>
        <v>ETA</v>
      </c>
      <c r="O71" s="128" t="str">
        <f t="shared" si="3"/>
        <v>SCEA</v>
      </c>
      <c r="P71" s="128" t="str">
        <f t="shared" si="3"/>
        <v>GROUPEMENT</v>
      </c>
      <c r="Q71" s="122" t="str">
        <f t="shared" si="3"/>
        <v>EIRL</v>
      </c>
      <c r="R71" s="122" t="str">
        <f t="shared" si="3"/>
        <v>AUTRES</v>
      </c>
      <c r="S71" s="122"/>
      <c r="T71" s="128" t="s">
        <v>86</v>
      </c>
      <c r="U71" s="164"/>
      <c r="V71" s="164"/>
      <c r="W71" s="164"/>
      <c r="X71" s="164"/>
      <c r="Y71" s="164"/>
      <c r="Z71" s="164"/>
      <c r="AA71" s="164"/>
      <c r="AB71" s="164"/>
      <c r="AC71" s="164"/>
      <c r="AE71" s="164"/>
      <c r="AF71" s="164"/>
      <c r="AG71" s="164"/>
      <c r="AH71" s="164"/>
      <c r="AI71" s="164"/>
      <c r="AJ71" s="164"/>
      <c r="AK71" s="164"/>
      <c r="AL71" s="164"/>
      <c r="AM71" s="164"/>
      <c r="AN71" s="164"/>
      <c r="AO71" s="164"/>
      <c r="AP71" s="164"/>
      <c r="AQ71" s="164"/>
      <c r="AR71" s="164"/>
      <c r="AS71" s="164"/>
      <c r="AT71" s="164"/>
      <c r="AU71" s="164"/>
      <c r="AV71" s="164"/>
      <c r="AW71" s="164"/>
      <c r="AX71" s="164"/>
    </row>
    <row r="72" spans="2:50" x14ac:dyDescent="0.25">
      <c r="B72" s="275"/>
      <c r="C72" s="120" t="s">
        <v>109</v>
      </c>
      <c r="D72" s="122">
        <f>COUNTIFS($E$3:$E$60,DATE(Paramètres!A4,Paramètres!D15,Paramètres!C15),$D$3:$D$60,"ACS")</f>
        <v>3</v>
      </c>
      <c r="E72" s="129">
        <f>COUNTIFS($E$3:$E$60,DATE(Paramètres!A4,Paramètres!D15,Paramètres!C15),$F$3:$F$60,"SARL")</f>
        <v>1</v>
      </c>
      <c r="F72" s="122">
        <f>+COUNTIFS($E$3:$E$60,DATE(Paramètres!A4,Paramètres!D15,Paramètres!C15),$F$3:$F$60,"EURL")</f>
        <v>1</v>
      </c>
      <c r="G72" s="124">
        <f>COUNTIFS($E$3:$E$60,DATE(Paramètres!A4,Paramètres!D15,Paramètres!C15),$F$3:$F$60,"SAS",$D$3:$D$60,"ACS")</f>
        <v>0</v>
      </c>
      <c r="H72" s="122">
        <f>COUNTIFS($E$3:$E$60,DATE(Paramètres!A4,Paramètres!D15,Paramètres!C15),$F$3:$F$60,"INDIVIDUEL",$D$3:$D$60,"ACS")</f>
        <v>0</v>
      </c>
      <c r="I72" s="122">
        <f>+COUNTIFS($E$3:$E$60,DATE(Paramètres!A4,Paramètres!D15,Paramètres!C15),$F$3:$F$60,"ASSOCIATION")</f>
        <v>0</v>
      </c>
      <c r="J72" s="122"/>
      <c r="K72" s="122">
        <f>COUNTIFS($E$3:$E$60,DATE(Paramètres!A4,Paramètres!D15,Paramètres!C15),$F$3:$F$60,"SNC")</f>
        <v>0</v>
      </c>
      <c r="L72" s="122">
        <f>COUNTIFS($E$3:$E$60,DATE(Paramètres!A4,Paramètres!D15,Paramètres!C15),$F$3:$F$60,"SCI")</f>
        <v>0</v>
      </c>
      <c r="M72" s="130"/>
      <c r="N72" s="131"/>
      <c r="O72" s="132"/>
      <c r="P72" s="122">
        <f>COUNTIFS($E$3:$E$60,DATE(Paramètres!A4,Paramètres!D15,Paramètres!C15),$F$3:$F$60,"GROUPEMENT")</f>
        <v>0</v>
      </c>
      <c r="Q72" s="122">
        <f>+COUNTIFS($E$3:$E$60,DATE(Paramètres!A4,Paramètres!D15,Paramètres!C15),$F$3:$F$60,"EIRL")</f>
        <v>1</v>
      </c>
      <c r="R72" s="122">
        <f>+COUNTIFS($E$3:$E$60,DATE(Paramètres!B4,Paramètres!E15,Paramètres!D15),$F$3:$F$60,"AUTRES")</f>
        <v>0</v>
      </c>
      <c r="S72" s="122"/>
      <c r="T72" s="122">
        <f>+SUM(E72:P72)</f>
        <v>2</v>
      </c>
      <c r="U72" s="164"/>
      <c r="V72" s="164"/>
      <c r="W72" s="164"/>
      <c r="X72" s="164"/>
      <c r="Y72" s="164"/>
      <c r="Z72" s="164"/>
      <c r="AA72" s="164"/>
      <c r="AB72" s="164"/>
      <c r="AC72" s="164"/>
      <c r="AE72" s="164"/>
      <c r="AF72" s="164"/>
      <c r="AG72" s="164"/>
      <c r="AH72" s="164"/>
      <c r="AI72" s="164"/>
      <c r="AJ72" s="164"/>
      <c r="AK72" s="164"/>
      <c r="AL72" s="164"/>
      <c r="AM72" s="164"/>
      <c r="AN72" s="164"/>
      <c r="AO72" s="164"/>
      <c r="AP72" s="164"/>
      <c r="AQ72" s="164"/>
      <c r="AR72" s="164"/>
      <c r="AS72" s="164"/>
      <c r="AT72" s="164"/>
      <c r="AU72" s="164"/>
      <c r="AV72" s="164"/>
      <c r="AW72" s="164"/>
      <c r="AX72" s="164"/>
    </row>
    <row r="73" spans="2:50" x14ac:dyDescent="0.25">
      <c r="B73" s="275"/>
      <c r="C73" s="120" t="s">
        <v>121</v>
      </c>
      <c r="D73" s="122">
        <f>COUNTIFS($E$3:$E$60,DATE(Paramètres!A4,Paramètres!D15,Paramètres!C15),$D$3:$D$60,"BNC")</f>
        <v>0</v>
      </c>
      <c r="E73" s="133"/>
      <c r="F73" s="122"/>
      <c r="G73" s="134"/>
      <c r="H73" s="135"/>
      <c r="I73" s="132"/>
      <c r="J73" s="122">
        <f>COUNTIFS($E$3:$E$60,DATE(Paramètres!A4,Paramètres!D15,Paramètres!C15),$D$3:$D$60,"BNC")</f>
        <v>0</v>
      </c>
      <c r="K73" s="130"/>
      <c r="L73" s="131"/>
      <c r="M73" s="131"/>
      <c r="N73" s="131"/>
      <c r="O73" s="131"/>
      <c r="P73" s="132"/>
      <c r="Q73" s="122"/>
      <c r="R73" s="122"/>
      <c r="S73" s="122"/>
      <c r="T73" s="122">
        <f>+SUM(E73:P73)</f>
        <v>0</v>
      </c>
      <c r="U73" s="164"/>
      <c r="V73" s="164"/>
      <c r="W73" s="164"/>
      <c r="X73" s="164"/>
      <c r="Y73" s="164"/>
      <c r="Z73" s="164"/>
      <c r="AA73" s="164"/>
      <c r="AB73" s="164"/>
      <c r="AC73" s="164"/>
      <c r="AE73" s="164"/>
      <c r="AF73" s="164"/>
      <c r="AG73" s="164"/>
      <c r="AH73" s="164"/>
      <c r="AI73" s="164"/>
      <c r="AJ73" s="164"/>
      <c r="AK73" s="164"/>
      <c r="AL73" s="164"/>
      <c r="AM73" s="164"/>
      <c r="AN73" s="164"/>
      <c r="AO73" s="164"/>
      <c r="AP73" s="164"/>
      <c r="AQ73" s="164"/>
      <c r="AR73" s="164"/>
      <c r="AS73" s="164"/>
      <c r="AT73" s="164"/>
      <c r="AU73" s="164"/>
      <c r="AV73" s="164"/>
      <c r="AW73" s="164"/>
      <c r="AX73" s="164"/>
    </row>
    <row r="74" spans="2:50" x14ac:dyDescent="0.25">
      <c r="B74" s="276"/>
      <c r="C74" s="122" t="s">
        <v>122</v>
      </c>
      <c r="D74" s="122">
        <f>COUNTIFS($E$3:$E$60,DATE(Paramètres!A4,Paramètres!D15,Paramètres!C15),$D$3:$D$60,"AGRI")</f>
        <v>0</v>
      </c>
      <c r="E74" s="133"/>
      <c r="F74" s="122"/>
      <c r="G74" s="134">
        <f>COUNTIFS($E$3:$E$60,DATE(Paramètres!A4,Paramètres!D15,Paramètres!C15),$F$3:$F$60,"SAS",$D$3:$D$60,"AGRI")</f>
        <v>0</v>
      </c>
      <c r="H74" s="122">
        <f>COUNTIFS($E$3:$E$60,DATE(Paramètres!A4,Paramètres!D15,Paramètres!C15),$F$3:$F$60,"INDIVIDUEL",$D$3:$D$60,"AGRI")</f>
        <v>0</v>
      </c>
      <c r="I74" s="136"/>
      <c r="J74" s="131"/>
      <c r="K74" s="131"/>
      <c r="L74" s="132"/>
      <c r="M74" s="122">
        <f>COUNTIFS($E$3:$E$60,DATE(Paramètres!A4,Paramètres!D15,Paramètres!C15),$F$3:$F$60,"EARL")</f>
        <v>0</v>
      </c>
      <c r="N74" s="122">
        <f>COUNTIFS($E$3:$E$60,DATE(Paramètres!A4,Paramètres!D15,Paramètres!C15),$F$3:$F$60,"ETA")</f>
        <v>0</v>
      </c>
      <c r="O74" s="122">
        <f>COUNTIFS($E$3:$E$60,DATE(Paramètres!A4,Paramètres!D15,Paramètres!C15),$F$3:$F$60,"SCEA")</f>
        <v>0</v>
      </c>
      <c r="P74" s="122"/>
      <c r="Q74" s="122"/>
      <c r="R74" s="122"/>
      <c r="S74" s="122"/>
      <c r="T74" s="122">
        <f>+SUM(E74:P74)</f>
        <v>0</v>
      </c>
      <c r="U74" s="164"/>
      <c r="V74" s="164"/>
      <c r="W74" s="164"/>
      <c r="X74" s="164"/>
      <c r="Y74" s="164"/>
      <c r="Z74" s="164"/>
      <c r="AA74" s="164"/>
      <c r="AB74" s="164"/>
      <c r="AC74" s="164"/>
      <c r="AE74" s="164"/>
      <c r="AF74" s="164"/>
      <c r="AG74" s="164"/>
      <c r="AH74" s="164"/>
      <c r="AI74" s="164"/>
      <c r="AJ74" s="164"/>
      <c r="AK74" s="164"/>
      <c r="AL74" s="164"/>
      <c r="AM74" s="164"/>
      <c r="AN74" s="164"/>
      <c r="AO74" s="164"/>
      <c r="AP74" s="164"/>
      <c r="AQ74" s="164"/>
      <c r="AR74" s="164"/>
      <c r="AS74" s="164"/>
      <c r="AT74" s="164"/>
      <c r="AU74" s="164"/>
      <c r="AV74" s="164"/>
      <c r="AW74" s="164"/>
      <c r="AX74" s="164"/>
    </row>
    <row r="75" spans="2:50" x14ac:dyDescent="0.25">
      <c r="B75" s="277" t="s">
        <v>123</v>
      </c>
      <c r="C75" s="277"/>
      <c r="D75" s="122">
        <f>+SUM(D72:D74)</f>
        <v>3</v>
      </c>
      <c r="E75" s="129">
        <f>+SUM(E72:E74)</f>
        <v>1</v>
      </c>
      <c r="F75" s="129">
        <f>+SUM(F72:F74)</f>
        <v>1</v>
      </c>
      <c r="G75" s="124">
        <f>+SUM(G72:G74)</f>
        <v>0</v>
      </c>
      <c r="H75" s="122">
        <f>+SUM(H72:H74)</f>
        <v>0</v>
      </c>
      <c r="I75" s="122">
        <f t="shared" ref="I75:R75" si="4">+SUM(I72:I74)</f>
        <v>0</v>
      </c>
      <c r="J75" s="122">
        <f t="shared" si="4"/>
        <v>0</v>
      </c>
      <c r="K75" s="122">
        <f t="shared" si="4"/>
        <v>0</v>
      </c>
      <c r="L75" s="122">
        <f t="shared" si="4"/>
        <v>0</v>
      </c>
      <c r="M75" s="122">
        <f t="shared" si="4"/>
        <v>0</v>
      </c>
      <c r="N75" s="122">
        <f t="shared" si="4"/>
        <v>0</v>
      </c>
      <c r="O75" s="122">
        <f t="shared" si="4"/>
        <v>0</v>
      </c>
      <c r="P75" s="122">
        <f t="shared" si="4"/>
        <v>0</v>
      </c>
      <c r="Q75" s="122">
        <f t="shared" si="4"/>
        <v>1</v>
      </c>
      <c r="R75" s="122">
        <f t="shared" si="4"/>
        <v>0</v>
      </c>
      <c r="S75" s="122"/>
      <c r="T75" s="122">
        <f>+SUM(E75:R75)</f>
        <v>3</v>
      </c>
      <c r="U75" s="164"/>
      <c r="V75" s="164"/>
      <c r="W75" s="164"/>
      <c r="X75" s="164"/>
      <c r="Y75" s="164"/>
      <c r="Z75" s="164"/>
      <c r="AA75" s="164"/>
      <c r="AB75" s="164"/>
      <c r="AC75" s="164"/>
      <c r="AE75" s="164"/>
      <c r="AF75" s="164"/>
      <c r="AG75" s="164"/>
      <c r="AH75" s="164"/>
      <c r="AI75" s="164"/>
      <c r="AJ75" s="164"/>
      <c r="AK75" s="164"/>
      <c r="AL75" s="164"/>
      <c r="AM75" s="164"/>
      <c r="AN75" s="164"/>
      <c r="AO75" s="164"/>
      <c r="AP75" s="164"/>
      <c r="AQ75" s="164"/>
      <c r="AR75" s="164"/>
      <c r="AS75" s="164"/>
      <c r="AT75" s="164"/>
      <c r="AU75" s="164"/>
      <c r="AV75" s="164"/>
      <c r="AW75" s="164"/>
      <c r="AX75" s="164"/>
    </row>
    <row r="76" spans="2:50" x14ac:dyDescent="0.25">
      <c r="B76" s="90"/>
      <c r="C76" s="90"/>
      <c r="D76" s="90"/>
      <c r="E76" s="90"/>
      <c r="G76" s="90"/>
      <c r="H76" s="90"/>
      <c r="I76" s="90"/>
      <c r="J76" s="90"/>
      <c r="K76" s="90"/>
      <c r="L76" s="90"/>
      <c r="M76" s="90"/>
      <c r="N76" s="90"/>
      <c r="O76" s="90"/>
      <c r="P76" s="90"/>
      <c r="T76" s="90"/>
      <c r="U76" s="164"/>
      <c r="V76" s="164"/>
      <c r="W76" s="164"/>
      <c r="X76" s="164"/>
      <c r="Y76" s="164"/>
      <c r="Z76" s="164"/>
      <c r="AA76" s="164"/>
      <c r="AB76" s="164"/>
      <c r="AC76" s="164"/>
      <c r="AE76" s="164"/>
      <c r="AF76" s="164"/>
      <c r="AG76" s="164"/>
      <c r="AH76" s="164"/>
      <c r="AI76" s="164"/>
      <c r="AJ76" s="164"/>
      <c r="AK76" s="164"/>
      <c r="AL76" s="164"/>
      <c r="AM76" s="164"/>
      <c r="AN76" s="164"/>
      <c r="AO76" s="164"/>
      <c r="AP76" s="164"/>
      <c r="AQ76" s="164"/>
      <c r="AR76" s="164"/>
      <c r="AS76" s="164"/>
      <c r="AT76" s="164"/>
      <c r="AU76" s="164"/>
      <c r="AV76" s="164"/>
      <c r="AW76" s="164"/>
      <c r="AX76" s="164"/>
    </row>
    <row r="77" spans="2:50" x14ac:dyDescent="0.25">
      <c r="B77" s="278" t="s">
        <v>40</v>
      </c>
      <c r="C77" s="122"/>
      <c r="D77" s="122"/>
      <c r="E77" s="125" t="s">
        <v>112</v>
      </c>
      <c r="F77" s="121" t="s">
        <v>115</v>
      </c>
      <c r="G77" s="126" t="s">
        <v>118</v>
      </c>
      <c r="H77" s="127" t="s">
        <v>116</v>
      </c>
      <c r="I77" s="127" t="s">
        <v>124</v>
      </c>
      <c r="J77" s="128" t="s">
        <v>125</v>
      </c>
      <c r="K77" s="128" t="s">
        <v>110</v>
      </c>
      <c r="L77" s="128" t="s">
        <v>119</v>
      </c>
      <c r="M77" s="128" t="s">
        <v>126</v>
      </c>
      <c r="N77" s="128" t="s">
        <v>127</v>
      </c>
      <c r="O77" s="128" t="s">
        <v>128</v>
      </c>
      <c r="P77" s="128" t="s">
        <v>129</v>
      </c>
      <c r="Q77" s="128" t="s">
        <v>130</v>
      </c>
      <c r="R77" s="128" t="s">
        <v>131</v>
      </c>
      <c r="S77" s="128"/>
      <c r="T77" s="128" t="s">
        <v>86</v>
      </c>
      <c r="U77" s="164"/>
      <c r="V77" s="164"/>
      <c r="W77" s="164"/>
      <c r="X77" s="164"/>
      <c r="Y77" s="164"/>
      <c r="Z77" s="164"/>
      <c r="AA77" s="164"/>
      <c r="AB77" s="164"/>
      <c r="AC77" s="164"/>
      <c r="AE77" s="164"/>
      <c r="AF77" s="164"/>
      <c r="AG77" s="164"/>
      <c r="AH77" s="164"/>
      <c r="AI77" s="164"/>
      <c r="AJ77" s="164"/>
      <c r="AK77" s="164"/>
      <c r="AL77" s="164"/>
      <c r="AM77" s="164"/>
      <c r="AN77" s="164"/>
      <c r="AO77" s="164"/>
      <c r="AP77" s="164"/>
      <c r="AQ77" s="164"/>
      <c r="AR77" s="164"/>
      <c r="AS77" s="164"/>
      <c r="AT77" s="164"/>
      <c r="AU77" s="164"/>
      <c r="AV77" s="164"/>
      <c r="AW77" s="164"/>
      <c r="AX77" s="164"/>
    </row>
    <row r="78" spans="2:50" x14ac:dyDescent="0.25">
      <c r="B78" s="275"/>
      <c r="C78" s="120" t="s">
        <v>109</v>
      </c>
      <c r="D78" s="122">
        <f>+D66-D72</f>
        <v>0</v>
      </c>
      <c r="E78" s="122">
        <f>+E66-E72</f>
        <v>0</v>
      </c>
      <c r="F78" s="122">
        <f t="shared" ref="F78:R78" si="5">+F66-F72</f>
        <v>0</v>
      </c>
      <c r="G78" s="122">
        <f t="shared" si="5"/>
        <v>0</v>
      </c>
      <c r="H78" s="122">
        <f t="shared" si="5"/>
        <v>0</v>
      </c>
      <c r="I78" s="122">
        <f t="shared" si="5"/>
        <v>0</v>
      </c>
      <c r="J78" s="122">
        <f t="shared" si="5"/>
        <v>0</v>
      </c>
      <c r="K78" s="122">
        <f t="shared" si="5"/>
        <v>0</v>
      </c>
      <c r="L78" s="122">
        <f t="shared" si="5"/>
        <v>0</v>
      </c>
      <c r="M78" s="122">
        <f t="shared" si="5"/>
        <v>0</v>
      </c>
      <c r="N78" s="122">
        <f t="shared" si="5"/>
        <v>0</v>
      </c>
      <c r="O78" s="122">
        <f t="shared" si="5"/>
        <v>0</v>
      </c>
      <c r="P78" s="122">
        <f t="shared" si="5"/>
        <v>0</v>
      </c>
      <c r="Q78" s="122">
        <f t="shared" si="5"/>
        <v>0</v>
      </c>
      <c r="R78" s="122">
        <f t="shared" si="5"/>
        <v>0</v>
      </c>
      <c r="S78" s="122"/>
      <c r="T78" s="122">
        <f>+SUM(E78:P78)</f>
        <v>0</v>
      </c>
      <c r="U78" s="164"/>
      <c r="V78" s="164"/>
      <c r="W78" s="164"/>
      <c r="X78" s="164"/>
      <c r="Y78" s="164"/>
      <c r="Z78" s="164"/>
      <c r="AA78" s="164"/>
      <c r="AB78" s="164"/>
      <c r="AC78" s="164"/>
      <c r="AE78" s="164"/>
      <c r="AF78" s="164"/>
      <c r="AG78" s="164"/>
      <c r="AH78" s="164"/>
      <c r="AI78" s="164"/>
      <c r="AJ78" s="164"/>
      <c r="AK78" s="164"/>
      <c r="AL78" s="164"/>
      <c r="AM78" s="164"/>
      <c r="AN78" s="164"/>
      <c r="AO78" s="164"/>
      <c r="AP78" s="164"/>
      <c r="AQ78" s="164"/>
      <c r="AR78" s="164"/>
      <c r="AS78" s="164"/>
      <c r="AT78" s="164"/>
      <c r="AU78" s="164"/>
      <c r="AV78" s="164"/>
      <c r="AW78" s="164"/>
      <c r="AX78" s="164"/>
    </row>
    <row r="79" spans="2:50" x14ac:dyDescent="0.25">
      <c r="B79" s="275"/>
      <c r="C79" s="120" t="s">
        <v>121</v>
      </c>
      <c r="D79" s="122">
        <f>+D67-D73</f>
        <v>0</v>
      </c>
      <c r="E79" s="122">
        <f t="shared" ref="E79:R81" si="6">+E67-E73</f>
        <v>0</v>
      </c>
      <c r="F79" s="122">
        <f t="shared" si="6"/>
        <v>0</v>
      </c>
      <c r="G79" s="122">
        <f t="shared" si="6"/>
        <v>0</v>
      </c>
      <c r="H79" s="122">
        <f t="shared" si="6"/>
        <v>0</v>
      </c>
      <c r="I79" s="122">
        <f t="shared" si="6"/>
        <v>0</v>
      </c>
      <c r="J79" s="122">
        <f t="shared" si="6"/>
        <v>0</v>
      </c>
      <c r="K79" s="122">
        <f t="shared" si="6"/>
        <v>0</v>
      </c>
      <c r="L79" s="122">
        <f t="shared" si="6"/>
        <v>0</v>
      </c>
      <c r="M79" s="122">
        <f t="shared" si="6"/>
        <v>0</v>
      </c>
      <c r="N79" s="122">
        <f t="shared" si="6"/>
        <v>0</v>
      </c>
      <c r="O79" s="122">
        <f t="shared" si="6"/>
        <v>0</v>
      </c>
      <c r="P79" s="122">
        <f t="shared" si="6"/>
        <v>0</v>
      </c>
      <c r="Q79" s="122">
        <f t="shared" si="6"/>
        <v>0</v>
      </c>
      <c r="R79" s="122">
        <f t="shared" si="6"/>
        <v>0</v>
      </c>
      <c r="S79" s="122"/>
      <c r="T79" s="122">
        <f>+SUM(E79:P79)</f>
        <v>0</v>
      </c>
      <c r="U79" s="164"/>
      <c r="V79" s="164"/>
      <c r="W79" s="164"/>
      <c r="X79" s="164"/>
      <c r="Y79" s="164"/>
      <c r="Z79" s="164"/>
      <c r="AA79" s="164"/>
      <c r="AB79" s="164"/>
      <c r="AC79" s="164"/>
      <c r="AE79" s="164"/>
      <c r="AF79" s="164"/>
      <c r="AG79" s="164"/>
      <c r="AH79" s="164"/>
      <c r="AI79" s="164"/>
      <c r="AJ79" s="164"/>
      <c r="AK79" s="164"/>
      <c r="AL79" s="164"/>
      <c r="AM79" s="164"/>
      <c r="AN79" s="164"/>
      <c r="AO79" s="164"/>
      <c r="AP79" s="164"/>
      <c r="AQ79" s="164"/>
      <c r="AR79" s="164"/>
      <c r="AS79" s="164"/>
      <c r="AT79" s="164"/>
      <c r="AU79" s="164"/>
      <c r="AV79" s="164"/>
      <c r="AW79" s="164"/>
      <c r="AX79" s="164"/>
    </row>
    <row r="80" spans="2:50" x14ac:dyDescent="0.25">
      <c r="B80" s="276"/>
      <c r="C80" s="122" t="s">
        <v>122</v>
      </c>
      <c r="D80" s="122">
        <f>+D68-D74</f>
        <v>0</v>
      </c>
      <c r="E80" s="122">
        <f t="shared" si="6"/>
        <v>0</v>
      </c>
      <c r="F80" s="122">
        <f t="shared" si="6"/>
        <v>0</v>
      </c>
      <c r="G80" s="122">
        <f t="shared" si="6"/>
        <v>0</v>
      </c>
      <c r="H80" s="122">
        <f t="shared" si="6"/>
        <v>0</v>
      </c>
      <c r="I80" s="122">
        <f t="shared" si="6"/>
        <v>0</v>
      </c>
      <c r="J80" s="122">
        <f t="shared" si="6"/>
        <v>0</v>
      </c>
      <c r="K80" s="122">
        <f t="shared" si="6"/>
        <v>0</v>
      </c>
      <c r="L80" s="122">
        <f t="shared" si="6"/>
        <v>0</v>
      </c>
      <c r="M80" s="122">
        <f t="shared" si="6"/>
        <v>0</v>
      </c>
      <c r="N80" s="122">
        <f t="shared" si="6"/>
        <v>0</v>
      </c>
      <c r="O80" s="122">
        <f t="shared" si="6"/>
        <v>0</v>
      </c>
      <c r="P80" s="122">
        <f t="shared" si="6"/>
        <v>0</v>
      </c>
      <c r="Q80" s="122">
        <f t="shared" si="6"/>
        <v>0</v>
      </c>
      <c r="R80" s="122">
        <f t="shared" si="6"/>
        <v>0</v>
      </c>
      <c r="S80" s="122"/>
      <c r="T80" s="122">
        <f>+SUM(E80:P80)</f>
        <v>0</v>
      </c>
      <c r="U80" s="164"/>
      <c r="V80" s="164"/>
      <c r="W80" s="164"/>
      <c r="X80" s="164"/>
      <c r="Y80" s="164"/>
      <c r="Z80" s="164"/>
      <c r="AA80" s="164"/>
      <c r="AB80" s="164"/>
      <c r="AC80" s="164"/>
      <c r="AE80" s="164"/>
      <c r="AF80" s="164"/>
      <c r="AG80" s="164"/>
      <c r="AH80" s="164"/>
      <c r="AI80" s="164"/>
      <c r="AJ80" s="164"/>
      <c r="AK80" s="164"/>
      <c r="AL80" s="164"/>
      <c r="AM80" s="164"/>
      <c r="AN80" s="164"/>
      <c r="AO80" s="164"/>
      <c r="AP80" s="164"/>
      <c r="AQ80" s="164"/>
      <c r="AR80" s="164"/>
      <c r="AS80" s="164"/>
      <c r="AT80" s="164"/>
      <c r="AU80" s="164"/>
      <c r="AV80" s="164"/>
      <c r="AW80" s="164"/>
      <c r="AX80" s="164"/>
    </row>
    <row r="81" spans="2:50" x14ac:dyDescent="0.25">
      <c r="B81" s="277" t="s">
        <v>123</v>
      </c>
      <c r="C81" s="277"/>
      <c r="D81" s="122">
        <f>+D69-D75</f>
        <v>0</v>
      </c>
      <c r="E81" s="122">
        <f t="shared" si="6"/>
        <v>0</v>
      </c>
      <c r="F81" s="122">
        <f t="shared" si="6"/>
        <v>0</v>
      </c>
      <c r="G81" s="122">
        <f t="shared" si="6"/>
        <v>0</v>
      </c>
      <c r="H81" s="122">
        <f t="shared" si="6"/>
        <v>0</v>
      </c>
      <c r="I81" s="122">
        <f t="shared" si="6"/>
        <v>0</v>
      </c>
      <c r="J81" s="122">
        <f t="shared" si="6"/>
        <v>0</v>
      </c>
      <c r="K81" s="122">
        <f t="shared" si="6"/>
        <v>0</v>
      </c>
      <c r="L81" s="122">
        <f t="shared" si="6"/>
        <v>0</v>
      </c>
      <c r="M81" s="122">
        <f t="shared" si="6"/>
        <v>0</v>
      </c>
      <c r="N81" s="122">
        <f t="shared" si="6"/>
        <v>0</v>
      </c>
      <c r="O81" s="122">
        <f t="shared" si="6"/>
        <v>0</v>
      </c>
      <c r="P81" s="122">
        <f t="shared" si="6"/>
        <v>0</v>
      </c>
      <c r="Q81" s="122">
        <f t="shared" si="6"/>
        <v>0</v>
      </c>
      <c r="R81" s="122">
        <f t="shared" si="6"/>
        <v>0</v>
      </c>
      <c r="S81" s="122"/>
      <c r="T81" s="122">
        <f>+SUM(T78:T80)</f>
        <v>0</v>
      </c>
      <c r="U81" s="164"/>
      <c r="V81" s="164"/>
      <c r="W81" s="164"/>
      <c r="X81" s="164"/>
      <c r="Y81" s="164"/>
      <c r="Z81" s="164"/>
      <c r="AA81" s="164"/>
      <c r="AB81" s="164"/>
      <c r="AC81" s="164"/>
      <c r="AE81" s="164"/>
      <c r="AF81" s="164"/>
      <c r="AG81" s="164"/>
      <c r="AH81" s="164"/>
      <c r="AI81" s="164"/>
      <c r="AJ81" s="164"/>
      <c r="AK81" s="164"/>
      <c r="AL81" s="164"/>
      <c r="AM81" s="164"/>
      <c r="AN81" s="164"/>
      <c r="AO81" s="164"/>
      <c r="AP81" s="164"/>
      <c r="AQ81" s="164"/>
      <c r="AR81" s="164"/>
      <c r="AS81" s="164"/>
      <c r="AT81" s="164"/>
      <c r="AU81" s="164"/>
      <c r="AV81" s="164"/>
      <c r="AW81" s="164"/>
      <c r="AX81" s="164"/>
    </row>
    <row r="82" spans="2:50" x14ac:dyDescent="0.25">
      <c r="U82" s="164"/>
      <c r="V82" s="164"/>
      <c r="W82" s="164"/>
      <c r="X82" s="164"/>
      <c r="Y82" s="164"/>
      <c r="Z82" s="164"/>
      <c r="AA82" s="164"/>
      <c r="AB82" s="164"/>
      <c r="AC82" s="164"/>
      <c r="AE82" s="164"/>
      <c r="AF82" s="164"/>
      <c r="AG82" s="164"/>
      <c r="AH82" s="164"/>
      <c r="AI82" s="164"/>
      <c r="AJ82" s="164"/>
      <c r="AK82" s="164"/>
      <c r="AL82" s="164"/>
      <c r="AM82" s="164"/>
      <c r="AN82" s="164"/>
      <c r="AO82" s="164"/>
      <c r="AP82" s="164"/>
      <c r="AQ82" s="164"/>
      <c r="AR82" s="164"/>
      <c r="AS82" s="164"/>
      <c r="AT82" s="164"/>
      <c r="AU82" s="164"/>
      <c r="AV82" s="164"/>
      <c r="AW82" s="164"/>
      <c r="AX82" s="164"/>
    </row>
    <row r="83" spans="2:50" x14ac:dyDescent="0.25">
      <c r="B83" s="137" t="s">
        <v>132</v>
      </c>
      <c r="C83" s="137"/>
      <c r="D83" s="137"/>
      <c r="E83" s="137"/>
      <c r="F83" s="137"/>
      <c r="G83" s="137"/>
      <c r="H83" s="137"/>
      <c r="I83" s="137"/>
      <c r="J83" s="137"/>
      <c r="K83" s="137"/>
      <c r="L83" s="137"/>
      <c r="M83" s="137"/>
      <c r="N83" s="137"/>
      <c r="O83" s="137"/>
      <c r="P83" s="137"/>
      <c r="Q83" s="137"/>
      <c r="R83" s="138"/>
      <c r="S83" s="139"/>
      <c r="T83" s="137"/>
      <c r="U83" s="164"/>
      <c r="V83" s="164"/>
      <c r="W83" s="164"/>
      <c r="X83" s="164"/>
      <c r="Y83" s="164"/>
      <c r="Z83" s="164"/>
      <c r="AA83" s="164"/>
      <c r="AB83" s="164"/>
      <c r="AC83" s="164"/>
      <c r="AE83" s="164"/>
      <c r="AF83" s="164"/>
      <c r="AG83" s="164"/>
      <c r="AH83" s="164"/>
      <c r="AI83" s="164"/>
      <c r="AJ83" s="164"/>
      <c r="AK83" s="164"/>
      <c r="AL83" s="164"/>
      <c r="AM83" s="164"/>
      <c r="AN83" s="164"/>
      <c r="AO83" s="164"/>
      <c r="AP83" s="164"/>
      <c r="AQ83" s="164"/>
      <c r="AR83" s="164"/>
      <c r="AS83" s="164"/>
      <c r="AT83" s="164"/>
      <c r="AU83" s="164"/>
      <c r="AV83" s="164"/>
      <c r="AW83" s="164"/>
      <c r="AX83" s="164"/>
    </row>
    <row r="84" spans="2:50" x14ac:dyDescent="0.25">
      <c r="B84" s="279" t="s">
        <v>120</v>
      </c>
      <c r="C84" s="138"/>
      <c r="D84" s="138"/>
      <c r="E84" s="140" t="str">
        <f t="shared" ref="E84:R84" si="7">E65</f>
        <v>SARL</v>
      </c>
      <c r="F84" s="138" t="str">
        <f t="shared" si="7"/>
        <v>EURL</v>
      </c>
      <c r="G84" s="141" t="str">
        <f t="shared" si="7"/>
        <v>SAS</v>
      </c>
      <c r="H84" s="142" t="str">
        <f t="shared" si="7"/>
        <v>INDIVIDUEL</v>
      </c>
      <c r="I84" s="142" t="str">
        <f t="shared" si="7"/>
        <v>ASSOCIATION</v>
      </c>
      <c r="J84" s="240" t="str">
        <f t="shared" si="7"/>
        <v>PROFESSION LIBERALE</v>
      </c>
      <c r="K84" s="240" t="str">
        <f t="shared" si="7"/>
        <v>SNC</v>
      </c>
      <c r="L84" s="240" t="str">
        <f t="shared" si="7"/>
        <v>SCI</v>
      </c>
      <c r="M84" s="240" t="str">
        <f t="shared" si="7"/>
        <v>EARL</v>
      </c>
      <c r="N84" s="240" t="str">
        <f t="shared" si="7"/>
        <v>ETA</v>
      </c>
      <c r="O84" s="240" t="str">
        <f t="shared" si="7"/>
        <v>SCEA</v>
      </c>
      <c r="P84" s="240" t="str">
        <f t="shared" si="7"/>
        <v>GROUPEMENT</v>
      </c>
      <c r="Q84" s="240" t="str">
        <f t="shared" si="7"/>
        <v>EIRL</v>
      </c>
      <c r="R84" s="240" t="str">
        <f t="shared" si="7"/>
        <v>AUTRES</v>
      </c>
      <c r="S84" s="144"/>
      <c r="T84" s="145" t="s">
        <v>86</v>
      </c>
      <c r="U84" s="164"/>
      <c r="V84" s="164"/>
      <c r="W84" s="164"/>
      <c r="X84" s="164"/>
      <c r="Y84" s="164"/>
      <c r="Z84" s="164"/>
      <c r="AA84" s="164"/>
      <c r="AB84" s="164"/>
      <c r="AC84" s="164"/>
      <c r="AE84" s="164"/>
      <c r="AF84" s="164"/>
      <c r="AG84" s="164"/>
      <c r="AH84" s="164"/>
      <c r="AI84" s="164"/>
      <c r="AJ84" s="164"/>
      <c r="AK84" s="164"/>
      <c r="AL84" s="164"/>
      <c r="AM84" s="164"/>
      <c r="AN84" s="164"/>
      <c r="AO84" s="164"/>
      <c r="AP84" s="164"/>
      <c r="AQ84" s="164"/>
      <c r="AR84" s="164"/>
      <c r="AS84" s="164"/>
      <c r="AT84" s="164"/>
      <c r="AU84" s="164"/>
      <c r="AV84" s="164"/>
      <c r="AW84" s="164"/>
      <c r="AX84" s="164"/>
    </row>
    <row r="85" spans="2:50" x14ac:dyDescent="0.25">
      <c r="B85" s="280"/>
      <c r="C85" s="146" t="s">
        <v>109</v>
      </c>
      <c r="D85" s="138">
        <f>COUNTIFS($I$3:$I$60,"&lt;&gt;",$D$3:$D$60,"ACS")</f>
        <v>2</v>
      </c>
      <c r="E85" s="147">
        <f>+COUNTIFS($I$3:$I$60,"&lt;&gt;",$F$3:$F$60,"SARL")</f>
        <v>1</v>
      </c>
      <c r="F85" s="138">
        <f>+COUNTIFS($I3:$I60,"&lt;&gt;",$F$3:$F$60,"EURL")</f>
        <v>1</v>
      </c>
      <c r="G85" s="148">
        <f>COUNTIFS($I$3:$I$60,"&lt;&gt;",$F$3:$F$60,"SAS",$D$3:$D$60,"ACS")</f>
        <v>0</v>
      </c>
      <c r="H85" s="138">
        <f>COUNTIFS($I$3:$I$60,"&lt;&gt;",$F$3:$F$60,"INDIVIDUEL",$D$3:$D$60,"ACS")</f>
        <v>0</v>
      </c>
      <c r="I85" s="138">
        <f>COUNTIFS($I$3:$I$60,"&lt;&gt;",$F$3:$F$60,"ASSOCIATION")</f>
        <v>0</v>
      </c>
      <c r="J85" s="138"/>
      <c r="K85" s="138">
        <f>COUNTIFS($I$3:$I$60,"&lt;&gt;",$F$3:$F$60,"SNC")</f>
        <v>0</v>
      </c>
      <c r="L85" s="138">
        <f>COUNTIFS($I$3:$I$60,"&lt;&gt;",$F$3:$F$60,"SCI")</f>
        <v>0</v>
      </c>
      <c r="M85" s="149"/>
      <c r="N85" s="150"/>
      <c r="O85" s="151"/>
      <c r="P85" s="138">
        <f>COUNTIFS($I$3:$I$60,"&lt;&gt;",$F$3:$F$60,"GROUPEMENT")</f>
        <v>0</v>
      </c>
      <c r="Q85" s="152">
        <f>COUNTIFS($I$3:$I$60,"&lt;&gt;",$F$3:$F$60,"EIRL")</f>
        <v>0</v>
      </c>
      <c r="R85" s="138">
        <f>COUNTIFS($I$3:$I$60,"&lt;&gt;",$F$3:$F$60,"AUTRES")</f>
        <v>0</v>
      </c>
      <c r="S85" s="148"/>
      <c r="T85" s="148">
        <f>+SUM(E85:P85)</f>
        <v>2</v>
      </c>
      <c r="U85" s="164"/>
      <c r="V85" s="164"/>
      <c r="W85" s="164"/>
      <c r="X85" s="164"/>
      <c r="Y85" s="164"/>
      <c r="Z85" s="164"/>
      <c r="AA85" s="164"/>
      <c r="AB85" s="164"/>
      <c r="AC85" s="164"/>
      <c r="AE85" s="164"/>
      <c r="AF85" s="164"/>
      <c r="AG85" s="164"/>
      <c r="AH85" s="164"/>
      <c r="AI85" s="164"/>
      <c r="AJ85" s="164"/>
      <c r="AK85" s="164"/>
      <c r="AL85" s="164"/>
      <c r="AM85" s="164"/>
      <c r="AN85" s="164"/>
      <c r="AO85" s="164"/>
      <c r="AP85" s="164"/>
      <c r="AQ85" s="164"/>
      <c r="AR85" s="164"/>
      <c r="AS85" s="164"/>
      <c r="AT85" s="164"/>
      <c r="AU85" s="164"/>
      <c r="AV85" s="164"/>
      <c r="AW85" s="164"/>
      <c r="AX85" s="164"/>
    </row>
    <row r="86" spans="2:50" x14ac:dyDescent="0.25">
      <c r="B86" s="280"/>
      <c r="C86" s="146" t="s">
        <v>121</v>
      </c>
      <c r="D86" s="138">
        <f>COUNTIFS($I$3:$I$60,"&lt;&gt;",$D$3:$D$60,"BNC")</f>
        <v>0</v>
      </c>
      <c r="E86" s="153"/>
      <c r="F86" s="138"/>
      <c r="G86" s="154"/>
      <c r="H86" s="155"/>
      <c r="I86" s="151"/>
      <c r="J86" s="138">
        <f>COUNTIFS($I$3:$I$60,"&lt;&gt;",$D$3:$D$60,"BNC")</f>
        <v>0</v>
      </c>
      <c r="K86" s="138"/>
      <c r="L86" s="138"/>
      <c r="M86" s="138"/>
      <c r="N86" s="138"/>
      <c r="O86" s="138"/>
      <c r="P86" s="138"/>
      <c r="Q86" s="152"/>
      <c r="R86" s="138"/>
      <c r="S86" s="148"/>
      <c r="T86" s="148">
        <f>+SUM(E86:P86)</f>
        <v>0</v>
      </c>
      <c r="U86" s="164"/>
      <c r="V86" s="164"/>
      <c r="W86" s="164"/>
      <c r="X86" s="164"/>
      <c r="Y86" s="164"/>
      <c r="Z86" s="164"/>
      <c r="AA86" s="164"/>
      <c r="AB86" s="164"/>
      <c r="AC86" s="164"/>
      <c r="AE86" s="164"/>
      <c r="AF86" s="164"/>
      <c r="AG86" s="164"/>
      <c r="AH86" s="164"/>
      <c r="AI86" s="164"/>
      <c r="AJ86" s="164"/>
      <c r="AK86" s="164"/>
      <c r="AL86" s="164"/>
      <c r="AM86" s="164"/>
      <c r="AN86" s="164"/>
      <c r="AO86" s="164"/>
      <c r="AP86" s="164"/>
      <c r="AQ86" s="164"/>
      <c r="AR86" s="164"/>
      <c r="AS86" s="164"/>
      <c r="AT86" s="164"/>
      <c r="AU86" s="164"/>
      <c r="AV86" s="164"/>
      <c r="AW86" s="164"/>
      <c r="AX86" s="164"/>
    </row>
    <row r="87" spans="2:50" x14ac:dyDescent="0.25">
      <c r="B87" s="280"/>
      <c r="C87" s="138" t="s">
        <v>122</v>
      </c>
      <c r="D87" s="138">
        <f>COUNTIFS($I$3:$I$60,"&lt;&gt;",$D$3:$D$60,"AGRI")</f>
        <v>0</v>
      </c>
      <c r="E87" s="152"/>
      <c r="F87" s="138"/>
      <c r="G87" s="148">
        <f>COUNTIFS($I$3:$I$60,"&lt;&gt;",$F$3:$F$60,"SAS",$D$3:$D$60,"AGRI")</f>
        <v>0</v>
      </c>
      <c r="H87" s="138">
        <f>COUNTIFS($F$3:$F$60,"INDIVIDUEL",$D$3:$D$60,"AGRI",$I3:$I$60,"&lt;&gt;")</f>
        <v>0</v>
      </c>
      <c r="I87" s="138"/>
      <c r="J87" s="138"/>
      <c r="K87" s="138"/>
      <c r="L87" s="138"/>
      <c r="M87" s="138">
        <f>COUNTIFS($I$3:$I$60,"&lt;&gt;",$F$5:$F$62,"EARL")</f>
        <v>0</v>
      </c>
      <c r="N87" s="138">
        <f>COUNTIFS($I$3:$I$60,"&lt;&gt;",$F$5:$F$62,"ETA")</f>
        <v>0</v>
      </c>
      <c r="O87" s="138">
        <f>COUNTIFS($I$3:$I$60,"&lt;&gt;",$F$5:$F$62,"SCEA")</f>
        <v>0</v>
      </c>
      <c r="P87" s="138"/>
      <c r="Q87" s="152"/>
      <c r="R87" s="138"/>
      <c r="S87" s="148"/>
      <c r="T87" s="148">
        <f>+SUM(E87:P87)</f>
        <v>0</v>
      </c>
      <c r="U87" s="164"/>
      <c r="V87" s="164"/>
      <c r="W87" s="164"/>
      <c r="X87" s="164"/>
      <c r="Y87" s="164"/>
      <c r="Z87" s="164"/>
      <c r="AA87" s="164"/>
      <c r="AB87" s="164"/>
      <c r="AC87" s="164"/>
      <c r="AE87" s="164"/>
      <c r="AF87" s="164"/>
      <c r="AG87" s="164"/>
      <c r="AH87" s="164"/>
      <c r="AI87" s="164"/>
      <c r="AJ87" s="164"/>
      <c r="AK87" s="164"/>
      <c r="AL87" s="164"/>
      <c r="AM87" s="164"/>
      <c r="AN87" s="164"/>
      <c r="AO87" s="164"/>
      <c r="AP87" s="164"/>
      <c r="AQ87" s="164"/>
      <c r="AR87" s="164"/>
      <c r="AS87" s="164"/>
      <c r="AT87" s="164"/>
      <c r="AU87" s="164"/>
      <c r="AV87" s="164"/>
      <c r="AW87" s="164"/>
      <c r="AX87" s="164"/>
    </row>
    <row r="88" spans="2:50" x14ac:dyDescent="0.25">
      <c r="B88" s="280" t="s">
        <v>123</v>
      </c>
      <c r="C88" s="280"/>
      <c r="D88" s="138">
        <f t="shared" ref="D88:R88" si="8">+SUM(D85:D87)</f>
        <v>2</v>
      </c>
      <c r="E88" s="152">
        <f t="shared" si="8"/>
        <v>1</v>
      </c>
      <c r="F88" s="152">
        <f t="shared" si="8"/>
        <v>1</v>
      </c>
      <c r="G88" s="152">
        <f t="shared" si="8"/>
        <v>0</v>
      </c>
      <c r="H88" s="152">
        <f t="shared" si="8"/>
        <v>0</v>
      </c>
      <c r="I88" s="152">
        <f t="shared" si="8"/>
        <v>0</v>
      </c>
      <c r="J88" s="152">
        <f t="shared" si="8"/>
        <v>0</v>
      </c>
      <c r="K88" s="152">
        <f t="shared" si="8"/>
        <v>0</v>
      </c>
      <c r="L88" s="152">
        <f t="shared" si="8"/>
        <v>0</v>
      </c>
      <c r="M88" s="152">
        <f t="shared" si="8"/>
        <v>0</v>
      </c>
      <c r="N88" s="152">
        <f t="shared" si="8"/>
        <v>0</v>
      </c>
      <c r="O88" s="152">
        <f t="shared" si="8"/>
        <v>0</v>
      </c>
      <c r="P88" s="152">
        <f t="shared" si="8"/>
        <v>0</v>
      </c>
      <c r="Q88" s="152">
        <f t="shared" si="8"/>
        <v>0</v>
      </c>
      <c r="R88" s="152">
        <f t="shared" si="8"/>
        <v>0</v>
      </c>
      <c r="S88" s="156"/>
      <c r="T88" s="148">
        <f>+SUM(T85:T87)</f>
        <v>2</v>
      </c>
      <c r="U88" s="164"/>
      <c r="V88" s="164"/>
      <c r="W88" s="164"/>
      <c r="X88" s="164"/>
      <c r="Y88" s="164"/>
      <c r="Z88" s="164"/>
      <c r="AA88" s="164"/>
      <c r="AB88" s="164"/>
      <c r="AC88" s="164"/>
      <c r="AE88" s="164"/>
      <c r="AF88" s="164"/>
      <c r="AG88" s="164"/>
      <c r="AH88" s="164"/>
      <c r="AI88" s="164"/>
      <c r="AJ88" s="164"/>
      <c r="AK88" s="164"/>
      <c r="AL88" s="164"/>
      <c r="AM88" s="164"/>
      <c r="AN88" s="164"/>
      <c r="AO88" s="164"/>
      <c r="AP88" s="164"/>
      <c r="AQ88" s="164"/>
      <c r="AR88" s="164"/>
      <c r="AS88" s="164"/>
      <c r="AT88" s="164"/>
      <c r="AU88" s="164"/>
      <c r="AV88" s="164"/>
      <c r="AW88" s="164"/>
      <c r="AX88" s="164"/>
    </row>
    <row r="89" spans="2:50" x14ac:dyDescent="0.25">
      <c r="B89" s="137"/>
      <c r="C89" s="137"/>
      <c r="D89" s="137"/>
      <c r="E89" s="137"/>
      <c r="F89" s="137"/>
      <c r="G89" s="137"/>
      <c r="H89" s="137"/>
      <c r="I89" s="137"/>
      <c r="J89" s="137"/>
      <c r="K89" s="137"/>
      <c r="L89" s="137"/>
      <c r="M89" s="137"/>
      <c r="N89" s="137"/>
      <c r="O89" s="137"/>
      <c r="P89" s="137"/>
      <c r="Q89" s="137"/>
      <c r="R89" s="137"/>
      <c r="S89" s="137"/>
      <c r="T89" s="137"/>
      <c r="U89" s="164"/>
      <c r="V89" s="164"/>
      <c r="W89" s="164"/>
      <c r="X89" s="164"/>
      <c r="Y89" s="164"/>
      <c r="Z89" s="164"/>
      <c r="AA89" s="164"/>
      <c r="AB89" s="164"/>
      <c r="AC89" s="164"/>
      <c r="AE89" s="164"/>
      <c r="AF89" s="164"/>
      <c r="AG89" s="164"/>
      <c r="AH89" s="164"/>
      <c r="AI89" s="164"/>
      <c r="AJ89" s="164"/>
      <c r="AK89" s="164"/>
      <c r="AL89" s="164"/>
      <c r="AM89" s="164"/>
      <c r="AN89" s="164"/>
      <c r="AO89" s="164"/>
      <c r="AP89" s="164"/>
      <c r="AQ89" s="164"/>
      <c r="AR89" s="164"/>
      <c r="AS89" s="164"/>
      <c r="AT89" s="164"/>
      <c r="AU89" s="164"/>
      <c r="AV89" s="164"/>
      <c r="AW89" s="164"/>
      <c r="AX89" s="164"/>
    </row>
    <row r="90" spans="2:50" x14ac:dyDescent="0.25">
      <c r="B90" s="281">
        <v>44196</v>
      </c>
      <c r="C90" s="138"/>
      <c r="D90" s="138"/>
      <c r="E90" s="140" t="str">
        <f t="shared" ref="E90:R90" si="9">E65</f>
        <v>SARL</v>
      </c>
      <c r="F90" s="138" t="str">
        <f t="shared" si="9"/>
        <v>EURL</v>
      </c>
      <c r="G90" s="141" t="str">
        <f t="shared" si="9"/>
        <v>SAS</v>
      </c>
      <c r="H90" s="142" t="str">
        <f t="shared" si="9"/>
        <v>INDIVIDUEL</v>
      </c>
      <c r="I90" s="142" t="str">
        <f t="shared" si="9"/>
        <v>ASSOCIATION</v>
      </c>
      <c r="J90" s="240" t="str">
        <f t="shared" si="9"/>
        <v>PROFESSION LIBERALE</v>
      </c>
      <c r="K90" s="240" t="str">
        <f t="shared" si="9"/>
        <v>SNC</v>
      </c>
      <c r="L90" s="240" t="str">
        <f t="shared" si="9"/>
        <v>SCI</v>
      </c>
      <c r="M90" s="240" t="str">
        <f t="shared" si="9"/>
        <v>EARL</v>
      </c>
      <c r="N90" s="240" t="str">
        <f t="shared" si="9"/>
        <v>ETA</v>
      </c>
      <c r="O90" s="240" t="str">
        <f t="shared" si="9"/>
        <v>SCEA</v>
      </c>
      <c r="P90" s="240" t="str">
        <f t="shared" si="9"/>
        <v>GROUPEMENT</v>
      </c>
      <c r="Q90" s="138" t="str">
        <f t="shared" si="9"/>
        <v>EIRL</v>
      </c>
      <c r="R90" s="138" t="str">
        <f t="shared" si="9"/>
        <v>AUTRES</v>
      </c>
      <c r="S90" s="138"/>
      <c r="T90" s="240" t="s">
        <v>86</v>
      </c>
      <c r="U90" s="164"/>
      <c r="V90" s="164"/>
      <c r="W90" s="164"/>
      <c r="X90" s="164"/>
      <c r="Y90" s="164"/>
      <c r="Z90" s="164"/>
      <c r="AA90" s="164"/>
      <c r="AB90" s="164"/>
      <c r="AC90" s="164"/>
      <c r="AE90" s="164"/>
      <c r="AF90" s="164"/>
      <c r="AG90" s="164"/>
      <c r="AH90" s="164"/>
      <c r="AI90" s="164"/>
      <c r="AJ90" s="164"/>
      <c r="AK90" s="164"/>
      <c r="AL90" s="164"/>
      <c r="AM90" s="164"/>
      <c r="AN90" s="164"/>
      <c r="AO90" s="164"/>
      <c r="AP90" s="164"/>
      <c r="AQ90" s="164"/>
      <c r="AR90" s="164"/>
      <c r="AS90" s="164"/>
      <c r="AT90" s="164"/>
      <c r="AU90" s="164"/>
      <c r="AV90" s="164"/>
      <c r="AW90" s="164"/>
      <c r="AX90" s="164"/>
    </row>
    <row r="91" spans="2:50" x14ac:dyDescent="0.25">
      <c r="B91" s="280"/>
      <c r="C91" s="146" t="s">
        <v>109</v>
      </c>
      <c r="D91" s="138">
        <f>COUNTIFS($I$3:$I$60,"&lt;&gt;",$E$3:$E$60,DATE(Paramètres!A4,Paramètres!D15,Paramètres!C15),$D$3:$D$60,"ACS")</f>
        <v>2</v>
      </c>
      <c r="E91" s="147">
        <f>COUNTIFS($I$3:$I$60,"&lt;&gt;",$E$3:$E$60,DATE(Paramètres!A4,Paramètres!D15,Paramètres!C15),$F$3:$F$60,"SARL")</f>
        <v>1</v>
      </c>
      <c r="F91" s="138">
        <f>+COUNTIFS($I$3:$I$60,"&lt;&gt;",$E$3:$E$60,DATE(Paramètres!A4,Paramètres!D15,Paramètres!C15),$F$3:$F$60,"EURL")</f>
        <v>1</v>
      </c>
      <c r="G91" s="148">
        <f>COUNTIFS($I$3:$I$60,"&lt;&gt;",$E$3:$E$60,DATE(Paramètres!A4,Paramètres!D15,Paramètres!C15),$F$3:$F$60,"SAS",$D$3:$D$60,"ACS")</f>
        <v>0</v>
      </c>
      <c r="H91" s="138">
        <f>COUNTIFS($I$3:$I$60,"&lt;&gt;",$E$3:$E$60,DATE(Paramètres!A4,Paramètres!D15,Paramètres!C15),$F$3:$F$60,"INDIVIDUEL",$D$3:$D$60,"ACS")</f>
        <v>0</v>
      </c>
      <c r="I91" s="138">
        <f>+COUNTIFS($I$3:$I$60,"&lt;&gt;",$E$3:$E$60,DATE(Paramètres!A4,Paramètres!D15,Paramètres!C15),$F$3:$F$60,"ASSOCIATION")</f>
        <v>0</v>
      </c>
      <c r="J91" s="138"/>
      <c r="K91" s="138">
        <f>COUNTIFS($I$3:$I$60,"&lt;&gt;",$E$3:$E$60,DATE(Paramètres!A4,Paramètres!D15,Paramètres!C15),$F$3:$F$60,"SNC")</f>
        <v>0</v>
      </c>
      <c r="L91" s="138">
        <f>COUNTIFS($I$3:$I$60,"&lt;&gt;",$E$3:$E$60,DATE(Paramètres!A4,Paramètres!D15,Paramètres!C15),$F$3:$F$60,"SCI")</f>
        <v>0</v>
      </c>
      <c r="M91" s="149"/>
      <c r="N91" s="150"/>
      <c r="O91" s="151"/>
      <c r="P91" s="138">
        <f>COUNTIFS($I$3:$I$60,"&lt;&gt;",$E$3:$E$60,DATE(Paramètres!A4,Paramètres!D15,Paramètres!C15),$F$3:$F$60,"GROUPEMENT")</f>
        <v>0</v>
      </c>
      <c r="Q91" s="138">
        <f>COUNTIFS($I$3:$I$60,"&lt;&gt;",$E$3:$E$60,DATE(Paramètres!A4,Paramètres!D15,Paramètres!C15),$F$3:$F$60,"EIRL")</f>
        <v>0</v>
      </c>
      <c r="R91" s="138">
        <f>COUNTIFS($I$3:$I$60,"&lt;&gt;",$E$3:$E$60,DATE(Paramètres!A4,Paramètres!D15,Paramètres!C15),$F$3:$F$60,"AUTRES")</f>
        <v>0</v>
      </c>
      <c r="S91" s="138"/>
      <c r="T91" s="138">
        <f>+SUM(E91:P91)</f>
        <v>2</v>
      </c>
      <c r="U91" s="164"/>
      <c r="V91" s="164"/>
      <c r="W91" s="164"/>
      <c r="X91" s="164"/>
      <c r="Y91" s="164"/>
      <c r="Z91" s="164"/>
      <c r="AA91" s="164"/>
      <c r="AB91" s="164"/>
      <c r="AC91" s="164"/>
      <c r="AE91" s="164"/>
      <c r="AF91" s="164"/>
      <c r="AG91" s="164"/>
      <c r="AH91" s="164"/>
      <c r="AI91" s="164"/>
      <c r="AJ91" s="164"/>
      <c r="AK91" s="164"/>
      <c r="AL91" s="164"/>
      <c r="AM91" s="164"/>
      <c r="AN91" s="164"/>
      <c r="AO91" s="164"/>
      <c r="AP91" s="164"/>
      <c r="AQ91" s="164"/>
      <c r="AR91" s="164"/>
      <c r="AS91" s="164"/>
      <c r="AT91" s="164"/>
      <c r="AU91" s="164"/>
      <c r="AV91" s="164"/>
      <c r="AW91" s="164"/>
      <c r="AX91" s="164"/>
    </row>
    <row r="92" spans="2:50" x14ac:dyDescent="0.25">
      <c r="B92" s="280"/>
      <c r="C92" s="146" t="s">
        <v>121</v>
      </c>
      <c r="D92" s="138">
        <f>COUNTIFS($I$3:$I$60,"&lt;&gt;",$E$3:$E$60,DATE(Paramètres!A4,Paramètres!D15,Paramètres!C15),$D$3:$D$60,"BNC")</f>
        <v>0</v>
      </c>
      <c r="E92" s="153"/>
      <c r="F92" s="138"/>
      <c r="G92" s="154"/>
      <c r="H92" s="155"/>
      <c r="I92" s="151"/>
      <c r="J92" s="138">
        <f>COUNTIFS($I$3:$I$60,"&lt;&gt;",$E$3:$E$60,DATE(Paramètres!A4,Paramètres!D15,Paramètres!C15),$D$3:$D$60,"BNC")</f>
        <v>0</v>
      </c>
      <c r="K92" s="149"/>
      <c r="L92" s="150"/>
      <c r="M92" s="150"/>
      <c r="N92" s="150"/>
      <c r="O92" s="150"/>
      <c r="P92" s="151"/>
      <c r="Q92" s="138"/>
      <c r="R92" s="138"/>
      <c r="S92" s="138"/>
      <c r="T92" s="138">
        <f>+SUM(E92:P92)</f>
        <v>0</v>
      </c>
      <c r="U92" s="164"/>
      <c r="V92" s="164"/>
      <c r="W92" s="164"/>
      <c r="X92" s="164"/>
      <c r="Y92" s="164"/>
      <c r="Z92" s="164"/>
      <c r="AA92" s="164"/>
      <c r="AB92" s="164"/>
      <c r="AC92" s="164"/>
      <c r="AE92" s="164"/>
      <c r="AF92" s="164"/>
      <c r="AG92" s="164"/>
      <c r="AH92" s="164"/>
      <c r="AI92" s="164"/>
      <c r="AJ92" s="164"/>
      <c r="AK92" s="164"/>
      <c r="AL92" s="164"/>
      <c r="AM92" s="164"/>
      <c r="AN92" s="164"/>
      <c r="AO92" s="164"/>
      <c r="AP92" s="164"/>
      <c r="AQ92" s="164"/>
      <c r="AR92" s="164"/>
      <c r="AS92" s="164"/>
      <c r="AT92" s="164"/>
      <c r="AU92" s="164"/>
      <c r="AV92" s="164"/>
      <c r="AW92" s="164"/>
      <c r="AX92" s="164"/>
    </row>
    <row r="93" spans="2:50" x14ac:dyDescent="0.25">
      <c r="B93" s="280"/>
      <c r="C93" s="138" t="s">
        <v>122</v>
      </c>
      <c r="D93" s="138">
        <f>COUNTIFS($I$3:$I$60,"&lt;&gt;",$E$3:$E$60,DATE(Paramètres!A4,Paramètres!D15,Paramètres!C15),$D$3:$D$60,"AGRI")</f>
        <v>0</v>
      </c>
      <c r="E93" s="153"/>
      <c r="F93" s="138"/>
      <c r="G93" s="154">
        <f>COUNTIFS($I$3:$I$60,"&lt;&gt;",$E$3:$E$60,DATE(Paramètres!A4,Paramètres!D15,Paramètres!C15),$F$3:$F$60,"SAS",$D$3:$D$60,"AGRI")</f>
        <v>0</v>
      </c>
      <c r="H93" s="138">
        <f>COUNTIFS($I$3:$I$60,"&lt;&gt;",$E$3:$E$60,DATE(Paramètres!A4,Paramètres!D15,Paramètres!C15),$F$3:$F$60,"INDIVIDUEL",$D$3:$D$60,"AGRI")</f>
        <v>0</v>
      </c>
      <c r="I93" s="152"/>
      <c r="J93" s="149"/>
      <c r="K93" s="150"/>
      <c r="L93" s="151"/>
      <c r="M93" s="138">
        <f>COUNTIFS($I$3:$I$60,"&lt;&gt;",$AZ$3:$AZ$60,"X",$E$3:$E$60,DATE(Paramètres!A4,Paramètres!D15,Paramètres!C15),$F$3:$F$60,"EARL")</f>
        <v>0</v>
      </c>
      <c r="N93" s="138">
        <f>COUNTIFS($I$3:$I$60,"&lt;&gt;",$E$3:$E$60,DATE(Paramètres!A4,Paramètres!D15,Paramètres!C15),$F$3:$F$60,"ETA")</f>
        <v>0</v>
      </c>
      <c r="O93" s="138">
        <f>COUNTIFS($I$3:$I$60,"&lt;&gt;",$E$3:$E$60,DATE(Paramètres!A4,Paramètres!D15,Paramètres!C15),$F$3:$F$60,"SCEA")</f>
        <v>0</v>
      </c>
      <c r="P93" s="138"/>
      <c r="Q93" s="138"/>
      <c r="R93" s="138"/>
      <c r="S93" s="138"/>
      <c r="T93" s="138">
        <f>+SUM(E93:P93)</f>
        <v>0</v>
      </c>
      <c r="U93" s="164"/>
      <c r="V93" s="164"/>
      <c r="W93" s="164"/>
      <c r="X93" s="164"/>
      <c r="Y93" s="164"/>
      <c r="Z93" s="164"/>
      <c r="AA93" s="164"/>
      <c r="AB93" s="164"/>
      <c r="AC93" s="164"/>
      <c r="AE93" s="164"/>
      <c r="AF93" s="164"/>
      <c r="AG93" s="164"/>
      <c r="AH93" s="164"/>
      <c r="AI93" s="164"/>
      <c r="AJ93" s="164"/>
      <c r="AK93" s="164"/>
      <c r="AL93" s="164"/>
      <c r="AM93" s="164"/>
      <c r="AN93" s="164"/>
      <c r="AO93" s="164"/>
      <c r="AP93" s="164"/>
      <c r="AQ93" s="164"/>
      <c r="AR93" s="164"/>
      <c r="AS93" s="164"/>
      <c r="AT93" s="164"/>
      <c r="AU93" s="164"/>
      <c r="AV93" s="164"/>
      <c r="AW93" s="164"/>
      <c r="AX93" s="164"/>
    </row>
    <row r="94" spans="2:50" x14ac:dyDescent="0.25">
      <c r="B94" s="280" t="s">
        <v>123</v>
      </c>
      <c r="C94" s="280"/>
      <c r="D94" s="138">
        <f t="shared" ref="D94:R94" si="10">+SUM(D91:D93)</f>
        <v>2</v>
      </c>
      <c r="E94" s="152">
        <f t="shared" si="10"/>
        <v>1</v>
      </c>
      <c r="F94" s="152">
        <f t="shared" si="10"/>
        <v>1</v>
      </c>
      <c r="G94" s="152">
        <f t="shared" si="10"/>
        <v>0</v>
      </c>
      <c r="H94" s="152">
        <f t="shared" si="10"/>
        <v>0</v>
      </c>
      <c r="I94" s="152">
        <f t="shared" si="10"/>
        <v>0</v>
      </c>
      <c r="J94" s="152">
        <f t="shared" si="10"/>
        <v>0</v>
      </c>
      <c r="K94" s="152">
        <f t="shared" si="10"/>
        <v>0</v>
      </c>
      <c r="L94" s="152">
        <f t="shared" si="10"/>
        <v>0</v>
      </c>
      <c r="M94" s="152">
        <f t="shared" si="10"/>
        <v>0</v>
      </c>
      <c r="N94" s="152">
        <f t="shared" si="10"/>
        <v>0</v>
      </c>
      <c r="O94" s="152">
        <f t="shared" si="10"/>
        <v>0</v>
      </c>
      <c r="P94" s="152">
        <f t="shared" si="10"/>
        <v>0</v>
      </c>
      <c r="Q94" s="152">
        <f t="shared" si="10"/>
        <v>0</v>
      </c>
      <c r="R94" s="152">
        <f t="shared" si="10"/>
        <v>0</v>
      </c>
      <c r="S94" s="152"/>
      <c r="T94" s="138">
        <f>+SUM(T91:T93)</f>
        <v>2</v>
      </c>
      <c r="U94" s="164"/>
      <c r="V94" s="164"/>
      <c r="W94" s="164"/>
      <c r="X94" s="164"/>
      <c r="Y94" s="164"/>
      <c r="Z94" s="164"/>
      <c r="AA94" s="164"/>
      <c r="AB94" s="164"/>
      <c r="AC94" s="164"/>
      <c r="AE94" s="164"/>
      <c r="AF94" s="164"/>
      <c r="AG94" s="164"/>
      <c r="AH94" s="164"/>
      <c r="AI94" s="164"/>
      <c r="AJ94" s="164"/>
      <c r="AK94" s="164"/>
      <c r="AL94" s="164"/>
      <c r="AM94" s="164"/>
      <c r="AN94" s="164"/>
      <c r="AO94" s="164"/>
      <c r="AP94" s="164"/>
      <c r="AQ94" s="164"/>
      <c r="AR94" s="164"/>
      <c r="AS94" s="164"/>
      <c r="AT94" s="164"/>
      <c r="AU94" s="164"/>
      <c r="AV94" s="164"/>
      <c r="AW94" s="164"/>
      <c r="AX94" s="164"/>
    </row>
    <row r="95" spans="2:50" x14ac:dyDescent="0.25">
      <c r="B95" s="137"/>
      <c r="C95" s="137"/>
      <c r="D95" s="137"/>
      <c r="E95" s="137"/>
      <c r="F95" s="137"/>
      <c r="G95" s="137"/>
      <c r="H95" s="137"/>
      <c r="I95" s="137"/>
      <c r="J95" s="137"/>
      <c r="K95" s="137"/>
      <c r="L95" s="137"/>
      <c r="M95" s="137"/>
      <c r="N95" s="137"/>
      <c r="O95" s="137"/>
      <c r="P95" s="137"/>
      <c r="Q95" s="137"/>
      <c r="R95" s="137"/>
      <c r="S95" s="137"/>
      <c r="T95" s="137"/>
      <c r="U95" s="164"/>
      <c r="V95" s="164"/>
      <c r="W95" s="164"/>
      <c r="X95" s="164"/>
      <c r="Y95" s="164"/>
      <c r="Z95" s="164"/>
      <c r="AA95" s="164"/>
      <c r="AB95" s="164"/>
      <c r="AC95" s="164"/>
      <c r="AE95" s="164"/>
      <c r="AF95" s="164"/>
      <c r="AG95" s="164"/>
      <c r="AH95" s="164"/>
      <c r="AI95" s="164"/>
      <c r="AJ95" s="164"/>
      <c r="AK95" s="164"/>
      <c r="AL95" s="164"/>
      <c r="AM95" s="164"/>
      <c r="AN95" s="164"/>
      <c r="AO95" s="164"/>
      <c r="AP95" s="164"/>
      <c r="AQ95" s="164"/>
      <c r="AR95" s="164"/>
      <c r="AS95" s="164"/>
      <c r="AT95" s="164"/>
      <c r="AU95" s="164"/>
      <c r="AV95" s="164"/>
      <c r="AW95" s="164"/>
      <c r="AX95" s="164"/>
    </row>
    <row r="96" spans="2:50" x14ac:dyDescent="0.25">
      <c r="B96" s="280" t="s">
        <v>40</v>
      </c>
      <c r="C96" s="138"/>
      <c r="D96" s="138"/>
      <c r="E96" s="140" t="str">
        <f t="shared" ref="E96:R96" si="11">E65</f>
        <v>SARL</v>
      </c>
      <c r="F96" s="138" t="str">
        <f t="shared" si="11"/>
        <v>EURL</v>
      </c>
      <c r="G96" s="141" t="str">
        <f t="shared" si="11"/>
        <v>SAS</v>
      </c>
      <c r="H96" s="142" t="str">
        <f t="shared" si="11"/>
        <v>INDIVIDUEL</v>
      </c>
      <c r="I96" s="142" t="str">
        <f t="shared" si="11"/>
        <v>ASSOCIATION</v>
      </c>
      <c r="J96" s="240" t="str">
        <f t="shared" si="11"/>
        <v>PROFESSION LIBERALE</v>
      </c>
      <c r="K96" s="240" t="str">
        <f t="shared" si="11"/>
        <v>SNC</v>
      </c>
      <c r="L96" s="240" t="str">
        <f t="shared" si="11"/>
        <v>SCI</v>
      </c>
      <c r="M96" s="240" t="str">
        <f t="shared" si="11"/>
        <v>EARL</v>
      </c>
      <c r="N96" s="240" t="str">
        <f t="shared" si="11"/>
        <v>ETA</v>
      </c>
      <c r="O96" s="240" t="str">
        <f t="shared" si="11"/>
        <v>SCEA</v>
      </c>
      <c r="P96" s="240" t="str">
        <f t="shared" si="11"/>
        <v>GROUPEMENT</v>
      </c>
      <c r="Q96" s="138" t="str">
        <f t="shared" si="11"/>
        <v>EIRL</v>
      </c>
      <c r="R96" s="138" t="str">
        <f t="shared" si="11"/>
        <v>AUTRES</v>
      </c>
      <c r="S96" s="138"/>
      <c r="T96" s="240" t="s">
        <v>86</v>
      </c>
      <c r="U96" s="164"/>
      <c r="V96" s="164"/>
      <c r="W96" s="164"/>
      <c r="X96" s="164"/>
      <c r="Y96" s="164"/>
      <c r="Z96" s="164"/>
      <c r="AA96" s="164"/>
      <c r="AB96" s="164"/>
      <c r="AC96" s="164"/>
      <c r="AE96" s="164"/>
      <c r="AF96" s="164"/>
      <c r="AG96" s="164"/>
      <c r="AH96" s="164"/>
      <c r="AI96" s="164"/>
      <c r="AJ96" s="164"/>
      <c r="AK96" s="164"/>
      <c r="AL96" s="164"/>
      <c r="AM96" s="164"/>
      <c r="AN96" s="164"/>
      <c r="AO96" s="164"/>
      <c r="AP96" s="164"/>
      <c r="AQ96" s="164"/>
      <c r="AR96" s="164"/>
      <c r="AS96" s="164"/>
      <c r="AT96" s="164"/>
      <c r="AU96" s="164"/>
      <c r="AV96" s="164"/>
      <c r="AW96" s="164"/>
      <c r="AX96" s="164"/>
    </row>
    <row r="97" spans="2:50" x14ac:dyDescent="0.25">
      <c r="B97" s="280"/>
      <c r="C97" s="146" t="s">
        <v>109</v>
      </c>
      <c r="D97" s="138">
        <f>+D85-D91</f>
        <v>0</v>
      </c>
      <c r="E97" s="152">
        <f>+E85-E91</f>
        <v>0</v>
      </c>
      <c r="F97" s="152">
        <f t="shared" ref="F97:R97" si="12">+F85-F91</f>
        <v>0</v>
      </c>
      <c r="G97" s="152">
        <f t="shared" si="12"/>
        <v>0</v>
      </c>
      <c r="H97" s="152">
        <f t="shared" si="12"/>
        <v>0</v>
      </c>
      <c r="I97" s="152">
        <f t="shared" si="12"/>
        <v>0</v>
      </c>
      <c r="J97" s="152">
        <f t="shared" si="12"/>
        <v>0</v>
      </c>
      <c r="K97" s="152">
        <f t="shared" si="12"/>
        <v>0</v>
      </c>
      <c r="L97" s="152">
        <f t="shared" si="12"/>
        <v>0</v>
      </c>
      <c r="M97" s="152">
        <f t="shared" si="12"/>
        <v>0</v>
      </c>
      <c r="N97" s="152">
        <f t="shared" si="12"/>
        <v>0</v>
      </c>
      <c r="O97" s="152">
        <f t="shared" si="12"/>
        <v>0</v>
      </c>
      <c r="P97" s="152">
        <f t="shared" si="12"/>
        <v>0</v>
      </c>
      <c r="Q97" s="152">
        <f t="shared" si="12"/>
        <v>0</v>
      </c>
      <c r="R97" s="152">
        <f t="shared" si="12"/>
        <v>0</v>
      </c>
      <c r="S97" s="152"/>
      <c r="T97" s="138">
        <f>+SUM(E97:P97)</f>
        <v>0</v>
      </c>
      <c r="U97" s="164"/>
      <c r="V97" s="164"/>
      <c r="W97" s="164"/>
      <c r="X97" s="164"/>
      <c r="Y97" s="164"/>
      <c r="Z97" s="164"/>
      <c r="AA97" s="164"/>
      <c r="AB97" s="164"/>
      <c r="AC97" s="164"/>
      <c r="AE97" s="164"/>
      <c r="AF97" s="164"/>
      <c r="AG97" s="164"/>
      <c r="AH97" s="164"/>
      <c r="AI97" s="164"/>
      <c r="AJ97" s="164"/>
      <c r="AK97" s="164"/>
      <c r="AL97" s="164"/>
      <c r="AM97" s="164"/>
      <c r="AN97" s="164"/>
      <c r="AO97" s="164"/>
      <c r="AP97" s="164"/>
      <c r="AQ97" s="164"/>
      <c r="AR97" s="164"/>
      <c r="AS97" s="164"/>
      <c r="AT97" s="164"/>
      <c r="AU97" s="164"/>
      <c r="AV97" s="164"/>
      <c r="AW97" s="164"/>
      <c r="AX97" s="164"/>
    </row>
    <row r="98" spans="2:50" x14ac:dyDescent="0.25">
      <c r="B98" s="280"/>
      <c r="C98" s="146" t="s">
        <v>121</v>
      </c>
      <c r="D98" s="138">
        <f>+D86-D92</f>
        <v>0</v>
      </c>
      <c r="E98" s="138">
        <f t="shared" ref="E98:R100" si="13">+E86-E92</f>
        <v>0</v>
      </c>
      <c r="F98" s="138">
        <f t="shared" si="13"/>
        <v>0</v>
      </c>
      <c r="G98" s="138">
        <f t="shared" si="13"/>
        <v>0</v>
      </c>
      <c r="H98" s="138">
        <f t="shared" si="13"/>
        <v>0</v>
      </c>
      <c r="I98" s="138">
        <f t="shared" si="13"/>
        <v>0</v>
      </c>
      <c r="J98" s="138">
        <f t="shared" si="13"/>
        <v>0</v>
      </c>
      <c r="K98" s="138">
        <f t="shared" si="13"/>
        <v>0</v>
      </c>
      <c r="L98" s="138">
        <f t="shared" si="13"/>
        <v>0</v>
      </c>
      <c r="M98" s="138">
        <f t="shared" si="13"/>
        <v>0</v>
      </c>
      <c r="N98" s="138">
        <f t="shared" si="13"/>
        <v>0</v>
      </c>
      <c r="O98" s="138">
        <f t="shared" si="13"/>
        <v>0</v>
      </c>
      <c r="P98" s="138">
        <f t="shared" si="13"/>
        <v>0</v>
      </c>
      <c r="Q98" s="138">
        <f t="shared" si="13"/>
        <v>0</v>
      </c>
      <c r="R98" s="138">
        <f t="shared" si="13"/>
        <v>0</v>
      </c>
      <c r="S98" s="138"/>
      <c r="T98" s="138">
        <f>+SUM(E98:P98)</f>
        <v>0</v>
      </c>
      <c r="U98" s="164"/>
      <c r="V98" s="164"/>
      <c r="W98" s="164"/>
      <c r="X98" s="164"/>
      <c r="Y98" s="164"/>
      <c r="Z98" s="164"/>
      <c r="AA98" s="164"/>
      <c r="AB98" s="164"/>
      <c r="AC98" s="164"/>
      <c r="AE98" s="164"/>
      <c r="AF98" s="164"/>
      <c r="AG98" s="164"/>
      <c r="AH98" s="164"/>
      <c r="AI98" s="164"/>
      <c r="AJ98" s="164"/>
      <c r="AK98" s="164"/>
      <c r="AL98" s="164"/>
      <c r="AM98" s="164"/>
      <c r="AN98" s="164"/>
      <c r="AO98" s="164"/>
      <c r="AP98" s="164"/>
      <c r="AQ98" s="164"/>
      <c r="AR98" s="164"/>
      <c r="AS98" s="164"/>
      <c r="AT98" s="164"/>
      <c r="AU98" s="164"/>
      <c r="AV98" s="164"/>
      <c r="AW98" s="164"/>
      <c r="AX98" s="164"/>
    </row>
    <row r="99" spans="2:50" x14ac:dyDescent="0.25">
      <c r="B99" s="280"/>
      <c r="C99" s="138" t="s">
        <v>122</v>
      </c>
      <c r="D99" s="138">
        <f>+D87-D93</f>
        <v>0</v>
      </c>
      <c r="E99" s="138">
        <f t="shared" si="13"/>
        <v>0</v>
      </c>
      <c r="F99" s="138">
        <f t="shared" si="13"/>
        <v>0</v>
      </c>
      <c r="G99" s="138">
        <f t="shared" si="13"/>
        <v>0</v>
      </c>
      <c r="H99" s="138">
        <f t="shared" si="13"/>
        <v>0</v>
      </c>
      <c r="I99" s="138">
        <f t="shared" si="13"/>
        <v>0</v>
      </c>
      <c r="J99" s="138">
        <f t="shared" si="13"/>
        <v>0</v>
      </c>
      <c r="K99" s="138">
        <f t="shared" si="13"/>
        <v>0</v>
      </c>
      <c r="L99" s="138">
        <f t="shared" si="13"/>
        <v>0</v>
      </c>
      <c r="M99" s="138">
        <f t="shared" si="13"/>
        <v>0</v>
      </c>
      <c r="N99" s="138">
        <f t="shared" si="13"/>
        <v>0</v>
      </c>
      <c r="O99" s="138">
        <f t="shared" si="13"/>
        <v>0</v>
      </c>
      <c r="P99" s="138">
        <f t="shared" si="13"/>
        <v>0</v>
      </c>
      <c r="Q99" s="138">
        <f t="shared" si="13"/>
        <v>0</v>
      </c>
      <c r="R99" s="138">
        <f t="shared" si="13"/>
        <v>0</v>
      </c>
      <c r="S99" s="138"/>
      <c r="T99" s="138">
        <f>+SUM(E99:P99)</f>
        <v>0</v>
      </c>
      <c r="U99" s="164"/>
      <c r="V99" s="164"/>
      <c r="W99" s="164"/>
      <c r="X99" s="164"/>
      <c r="Y99" s="164"/>
      <c r="Z99" s="164"/>
      <c r="AA99" s="164"/>
      <c r="AB99" s="164"/>
      <c r="AC99" s="164"/>
      <c r="AE99" s="164"/>
      <c r="AF99" s="164"/>
      <c r="AG99" s="164"/>
      <c r="AH99" s="164"/>
      <c r="AI99" s="164"/>
      <c r="AJ99" s="164"/>
      <c r="AK99" s="164"/>
      <c r="AL99" s="164"/>
      <c r="AM99" s="164"/>
      <c r="AN99" s="164"/>
      <c r="AO99" s="164"/>
      <c r="AP99" s="164"/>
      <c r="AQ99" s="164"/>
      <c r="AR99" s="164"/>
      <c r="AS99" s="164"/>
      <c r="AT99" s="164"/>
      <c r="AU99" s="164"/>
      <c r="AV99" s="164"/>
      <c r="AW99" s="164"/>
      <c r="AX99" s="164"/>
    </row>
    <row r="100" spans="2:50" x14ac:dyDescent="0.25">
      <c r="B100" s="280" t="s">
        <v>123</v>
      </c>
      <c r="C100" s="280"/>
      <c r="D100" s="138">
        <f>+D88-D94</f>
        <v>0</v>
      </c>
      <c r="E100" s="138">
        <f t="shared" si="13"/>
        <v>0</v>
      </c>
      <c r="F100" s="138">
        <f t="shared" si="13"/>
        <v>0</v>
      </c>
      <c r="G100" s="138">
        <f t="shared" si="13"/>
        <v>0</v>
      </c>
      <c r="H100" s="138">
        <f t="shared" si="13"/>
        <v>0</v>
      </c>
      <c r="I100" s="138">
        <f t="shared" si="13"/>
        <v>0</v>
      </c>
      <c r="J100" s="138">
        <f t="shared" si="13"/>
        <v>0</v>
      </c>
      <c r="K100" s="138">
        <f t="shared" si="13"/>
        <v>0</v>
      </c>
      <c r="L100" s="138">
        <f t="shared" si="13"/>
        <v>0</v>
      </c>
      <c r="M100" s="138">
        <f t="shared" si="13"/>
        <v>0</v>
      </c>
      <c r="N100" s="138">
        <f t="shared" si="13"/>
        <v>0</v>
      </c>
      <c r="O100" s="138">
        <f t="shared" si="13"/>
        <v>0</v>
      </c>
      <c r="P100" s="138">
        <f t="shared" si="13"/>
        <v>0</v>
      </c>
      <c r="Q100" s="138">
        <f t="shared" si="13"/>
        <v>0</v>
      </c>
      <c r="R100" s="138">
        <f t="shared" si="13"/>
        <v>0</v>
      </c>
      <c r="S100" s="138"/>
      <c r="T100" s="138">
        <f>+SUM(T97:T99)</f>
        <v>0</v>
      </c>
      <c r="U100" s="164"/>
      <c r="V100" s="164"/>
      <c r="W100" s="164"/>
      <c r="X100" s="164"/>
      <c r="Y100" s="164"/>
      <c r="Z100" s="164"/>
      <c r="AA100" s="164"/>
      <c r="AB100" s="164"/>
      <c r="AC100" s="164"/>
      <c r="AE100" s="164"/>
      <c r="AF100" s="164"/>
      <c r="AG100" s="164"/>
      <c r="AH100" s="164"/>
      <c r="AI100" s="164"/>
      <c r="AJ100" s="164"/>
      <c r="AK100" s="164"/>
      <c r="AL100" s="164"/>
      <c r="AM100" s="164"/>
      <c r="AN100" s="164"/>
      <c r="AO100" s="164"/>
      <c r="AP100" s="164"/>
      <c r="AQ100" s="164"/>
      <c r="AR100" s="164"/>
      <c r="AS100" s="164"/>
      <c r="AT100" s="164"/>
      <c r="AU100" s="164"/>
      <c r="AV100" s="164"/>
      <c r="AW100" s="164"/>
      <c r="AX100" s="164"/>
    </row>
    <row r="101" spans="2:50" x14ac:dyDescent="0.25">
      <c r="U101" s="164"/>
      <c r="V101" s="164"/>
      <c r="W101" s="164"/>
      <c r="X101" s="164"/>
      <c r="Y101" s="164"/>
      <c r="Z101" s="164"/>
      <c r="AA101" s="164"/>
      <c r="AB101" s="164"/>
      <c r="AC101" s="164"/>
      <c r="AE101" s="164"/>
      <c r="AF101" s="164"/>
      <c r="AG101" s="164"/>
      <c r="AH101" s="164"/>
      <c r="AI101" s="164"/>
      <c r="AJ101" s="164"/>
      <c r="AK101" s="164"/>
      <c r="AL101" s="164"/>
      <c r="AM101" s="164"/>
      <c r="AN101" s="164"/>
      <c r="AO101" s="164"/>
      <c r="AP101" s="164"/>
      <c r="AQ101" s="164"/>
      <c r="AR101" s="164"/>
      <c r="AS101" s="164"/>
      <c r="AT101" s="164"/>
      <c r="AU101" s="164"/>
      <c r="AV101" s="164"/>
      <c r="AW101" s="164"/>
      <c r="AX101" s="164"/>
    </row>
    <row r="102" spans="2:50" x14ac:dyDescent="0.25">
      <c r="B102" s="89" t="s">
        <v>133</v>
      </c>
      <c r="U102" s="164"/>
      <c r="V102" s="164"/>
      <c r="W102" s="164"/>
      <c r="X102" s="164"/>
      <c r="Y102" s="164"/>
      <c r="Z102" s="164"/>
      <c r="AA102" s="164"/>
      <c r="AB102" s="164"/>
      <c r="AC102" s="164"/>
      <c r="AE102" s="164"/>
      <c r="AF102" s="164"/>
      <c r="AG102" s="164"/>
      <c r="AH102" s="164"/>
      <c r="AI102" s="164"/>
      <c r="AJ102" s="164"/>
      <c r="AK102" s="164"/>
      <c r="AL102" s="164"/>
      <c r="AM102" s="164"/>
      <c r="AN102" s="164"/>
      <c r="AO102" s="164"/>
      <c r="AP102" s="164"/>
      <c r="AQ102" s="164"/>
      <c r="AR102" s="164"/>
      <c r="AS102" s="164"/>
      <c r="AT102" s="164"/>
      <c r="AU102" s="164"/>
      <c r="AV102" s="164"/>
      <c r="AW102" s="164"/>
      <c r="AX102" s="164"/>
    </row>
    <row r="103" spans="2:50" x14ac:dyDescent="0.25">
      <c r="U103" s="164"/>
      <c r="V103" s="164"/>
      <c r="W103" s="164"/>
      <c r="X103" s="164"/>
      <c r="Y103" s="164"/>
      <c r="Z103" s="164"/>
      <c r="AA103" s="164"/>
      <c r="AB103" s="164"/>
      <c r="AC103" s="164"/>
      <c r="AE103" s="164"/>
      <c r="AF103" s="164"/>
      <c r="AG103" s="164"/>
      <c r="AH103" s="164"/>
      <c r="AI103" s="164"/>
      <c r="AJ103" s="164"/>
      <c r="AK103" s="164"/>
      <c r="AL103" s="164"/>
      <c r="AM103" s="164"/>
      <c r="AN103" s="164"/>
      <c r="AO103" s="164"/>
      <c r="AP103" s="164"/>
      <c r="AQ103" s="164"/>
      <c r="AR103" s="164"/>
      <c r="AS103" s="164"/>
      <c r="AT103" s="164"/>
      <c r="AU103" s="164"/>
      <c r="AV103" s="164"/>
      <c r="AW103" s="164"/>
      <c r="AX103" s="164"/>
    </row>
    <row r="104" spans="2:50" x14ac:dyDescent="0.25">
      <c r="B104" s="274" t="s">
        <v>120</v>
      </c>
      <c r="C104" s="122"/>
      <c r="D104" s="122"/>
      <c r="E104" s="157" t="str">
        <f t="shared" ref="E104:R104" si="14">E65</f>
        <v>SARL</v>
      </c>
      <c r="F104" s="121" t="str">
        <f t="shared" si="14"/>
        <v>EURL</v>
      </c>
      <c r="G104" s="158" t="str">
        <f t="shared" si="14"/>
        <v>SAS</v>
      </c>
      <c r="H104" s="158" t="str">
        <f t="shared" si="14"/>
        <v>INDIVIDUEL</v>
      </c>
      <c r="I104" s="158" t="str">
        <f t="shared" si="14"/>
        <v>ASSOCIATION</v>
      </c>
      <c r="J104" s="157" t="str">
        <f t="shared" si="14"/>
        <v>PROFESSION LIBERALE</v>
      </c>
      <c r="K104" s="157" t="str">
        <f t="shared" si="14"/>
        <v>SNC</v>
      </c>
      <c r="L104" s="157" t="str">
        <f t="shared" si="14"/>
        <v>SCI</v>
      </c>
      <c r="M104" s="157" t="str">
        <f t="shared" si="14"/>
        <v>EARL</v>
      </c>
      <c r="N104" s="157" t="str">
        <f t="shared" si="14"/>
        <v>ETA</v>
      </c>
      <c r="O104" s="157" t="str">
        <f t="shared" si="14"/>
        <v>SCEA</v>
      </c>
      <c r="P104" s="157" t="str">
        <f t="shared" si="14"/>
        <v>GROUPEMENT</v>
      </c>
      <c r="Q104" s="121" t="str">
        <f t="shared" si="14"/>
        <v>EIRL</v>
      </c>
      <c r="R104" s="121" t="str">
        <f t="shared" si="14"/>
        <v>AUTRES</v>
      </c>
      <c r="S104" s="121"/>
      <c r="T104" s="157" t="s">
        <v>86</v>
      </c>
      <c r="U104" s="164"/>
      <c r="V104" s="164"/>
      <c r="W104" s="164"/>
      <c r="X104" s="164"/>
      <c r="Y104" s="164"/>
      <c r="Z104" s="164"/>
      <c r="AA104" s="164"/>
      <c r="AB104" s="164"/>
      <c r="AC104" s="164"/>
      <c r="AE104" s="164"/>
      <c r="AF104" s="164"/>
      <c r="AG104" s="164"/>
      <c r="AH104" s="164"/>
      <c r="AI104" s="164"/>
      <c r="AJ104" s="164"/>
      <c r="AK104" s="164"/>
      <c r="AL104" s="164"/>
      <c r="AM104" s="164"/>
      <c r="AN104" s="164"/>
      <c r="AO104" s="164"/>
      <c r="AP104" s="164"/>
      <c r="AQ104" s="164"/>
      <c r="AR104" s="164"/>
      <c r="AS104" s="164"/>
      <c r="AT104" s="164"/>
      <c r="AU104" s="164"/>
      <c r="AV104" s="164"/>
      <c r="AW104" s="164"/>
      <c r="AX104" s="164"/>
    </row>
    <row r="105" spans="2:50" x14ac:dyDescent="0.25">
      <c r="B105" s="275"/>
      <c r="C105" s="120" t="s">
        <v>109</v>
      </c>
      <c r="D105" s="122">
        <f>+D66-D85</f>
        <v>1</v>
      </c>
      <c r="E105" s="122">
        <f t="shared" ref="E105:R107" si="15">+E66-E85</f>
        <v>0</v>
      </c>
      <c r="F105" s="122">
        <f t="shared" si="15"/>
        <v>0</v>
      </c>
      <c r="G105" s="122">
        <f t="shared" si="15"/>
        <v>0</v>
      </c>
      <c r="H105" s="122">
        <f t="shared" si="15"/>
        <v>0</v>
      </c>
      <c r="I105" s="122">
        <f t="shared" si="15"/>
        <v>0</v>
      </c>
      <c r="J105" s="122">
        <f t="shared" si="15"/>
        <v>0</v>
      </c>
      <c r="K105" s="122">
        <f t="shared" si="15"/>
        <v>0</v>
      </c>
      <c r="L105" s="122">
        <f t="shared" si="15"/>
        <v>0</v>
      </c>
      <c r="M105" s="122">
        <f t="shared" si="15"/>
        <v>0</v>
      </c>
      <c r="N105" s="122">
        <f t="shared" si="15"/>
        <v>0</v>
      </c>
      <c r="O105" s="122">
        <f t="shared" si="15"/>
        <v>0</v>
      </c>
      <c r="P105" s="122">
        <f t="shared" si="15"/>
        <v>0</v>
      </c>
      <c r="Q105" s="122">
        <f t="shared" si="15"/>
        <v>1</v>
      </c>
      <c r="R105" s="122">
        <f t="shared" si="15"/>
        <v>0</v>
      </c>
      <c r="S105" s="122"/>
      <c r="T105" s="122">
        <f>+SUM(E105:P105)</f>
        <v>0</v>
      </c>
      <c r="U105" s="164"/>
      <c r="V105" s="164"/>
      <c r="W105" s="164"/>
      <c r="X105" s="164"/>
      <c r="Y105" s="164"/>
      <c r="Z105" s="164"/>
      <c r="AA105" s="164"/>
      <c r="AB105" s="164"/>
      <c r="AC105" s="164"/>
      <c r="AE105" s="164"/>
      <c r="AF105" s="164"/>
      <c r="AG105" s="164"/>
      <c r="AH105" s="164"/>
      <c r="AI105" s="164"/>
      <c r="AJ105" s="164"/>
      <c r="AK105" s="164"/>
      <c r="AL105" s="164"/>
      <c r="AM105" s="164"/>
      <c r="AN105" s="164"/>
      <c r="AO105" s="164"/>
      <c r="AP105" s="164"/>
      <c r="AQ105" s="164"/>
      <c r="AR105" s="164"/>
      <c r="AS105" s="164"/>
      <c r="AT105" s="164"/>
      <c r="AU105" s="164"/>
      <c r="AV105" s="164"/>
      <c r="AW105" s="164"/>
      <c r="AX105" s="164"/>
    </row>
    <row r="106" spans="2:50" x14ac:dyDescent="0.25">
      <c r="B106" s="275"/>
      <c r="C106" s="120" t="s">
        <v>121</v>
      </c>
      <c r="D106" s="122">
        <f>+D67-D86</f>
        <v>0</v>
      </c>
      <c r="E106" s="122">
        <f t="shared" si="15"/>
        <v>0</v>
      </c>
      <c r="F106" s="122">
        <f t="shared" si="15"/>
        <v>0</v>
      </c>
      <c r="G106" s="122">
        <f t="shared" si="15"/>
        <v>0</v>
      </c>
      <c r="H106" s="122">
        <f t="shared" si="15"/>
        <v>0</v>
      </c>
      <c r="I106" s="122">
        <f t="shared" si="15"/>
        <v>0</v>
      </c>
      <c r="J106" s="122">
        <f t="shared" si="15"/>
        <v>0</v>
      </c>
      <c r="K106" s="122">
        <f t="shared" si="15"/>
        <v>0</v>
      </c>
      <c r="L106" s="122">
        <f t="shared" si="15"/>
        <v>0</v>
      </c>
      <c r="M106" s="122">
        <f t="shared" si="15"/>
        <v>0</v>
      </c>
      <c r="N106" s="122">
        <f t="shared" si="15"/>
        <v>0</v>
      </c>
      <c r="O106" s="122">
        <f t="shared" si="15"/>
        <v>0</v>
      </c>
      <c r="P106" s="122">
        <f t="shared" si="15"/>
        <v>0</v>
      </c>
      <c r="Q106" s="122">
        <f t="shared" si="15"/>
        <v>0</v>
      </c>
      <c r="R106" s="122">
        <f t="shared" si="15"/>
        <v>0</v>
      </c>
      <c r="S106" s="122"/>
      <c r="T106" s="122">
        <f>+SUM(E106:P106)</f>
        <v>0</v>
      </c>
      <c r="U106" s="164"/>
      <c r="V106" s="164"/>
      <c r="W106" s="164"/>
      <c r="X106" s="164"/>
      <c r="Y106" s="164"/>
      <c r="Z106" s="164"/>
      <c r="AA106" s="164"/>
      <c r="AB106" s="164"/>
      <c r="AC106" s="164"/>
      <c r="AE106" s="164"/>
      <c r="AF106" s="164"/>
      <c r="AG106" s="164"/>
      <c r="AH106" s="164"/>
      <c r="AI106" s="164"/>
      <c r="AJ106" s="164"/>
      <c r="AK106" s="164"/>
      <c r="AL106" s="164"/>
      <c r="AM106" s="164"/>
      <c r="AN106" s="164"/>
      <c r="AO106" s="164"/>
      <c r="AP106" s="164"/>
      <c r="AQ106" s="164"/>
      <c r="AR106" s="164"/>
      <c r="AS106" s="164"/>
      <c r="AT106" s="164"/>
      <c r="AU106" s="164"/>
      <c r="AV106" s="164"/>
      <c r="AW106" s="164"/>
      <c r="AX106" s="164"/>
    </row>
    <row r="107" spans="2:50" x14ac:dyDescent="0.25">
      <c r="B107" s="276"/>
      <c r="C107" s="122" t="s">
        <v>122</v>
      </c>
      <c r="D107" s="122">
        <f>+D68-D87</f>
        <v>0</v>
      </c>
      <c r="E107" s="122">
        <f t="shared" si="15"/>
        <v>0</v>
      </c>
      <c r="F107" s="122">
        <f t="shared" si="15"/>
        <v>0</v>
      </c>
      <c r="G107" s="122">
        <f t="shared" si="15"/>
        <v>0</v>
      </c>
      <c r="H107" s="122">
        <f t="shared" si="15"/>
        <v>0</v>
      </c>
      <c r="I107" s="122">
        <f t="shared" si="15"/>
        <v>0</v>
      </c>
      <c r="J107" s="122">
        <f t="shared" si="15"/>
        <v>0</v>
      </c>
      <c r="K107" s="122">
        <f t="shared" si="15"/>
        <v>0</v>
      </c>
      <c r="L107" s="122">
        <f t="shared" si="15"/>
        <v>0</v>
      </c>
      <c r="M107" s="122">
        <f t="shared" si="15"/>
        <v>0</v>
      </c>
      <c r="N107" s="122">
        <f t="shared" si="15"/>
        <v>0</v>
      </c>
      <c r="O107" s="122">
        <f t="shared" si="15"/>
        <v>0</v>
      </c>
      <c r="P107" s="122">
        <f t="shared" si="15"/>
        <v>0</v>
      </c>
      <c r="Q107" s="122">
        <f t="shared" si="15"/>
        <v>0</v>
      </c>
      <c r="R107" s="122">
        <f t="shared" si="15"/>
        <v>0</v>
      </c>
      <c r="S107" s="122"/>
      <c r="T107" s="122">
        <f>+SUM(E107:P107)</f>
        <v>0</v>
      </c>
      <c r="U107" s="164"/>
      <c r="V107" s="164"/>
      <c r="W107" s="164"/>
      <c r="X107" s="164"/>
      <c r="Y107" s="164"/>
      <c r="Z107" s="164"/>
      <c r="AA107" s="164"/>
      <c r="AB107" s="164"/>
      <c r="AC107" s="164"/>
      <c r="AE107" s="164"/>
      <c r="AF107" s="164"/>
      <c r="AG107" s="164"/>
      <c r="AH107" s="164"/>
      <c r="AI107" s="164"/>
      <c r="AJ107" s="164"/>
      <c r="AK107" s="164"/>
      <c r="AL107" s="164"/>
      <c r="AM107" s="164"/>
      <c r="AN107" s="164"/>
      <c r="AO107" s="164"/>
      <c r="AP107" s="164"/>
      <c r="AQ107" s="164"/>
      <c r="AR107" s="164"/>
      <c r="AS107" s="164"/>
      <c r="AT107" s="164"/>
      <c r="AU107" s="164"/>
      <c r="AV107" s="164"/>
      <c r="AW107" s="164"/>
      <c r="AX107" s="164"/>
    </row>
    <row r="108" spans="2:50" x14ac:dyDescent="0.25">
      <c r="B108" s="277" t="s">
        <v>123</v>
      </c>
      <c r="C108" s="277"/>
      <c r="D108" s="122">
        <f t="shared" ref="D108:R108" si="16">+SUM(D105:D107)</f>
        <v>1</v>
      </c>
      <c r="E108" s="122">
        <f t="shared" si="16"/>
        <v>0</v>
      </c>
      <c r="F108" s="122">
        <f t="shared" si="16"/>
        <v>0</v>
      </c>
      <c r="G108" s="122">
        <f t="shared" si="16"/>
        <v>0</v>
      </c>
      <c r="H108" s="122">
        <f t="shared" si="16"/>
        <v>0</v>
      </c>
      <c r="I108" s="122">
        <f t="shared" si="16"/>
        <v>0</v>
      </c>
      <c r="J108" s="122">
        <f t="shared" si="16"/>
        <v>0</v>
      </c>
      <c r="K108" s="122">
        <f t="shared" si="16"/>
        <v>0</v>
      </c>
      <c r="L108" s="122">
        <f t="shared" si="16"/>
        <v>0</v>
      </c>
      <c r="M108" s="122">
        <f t="shared" si="16"/>
        <v>0</v>
      </c>
      <c r="N108" s="122">
        <f t="shared" si="16"/>
        <v>0</v>
      </c>
      <c r="O108" s="122">
        <f t="shared" si="16"/>
        <v>0</v>
      </c>
      <c r="P108" s="122">
        <f t="shared" si="16"/>
        <v>0</v>
      </c>
      <c r="Q108" s="122">
        <f t="shared" si="16"/>
        <v>1</v>
      </c>
      <c r="R108" s="122">
        <f t="shared" si="16"/>
        <v>0</v>
      </c>
      <c r="S108" s="122"/>
      <c r="T108" s="122">
        <f>+SUM(T105:T107)</f>
        <v>0</v>
      </c>
      <c r="U108" s="164"/>
      <c r="V108" s="164"/>
      <c r="W108" s="164"/>
      <c r="X108" s="164"/>
      <c r="Y108" s="164"/>
      <c r="Z108" s="164"/>
      <c r="AA108" s="164"/>
      <c r="AB108" s="164"/>
      <c r="AC108" s="164"/>
      <c r="AE108" s="164"/>
      <c r="AF108" s="164"/>
      <c r="AG108" s="164"/>
      <c r="AH108" s="164"/>
      <c r="AI108" s="164"/>
      <c r="AJ108" s="164"/>
      <c r="AK108" s="164"/>
      <c r="AL108" s="164"/>
      <c r="AM108" s="164"/>
      <c r="AN108" s="164"/>
      <c r="AO108" s="164"/>
      <c r="AP108" s="164"/>
      <c r="AQ108" s="164"/>
      <c r="AR108" s="164"/>
      <c r="AS108" s="164"/>
      <c r="AT108" s="164"/>
      <c r="AU108" s="164"/>
      <c r="AV108" s="164"/>
      <c r="AW108" s="164"/>
      <c r="AX108" s="164"/>
    </row>
    <row r="109" spans="2:50" x14ac:dyDescent="0.25">
      <c r="B109" s="90"/>
      <c r="C109" s="90"/>
      <c r="D109" s="90"/>
      <c r="E109" s="90"/>
      <c r="G109" s="90"/>
      <c r="H109" s="90"/>
      <c r="I109" s="90"/>
      <c r="J109" s="90"/>
      <c r="K109" s="90"/>
      <c r="L109" s="90"/>
      <c r="M109" s="90"/>
      <c r="N109" s="90"/>
      <c r="O109" s="90"/>
      <c r="P109" s="90"/>
      <c r="T109" s="90"/>
      <c r="U109" s="164"/>
      <c r="V109" s="164"/>
      <c r="W109" s="164"/>
      <c r="X109" s="164"/>
      <c r="Y109" s="164"/>
      <c r="Z109" s="164"/>
      <c r="AA109" s="164"/>
      <c r="AB109" s="164"/>
      <c r="AC109" s="164"/>
      <c r="AE109" s="164"/>
      <c r="AF109" s="164"/>
      <c r="AG109" s="164"/>
      <c r="AH109" s="164"/>
      <c r="AI109" s="164"/>
      <c r="AJ109" s="164"/>
      <c r="AK109" s="164"/>
      <c r="AL109" s="164"/>
      <c r="AM109" s="164"/>
      <c r="AN109" s="164"/>
      <c r="AO109" s="164"/>
      <c r="AP109" s="164"/>
      <c r="AQ109" s="164"/>
      <c r="AR109" s="164"/>
      <c r="AS109" s="164"/>
      <c r="AT109" s="164"/>
      <c r="AU109" s="164"/>
      <c r="AV109" s="164"/>
      <c r="AW109" s="164"/>
      <c r="AX109" s="164"/>
    </row>
    <row r="110" spans="2:50" x14ac:dyDescent="0.25">
      <c r="B110" s="278">
        <v>44196</v>
      </c>
      <c r="C110" s="122"/>
      <c r="D110" s="122"/>
      <c r="E110" s="128" t="str">
        <f t="shared" ref="E110:R110" si="17">E65</f>
        <v>SARL</v>
      </c>
      <c r="F110" s="121" t="str">
        <f t="shared" si="17"/>
        <v>EURL</v>
      </c>
      <c r="G110" s="127" t="str">
        <f t="shared" si="17"/>
        <v>SAS</v>
      </c>
      <c r="H110" s="127" t="str">
        <f t="shared" si="17"/>
        <v>INDIVIDUEL</v>
      </c>
      <c r="I110" s="127" t="str">
        <f t="shared" si="17"/>
        <v>ASSOCIATION</v>
      </c>
      <c r="J110" s="128" t="str">
        <f t="shared" si="17"/>
        <v>PROFESSION LIBERALE</v>
      </c>
      <c r="K110" s="128" t="str">
        <f t="shared" si="17"/>
        <v>SNC</v>
      </c>
      <c r="L110" s="128" t="str">
        <f t="shared" si="17"/>
        <v>SCI</v>
      </c>
      <c r="M110" s="128" t="str">
        <f t="shared" si="17"/>
        <v>EARL</v>
      </c>
      <c r="N110" s="128" t="str">
        <f t="shared" si="17"/>
        <v>ETA</v>
      </c>
      <c r="O110" s="128" t="str">
        <f t="shared" si="17"/>
        <v>SCEA</v>
      </c>
      <c r="P110" s="128" t="str">
        <f t="shared" si="17"/>
        <v>GROUPEMENT</v>
      </c>
      <c r="Q110" s="128" t="str">
        <f t="shared" si="17"/>
        <v>EIRL</v>
      </c>
      <c r="R110" s="121" t="str">
        <f t="shared" si="17"/>
        <v>AUTRES</v>
      </c>
      <c r="S110" s="121"/>
      <c r="T110" s="128" t="s">
        <v>86</v>
      </c>
      <c r="U110" s="164"/>
      <c r="V110" s="164"/>
      <c r="W110" s="164"/>
      <c r="X110" s="164"/>
      <c r="Y110" s="164"/>
      <c r="Z110" s="164"/>
      <c r="AA110" s="164"/>
      <c r="AB110" s="164"/>
      <c r="AC110" s="164"/>
      <c r="AE110" s="164"/>
      <c r="AF110" s="164"/>
      <c r="AG110" s="164"/>
      <c r="AH110" s="164"/>
      <c r="AI110" s="164"/>
      <c r="AJ110" s="164"/>
      <c r="AK110" s="164"/>
      <c r="AL110" s="164"/>
      <c r="AM110" s="164"/>
      <c r="AN110" s="164"/>
      <c r="AO110" s="164"/>
      <c r="AP110" s="164"/>
      <c r="AQ110" s="164"/>
      <c r="AR110" s="164"/>
      <c r="AS110" s="164"/>
      <c r="AT110" s="164"/>
      <c r="AU110" s="164"/>
      <c r="AV110" s="164"/>
      <c r="AW110" s="164"/>
      <c r="AX110" s="164"/>
    </row>
    <row r="111" spans="2:50" x14ac:dyDescent="0.25">
      <c r="B111" s="275"/>
      <c r="C111" s="120" t="s">
        <v>109</v>
      </c>
      <c r="D111" s="122">
        <f>+D72-D91</f>
        <v>1</v>
      </c>
      <c r="E111" s="122">
        <f t="shared" ref="E111:R113" si="18">+E72-E91</f>
        <v>0</v>
      </c>
      <c r="F111" s="122">
        <f t="shared" si="18"/>
        <v>0</v>
      </c>
      <c r="G111" s="122">
        <f t="shared" si="18"/>
        <v>0</v>
      </c>
      <c r="H111" s="122">
        <f t="shared" si="18"/>
        <v>0</v>
      </c>
      <c r="I111" s="122">
        <f t="shared" si="18"/>
        <v>0</v>
      </c>
      <c r="J111" s="122">
        <f t="shared" si="18"/>
        <v>0</v>
      </c>
      <c r="K111" s="122">
        <f t="shared" si="18"/>
        <v>0</v>
      </c>
      <c r="L111" s="122">
        <f t="shared" si="18"/>
        <v>0</v>
      </c>
      <c r="M111" s="122">
        <f t="shared" si="18"/>
        <v>0</v>
      </c>
      <c r="N111" s="122">
        <f t="shared" si="18"/>
        <v>0</v>
      </c>
      <c r="O111" s="122">
        <f t="shared" si="18"/>
        <v>0</v>
      </c>
      <c r="P111" s="122">
        <f t="shared" si="18"/>
        <v>0</v>
      </c>
      <c r="Q111" s="122">
        <f t="shared" si="18"/>
        <v>1</v>
      </c>
      <c r="R111" s="122">
        <f t="shared" si="18"/>
        <v>0</v>
      </c>
      <c r="S111" s="122"/>
      <c r="T111" s="122">
        <f>+SUM(E111:P111)</f>
        <v>0</v>
      </c>
      <c r="U111" s="164"/>
      <c r="V111" s="164"/>
      <c r="W111" s="164"/>
      <c r="X111" s="164"/>
      <c r="Y111" s="164"/>
      <c r="Z111" s="164"/>
      <c r="AA111" s="164"/>
      <c r="AB111" s="164"/>
      <c r="AC111" s="164"/>
      <c r="AE111" s="164"/>
      <c r="AF111" s="164"/>
      <c r="AG111" s="164"/>
      <c r="AH111" s="164"/>
      <c r="AI111" s="164"/>
      <c r="AJ111" s="164"/>
      <c r="AK111" s="164"/>
      <c r="AL111" s="164"/>
      <c r="AM111" s="164"/>
      <c r="AN111" s="164"/>
      <c r="AO111" s="164"/>
      <c r="AP111" s="164"/>
      <c r="AQ111" s="164"/>
      <c r="AR111" s="164"/>
      <c r="AS111" s="164"/>
      <c r="AT111" s="164"/>
      <c r="AU111" s="164"/>
      <c r="AV111" s="164"/>
      <c r="AW111" s="164"/>
      <c r="AX111" s="164"/>
    </row>
    <row r="112" spans="2:50" x14ac:dyDescent="0.25">
      <c r="B112" s="275"/>
      <c r="C112" s="120" t="s">
        <v>121</v>
      </c>
      <c r="D112" s="122">
        <f>+D73-D92</f>
        <v>0</v>
      </c>
      <c r="E112" s="122">
        <f t="shared" si="18"/>
        <v>0</v>
      </c>
      <c r="F112" s="122">
        <f t="shared" si="18"/>
        <v>0</v>
      </c>
      <c r="G112" s="122">
        <f t="shared" si="18"/>
        <v>0</v>
      </c>
      <c r="H112" s="122">
        <f t="shared" si="18"/>
        <v>0</v>
      </c>
      <c r="I112" s="122">
        <f t="shared" si="18"/>
        <v>0</v>
      </c>
      <c r="J112" s="122">
        <f t="shared" si="18"/>
        <v>0</v>
      </c>
      <c r="K112" s="122">
        <f t="shared" si="18"/>
        <v>0</v>
      </c>
      <c r="L112" s="122">
        <f t="shared" si="18"/>
        <v>0</v>
      </c>
      <c r="M112" s="122">
        <f t="shared" si="18"/>
        <v>0</v>
      </c>
      <c r="N112" s="122">
        <f t="shared" si="18"/>
        <v>0</v>
      </c>
      <c r="O112" s="122">
        <f t="shared" si="18"/>
        <v>0</v>
      </c>
      <c r="P112" s="122">
        <f t="shared" si="18"/>
        <v>0</v>
      </c>
      <c r="Q112" s="122">
        <f t="shared" si="18"/>
        <v>0</v>
      </c>
      <c r="R112" s="122">
        <f t="shared" si="18"/>
        <v>0</v>
      </c>
      <c r="S112" s="122"/>
      <c r="T112" s="122">
        <f>+SUM(E112:P112)</f>
        <v>0</v>
      </c>
      <c r="U112" s="164"/>
      <c r="V112" s="164"/>
      <c r="W112" s="164"/>
      <c r="X112" s="164"/>
      <c r="Y112" s="164"/>
      <c r="Z112" s="164"/>
      <c r="AA112" s="164"/>
      <c r="AB112" s="164"/>
      <c r="AC112" s="164"/>
      <c r="AE112" s="164"/>
      <c r="AF112" s="164"/>
      <c r="AG112" s="164"/>
      <c r="AH112" s="164"/>
      <c r="AI112" s="164"/>
      <c r="AJ112" s="164"/>
      <c r="AK112" s="164"/>
      <c r="AL112" s="164"/>
      <c r="AM112" s="164"/>
      <c r="AN112" s="164"/>
      <c r="AO112" s="164"/>
      <c r="AP112" s="164"/>
      <c r="AQ112" s="164"/>
      <c r="AR112" s="164"/>
      <c r="AS112" s="164"/>
      <c r="AT112" s="164"/>
      <c r="AU112" s="164"/>
      <c r="AV112" s="164"/>
      <c r="AW112" s="164"/>
      <c r="AX112" s="164"/>
    </row>
    <row r="113" spans="2:50" x14ac:dyDescent="0.25">
      <c r="B113" s="276"/>
      <c r="C113" s="122" t="s">
        <v>122</v>
      </c>
      <c r="D113" s="122">
        <f>+D74-D93</f>
        <v>0</v>
      </c>
      <c r="E113" s="122">
        <f t="shared" si="18"/>
        <v>0</v>
      </c>
      <c r="F113" s="122">
        <f t="shared" si="18"/>
        <v>0</v>
      </c>
      <c r="G113" s="122">
        <f t="shared" si="18"/>
        <v>0</v>
      </c>
      <c r="H113" s="122">
        <f t="shared" si="18"/>
        <v>0</v>
      </c>
      <c r="I113" s="122">
        <f t="shared" si="18"/>
        <v>0</v>
      </c>
      <c r="J113" s="122">
        <f t="shared" si="18"/>
        <v>0</v>
      </c>
      <c r="K113" s="122">
        <f t="shared" si="18"/>
        <v>0</v>
      </c>
      <c r="L113" s="122">
        <f t="shared" si="18"/>
        <v>0</v>
      </c>
      <c r="M113" s="122">
        <f t="shared" si="18"/>
        <v>0</v>
      </c>
      <c r="N113" s="122">
        <f t="shared" si="18"/>
        <v>0</v>
      </c>
      <c r="O113" s="122">
        <f t="shared" si="18"/>
        <v>0</v>
      </c>
      <c r="P113" s="122">
        <f t="shared" si="18"/>
        <v>0</v>
      </c>
      <c r="Q113" s="122">
        <f t="shared" si="18"/>
        <v>0</v>
      </c>
      <c r="R113" s="122">
        <f t="shared" si="18"/>
        <v>0</v>
      </c>
      <c r="S113" s="122"/>
      <c r="T113" s="122">
        <f>+SUM(E113:P113)</f>
        <v>0</v>
      </c>
      <c r="U113" s="164"/>
      <c r="V113" s="164"/>
      <c r="W113" s="164"/>
      <c r="X113" s="164"/>
      <c r="Y113" s="164"/>
      <c r="Z113" s="164"/>
      <c r="AA113" s="164"/>
      <c r="AB113" s="164"/>
      <c r="AC113" s="164"/>
      <c r="AE113" s="164"/>
      <c r="AF113" s="164"/>
      <c r="AG113" s="164"/>
      <c r="AH113" s="164"/>
      <c r="AI113" s="164"/>
      <c r="AJ113" s="164"/>
      <c r="AK113" s="164"/>
      <c r="AL113" s="164"/>
      <c r="AM113" s="164"/>
      <c r="AN113" s="164"/>
      <c r="AO113" s="164"/>
      <c r="AP113" s="164"/>
      <c r="AQ113" s="164"/>
      <c r="AR113" s="164"/>
      <c r="AS113" s="164"/>
      <c r="AT113" s="164"/>
      <c r="AU113" s="164"/>
      <c r="AV113" s="164"/>
      <c r="AW113" s="164"/>
      <c r="AX113" s="164"/>
    </row>
    <row r="114" spans="2:50" x14ac:dyDescent="0.25">
      <c r="B114" s="277" t="s">
        <v>123</v>
      </c>
      <c r="C114" s="277"/>
      <c r="D114" s="122">
        <f t="shared" ref="D114:R114" si="19">+SUM(D111:D113)</f>
        <v>1</v>
      </c>
      <c r="E114" s="122">
        <f t="shared" si="19"/>
        <v>0</v>
      </c>
      <c r="F114" s="122">
        <f t="shared" si="19"/>
        <v>0</v>
      </c>
      <c r="G114" s="122">
        <f t="shared" si="19"/>
        <v>0</v>
      </c>
      <c r="H114" s="122">
        <f t="shared" si="19"/>
        <v>0</v>
      </c>
      <c r="I114" s="122">
        <f t="shared" si="19"/>
        <v>0</v>
      </c>
      <c r="J114" s="122">
        <f t="shared" si="19"/>
        <v>0</v>
      </c>
      <c r="K114" s="122">
        <f t="shared" si="19"/>
        <v>0</v>
      </c>
      <c r="L114" s="122">
        <f t="shared" si="19"/>
        <v>0</v>
      </c>
      <c r="M114" s="122">
        <f t="shared" si="19"/>
        <v>0</v>
      </c>
      <c r="N114" s="122">
        <f t="shared" si="19"/>
        <v>0</v>
      </c>
      <c r="O114" s="122">
        <f t="shared" si="19"/>
        <v>0</v>
      </c>
      <c r="P114" s="122">
        <f t="shared" si="19"/>
        <v>0</v>
      </c>
      <c r="Q114" s="122">
        <f t="shared" si="19"/>
        <v>1</v>
      </c>
      <c r="R114" s="122">
        <f t="shared" si="19"/>
        <v>0</v>
      </c>
      <c r="S114" s="122"/>
      <c r="T114" s="122">
        <f>+SUM(T111:T113)</f>
        <v>0</v>
      </c>
      <c r="U114" s="164"/>
      <c r="V114" s="164"/>
      <c r="W114" s="164"/>
      <c r="X114" s="164"/>
      <c r="Y114" s="164"/>
      <c r="Z114" s="164"/>
      <c r="AA114" s="164"/>
      <c r="AB114" s="164"/>
      <c r="AC114" s="164"/>
      <c r="AE114" s="164"/>
      <c r="AF114" s="164"/>
      <c r="AG114" s="164"/>
      <c r="AH114" s="164"/>
      <c r="AI114" s="164"/>
      <c r="AJ114" s="164"/>
      <c r="AK114" s="164"/>
      <c r="AL114" s="164"/>
      <c r="AM114" s="164"/>
      <c r="AN114" s="164"/>
      <c r="AO114" s="164"/>
      <c r="AP114" s="164"/>
      <c r="AQ114" s="164"/>
      <c r="AR114" s="164"/>
      <c r="AS114" s="164"/>
      <c r="AT114" s="164"/>
      <c r="AU114" s="164"/>
      <c r="AV114" s="164"/>
      <c r="AW114" s="164"/>
      <c r="AX114" s="164"/>
    </row>
    <row r="115" spans="2:50" x14ac:dyDescent="0.25">
      <c r="B115" s="90"/>
      <c r="C115" s="90"/>
      <c r="D115" s="90"/>
      <c r="E115" s="90"/>
      <c r="G115" s="90"/>
      <c r="H115" s="90"/>
      <c r="I115" s="90"/>
      <c r="J115" s="90"/>
      <c r="K115" s="90"/>
      <c r="L115" s="90"/>
      <c r="M115" s="90"/>
      <c r="N115" s="90"/>
      <c r="O115" s="90"/>
      <c r="P115" s="90"/>
      <c r="T115" s="90"/>
      <c r="U115" s="164"/>
      <c r="V115" s="164"/>
      <c r="W115" s="164"/>
      <c r="X115" s="164"/>
      <c r="Y115" s="164"/>
      <c r="Z115" s="164"/>
      <c r="AA115" s="164"/>
      <c r="AB115" s="164"/>
      <c r="AC115" s="164"/>
      <c r="AE115" s="164"/>
      <c r="AF115" s="164"/>
      <c r="AG115" s="164"/>
      <c r="AH115" s="164"/>
      <c r="AI115" s="164"/>
      <c r="AJ115" s="164"/>
      <c r="AK115" s="164"/>
      <c r="AL115" s="164"/>
      <c r="AM115" s="164"/>
      <c r="AN115" s="164"/>
      <c r="AO115" s="164"/>
      <c r="AP115" s="164"/>
      <c r="AQ115" s="164"/>
      <c r="AR115" s="164"/>
      <c r="AS115" s="164"/>
      <c r="AT115" s="164"/>
      <c r="AU115" s="164"/>
      <c r="AV115" s="164"/>
      <c r="AW115" s="164"/>
      <c r="AX115" s="164"/>
    </row>
    <row r="116" spans="2:50" x14ac:dyDescent="0.25">
      <c r="B116" s="278" t="s">
        <v>40</v>
      </c>
      <c r="C116" s="122"/>
      <c r="D116" s="122"/>
      <c r="E116" s="125" t="str">
        <f t="shared" ref="E116:R116" si="20">E65</f>
        <v>SARL</v>
      </c>
      <c r="F116" s="121" t="str">
        <f t="shared" si="20"/>
        <v>EURL</v>
      </c>
      <c r="G116" s="126" t="str">
        <f t="shared" si="20"/>
        <v>SAS</v>
      </c>
      <c r="H116" s="127" t="str">
        <f t="shared" si="20"/>
        <v>INDIVIDUEL</v>
      </c>
      <c r="I116" s="127" t="str">
        <f t="shared" si="20"/>
        <v>ASSOCIATION</v>
      </c>
      <c r="J116" s="128" t="str">
        <f t="shared" si="20"/>
        <v>PROFESSION LIBERALE</v>
      </c>
      <c r="K116" s="128" t="str">
        <f t="shared" si="20"/>
        <v>SNC</v>
      </c>
      <c r="L116" s="128" t="str">
        <f t="shared" si="20"/>
        <v>SCI</v>
      </c>
      <c r="M116" s="128" t="str">
        <f t="shared" si="20"/>
        <v>EARL</v>
      </c>
      <c r="N116" s="128" t="str">
        <f t="shared" si="20"/>
        <v>ETA</v>
      </c>
      <c r="O116" s="128" t="str">
        <f t="shared" si="20"/>
        <v>SCEA</v>
      </c>
      <c r="P116" s="128" t="str">
        <f t="shared" si="20"/>
        <v>GROUPEMENT</v>
      </c>
      <c r="Q116" s="128" t="str">
        <f t="shared" si="20"/>
        <v>EIRL</v>
      </c>
      <c r="R116" s="121" t="str">
        <f t="shared" si="20"/>
        <v>AUTRES</v>
      </c>
      <c r="S116" s="121"/>
      <c r="T116" s="128" t="s">
        <v>86</v>
      </c>
      <c r="U116" s="164"/>
      <c r="V116" s="164"/>
      <c r="W116" s="164"/>
      <c r="X116" s="164"/>
      <c r="Y116" s="164"/>
      <c r="Z116" s="164"/>
      <c r="AA116" s="164"/>
      <c r="AB116" s="164"/>
      <c r="AC116" s="164"/>
      <c r="AE116" s="164"/>
      <c r="AF116" s="164"/>
      <c r="AG116" s="164"/>
      <c r="AH116" s="164"/>
      <c r="AI116" s="164"/>
      <c r="AJ116" s="164"/>
      <c r="AK116" s="164"/>
      <c r="AL116" s="164"/>
      <c r="AM116" s="164"/>
      <c r="AN116" s="164"/>
      <c r="AO116" s="164"/>
      <c r="AP116" s="164"/>
      <c r="AQ116" s="164"/>
      <c r="AR116" s="164"/>
      <c r="AS116" s="164"/>
      <c r="AT116" s="164"/>
      <c r="AU116" s="164"/>
      <c r="AV116" s="164"/>
      <c r="AW116" s="164"/>
      <c r="AX116" s="164"/>
    </row>
    <row r="117" spans="2:50" x14ac:dyDescent="0.25">
      <c r="B117" s="275"/>
      <c r="C117" s="120" t="s">
        <v>109</v>
      </c>
      <c r="D117" s="122">
        <f>+D105-D111</f>
        <v>0</v>
      </c>
      <c r="E117" s="122">
        <f t="shared" ref="E117:R120" si="21">+E105-E111</f>
        <v>0</v>
      </c>
      <c r="F117" s="122">
        <f t="shared" si="21"/>
        <v>0</v>
      </c>
      <c r="G117" s="122">
        <f t="shared" si="21"/>
        <v>0</v>
      </c>
      <c r="H117" s="122">
        <f t="shared" si="21"/>
        <v>0</v>
      </c>
      <c r="I117" s="122">
        <f t="shared" si="21"/>
        <v>0</v>
      </c>
      <c r="J117" s="122">
        <f t="shared" si="21"/>
        <v>0</v>
      </c>
      <c r="K117" s="122">
        <f t="shared" si="21"/>
        <v>0</v>
      </c>
      <c r="L117" s="122">
        <f t="shared" si="21"/>
        <v>0</v>
      </c>
      <c r="M117" s="122">
        <f t="shared" si="21"/>
        <v>0</v>
      </c>
      <c r="N117" s="122">
        <f t="shared" si="21"/>
        <v>0</v>
      </c>
      <c r="O117" s="122">
        <f t="shared" si="21"/>
        <v>0</v>
      </c>
      <c r="P117" s="122">
        <f t="shared" si="21"/>
        <v>0</v>
      </c>
      <c r="Q117" s="122">
        <f t="shared" si="21"/>
        <v>0</v>
      </c>
      <c r="R117" s="122">
        <f t="shared" si="21"/>
        <v>0</v>
      </c>
      <c r="S117" s="122"/>
      <c r="T117" s="122">
        <f>+SUM(E117:P117)</f>
        <v>0</v>
      </c>
      <c r="U117" s="164"/>
      <c r="V117" s="164"/>
      <c r="W117" s="164"/>
      <c r="X117" s="164"/>
      <c r="Y117" s="164"/>
      <c r="Z117" s="164"/>
      <c r="AA117" s="164"/>
      <c r="AB117" s="164"/>
      <c r="AC117" s="164"/>
      <c r="AE117" s="164"/>
      <c r="AF117" s="164"/>
      <c r="AG117" s="164"/>
      <c r="AH117" s="164"/>
      <c r="AI117" s="164"/>
      <c r="AJ117" s="164"/>
      <c r="AK117" s="164"/>
      <c r="AL117" s="164"/>
      <c r="AM117" s="164"/>
      <c r="AN117" s="164"/>
      <c r="AO117" s="164"/>
      <c r="AP117" s="164"/>
      <c r="AQ117" s="164"/>
      <c r="AR117" s="164"/>
      <c r="AS117" s="164"/>
      <c r="AT117" s="164"/>
      <c r="AU117" s="164"/>
      <c r="AV117" s="164"/>
      <c r="AW117" s="164"/>
      <c r="AX117" s="164"/>
    </row>
    <row r="118" spans="2:50" x14ac:dyDescent="0.25">
      <c r="B118" s="275"/>
      <c r="C118" s="120" t="s">
        <v>121</v>
      </c>
      <c r="D118" s="122">
        <f>+D106-D112</f>
        <v>0</v>
      </c>
      <c r="E118" s="122">
        <f t="shared" si="21"/>
        <v>0</v>
      </c>
      <c r="F118" s="122">
        <f t="shared" si="21"/>
        <v>0</v>
      </c>
      <c r="G118" s="122">
        <f t="shared" si="21"/>
        <v>0</v>
      </c>
      <c r="H118" s="122">
        <f t="shared" si="21"/>
        <v>0</v>
      </c>
      <c r="I118" s="122">
        <f t="shared" si="21"/>
        <v>0</v>
      </c>
      <c r="J118" s="122">
        <f t="shared" si="21"/>
        <v>0</v>
      </c>
      <c r="K118" s="122">
        <f t="shared" si="21"/>
        <v>0</v>
      </c>
      <c r="L118" s="122">
        <f t="shared" si="21"/>
        <v>0</v>
      </c>
      <c r="M118" s="122">
        <f t="shared" si="21"/>
        <v>0</v>
      </c>
      <c r="N118" s="122">
        <f t="shared" si="21"/>
        <v>0</v>
      </c>
      <c r="O118" s="122">
        <f t="shared" si="21"/>
        <v>0</v>
      </c>
      <c r="P118" s="122">
        <f t="shared" si="21"/>
        <v>0</v>
      </c>
      <c r="Q118" s="122">
        <f t="shared" si="21"/>
        <v>0</v>
      </c>
      <c r="R118" s="122">
        <f t="shared" si="21"/>
        <v>0</v>
      </c>
      <c r="S118" s="122"/>
      <c r="T118" s="122">
        <f>+SUM(E118:P118)</f>
        <v>0</v>
      </c>
      <c r="U118" s="164"/>
      <c r="V118" s="164"/>
      <c r="W118" s="164"/>
      <c r="X118" s="164"/>
      <c r="Y118" s="164"/>
      <c r="Z118" s="164"/>
      <c r="AA118" s="164"/>
      <c r="AB118" s="164"/>
      <c r="AC118" s="164"/>
      <c r="AE118" s="164"/>
      <c r="AF118" s="164"/>
      <c r="AG118" s="164"/>
      <c r="AH118" s="164"/>
      <c r="AI118" s="164"/>
      <c r="AJ118" s="164"/>
      <c r="AK118" s="164"/>
      <c r="AL118" s="164"/>
      <c r="AM118" s="164"/>
      <c r="AN118" s="164"/>
      <c r="AO118" s="164"/>
      <c r="AP118" s="164"/>
      <c r="AQ118" s="164"/>
      <c r="AR118" s="164"/>
      <c r="AS118" s="164"/>
      <c r="AT118" s="164"/>
      <c r="AU118" s="164"/>
      <c r="AV118" s="164"/>
      <c r="AW118" s="164"/>
      <c r="AX118" s="164"/>
    </row>
    <row r="119" spans="2:50" x14ac:dyDescent="0.25">
      <c r="B119" s="276"/>
      <c r="C119" s="122" t="s">
        <v>122</v>
      </c>
      <c r="D119" s="122">
        <f>+D107-D113</f>
        <v>0</v>
      </c>
      <c r="E119" s="122">
        <f t="shared" si="21"/>
        <v>0</v>
      </c>
      <c r="F119" s="122">
        <f t="shared" si="21"/>
        <v>0</v>
      </c>
      <c r="G119" s="122">
        <f t="shared" si="21"/>
        <v>0</v>
      </c>
      <c r="H119" s="122">
        <f t="shared" si="21"/>
        <v>0</v>
      </c>
      <c r="I119" s="122">
        <f t="shared" si="21"/>
        <v>0</v>
      </c>
      <c r="J119" s="122">
        <f t="shared" si="21"/>
        <v>0</v>
      </c>
      <c r="K119" s="122">
        <f t="shared" si="21"/>
        <v>0</v>
      </c>
      <c r="L119" s="122">
        <f t="shared" si="21"/>
        <v>0</v>
      </c>
      <c r="M119" s="122">
        <f t="shared" si="21"/>
        <v>0</v>
      </c>
      <c r="N119" s="122">
        <f t="shared" si="21"/>
        <v>0</v>
      </c>
      <c r="O119" s="122">
        <f t="shared" si="21"/>
        <v>0</v>
      </c>
      <c r="P119" s="122">
        <f t="shared" si="21"/>
        <v>0</v>
      </c>
      <c r="Q119" s="122">
        <f t="shared" si="21"/>
        <v>0</v>
      </c>
      <c r="R119" s="122">
        <f t="shared" si="21"/>
        <v>0</v>
      </c>
      <c r="S119" s="122"/>
      <c r="T119" s="122">
        <f>+SUM(E119:P119)</f>
        <v>0</v>
      </c>
      <c r="U119" s="164"/>
      <c r="V119" s="164"/>
      <c r="W119" s="164"/>
      <c r="X119" s="164"/>
      <c r="Y119" s="164"/>
      <c r="Z119" s="164"/>
      <c r="AA119" s="164"/>
      <c r="AB119" s="164"/>
      <c r="AC119" s="164"/>
      <c r="AE119" s="164"/>
      <c r="AF119" s="164"/>
      <c r="AG119" s="164"/>
      <c r="AH119" s="164"/>
      <c r="AI119" s="164"/>
      <c r="AJ119" s="164"/>
      <c r="AK119" s="164"/>
      <c r="AL119" s="164"/>
      <c r="AM119" s="164"/>
      <c r="AN119" s="164"/>
      <c r="AO119" s="164"/>
      <c r="AP119" s="164"/>
      <c r="AQ119" s="164"/>
      <c r="AR119" s="164"/>
      <c r="AS119" s="164"/>
      <c r="AT119" s="164"/>
      <c r="AU119" s="164"/>
      <c r="AV119" s="164"/>
      <c r="AW119" s="164"/>
      <c r="AX119" s="164"/>
    </row>
    <row r="120" spans="2:50" x14ac:dyDescent="0.25">
      <c r="B120" s="277" t="s">
        <v>123</v>
      </c>
      <c r="C120" s="277"/>
      <c r="D120" s="122">
        <f>+D108-D114</f>
        <v>0</v>
      </c>
      <c r="E120" s="122">
        <f t="shared" si="21"/>
        <v>0</v>
      </c>
      <c r="F120" s="122">
        <f t="shared" si="21"/>
        <v>0</v>
      </c>
      <c r="G120" s="122">
        <f t="shared" si="21"/>
        <v>0</v>
      </c>
      <c r="H120" s="122">
        <f t="shared" si="21"/>
        <v>0</v>
      </c>
      <c r="I120" s="122">
        <f t="shared" si="21"/>
        <v>0</v>
      </c>
      <c r="J120" s="122">
        <f t="shared" si="21"/>
        <v>0</v>
      </c>
      <c r="K120" s="122">
        <f t="shared" si="21"/>
        <v>0</v>
      </c>
      <c r="L120" s="122">
        <f t="shared" si="21"/>
        <v>0</v>
      </c>
      <c r="M120" s="122">
        <f t="shared" si="21"/>
        <v>0</v>
      </c>
      <c r="N120" s="122">
        <f t="shared" si="21"/>
        <v>0</v>
      </c>
      <c r="O120" s="122">
        <f t="shared" si="21"/>
        <v>0</v>
      </c>
      <c r="P120" s="122">
        <f t="shared" si="21"/>
        <v>0</v>
      </c>
      <c r="Q120" s="122">
        <f t="shared" si="21"/>
        <v>0</v>
      </c>
      <c r="R120" s="122">
        <f t="shared" si="21"/>
        <v>0</v>
      </c>
      <c r="S120" s="122"/>
      <c r="T120" s="122">
        <f>+SUM(T117:T119)</f>
        <v>0</v>
      </c>
      <c r="U120" s="164"/>
      <c r="V120" s="164"/>
      <c r="W120" s="164"/>
      <c r="X120" s="164"/>
      <c r="Y120" s="164"/>
      <c r="Z120" s="164"/>
      <c r="AA120" s="164"/>
      <c r="AB120" s="164"/>
      <c r="AC120" s="164"/>
      <c r="AE120" s="164"/>
      <c r="AF120" s="164"/>
      <c r="AG120" s="164"/>
      <c r="AH120" s="164"/>
      <c r="AI120" s="164"/>
      <c r="AJ120" s="164"/>
      <c r="AK120" s="164"/>
      <c r="AL120" s="164"/>
      <c r="AM120" s="164"/>
      <c r="AN120" s="164"/>
      <c r="AO120" s="164"/>
      <c r="AP120" s="164"/>
      <c r="AQ120" s="164"/>
      <c r="AR120" s="164"/>
      <c r="AS120" s="164"/>
      <c r="AT120" s="164"/>
      <c r="AU120" s="164"/>
      <c r="AV120" s="164"/>
      <c r="AW120" s="164"/>
      <c r="AX120" s="164"/>
    </row>
    <row r="121" spans="2:50" x14ac:dyDescent="0.25">
      <c r="U121" s="164"/>
      <c r="V121" s="164"/>
      <c r="W121" s="164"/>
      <c r="X121" s="164"/>
      <c r="Y121" s="164"/>
      <c r="Z121" s="164"/>
      <c r="AA121" s="164"/>
      <c r="AB121" s="164"/>
      <c r="AC121" s="164"/>
      <c r="AE121" s="164"/>
      <c r="AF121" s="164"/>
      <c r="AG121" s="164"/>
      <c r="AH121" s="164"/>
      <c r="AI121" s="164"/>
      <c r="AJ121" s="164"/>
      <c r="AK121" s="164"/>
      <c r="AL121" s="164"/>
      <c r="AM121" s="164"/>
      <c r="AN121" s="164"/>
      <c r="AO121" s="164"/>
      <c r="AP121" s="164"/>
      <c r="AQ121" s="164"/>
      <c r="AR121" s="164"/>
      <c r="AS121" s="164"/>
      <c r="AT121" s="164"/>
      <c r="AU121" s="164"/>
      <c r="AV121" s="164"/>
      <c r="AW121" s="164"/>
      <c r="AX121" s="164"/>
    </row>
    <row r="122" spans="2:50" x14ac:dyDescent="0.25">
      <c r="U122" s="164"/>
      <c r="V122" s="164"/>
      <c r="W122" s="164"/>
      <c r="X122" s="164"/>
      <c r="Y122" s="164"/>
      <c r="Z122" s="164"/>
      <c r="AA122" s="164"/>
      <c r="AB122" s="164"/>
      <c r="AC122" s="164"/>
      <c r="AE122" s="164"/>
      <c r="AF122" s="164"/>
      <c r="AG122" s="164"/>
      <c r="AH122" s="164"/>
      <c r="AI122" s="164"/>
      <c r="AJ122" s="164"/>
      <c r="AK122" s="164"/>
      <c r="AL122" s="164"/>
      <c r="AM122" s="164"/>
      <c r="AN122" s="164"/>
      <c r="AO122" s="164"/>
      <c r="AP122" s="164"/>
      <c r="AQ122" s="164"/>
      <c r="AR122" s="164"/>
      <c r="AS122" s="164"/>
      <c r="AT122" s="164"/>
      <c r="AU122" s="164"/>
      <c r="AV122" s="164"/>
      <c r="AW122" s="164"/>
      <c r="AX122" s="164"/>
    </row>
    <row r="123" spans="2:50" x14ac:dyDescent="0.25">
      <c r="U123" s="164"/>
      <c r="V123" s="164"/>
      <c r="W123" s="164"/>
      <c r="X123" s="164"/>
      <c r="Y123" s="164"/>
      <c r="Z123" s="164"/>
      <c r="AA123" s="164"/>
      <c r="AB123" s="164"/>
      <c r="AC123" s="164"/>
      <c r="AE123" s="164"/>
      <c r="AF123" s="164"/>
      <c r="AG123" s="164"/>
      <c r="AH123" s="164"/>
      <c r="AI123" s="164"/>
      <c r="AJ123" s="164"/>
      <c r="AK123" s="164"/>
      <c r="AL123" s="164"/>
      <c r="AM123" s="164"/>
      <c r="AN123" s="164"/>
      <c r="AO123" s="164"/>
      <c r="AP123" s="164"/>
      <c r="AQ123" s="164"/>
      <c r="AR123" s="164"/>
      <c r="AS123" s="164"/>
      <c r="AT123" s="164"/>
      <c r="AU123" s="164"/>
      <c r="AV123" s="164"/>
      <c r="AW123" s="164"/>
      <c r="AX123" s="164"/>
    </row>
    <row r="124" spans="2:50" x14ac:dyDescent="0.25">
      <c r="U124" s="164"/>
      <c r="V124" s="164"/>
      <c r="W124" s="164"/>
      <c r="X124" s="164"/>
      <c r="Y124" s="164"/>
      <c r="Z124" s="164"/>
      <c r="AA124" s="164"/>
      <c r="AB124" s="164"/>
      <c r="AC124" s="164"/>
      <c r="AE124" s="164"/>
      <c r="AF124" s="164"/>
      <c r="AG124" s="164"/>
      <c r="AH124" s="164"/>
      <c r="AI124" s="164"/>
      <c r="AJ124" s="164"/>
      <c r="AK124" s="164"/>
      <c r="AL124" s="164"/>
      <c r="AM124" s="164"/>
      <c r="AN124" s="164"/>
      <c r="AO124" s="164"/>
      <c r="AP124" s="164"/>
      <c r="AQ124" s="164"/>
      <c r="AR124" s="164"/>
      <c r="AS124" s="164"/>
      <c r="AT124" s="164"/>
      <c r="AU124" s="164"/>
      <c r="AV124" s="164"/>
      <c r="AW124" s="164"/>
      <c r="AX124" s="164"/>
    </row>
    <row r="125" spans="2:50" x14ac:dyDescent="0.25">
      <c r="U125" s="164"/>
      <c r="V125" s="164"/>
      <c r="W125" s="164"/>
      <c r="X125" s="164"/>
      <c r="Y125" s="164"/>
      <c r="Z125" s="164"/>
      <c r="AA125" s="164"/>
      <c r="AB125" s="164"/>
      <c r="AC125" s="164"/>
      <c r="AE125" s="164"/>
      <c r="AF125" s="164"/>
      <c r="AG125" s="164"/>
      <c r="AH125" s="164"/>
      <c r="AI125" s="164"/>
      <c r="AJ125" s="164"/>
      <c r="AK125" s="164"/>
      <c r="AL125" s="164"/>
      <c r="AM125" s="164"/>
      <c r="AN125" s="164"/>
      <c r="AO125" s="164"/>
      <c r="AP125" s="164"/>
      <c r="AQ125" s="164"/>
      <c r="AR125" s="164"/>
      <c r="AS125" s="164"/>
      <c r="AT125" s="164"/>
      <c r="AU125" s="164"/>
      <c r="AV125" s="164"/>
      <c r="AW125" s="164"/>
      <c r="AX125" s="164"/>
    </row>
    <row r="126" spans="2:50" x14ac:dyDescent="0.25">
      <c r="U126" s="164"/>
      <c r="V126" s="164"/>
      <c r="W126" s="164"/>
      <c r="X126" s="164"/>
      <c r="Y126" s="164"/>
      <c r="Z126" s="164"/>
      <c r="AA126" s="164"/>
      <c r="AB126" s="164"/>
      <c r="AC126" s="164"/>
      <c r="AE126" s="164"/>
      <c r="AF126" s="164"/>
      <c r="AG126" s="164"/>
      <c r="AH126" s="164"/>
      <c r="AI126" s="164"/>
      <c r="AJ126" s="164"/>
      <c r="AK126" s="164"/>
      <c r="AL126" s="164"/>
      <c r="AM126" s="164"/>
      <c r="AN126" s="164"/>
      <c r="AO126" s="164"/>
      <c r="AP126" s="164"/>
      <c r="AQ126" s="164"/>
      <c r="AR126" s="164"/>
      <c r="AS126" s="164"/>
      <c r="AT126" s="164"/>
      <c r="AU126" s="164"/>
      <c r="AV126" s="164"/>
      <c r="AW126" s="164"/>
      <c r="AX126" s="164"/>
    </row>
    <row r="127" spans="2:50" x14ac:dyDescent="0.25">
      <c r="U127" s="164"/>
      <c r="V127" s="164"/>
      <c r="W127" s="164"/>
      <c r="X127" s="164"/>
      <c r="Y127" s="164"/>
      <c r="Z127" s="164"/>
      <c r="AA127" s="164"/>
      <c r="AB127" s="164"/>
      <c r="AC127" s="164"/>
      <c r="AE127" s="164"/>
      <c r="AF127" s="164"/>
      <c r="AG127" s="164"/>
      <c r="AH127" s="164"/>
      <c r="AI127" s="164"/>
      <c r="AJ127" s="164"/>
      <c r="AK127" s="164"/>
      <c r="AL127" s="164"/>
      <c r="AM127" s="164"/>
      <c r="AN127" s="164"/>
      <c r="AO127" s="164"/>
      <c r="AP127" s="164"/>
      <c r="AQ127" s="164"/>
      <c r="AR127" s="164"/>
      <c r="AS127" s="164"/>
      <c r="AT127" s="164"/>
      <c r="AU127" s="164"/>
      <c r="AV127" s="164"/>
      <c r="AW127" s="164"/>
      <c r="AX127" s="164"/>
    </row>
    <row r="128" spans="2:50" x14ac:dyDescent="0.25">
      <c r="U128" s="164"/>
      <c r="V128" s="164"/>
      <c r="W128" s="164"/>
      <c r="X128" s="164"/>
      <c r="Y128" s="164"/>
      <c r="Z128" s="164"/>
      <c r="AA128" s="164"/>
      <c r="AB128" s="164"/>
      <c r="AC128" s="164"/>
      <c r="AE128" s="164"/>
      <c r="AF128" s="164"/>
      <c r="AG128" s="164"/>
      <c r="AH128" s="164"/>
      <c r="AI128" s="164"/>
      <c r="AJ128" s="164"/>
      <c r="AK128" s="164"/>
      <c r="AL128" s="164"/>
      <c r="AM128" s="164"/>
      <c r="AN128" s="164"/>
      <c r="AO128" s="164"/>
      <c r="AP128" s="164"/>
      <c r="AQ128" s="164"/>
      <c r="AR128" s="164"/>
      <c r="AS128" s="164"/>
      <c r="AT128" s="164"/>
      <c r="AU128" s="164"/>
      <c r="AV128" s="164"/>
      <c r="AW128" s="164"/>
      <c r="AX128" s="164"/>
    </row>
    <row r="129" spans="21:50" x14ac:dyDescent="0.25">
      <c r="U129" s="164"/>
      <c r="V129" s="164"/>
      <c r="W129" s="164"/>
      <c r="X129" s="164"/>
      <c r="Y129" s="164"/>
      <c r="Z129" s="164"/>
      <c r="AA129" s="164"/>
      <c r="AB129" s="164"/>
      <c r="AC129" s="164"/>
      <c r="AE129" s="164"/>
      <c r="AF129" s="164"/>
      <c r="AG129" s="164"/>
      <c r="AH129" s="164"/>
      <c r="AI129" s="164"/>
      <c r="AJ129" s="164"/>
      <c r="AK129" s="164"/>
      <c r="AL129" s="164"/>
      <c r="AM129" s="164"/>
      <c r="AN129" s="164"/>
      <c r="AO129" s="164"/>
      <c r="AP129" s="164"/>
      <c r="AQ129" s="164"/>
      <c r="AR129" s="164"/>
      <c r="AS129" s="164"/>
      <c r="AT129" s="164"/>
      <c r="AU129" s="164"/>
      <c r="AV129" s="164"/>
      <c r="AW129" s="164"/>
      <c r="AX129" s="164"/>
    </row>
    <row r="130" spans="21:50" x14ac:dyDescent="0.25">
      <c r="U130" s="164"/>
      <c r="V130" s="164"/>
      <c r="W130" s="164"/>
      <c r="X130" s="164"/>
      <c r="Y130" s="164"/>
      <c r="Z130" s="164"/>
      <c r="AA130" s="164"/>
      <c r="AB130" s="164"/>
      <c r="AC130" s="164"/>
      <c r="AE130" s="164"/>
      <c r="AF130" s="164"/>
      <c r="AG130" s="164"/>
      <c r="AH130" s="164"/>
      <c r="AI130" s="164"/>
      <c r="AJ130" s="164"/>
      <c r="AK130" s="164"/>
      <c r="AL130" s="164"/>
      <c r="AM130" s="164"/>
      <c r="AN130" s="164"/>
      <c r="AO130" s="164"/>
      <c r="AP130" s="164"/>
      <c r="AQ130" s="164"/>
      <c r="AR130" s="164"/>
      <c r="AS130" s="164"/>
      <c r="AT130" s="164"/>
      <c r="AU130" s="164"/>
      <c r="AV130" s="164"/>
      <c r="AW130" s="164"/>
      <c r="AX130" s="164"/>
    </row>
    <row r="131" spans="21:50" x14ac:dyDescent="0.25">
      <c r="U131" s="164"/>
      <c r="V131" s="164"/>
      <c r="W131" s="164"/>
      <c r="X131" s="164"/>
      <c r="Y131" s="164"/>
      <c r="Z131" s="164"/>
      <c r="AA131" s="164"/>
      <c r="AB131" s="164"/>
      <c r="AC131" s="164"/>
      <c r="AE131" s="164"/>
      <c r="AF131" s="164"/>
      <c r="AG131" s="164"/>
      <c r="AH131" s="164"/>
      <c r="AI131" s="164"/>
      <c r="AJ131" s="164"/>
      <c r="AK131" s="164"/>
      <c r="AL131" s="164"/>
      <c r="AM131" s="164"/>
      <c r="AN131" s="164"/>
      <c r="AO131" s="164"/>
      <c r="AP131" s="164"/>
      <c r="AQ131" s="164"/>
      <c r="AR131" s="164"/>
      <c r="AS131" s="164"/>
      <c r="AT131" s="164"/>
      <c r="AU131" s="164"/>
      <c r="AV131" s="164"/>
      <c r="AW131" s="164"/>
      <c r="AX131" s="164"/>
    </row>
    <row r="132" spans="21:50" x14ac:dyDescent="0.25">
      <c r="U132" s="164"/>
      <c r="V132" s="164"/>
      <c r="W132" s="164"/>
      <c r="X132" s="164"/>
      <c r="Y132" s="164"/>
      <c r="Z132" s="164"/>
      <c r="AA132" s="164"/>
      <c r="AB132" s="164"/>
      <c r="AC132" s="164"/>
      <c r="AE132" s="164"/>
      <c r="AF132" s="164"/>
      <c r="AG132" s="164"/>
      <c r="AH132" s="164"/>
      <c r="AI132" s="164"/>
      <c r="AJ132" s="164"/>
      <c r="AK132" s="164"/>
      <c r="AL132" s="164"/>
      <c r="AM132" s="164"/>
      <c r="AN132" s="164"/>
      <c r="AO132" s="164"/>
      <c r="AP132" s="164"/>
      <c r="AQ132" s="164"/>
      <c r="AR132" s="164"/>
      <c r="AS132" s="164"/>
      <c r="AT132" s="164"/>
      <c r="AU132" s="164"/>
      <c r="AV132" s="164"/>
      <c r="AW132" s="164"/>
      <c r="AX132" s="164"/>
    </row>
    <row r="133" spans="21:50" x14ac:dyDescent="0.25">
      <c r="U133" s="164"/>
      <c r="V133" s="164"/>
      <c r="W133" s="164"/>
      <c r="X133" s="164"/>
      <c r="Y133" s="164"/>
      <c r="Z133" s="164"/>
      <c r="AA133" s="164"/>
      <c r="AB133" s="164"/>
      <c r="AC133" s="164"/>
      <c r="AE133" s="164"/>
      <c r="AF133" s="164"/>
      <c r="AG133" s="164"/>
      <c r="AH133" s="164"/>
      <c r="AI133" s="164"/>
      <c r="AJ133" s="164"/>
      <c r="AK133" s="164"/>
      <c r="AL133" s="164"/>
      <c r="AM133" s="164"/>
      <c r="AN133" s="164"/>
      <c r="AO133" s="164"/>
      <c r="AP133" s="164"/>
      <c r="AQ133" s="164"/>
      <c r="AR133" s="164"/>
      <c r="AS133" s="164"/>
      <c r="AT133" s="164"/>
      <c r="AU133" s="164"/>
      <c r="AV133" s="164"/>
      <c r="AW133" s="164"/>
      <c r="AX133" s="164"/>
    </row>
    <row r="134" spans="21:50" x14ac:dyDescent="0.25">
      <c r="U134" s="164"/>
      <c r="V134" s="164"/>
      <c r="W134" s="164"/>
      <c r="X134" s="164"/>
      <c r="Y134" s="164"/>
      <c r="Z134" s="164"/>
      <c r="AA134" s="164"/>
      <c r="AB134" s="164"/>
      <c r="AC134" s="164"/>
      <c r="AE134" s="164"/>
      <c r="AF134" s="164"/>
      <c r="AG134" s="164"/>
      <c r="AH134" s="164"/>
      <c r="AI134" s="164"/>
      <c r="AJ134" s="164"/>
      <c r="AK134" s="164"/>
      <c r="AL134" s="164"/>
      <c r="AM134" s="164"/>
      <c r="AN134" s="164"/>
      <c r="AO134" s="164"/>
      <c r="AP134" s="164"/>
      <c r="AQ134" s="164"/>
      <c r="AR134" s="164"/>
      <c r="AS134" s="164"/>
      <c r="AT134" s="164"/>
      <c r="AU134" s="164"/>
      <c r="AV134" s="164"/>
      <c r="AW134" s="164"/>
      <c r="AX134" s="164"/>
    </row>
    <row r="135" spans="21:50" x14ac:dyDescent="0.25">
      <c r="U135" s="164"/>
      <c r="V135" s="164"/>
      <c r="W135" s="164"/>
      <c r="X135" s="164"/>
      <c r="Y135" s="164"/>
      <c r="Z135" s="164"/>
      <c r="AA135" s="164"/>
      <c r="AB135" s="164"/>
      <c r="AC135" s="164"/>
      <c r="AE135" s="164"/>
      <c r="AF135" s="164"/>
      <c r="AG135" s="164"/>
      <c r="AH135" s="164"/>
      <c r="AI135" s="164"/>
      <c r="AJ135" s="164"/>
      <c r="AK135" s="164"/>
      <c r="AL135" s="164"/>
      <c r="AM135" s="164"/>
      <c r="AN135" s="164"/>
      <c r="AO135" s="164"/>
      <c r="AP135" s="164"/>
      <c r="AQ135" s="164"/>
      <c r="AR135" s="164"/>
      <c r="AS135" s="164"/>
      <c r="AT135" s="164"/>
      <c r="AU135" s="164"/>
      <c r="AV135" s="164"/>
      <c r="AW135" s="164"/>
      <c r="AX135" s="164"/>
    </row>
    <row r="136" spans="21:50" x14ac:dyDescent="0.25">
      <c r="U136" s="164"/>
      <c r="V136" s="164"/>
      <c r="W136" s="164"/>
      <c r="X136" s="164"/>
      <c r="Y136" s="164"/>
      <c r="Z136" s="164"/>
      <c r="AA136" s="164"/>
      <c r="AB136" s="164"/>
      <c r="AC136" s="164"/>
      <c r="AE136" s="164"/>
      <c r="AF136" s="164"/>
      <c r="AG136" s="164"/>
      <c r="AH136" s="164"/>
      <c r="AI136" s="164"/>
      <c r="AJ136" s="164"/>
      <c r="AK136" s="164"/>
      <c r="AL136" s="164"/>
      <c r="AM136" s="164"/>
      <c r="AN136" s="164"/>
      <c r="AO136" s="164"/>
      <c r="AP136" s="164"/>
      <c r="AQ136" s="164"/>
      <c r="AR136" s="164"/>
      <c r="AS136" s="164"/>
      <c r="AT136" s="164"/>
      <c r="AU136" s="164"/>
      <c r="AV136" s="164"/>
      <c r="AW136" s="164"/>
      <c r="AX136" s="164"/>
    </row>
    <row r="137" spans="21:50" x14ac:dyDescent="0.25">
      <c r="U137" s="164"/>
      <c r="V137" s="164"/>
      <c r="W137" s="164"/>
      <c r="X137" s="164"/>
      <c r="Y137" s="164"/>
      <c r="Z137" s="164"/>
      <c r="AA137" s="164"/>
      <c r="AB137" s="164"/>
      <c r="AC137" s="164"/>
      <c r="AE137" s="164"/>
      <c r="AF137" s="164"/>
      <c r="AG137" s="164"/>
      <c r="AH137" s="164"/>
      <c r="AI137" s="164"/>
      <c r="AJ137" s="164"/>
      <c r="AK137" s="164"/>
      <c r="AL137" s="164"/>
      <c r="AM137" s="164"/>
      <c r="AN137" s="164"/>
      <c r="AO137" s="164"/>
      <c r="AP137" s="164"/>
      <c r="AQ137" s="164"/>
      <c r="AR137" s="164"/>
      <c r="AS137" s="164"/>
      <c r="AT137" s="164"/>
      <c r="AU137" s="164"/>
      <c r="AV137" s="164"/>
      <c r="AW137" s="164"/>
      <c r="AX137" s="164"/>
    </row>
    <row r="138" spans="21:50" x14ac:dyDescent="0.25">
      <c r="U138" s="164"/>
      <c r="V138" s="164"/>
      <c r="W138" s="164"/>
      <c r="X138" s="164"/>
      <c r="Y138" s="164"/>
      <c r="Z138" s="164"/>
      <c r="AA138" s="164"/>
      <c r="AB138" s="164"/>
      <c r="AC138" s="164"/>
      <c r="AE138" s="164"/>
      <c r="AF138" s="164"/>
      <c r="AG138" s="164"/>
      <c r="AH138" s="164"/>
      <c r="AI138" s="164"/>
      <c r="AJ138" s="164"/>
      <c r="AK138" s="164"/>
      <c r="AL138" s="164"/>
      <c r="AM138" s="164"/>
      <c r="AN138" s="164"/>
      <c r="AO138" s="164"/>
      <c r="AP138" s="164"/>
      <c r="AQ138" s="164"/>
      <c r="AR138" s="164"/>
      <c r="AS138" s="164"/>
      <c r="AT138" s="164"/>
      <c r="AU138" s="164"/>
      <c r="AV138" s="164"/>
      <c r="AW138" s="164"/>
      <c r="AX138" s="164"/>
    </row>
    <row r="139" spans="21:50" x14ac:dyDescent="0.25">
      <c r="U139" s="164"/>
      <c r="V139" s="164"/>
      <c r="W139" s="164"/>
      <c r="X139" s="164"/>
      <c r="Y139" s="164"/>
      <c r="Z139" s="164"/>
      <c r="AA139" s="164"/>
      <c r="AB139" s="164"/>
      <c r="AC139" s="164"/>
      <c r="AE139" s="164"/>
      <c r="AF139" s="164"/>
      <c r="AG139" s="164"/>
      <c r="AH139" s="164"/>
      <c r="AI139" s="164"/>
      <c r="AJ139" s="164"/>
      <c r="AK139" s="164"/>
      <c r="AL139" s="164"/>
      <c r="AM139" s="164"/>
      <c r="AN139" s="164"/>
      <c r="AO139" s="164"/>
      <c r="AP139" s="164"/>
      <c r="AQ139" s="164"/>
      <c r="AR139" s="164"/>
      <c r="AS139" s="164"/>
      <c r="AT139" s="164"/>
      <c r="AU139" s="164"/>
      <c r="AV139" s="164"/>
      <c r="AW139" s="164"/>
      <c r="AX139" s="164"/>
    </row>
    <row r="140" spans="21:50" x14ac:dyDescent="0.25">
      <c r="U140" s="164"/>
      <c r="V140" s="164"/>
      <c r="W140" s="164"/>
      <c r="X140" s="164"/>
      <c r="Y140" s="164"/>
      <c r="Z140" s="164"/>
      <c r="AA140" s="164"/>
      <c r="AB140" s="164"/>
      <c r="AC140" s="164"/>
      <c r="AE140" s="164"/>
      <c r="AF140" s="164"/>
      <c r="AG140" s="164"/>
      <c r="AH140" s="164"/>
      <c r="AI140" s="164"/>
      <c r="AJ140" s="164"/>
      <c r="AK140" s="164"/>
      <c r="AL140" s="164"/>
      <c r="AM140" s="164"/>
      <c r="AN140" s="164"/>
      <c r="AO140" s="164"/>
      <c r="AP140" s="164"/>
      <c r="AQ140" s="164"/>
      <c r="AR140" s="164"/>
      <c r="AS140" s="164"/>
      <c r="AT140" s="164"/>
      <c r="AU140" s="164"/>
      <c r="AV140" s="164"/>
      <c r="AW140" s="164"/>
      <c r="AX140" s="164"/>
    </row>
    <row r="141" spans="21:50" x14ac:dyDescent="0.25">
      <c r="U141" s="164"/>
      <c r="V141" s="164"/>
      <c r="W141" s="164"/>
      <c r="X141" s="164"/>
      <c r="Y141" s="164"/>
      <c r="Z141" s="164"/>
      <c r="AA141" s="164"/>
      <c r="AB141" s="164"/>
      <c r="AC141" s="164"/>
      <c r="AE141" s="164"/>
      <c r="AF141" s="164"/>
      <c r="AG141" s="164"/>
      <c r="AH141" s="164"/>
      <c r="AI141" s="164"/>
      <c r="AJ141" s="164"/>
      <c r="AK141" s="164"/>
      <c r="AL141" s="164"/>
      <c r="AM141" s="164"/>
      <c r="AN141" s="164"/>
      <c r="AO141" s="164"/>
      <c r="AP141" s="164"/>
      <c r="AQ141" s="164"/>
      <c r="AR141" s="164"/>
      <c r="AS141" s="164"/>
      <c r="AT141" s="164"/>
      <c r="AU141" s="164"/>
      <c r="AV141" s="164"/>
      <c r="AW141" s="164"/>
      <c r="AX141" s="164"/>
    </row>
    <row r="142" spans="21:50" x14ac:dyDescent="0.25">
      <c r="U142" s="164"/>
      <c r="V142" s="164"/>
      <c r="W142" s="164"/>
      <c r="X142" s="164"/>
      <c r="Y142" s="164"/>
      <c r="Z142" s="164"/>
      <c r="AA142" s="164"/>
      <c r="AB142" s="164"/>
      <c r="AC142" s="164"/>
      <c r="AE142" s="164"/>
      <c r="AF142" s="164"/>
      <c r="AG142" s="164"/>
      <c r="AH142" s="164"/>
      <c r="AI142" s="164"/>
      <c r="AJ142" s="164"/>
      <c r="AK142" s="164"/>
      <c r="AL142" s="164"/>
      <c r="AM142" s="164"/>
      <c r="AN142" s="164"/>
      <c r="AO142" s="164"/>
      <c r="AP142" s="164"/>
      <c r="AQ142" s="164"/>
      <c r="AR142" s="164"/>
      <c r="AS142" s="164"/>
      <c r="AT142" s="164"/>
      <c r="AU142" s="164"/>
      <c r="AV142" s="164"/>
      <c r="AW142" s="164"/>
      <c r="AX142" s="164"/>
    </row>
    <row r="143" spans="21:50" x14ac:dyDescent="0.25">
      <c r="U143" s="164"/>
      <c r="V143" s="164"/>
      <c r="W143" s="164"/>
      <c r="X143" s="164"/>
      <c r="Y143" s="164"/>
      <c r="Z143" s="164"/>
      <c r="AA143" s="164"/>
      <c r="AB143" s="164"/>
      <c r="AC143" s="164"/>
      <c r="AE143" s="164"/>
      <c r="AF143" s="164"/>
      <c r="AG143" s="164"/>
      <c r="AH143" s="164"/>
      <c r="AI143" s="164"/>
      <c r="AJ143" s="164"/>
      <c r="AK143" s="164"/>
      <c r="AL143" s="164"/>
      <c r="AM143" s="164"/>
      <c r="AN143" s="164"/>
      <c r="AO143" s="164"/>
      <c r="AP143" s="164"/>
      <c r="AQ143" s="164"/>
      <c r="AR143" s="164"/>
      <c r="AS143" s="164"/>
      <c r="AT143" s="164"/>
      <c r="AU143" s="164"/>
      <c r="AV143" s="164"/>
      <c r="AW143" s="164"/>
      <c r="AX143" s="164"/>
    </row>
    <row r="144" spans="21:50" x14ac:dyDescent="0.25">
      <c r="U144" s="164"/>
      <c r="V144" s="164"/>
      <c r="W144" s="164"/>
      <c r="X144" s="164"/>
      <c r="Y144" s="164"/>
      <c r="Z144" s="164"/>
      <c r="AA144" s="164"/>
      <c r="AB144" s="164"/>
      <c r="AC144" s="164"/>
      <c r="AE144" s="164"/>
      <c r="AF144" s="164"/>
      <c r="AG144" s="164"/>
      <c r="AH144" s="164"/>
      <c r="AI144" s="164"/>
      <c r="AJ144" s="164"/>
      <c r="AK144" s="164"/>
      <c r="AL144" s="164"/>
      <c r="AM144" s="164"/>
      <c r="AN144" s="164"/>
      <c r="AO144" s="164"/>
      <c r="AP144" s="164"/>
      <c r="AQ144" s="164"/>
      <c r="AR144" s="164"/>
      <c r="AS144" s="164"/>
      <c r="AT144" s="164"/>
      <c r="AU144" s="164"/>
      <c r="AV144" s="164"/>
      <c r="AW144" s="164"/>
      <c r="AX144" s="164"/>
    </row>
    <row r="145" spans="21:50" x14ac:dyDescent="0.25">
      <c r="U145" s="164"/>
      <c r="V145" s="164"/>
      <c r="W145" s="164"/>
      <c r="X145" s="164"/>
      <c r="Y145" s="164"/>
      <c r="Z145" s="164"/>
      <c r="AA145" s="164"/>
      <c r="AB145" s="164"/>
      <c r="AC145" s="164"/>
      <c r="AE145" s="164"/>
      <c r="AF145" s="164"/>
      <c r="AG145" s="164"/>
      <c r="AH145" s="164"/>
      <c r="AI145" s="164"/>
      <c r="AJ145" s="164"/>
      <c r="AK145" s="164"/>
      <c r="AL145" s="164"/>
      <c r="AM145" s="164"/>
      <c r="AN145" s="164"/>
      <c r="AO145" s="164"/>
      <c r="AP145" s="164"/>
      <c r="AQ145" s="164"/>
      <c r="AR145" s="164"/>
      <c r="AS145" s="164"/>
      <c r="AT145" s="164"/>
      <c r="AU145" s="164"/>
      <c r="AV145" s="164"/>
      <c r="AW145" s="164"/>
      <c r="AX145" s="164"/>
    </row>
    <row r="146" spans="21:50" x14ac:dyDescent="0.25">
      <c r="U146" s="164"/>
      <c r="V146" s="164"/>
      <c r="W146" s="164"/>
      <c r="X146" s="164"/>
      <c r="Y146" s="164"/>
      <c r="Z146" s="164"/>
      <c r="AA146" s="164"/>
      <c r="AB146" s="164"/>
      <c r="AC146" s="164"/>
      <c r="AE146" s="164"/>
      <c r="AF146" s="164"/>
      <c r="AG146" s="164"/>
      <c r="AH146" s="164"/>
      <c r="AI146" s="164"/>
      <c r="AJ146" s="164"/>
      <c r="AK146" s="164"/>
      <c r="AL146" s="164"/>
      <c r="AM146" s="164"/>
      <c r="AN146" s="164"/>
      <c r="AO146" s="164"/>
      <c r="AP146" s="164"/>
      <c r="AQ146" s="164"/>
      <c r="AR146" s="164"/>
      <c r="AS146" s="164"/>
      <c r="AT146" s="164"/>
      <c r="AU146" s="164"/>
      <c r="AV146" s="164"/>
      <c r="AW146" s="164"/>
      <c r="AX146" s="164"/>
    </row>
    <row r="147" spans="21:50" x14ac:dyDescent="0.25">
      <c r="U147" s="164"/>
      <c r="V147" s="164"/>
      <c r="W147" s="164"/>
      <c r="X147" s="164"/>
      <c r="Y147" s="164"/>
      <c r="Z147" s="164"/>
      <c r="AA147" s="164"/>
      <c r="AB147" s="164"/>
      <c r="AC147" s="164"/>
      <c r="AE147" s="164"/>
      <c r="AF147" s="164"/>
      <c r="AG147" s="164"/>
      <c r="AH147" s="164"/>
      <c r="AI147" s="164"/>
      <c r="AJ147" s="164"/>
      <c r="AK147" s="164"/>
      <c r="AL147" s="164"/>
      <c r="AM147" s="164"/>
      <c r="AN147" s="164"/>
      <c r="AO147" s="164"/>
      <c r="AP147" s="164"/>
      <c r="AQ147" s="164"/>
      <c r="AR147" s="164"/>
      <c r="AS147" s="164"/>
      <c r="AT147" s="164"/>
      <c r="AU147" s="164"/>
      <c r="AV147" s="164"/>
      <c r="AW147" s="164"/>
      <c r="AX147" s="164"/>
    </row>
    <row r="148" spans="21:50" x14ac:dyDescent="0.25">
      <c r="U148" s="164"/>
      <c r="V148" s="164"/>
      <c r="W148" s="164"/>
      <c r="X148" s="164"/>
      <c r="Y148" s="164"/>
      <c r="Z148" s="164"/>
      <c r="AA148" s="164"/>
      <c r="AB148" s="164"/>
      <c r="AC148" s="164"/>
      <c r="AE148" s="164"/>
      <c r="AF148" s="164"/>
      <c r="AG148" s="164"/>
      <c r="AH148" s="164"/>
      <c r="AI148" s="164"/>
      <c r="AJ148" s="164"/>
      <c r="AK148" s="164"/>
      <c r="AL148" s="164"/>
      <c r="AM148" s="164"/>
      <c r="AN148" s="164"/>
      <c r="AO148" s="164"/>
      <c r="AP148" s="164"/>
      <c r="AQ148" s="164"/>
      <c r="AR148" s="164"/>
      <c r="AS148" s="164"/>
      <c r="AT148" s="164"/>
      <c r="AU148" s="164"/>
      <c r="AV148" s="164"/>
      <c r="AW148" s="164"/>
      <c r="AX148" s="164"/>
    </row>
    <row r="149" spans="21:50" x14ac:dyDescent="0.25">
      <c r="U149" s="164"/>
      <c r="V149" s="164"/>
      <c r="W149" s="164"/>
      <c r="X149" s="164"/>
      <c r="Y149" s="164"/>
      <c r="Z149" s="164"/>
      <c r="AA149" s="164"/>
      <c r="AB149" s="164"/>
      <c r="AC149" s="164"/>
      <c r="AE149" s="164"/>
      <c r="AF149" s="164"/>
      <c r="AG149" s="164"/>
      <c r="AH149" s="164"/>
      <c r="AI149" s="164"/>
      <c r="AJ149" s="164"/>
      <c r="AK149" s="164"/>
      <c r="AL149" s="164"/>
      <c r="AM149" s="164"/>
      <c r="AN149" s="164"/>
      <c r="AO149" s="164"/>
      <c r="AP149" s="164"/>
      <c r="AQ149" s="164"/>
      <c r="AR149" s="164"/>
      <c r="AS149" s="164"/>
      <c r="AT149" s="164"/>
      <c r="AU149" s="164"/>
      <c r="AV149" s="164"/>
      <c r="AW149" s="164"/>
      <c r="AX149" s="164"/>
    </row>
    <row r="150" spans="21:50" x14ac:dyDescent="0.25">
      <c r="U150" s="164"/>
      <c r="V150" s="164"/>
      <c r="W150" s="164"/>
      <c r="X150" s="164"/>
      <c r="Y150" s="164"/>
      <c r="Z150" s="164"/>
      <c r="AA150" s="164"/>
      <c r="AB150" s="164"/>
      <c r="AC150" s="164"/>
      <c r="AE150" s="164"/>
      <c r="AF150" s="164"/>
      <c r="AG150" s="164"/>
      <c r="AH150" s="164"/>
      <c r="AI150" s="164"/>
      <c r="AJ150" s="164"/>
      <c r="AK150" s="164"/>
      <c r="AL150" s="164"/>
      <c r="AM150" s="164"/>
      <c r="AN150" s="164"/>
      <c r="AO150" s="164"/>
      <c r="AP150" s="164"/>
      <c r="AQ150" s="164"/>
      <c r="AR150" s="164"/>
      <c r="AS150" s="164"/>
      <c r="AT150" s="164"/>
      <c r="AU150" s="164"/>
      <c r="AV150" s="164"/>
      <c r="AW150" s="164"/>
      <c r="AX150" s="164"/>
    </row>
    <row r="151" spans="21:50" x14ac:dyDescent="0.25">
      <c r="U151" s="164"/>
      <c r="V151" s="164"/>
      <c r="W151" s="164"/>
      <c r="X151" s="164"/>
      <c r="Y151" s="164"/>
      <c r="Z151" s="164"/>
      <c r="AA151" s="164"/>
      <c r="AB151" s="164"/>
      <c r="AC151" s="164"/>
      <c r="AE151" s="164"/>
      <c r="AF151" s="164"/>
      <c r="AG151" s="164"/>
      <c r="AH151" s="164"/>
      <c r="AI151" s="164"/>
      <c r="AJ151" s="164"/>
      <c r="AK151" s="164"/>
      <c r="AL151" s="164"/>
      <c r="AM151" s="164"/>
      <c r="AN151" s="164"/>
      <c r="AO151" s="164"/>
      <c r="AP151" s="164"/>
      <c r="AQ151" s="164"/>
      <c r="AR151" s="164"/>
      <c r="AS151" s="164"/>
      <c r="AT151" s="164"/>
      <c r="AU151" s="164"/>
      <c r="AV151" s="164"/>
      <c r="AW151" s="164"/>
      <c r="AX151" s="164"/>
    </row>
    <row r="152" spans="21:50" x14ac:dyDescent="0.25">
      <c r="U152" s="164"/>
      <c r="V152" s="164"/>
      <c r="W152" s="164"/>
      <c r="X152" s="164"/>
      <c r="Y152" s="164"/>
      <c r="Z152" s="164"/>
      <c r="AA152" s="164"/>
      <c r="AB152" s="164"/>
      <c r="AC152" s="164"/>
      <c r="AE152" s="164"/>
      <c r="AF152" s="164"/>
      <c r="AG152" s="164"/>
      <c r="AH152" s="164"/>
      <c r="AI152" s="164"/>
      <c r="AJ152" s="164"/>
      <c r="AK152" s="164"/>
      <c r="AL152" s="164"/>
      <c r="AM152" s="164"/>
      <c r="AN152" s="164"/>
      <c r="AO152" s="164"/>
      <c r="AP152" s="164"/>
      <c r="AQ152" s="164"/>
      <c r="AR152" s="164"/>
      <c r="AS152" s="164"/>
      <c r="AT152" s="164"/>
      <c r="AU152" s="164"/>
      <c r="AV152" s="164"/>
      <c r="AW152" s="164"/>
      <c r="AX152" s="164"/>
    </row>
    <row r="153" spans="21:50" x14ac:dyDescent="0.25">
      <c r="U153" s="164"/>
      <c r="V153" s="164"/>
      <c r="W153" s="164"/>
      <c r="X153" s="164"/>
      <c r="Y153" s="164"/>
      <c r="Z153" s="164"/>
      <c r="AA153" s="164"/>
      <c r="AB153" s="164"/>
      <c r="AC153" s="164"/>
      <c r="AE153" s="164"/>
      <c r="AF153" s="164"/>
      <c r="AG153" s="164"/>
      <c r="AH153" s="164"/>
      <c r="AI153" s="164"/>
      <c r="AJ153" s="164"/>
      <c r="AK153" s="164"/>
      <c r="AL153" s="164"/>
      <c r="AM153" s="164"/>
      <c r="AN153" s="164"/>
      <c r="AO153" s="164"/>
      <c r="AP153" s="164"/>
      <c r="AQ153" s="164"/>
      <c r="AR153" s="164"/>
      <c r="AS153" s="164"/>
      <c r="AT153" s="164"/>
      <c r="AU153" s="164"/>
      <c r="AV153" s="164"/>
      <c r="AW153" s="164"/>
      <c r="AX153" s="164"/>
    </row>
    <row r="154" spans="21:50" x14ac:dyDescent="0.25">
      <c r="U154" s="164"/>
      <c r="V154" s="164"/>
      <c r="W154" s="164"/>
      <c r="X154" s="164"/>
      <c r="Y154" s="164"/>
      <c r="Z154" s="164"/>
      <c r="AA154" s="164"/>
      <c r="AB154" s="164"/>
      <c r="AC154" s="164"/>
      <c r="AE154" s="164"/>
      <c r="AF154" s="164"/>
      <c r="AG154" s="164"/>
      <c r="AH154" s="164"/>
      <c r="AI154" s="164"/>
      <c r="AJ154" s="164"/>
      <c r="AK154" s="164"/>
      <c r="AL154" s="164"/>
      <c r="AM154" s="164"/>
      <c r="AN154" s="164"/>
      <c r="AO154" s="164"/>
      <c r="AP154" s="164"/>
      <c r="AQ154" s="164"/>
      <c r="AR154" s="164"/>
      <c r="AS154" s="164"/>
      <c r="AT154" s="164"/>
      <c r="AU154" s="164"/>
      <c r="AV154" s="164"/>
      <c r="AW154" s="164"/>
      <c r="AX154" s="164"/>
    </row>
    <row r="155" spans="21:50" x14ac:dyDescent="0.25">
      <c r="U155" s="164"/>
      <c r="V155" s="164"/>
      <c r="W155" s="164"/>
      <c r="X155" s="164"/>
      <c r="Y155" s="164"/>
      <c r="Z155" s="164"/>
      <c r="AA155" s="164"/>
      <c r="AB155" s="164"/>
      <c r="AC155" s="164"/>
      <c r="AE155" s="164"/>
      <c r="AF155" s="164"/>
      <c r="AG155" s="164"/>
      <c r="AH155" s="164"/>
      <c r="AI155" s="164"/>
      <c r="AJ155" s="164"/>
      <c r="AK155" s="164"/>
      <c r="AL155" s="164"/>
      <c r="AM155" s="164"/>
      <c r="AN155" s="164"/>
      <c r="AO155" s="164"/>
      <c r="AP155" s="164"/>
      <c r="AQ155" s="164"/>
      <c r="AR155" s="164"/>
      <c r="AS155" s="164"/>
      <c r="AT155" s="164"/>
      <c r="AU155" s="164"/>
      <c r="AV155" s="164"/>
      <c r="AW155" s="164"/>
      <c r="AX155" s="164"/>
    </row>
    <row r="156" spans="21:50" x14ac:dyDescent="0.25">
      <c r="U156" s="164"/>
      <c r="V156" s="164"/>
      <c r="W156" s="164"/>
      <c r="X156" s="164"/>
      <c r="Y156" s="164"/>
      <c r="Z156" s="164"/>
      <c r="AA156" s="164"/>
      <c r="AB156" s="164"/>
      <c r="AC156" s="164"/>
      <c r="AE156" s="164"/>
      <c r="AF156" s="164"/>
      <c r="AG156" s="164"/>
      <c r="AH156" s="164"/>
      <c r="AI156" s="164"/>
      <c r="AJ156" s="164"/>
      <c r="AK156" s="164"/>
      <c r="AL156" s="164"/>
      <c r="AM156" s="164"/>
      <c r="AN156" s="164"/>
      <c r="AO156" s="164"/>
      <c r="AP156" s="164"/>
      <c r="AQ156" s="164"/>
      <c r="AR156" s="164"/>
      <c r="AS156" s="164"/>
      <c r="AT156" s="164"/>
      <c r="AU156" s="164"/>
      <c r="AV156" s="164"/>
      <c r="AW156" s="164"/>
      <c r="AX156" s="164"/>
    </row>
    <row r="157" spans="21:50" x14ac:dyDescent="0.25">
      <c r="U157" s="164"/>
      <c r="V157" s="164"/>
      <c r="W157" s="164"/>
      <c r="X157" s="164"/>
      <c r="Y157" s="164"/>
      <c r="Z157" s="164"/>
      <c r="AA157" s="164"/>
      <c r="AB157" s="164"/>
      <c r="AC157" s="164"/>
      <c r="AE157" s="164"/>
      <c r="AF157" s="164"/>
      <c r="AG157" s="164"/>
      <c r="AH157" s="164"/>
      <c r="AI157" s="164"/>
      <c r="AJ157" s="164"/>
      <c r="AK157" s="164"/>
      <c r="AL157" s="164"/>
      <c r="AM157" s="164"/>
      <c r="AN157" s="164"/>
      <c r="AO157" s="164"/>
      <c r="AP157" s="164"/>
      <c r="AQ157" s="164"/>
      <c r="AR157" s="164"/>
      <c r="AS157" s="164"/>
      <c r="AT157" s="164"/>
      <c r="AU157" s="164"/>
      <c r="AV157" s="164"/>
      <c r="AW157" s="164"/>
      <c r="AX157" s="164"/>
    </row>
    <row r="158" spans="21:50" x14ac:dyDescent="0.25">
      <c r="U158" s="164"/>
      <c r="V158" s="164"/>
      <c r="W158" s="164"/>
      <c r="X158" s="164"/>
      <c r="Y158" s="164"/>
      <c r="Z158" s="164"/>
      <c r="AA158" s="164"/>
      <c r="AB158" s="164"/>
      <c r="AC158" s="164"/>
      <c r="AE158" s="164"/>
      <c r="AF158" s="164"/>
      <c r="AG158" s="164"/>
      <c r="AH158" s="164"/>
      <c r="AI158" s="164"/>
      <c r="AJ158" s="164"/>
      <c r="AK158" s="164"/>
      <c r="AL158" s="164"/>
      <c r="AM158" s="164"/>
      <c r="AN158" s="164"/>
      <c r="AO158" s="164"/>
      <c r="AP158" s="164"/>
      <c r="AQ158" s="164"/>
      <c r="AR158" s="164"/>
      <c r="AS158" s="164"/>
      <c r="AT158" s="164"/>
      <c r="AU158" s="164"/>
      <c r="AV158" s="164"/>
      <c r="AW158" s="164"/>
      <c r="AX158" s="164"/>
    </row>
    <row r="159" spans="21:50" x14ac:dyDescent="0.25">
      <c r="U159" s="164"/>
      <c r="V159" s="164"/>
      <c r="W159" s="164"/>
      <c r="X159" s="164"/>
      <c r="Y159" s="164"/>
      <c r="Z159" s="164"/>
      <c r="AA159" s="164"/>
      <c r="AB159" s="164"/>
      <c r="AC159" s="164"/>
      <c r="AE159" s="164"/>
      <c r="AF159" s="164"/>
      <c r="AG159" s="164"/>
      <c r="AH159" s="164"/>
      <c r="AI159" s="164"/>
      <c r="AJ159" s="164"/>
      <c r="AK159" s="164"/>
      <c r="AL159" s="164"/>
      <c r="AM159" s="164"/>
      <c r="AN159" s="164"/>
      <c r="AO159" s="164"/>
      <c r="AP159" s="164"/>
      <c r="AQ159" s="164"/>
      <c r="AR159" s="164"/>
      <c r="AS159" s="164"/>
      <c r="AT159" s="164"/>
      <c r="AU159" s="164"/>
      <c r="AV159" s="164"/>
      <c r="AW159" s="164"/>
      <c r="AX159" s="164"/>
    </row>
    <row r="160" spans="21:50" x14ac:dyDescent="0.25">
      <c r="U160" s="164"/>
      <c r="V160" s="164"/>
      <c r="W160" s="164"/>
      <c r="X160" s="164"/>
      <c r="Y160" s="164"/>
      <c r="Z160" s="164"/>
      <c r="AA160" s="164"/>
      <c r="AB160" s="164"/>
      <c r="AC160" s="164"/>
      <c r="AE160" s="164"/>
      <c r="AF160" s="164"/>
      <c r="AG160" s="164"/>
      <c r="AH160" s="164"/>
      <c r="AI160" s="164"/>
      <c r="AJ160" s="164"/>
      <c r="AK160" s="164"/>
      <c r="AL160" s="164"/>
      <c r="AM160" s="164"/>
      <c r="AN160" s="164"/>
      <c r="AO160" s="164"/>
      <c r="AP160" s="164"/>
      <c r="AQ160" s="164"/>
      <c r="AR160" s="164"/>
      <c r="AS160" s="164"/>
      <c r="AT160" s="164"/>
      <c r="AU160" s="164"/>
      <c r="AV160" s="164"/>
      <c r="AW160" s="164"/>
      <c r="AX160" s="164"/>
    </row>
    <row r="161" spans="21:50" x14ac:dyDescent="0.25">
      <c r="U161" s="164"/>
      <c r="V161" s="164"/>
      <c r="W161" s="164"/>
      <c r="X161" s="164"/>
      <c r="Y161" s="164"/>
      <c r="Z161" s="164"/>
      <c r="AA161" s="164"/>
      <c r="AB161" s="164"/>
      <c r="AC161" s="164"/>
      <c r="AE161" s="164"/>
      <c r="AF161" s="164"/>
      <c r="AG161" s="164"/>
      <c r="AH161" s="164"/>
      <c r="AI161" s="164"/>
      <c r="AJ161" s="164"/>
      <c r="AK161" s="164"/>
      <c r="AL161" s="164"/>
      <c r="AM161" s="164"/>
      <c r="AN161" s="164"/>
      <c r="AO161" s="164"/>
      <c r="AP161" s="164"/>
      <c r="AQ161" s="164"/>
      <c r="AR161" s="164"/>
      <c r="AS161" s="164"/>
      <c r="AT161" s="164"/>
      <c r="AU161" s="164"/>
      <c r="AV161" s="164"/>
      <c r="AW161" s="164"/>
      <c r="AX161" s="164"/>
    </row>
    <row r="162" spans="21:50" x14ac:dyDescent="0.25">
      <c r="U162" s="164"/>
      <c r="V162" s="164"/>
      <c r="W162" s="164"/>
      <c r="X162" s="164"/>
      <c r="Y162" s="164"/>
      <c r="Z162" s="164"/>
      <c r="AA162" s="164"/>
      <c r="AB162" s="164"/>
      <c r="AC162" s="164"/>
      <c r="AE162" s="164"/>
      <c r="AF162" s="164"/>
      <c r="AG162" s="164"/>
      <c r="AH162" s="164"/>
      <c r="AI162" s="164"/>
      <c r="AJ162" s="164"/>
      <c r="AK162" s="164"/>
      <c r="AL162" s="164"/>
      <c r="AM162" s="164"/>
      <c r="AN162" s="164"/>
      <c r="AO162" s="164"/>
      <c r="AP162" s="164"/>
      <c r="AQ162" s="164"/>
      <c r="AR162" s="164"/>
      <c r="AS162" s="164"/>
      <c r="AT162" s="164"/>
      <c r="AU162" s="164"/>
      <c r="AV162" s="164"/>
      <c r="AW162" s="164"/>
      <c r="AX162" s="164"/>
    </row>
    <row r="163" spans="21:50" x14ac:dyDescent="0.25">
      <c r="U163" s="164"/>
      <c r="V163" s="164"/>
      <c r="W163" s="164"/>
      <c r="X163" s="164"/>
      <c r="Y163" s="164"/>
      <c r="Z163" s="164"/>
      <c r="AA163" s="164"/>
      <c r="AB163" s="164"/>
      <c r="AC163" s="164"/>
      <c r="AE163" s="164"/>
      <c r="AF163" s="164"/>
      <c r="AG163" s="164"/>
      <c r="AH163" s="164"/>
      <c r="AI163" s="164"/>
      <c r="AJ163" s="164"/>
      <c r="AK163" s="164"/>
      <c r="AL163" s="164"/>
      <c r="AM163" s="164"/>
      <c r="AN163" s="164"/>
      <c r="AO163" s="164"/>
      <c r="AP163" s="164"/>
      <c r="AQ163" s="164"/>
      <c r="AR163" s="164"/>
      <c r="AS163" s="164"/>
      <c r="AT163" s="164"/>
      <c r="AU163" s="164"/>
      <c r="AV163" s="164"/>
      <c r="AW163" s="164"/>
      <c r="AX163" s="164"/>
    </row>
    <row r="164" spans="21:50" x14ac:dyDescent="0.25">
      <c r="U164" s="164"/>
      <c r="V164" s="164"/>
      <c r="W164" s="164"/>
      <c r="X164" s="164"/>
      <c r="Y164" s="164"/>
      <c r="Z164" s="164"/>
      <c r="AA164" s="164"/>
      <c r="AB164" s="164"/>
      <c r="AC164" s="164"/>
      <c r="AE164" s="164"/>
      <c r="AF164" s="164"/>
      <c r="AG164" s="164"/>
      <c r="AH164" s="164"/>
      <c r="AI164" s="164"/>
      <c r="AJ164" s="164"/>
      <c r="AK164" s="164"/>
      <c r="AL164" s="164"/>
      <c r="AM164" s="164"/>
      <c r="AN164" s="164"/>
      <c r="AO164" s="164"/>
      <c r="AP164" s="164"/>
      <c r="AQ164" s="164"/>
      <c r="AR164" s="164"/>
      <c r="AS164" s="164"/>
      <c r="AT164" s="164"/>
      <c r="AU164" s="164"/>
      <c r="AV164" s="164"/>
      <c r="AW164" s="164"/>
      <c r="AX164" s="164"/>
    </row>
    <row r="165" spans="21:50" x14ac:dyDescent="0.25">
      <c r="U165" s="164"/>
      <c r="V165" s="164"/>
      <c r="W165" s="164"/>
      <c r="X165" s="164"/>
      <c r="Y165" s="164"/>
      <c r="Z165" s="164"/>
      <c r="AA165" s="164"/>
      <c r="AB165" s="164"/>
      <c r="AC165" s="164"/>
      <c r="AE165" s="164"/>
      <c r="AF165" s="164"/>
      <c r="AG165" s="164"/>
      <c r="AH165" s="164"/>
      <c r="AI165" s="164"/>
      <c r="AJ165" s="164"/>
      <c r="AK165" s="164"/>
      <c r="AL165" s="164"/>
      <c r="AM165" s="164"/>
      <c r="AN165" s="164"/>
      <c r="AO165" s="164"/>
      <c r="AP165" s="164"/>
      <c r="AQ165" s="164"/>
      <c r="AR165" s="164"/>
      <c r="AS165" s="164"/>
      <c r="AT165" s="164"/>
      <c r="AU165" s="164"/>
      <c r="AV165" s="164"/>
      <c r="AW165" s="164"/>
      <c r="AX165" s="164"/>
    </row>
    <row r="166" spans="21:50" x14ac:dyDescent="0.25">
      <c r="U166" s="164"/>
      <c r="V166" s="164"/>
      <c r="W166" s="164"/>
      <c r="X166" s="164"/>
      <c r="Y166" s="164"/>
      <c r="Z166" s="164"/>
      <c r="AA166" s="164"/>
      <c r="AB166" s="164"/>
      <c r="AC166" s="164"/>
      <c r="AE166" s="164"/>
      <c r="AF166" s="164"/>
      <c r="AG166" s="164"/>
      <c r="AH166" s="164"/>
      <c r="AI166" s="164"/>
      <c r="AJ166" s="164"/>
      <c r="AK166" s="164"/>
      <c r="AL166" s="164"/>
      <c r="AM166" s="164"/>
      <c r="AN166" s="164"/>
      <c r="AO166" s="164"/>
      <c r="AP166" s="164"/>
      <c r="AQ166" s="164"/>
      <c r="AR166" s="164"/>
      <c r="AS166" s="164"/>
      <c r="AT166" s="164"/>
      <c r="AU166" s="164"/>
      <c r="AV166" s="164"/>
      <c r="AW166" s="164"/>
      <c r="AX166" s="164"/>
    </row>
    <row r="167" spans="21:50" x14ac:dyDescent="0.25">
      <c r="U167" s="164"/>
      <c r="V167" s="164"/>
      <c r="W167" s="164"/>
      <c r="X167" s="164"/>
      <c r="Y167" s="164"/>
      <c r="Z167" s="164"/>
      <c r="AA167" s="164"/>
      <c r="AB167" s="164"/>
      <c r="AC167" s="164"/>
      <c r="AE167" s="164"/>
      <c r="AF167" s="164"/>
      <c r="AG167" s="164"/>
      <c r="AH167" s="164"/>
      <c r="AI167" s="164"/>
      <c r="AJ167" s="164"/>
      <c r="AK167" s="164"/>
      <c r="AL167" s="164"/>
      <c r="AM167" s="164"/>
      <c r="AN167" s="164"/>
      <c r="AO167" s="164"/>
      <c r="AP167" s="164"/>
      <c r="AQ167" s="164"/>
      <c r="AR167" s="164"/>
      <c r="AS167" s="164"/>
      <c r="AT167" s="164"/>
      <c r="AU167" s="164"/>
      <c r="AV167" s="164"/>
      <c r="AW167" s="164"/>
      <c r="AX167" s="164"/>
    </row>
    <row r="168" spans="21:50" x14ac:dyDescent="0.25">
      <c r="U168" s="164"/>
      <c r="V168" s="164"/>
      <c r="W168" s="164"/>
      <c r="X168" s="164"/>
      <c r="Y168" s="164"/>
      <c r="Z168" s="164"/>
      <c r="AA168" s="164"/>
      <c r="AB168" s="164"/>
      <c r="AC168" s="164"/>
      <c r="AE168" s="164"/>
      <c r="AF168" s="164"/>
      <c r="AG168" s="164"/>
      <c r="AH168" s="164"/>
      <c r="AI168" s="164"/>
      <c r="AJ168" s="164"/>
      <c r="AK168" s="164"/>
      <c r="AL168" s="164"/>
      <c r="AM168" s="164"/>
      <c r="AN168" s="164"/>
      <c r="AO168" s="164"/>
      <c r="AP168" s="164"/>
      <c r="AQ168" s="164"/>
      <c r="AR168" s="164"/>
      <c r="AS168" s="164"/>
      <c r="AT168" s="164"/>
      <c r="AU168" s="164"/>
      <c r="AV168" s="164"/>
      <c r="AW168" s="164"/>
      <c r="AX168" s="164"/>
    </row>
    <row r="169" spans="21:50" x14ac:dyDescent="0.25">
      <c r="U169" s="164"/>
      <c r="V169" s="164"/>
      <c r="W169" s="164"/>
      <c r="X169" s="164"/>
      <c r="Y169" s="164"/>
      <c r="Z169" s="164"/>
      <c r="AA169" s="164"/>
      <c r="AB169" s="164"/>
      <c r="AC169" s="164"/>
      <c r="AE169" s="164"/>
      <c r="AF169" s="164"/>
      <c r="AG169" s="164"/>
      <c r="AH169" s="164"/>
      <c r="AI169" s="164"/>
      <c r="AJ169" s="164"/>
      <c r="AK169" s="164"/>
      <c r="AL169" s="164"/>
      <c r="AM169" s="164"/>
      <c r="AN169" s="164"/>
      <c r="AO169" s="164"/>
      <c r="AP169" s="164"/>
      <c r="AQ169" s="164"/>
      <c r="AR169" s="164"/>
      <c r="AS169" s="164"/>
      <c r="AT169" s="164"/>
      <c r="AU169" s="164"/>
      <c r="AV169" s="164"/>
      <c r="AW169" s="164"/>
      <c r="AX169" s="164"/>
    </row>
    <row r="170" spans="21:50" x14ac:dyDescent="0.25">
      <c r="U170" s="164"/>
      <c r="V170" s="164"/>
      <c r="W170" s="164"/>
      <c r="X170" s="164"/>
      <c r="Y170" s="164"/>
      <c r="Z170" s="164"/>
      <c r="AA170" s="164"/>
      <c r="AB170" s="164"/>
      <c r="AC170" s="164"/>
      <c r="AE170" s="164"/>
      <c r="AF170" s="164"/>
      <c r="AG170" s="164"/>
      <c r="AH170" s="164"/>
      <c r="AI170" s="164"/>
      <c r="AJ170" s="164"/>
      <c r="AK170" s="164"/>
      <c r="AL170" s="164"/>
      <c r="AM170" s="164"/>
      <c r="AN170" s="164"/>
      <c r="AO170" s="164"/>
      <c r="AP170" s="164"/>
      <c r="AQ170" s="164"/>
      <c r="AR170" s="164"/>
      <c r="AS170" s="164"/>
      <c r="AT170" s="164"/>
      <c r="AU170" s="164"/>
      <c r="AV170" s="164"/>
      <c r="AW170" s="164"/>
      <c r="AX170" s="164"/>
    </row>
    <row r="171" spans="21:50" x14ac:dyDescent="0.25">
      <c r="U171" s="164"/>
      <c r="V171" s="164"/>
      <c r="W171" s="164"/>
      <c r="X171" s="164"/>
      <c r="Y171" s="164"/>
      <c r="Z171" s="164"/>
      <c r="AA171" s="164"/>
      <c r="AB171" s="164"/>
      <c r="AC171" s="164"/>
      <c r="AE171" s="164"/>
      <c r="AF171" s="164"/>
      <c r="AG171" s="164"/>
      <c r="AH171" s="164"/>
      <c r="AI171" s="164"/>
      <c r="AJ171" s="164"/>
      <c r="AK171" s="164"/>
      <c r="AL171" s="164"/>
      <c r="AM171" s="164"/>
      <c r="AN171" s="164"/>
      <c r="AO171" s="164"/>
      <c r="AP171" s="164"/>
      <c r="AQ171" s="164"/>
      <c r="AR171" s="164"/>
      <c r="AS171" s="164"/>
      <c r="AT171" s="164"/>
      <c r="AU171" s="164"/>
      <c r="AV171" s="164"/>
      <c r="AW171" s="164"/>
      <c r="AX171" s="164"/>
    </row>
    <row r="172" spans="21:50" x14ac:dyDescent="0.25">
      <c r="U172" s="164"/>
      <c r="V172" s="164"/>
      <c r="W172" s="164"/>
      <c r="X172" s="164"/>
      <c r="Y172" s="164"/>
      <c r="Z172" s="164"/>
      <c r="AA172" s="164"/>
      <c r="AB172" s="164"/>
      <c r="AC172" s="164"/>
      <c r="AE172" s="164"/>
      <c r="AF172" s="164"/>
      <c r="AG172" s="164"/>
      <c r="AH172" s="164"/>
      <c r="AI172" s="164"/>
      <c r="AJ172" s="164"/>
      <c r="AK172" s="164"/>
      <c r="AL172" s="164"/>
      <c r="AM172" s="164"/>
      <c r="AN172" s="164"/>
      <c r="AO172" s="164"/>
      <c r="AP172" s="164"/>
      <c r="AQ172" s="164"/>
      <c r="AR172" s="164"/>
      <c r="AS172" s="164"/>
      <c r="AT172" s="164"/>
      <c r="AU172" s="164"/>
      <c r="AV172" s="164"/>
      <c r="AW172" s="164"/>
      <c r="AX172" s="164"/>
    </row>
    <row r="173" spans="21:50" x14ac:dyDescent="0.25">
      <c r="U173" s="164"/>
      <c r="V173" s="164"/>
      <c r="W173" s="164"/>
      <c r="X173" s="164"/>
      <c r="Y173" s="164"/>
      <c r="Z173" s="164"/>
      <c r="AA173" s="164"/>
      <c r="AB173" s="164"/>
      <c r="AC173" s="164"/>
      <c r="AE173" s="164"/>
      <c r="AF173" s="164"/>
      <c r="AG173" s="164"/>
      <c r="AH173" s="164"/>
      <c r="AI173" s="164"/>
      <c r="AJ173" s="164"/>
      <c r="AK173" s="164"/>
      <c r="AL173" s="164"/>
      <c r="AM173" s="164"/>
      <c r="AN173" s="164"/>
      <c r="AO173" s="164"/>
      <c r="AP173" s="164"/>
      <c r="AQ173" s="164"/>
      <c r="AR173" s="164"/>
      <c r="AS173" s="164"/>
      <c r="AT173" s="164"/>
      <c r="AU173" s="164"/>
      <c r="AV173" s="164"/>
      <c r="AW173" s="164"/>
      <c r="AX173" s="164"/>
    </row>
    <row r="174" spans="21:50" x14ac:dyDescent="0.25">
      <c r="U174" s="164"/>
      <c r="V174" s="164"/>
      <c r="W174" s="164"/>
      <c r="X174" s="164"/>
      <c r="Y174" s="164"/>
      <c r="Z174" s="164"/>
      <c r="AA174" s="164"/>
      <c r="AB174" s="164"/>
      <c r="AC174" s="164"/>
      <c r="AE174" s="164"/>
      <c r="AF174" s="164"/>
      <c r="AG174" s="164"/>
      <c r="AH174" s="164"/>
      <c r="AI174" s="164"/>
      <c r="AJ174" s="164"/>
      <c r="AK174" s="164"/>
      <c r="AL174" s="164"/>
      <c r="AM174" s="164"/>
      <c r="AN174" s="164"/>
      <c r="AO174" s="164"/>
      <c r="AP174" s="164"/>
      <c r="AQ174" s="164"/>
      <c r="AR174" s="164"/>
      <c r="AS174" s="164"/>
      <c r="AT174" s="164"/>
      <c r="AU174" s="164"/>
      <c r="AV174" s="164"/>
      <c r="AW174" s="164"/>
      <c r="AX174" s="164"/>
    </row>
    <row r="175" spans="21:50" x14ac:dyDescent="0.25">
      <c r="U175" s="164"/>
      <c r="V175" s="164"/>
      <c r="W175" s="164"/>
      <c r="X175" s="164"/>
      <c r="Y175" s="164"/>
      <c r="Z175" s="164"/>
      <c r="AA175" s="164"/>
      <c r="AB175" s="164"/>
      <c r="AC175" s="164"/>
      <c r="AE175" s="164"/>
      <c r="AF175" s="164"/>
      <c r="AG175" s="164"/>
      <c r="AH175" s="164"/>
      <c r="AI175" s="164"/>
      <c r="AJ175" s="164"/>
      <c r="AK175" s="164"/>
      <c r="AL175" s="164"/>
      <c r="AM175" s="164"/>
      <c r="AN175" s="164"/>
      <c r="AO175" s="164"/>
      <c r="AP175" s="164"/>
      <c r="AQ175" s="164"/>
      <c r="AR175" s="164"/>
      <c r="AS175" s="164"/>
      <c r="AT175" s="164"/>
      <c r="AU175" s="164"/>
      <c r="AV175" s="164"/>
      <c r="AW175" s="164"/>
      <c r="AX175" s="164"/>
    </row>
    <row r="176" spans="21:50" x14ac:dyDescent="0.25">
      <c r="U176" s="164"/>
      <c r="V176" s="164"/>
      <c r="W176" s="164"/>
      <c r="X176" s="164"/>
      <c r="Y176" s="164"/>
      <c r="Z176" s="164"/>
      <c r="AA176" s="164"/>
      <c r="AB176" s="164"/>
      <c r="AC176" s="164"/>
      <c r="AE176" s="164"/>
      <c r="AF176" s="164"/>
      <c r="AG176" s="164"/>
      <c r="AH176" s="164"/>
      <c r="AI176" s="164"/>
      <c r="AJ176" s="164"/>
      <c r="AK176" s="164"/>
      <c r="AL176" s="164"/>
      <c r="AM176" s="164"/>
      <c r="AN176" s="164"/>
      <c r="AO176" s="164"/>
      <c r="AP176" s="164"/>
      <c r="AQ176" s="164"/>
      <c r="AR176" s="164"/>
      <c r="AS176" s="164"/>
      <c r="AT176" s="164"/>
      <c r="AU176" s="164"/>
      <c r="AV176" s="164"/>
      <c r="AW176" s="164"/>
      <c r="AX176" s="164"/>
    </row>
    <row r="177" spans="21:50" x14ac:dyDescent="0.25">
      <c r="U177" s="164"/>
      <c r="V177" s="164"/>
      <c r="W177" s="164"/>
      <c r="X177" s="164"/>
      <c r="Y177" s="164"/>
      <c r="Z177" s="164"/>
      <c r="AA177" s="164"/>
      <c r="AB177" s="164"/>
      <c r="AC177" s="164"/>
      <c r="AE177" s="164"/>
      <c r="AF177" s="164"/>
      <c r="AG177" s="164"/>
      <c r="AH177" s="164"/>
      <c r="AI177" s="164"/>
      <c r="AJ177" s="164"/>
      <c r="AK177" s="164"/>
      <c r="AL177" s="164"/>
      <c r="AM177" s="164"/>
      <c r="AN177" s="164"/>
      <c r="AO177" s="164"/>
      <c r="AP177" s="164"/>
      <c r="AQ177" s="164"/>
      <c r="AR177" s="164"/>
      <c r="AS177" s="164"/>
      <c r="AT177" s="164"/>
      <c r="AU177" s="164"/>
      <c r="AV177" s="164"/>
      <c r="AW177" s="164"/>
      <c r="AX177" s="164"/>
    </row>
    <row r="178" spans="21:50" x14ac:dyDescent="0.25">
      <c r="U178" s="164"/>
      <c r="V178" s="164"/>
      <c r="W178" s="164"/>
      <c r="X178" s="164"/>
      <c r="Y178" s="164"/>
      <c r="Z178" s="164"/>
      <c r="AA178" s="164"/>
      <c r="AB178" s="164"/>
      <c r="AC178" s="164"/>
      <c r="AE178" s="164"/>
      <c r="AF178" s="164"/>
      <c r="AG178" s="164"/>
      <c r="AH178" s="164"/>
      <c r="AI178" s="164"/>
      <c r="AJ178" s="164"/>
      <c r="AK178" s="164"/>
      <c r="AL178" s="164"/>
      <c r="AM178" s="164"/>
      <c r="AN178" s="164"/>
      <c r="AO178" s="164"/>
      <c r="AP178" s="164"/>
      <c r="AQ178" s="164"/>
      <c r="AR178" s="164"/>
      <c r="AS178" s="164"/>
      <c r="AT178" s="164"/>
      <c r="AU178" s="164"/>
      <c r="AV178" s="164"/>
      <c r="AW178" s="164"/>
      <c r="AX178" s="164"/>
    </row>
    <row r="179" spans="21:50" x14ac:dyDescent="0.25">
      <c r="U179" s="164"/>
      <c r="V179" s="164"/>
      <c r="W179" s="164"/>
      <c r="X179" s="164"/>
      <c r="Y179" s="164"/>
      <c r="Z179" s="164"/>
      <c r="AA179" s="164"/>
      <c r="AB179" s="164"/>
      <c r="AC179" s="164"/>
      <c r="AE179" s="164"/>
      <c r="AF179" s="164"/>
      <c r="AG179" s="164"/>
      <c r="AH179" s="164"/>
      <c r="AI179" s="164"/>
      <c r="AJ179" s="164"/>
      <c r="AK179" s="164"/>
      <c r="AL179" s="164"/>
      <c r="AM179" s="164"/>
      <c r="AN179" s="164"/>
      <c r="AO179" s="164"/>
      <c r="AP179" s="164"/>
      <c r="AQ179" s="164"/>
      <c r="AR179" s="164"/>
      <c r="AS179" s="164"/>
      <c r="AT179" s="164"/>
      <c r="AU179" s="164"/>
      <c r="AV179" s="164"/>
      <c r="AW179" s="164"/>
      <c r="AX179" s="164"/>
    </row>
    <row r="180" spans="21:50" x14ac:dyDescent="0.25">
      <c r="U180" s="164"/>
      <c r="V180" s="164"/>
      <c r="W180" s="164"/>
      <c r="X180" s="164"/>
      <c r="Y180" s="164"/>
      <c r="Z180" s="164"/>
      <c r="AA180" s="164"/>
      <c r="AB180" s="164"/>
      <c r="AC180" s="164"/>
      <c r="AE180" s="164"/>
      <c r="AF180" s="164"/>
      <c r="AG180" s="164"/>
      <c r="AH180" s="164"/>
      <c r="AI180" s="164"/>
      <c r="AJ180" s="164"/>
      <c r="AK180" s="164"/>
      <c r="AL180" s="164"/>
      <c r="AM180" s="164"/>
      <c r="AN180" s="164"/>
      <c r="AO180" s="164"/>
      <c r="AP180" s="164"/>
      <c r="AQ180" s="164"/>
      <c r="AR180" s="164"/>
      <c r="AS180" s="164"/>
      <c r="AT180" s="164"/>
      <c r="AU180" s="164"/>
      <c r="AV180" s="164"/>
      <c r="AW180" s="164"/>
      <c r="AX180" s="164"/>
    </row>
    <row r="181" spans="21:50" x14ac:dyDescent="0.25">
      <c r="U181" s="164"/>
      <c r="V181" s="164"/>
      <c r="W181" s="164"/>
      <c r="X181" s="164"/>
      <c r="Y181" s="164"/>
      <c r="Z181" s="164"/>
      <c r="AA181" s="164"/>
      <c r="AB181" s="164"/>
      <c r="AC181" s="164"/>
      <c r="AE181" s="164"/>
      <c r="AF181" s="164"/>
      <c r="AG181" s="164"/>
      <c r="AH181" s="164"/>
      <c r="AI181" s="164"/>
      <c r="AJ181" s="164"/>
      <c r="AK181" s="164"/>
      <c r="AL181" s="164"/>
      <c r="AM181" s="164"/>
      <c r="AN181" s="164"/>
      <c r="AO181" s="164"/>
      <c r="AP181" s="164"/>
      <c r="AQ181" s="164"/>
      <c r="AR181" s="164"/>
      <c r="AS181" s="164"/>
      <c r="AT181" s="164"/>
      <c r="AU181" s="164"/>
      <c r="AV181" s="164"/>
      <c r="AW181" s="164"/>
      <c r="AX181" s="164"/>
    </row>
    <row r="182" spans="21:50" x14ac:dyDescent="0.25">
      <c r="U182" s="164"/>
      <c r="V182" s="164"/>
      <c r="W182" s="164"/>
      <c r="X182" s="164"/>
      <c r="Y182" s="164"/>
      <c r="Z182" s="164"/>
      <c r="AA182" s="164"/>
      <c r="AB182" s="164"/>
      <c r="AC182" s="164"/>
      <c r="AE182" s="164"/>
      <c r="AF182" s="164"/>
      <c r="AG182" s="164"/>
      <c r="AH182" s="164"/>
      <c r="AI182" s="164"/>
      <c r="AJ182" s="164"/>
      <c r="AK182" s="164"/>
      <c r="AL182" s="164"/>
      <c r="AM182" s="164"/>
      <c r="AN182" s="164"/>
      <c r="AO182" s="164"/>
      <c r="AP182" s="164"/>
      <c r="AQ182" s="164"/>
      <c r="AR182" s="164"/>
      <c r="AS182" s="164"/>
      <c r="AT182" s="164"/>
      <c r="AU182" s="164"/>
      <c r="AV182" s="164"/>
      <c r="AW182" s="164"/>
      <c r="AX182" s="164"/>
    </row>
    <row r="183" spans="21:50" x14ac:dyDescent="0.25">
      <c r="U183" s="164"/>
      <c r="V183" s="164"/>
      <c r="W183" s="164"/>
      <c r="X183" s="164"/>
      <c r="Y183" s="164"/>
      <c r="Z183" s="164"/>
      <c r="AA183" s="164"/>
      <c r="AB183" s="164"/>
      <c r="AC183" s="164"/>
      <c r="AE183" s="164"/>
      <c r="AF183" s="164"/>
      <c r="AG183" s="164"/>
      <c r="AH183" s="164"/>
      <c r="AI183" s="164"/>
      <c r="AJ183" s="164"/>
      <c r="AK183" s="164"/>
      <c r="AL183" s="164"/>
      <c r="AM183" s="164"/>
      <c r="AN183" s="164"/>
      <c r="AO183" s="164"/>
      <c r="AP183" s="164"/>
      <c r="AQ183" s="164"/>
      <c r="AR183" s="164"/>
      <c r="AS183" s="164"/>
      <c r="AT183" s="164"/>
      <c r="AU183" s="164"/>
      <c r="AV183" s="164"/>
      <c r="AW183" s="164"/>
      <c r="AX183" s="164"/>
    </row>
  </sheetData>
  <sheetProtection formatColumns="0" deleteColumns="0" deleteRows="0" selectLockedCells="1"/>
  <mergeCells count="18">
    <mergeCell ref="B81:C81"/>
    <mergeCell ref="B65:B68"/>
    <mergeCell ref="B69:C69"/>
    <mergeCell ref="B71:B74"/>
    <mergeCell ref="B75:C75"/>
    <mergeCell ref="B77:B80"/>
    <mergeCell ref="B120:C120"/>
    <mergeCell ref="B84:B87"/>
    <mergeCell ref="B88:C88"/>
    <mergeCell ref="B90:B93"/>
    <mergeCell ref="B94:C94"/>
    <mergeCell ref="B96:B99"/>
    <mergeCell ref="B100:C100"/>
    <mergeCell ref="B104:B107"/>
    <mergeCell ref="B108:C108"/>
    <mergeCell ref="B110:B113"/>
    <mergeCell ref="B114:C114"/>
    <mergeCell ref="B116:B119"/>
  </mergeCells>
  <conditionalFormatting sqref="P3:P60">
    <cfRule type="expression" dxfId="505" priority="6">
      <formula>AND(P3&lt;&gt;"",P3&lt;&gt;"OUI")</formula>
    </cfRule>
  </conditionalFormatting>
  <conditionalFormatting sqref="AL3:AM60 S3:AH60">
    <cfRule type="expression" dxfId="504" priority="5" stopIfTrue="1">
      <formula>$AH3&lt;&gt;0</formula>
    </cfRule>
  </conditionalFormatting>
  <conditionalFormatting sqref="A6:E60 C3:E5 A3:A5">
    <cfRule type="expression" dxfId="503" priority="7" stopIfTrue="1">
      <formula>AND($I3&lt;&gt;"",AND($J3="",AND($AY3="",$AZ3="")))</formula>
    </cfRule>
    <cfRule type="expression" dxfId="502" priority="8" stopIfTrue="1">
      <formula>AND($J3&lt;&gt;"",AND($AY3="",$AZ3=""))</formula>
    </cfRule>
    <cfRule type="expression" dxfId="501" priority="9" stopIfTrue="1">
      <formula>AND($AY3&lt;&gt;"",$AZ3="")</formula>
    </cfRule>
    <cfRule type="expression" dxfId="500" priority="10" stopIfTrue="1">
      <formula>$AZ3="X"</formula>
    </cfRule>
  </conditionalFormatting>
  <conditionalFormatting sqref="B3:B5">
    <cfRule type="expression" dxfId="15" priority="1" stopIfTrue="1">
      <formula>AND($I3&lt;&gt;"",AND($J3="",AND($AY3="",$AZ3="")))</formula>
    </cfRule>
    <cfRule type="expression" dxfId="14" priority="2" stopIfTrue="1">
      <formula>AND($J3&lt;&gt;"",AND($AY3="",$AZ3=""))</formula>
    </cfRule>
    <cfRule type="expression" dxfId="13" priority="3" stopIfTrue="1">
      <formula>AND($AY3&lt;&gt;"",$AZ3="")</formula>
    </cfRule>
    <cfRule type="expression" dxfId="12" priority="4" stopIfTrue="1">
      <formula>$AZ3="X"</formula>
    </cfRule>
  </conditionalFormatting>
  <dataValidations count="11">
    <dataValidation type="list" allowBlank="1" showInputMessage="1" showErrorMessage="1" sqref="H3:H60">
      <formula1>"MENSUELLE,TRIMESTRIELLE,EXERCICE,ANNUELLE"</formula1>
    </dataValidation>
    <dataValidation type="list" allowBlank="1" showInputMessage="1" showErrorMessage="1" sqref="BG3:BI60">
      <formula1>"OUI,NON,N/C"</formula1>
    </dataValidation>
    <dataValidation type="list" allowBlank="1" showInputMessage="1" showErrorMessage="1" sqref="AL3:AL60">
      <formula1>"ABONNE COURT,ABONNE LONG"</formula1>
    </dataValidation>
    <dataValidation type="list" allowBlank="1" showInputMessage="1" showErrorMessage="1" sqref="P3:P60">
      <formula1>"OUI,NON,A TERMINER,A FAIRE"</formula1>
    </dataValidation>
    <dataValidation type="list" allowBlank="1" showInputMessage="1" showErrorMessage="1" sqref="AY3:BA60">
      <formula1>"X"</formula1>
    </dataValidation>
    <dataValidation type="list" allowBlank="1" showInputMessage="1" showErrorMessage="1" sqref="R3:R60">
      <formula1>"OUI,NON,A FAIRE,N/A"</formula1>
    </dataValidation>
    <dataValidation type="list" allowBlank="1" showInputMessage="1" showErrorMessage="1" sqref="Q3:Q60 AM3:AM60">
      <formula1>"OUI,NON"</formula1>
    </dataValidation>
    <dataValidation type="list" allowBlank="1" showInputMessage="1" showErrorMessage="1" sqref="O3:O60">
      <formula1>"COMPTABLE,CONSEILLER"</formula1>
    </dataValidation>
    <dataValidation type="list" allowBlank="1" showInputMessage="1" showErrorMessage="1" sqref="M3:N60">
      <formula1>"OUI,NON,A FAIRE"</formula1>
    </dataValidation>
    <dataValidation type="list" allowBlank="1" showInputMessage="1" showErrorMessage="1" sqref="JW3:JW60 TS3:TS60 ADO3:ADO60 ANK3:ANK60 AXG3:AXG60 BHC3:BHC60 BQY3:BQY60 CAU3:CAU60 CKQ3:CKQ60 CUM3:CUM60 DEI3:DEI60 DOE3:DOE60 DYA3:DYA60 EHW3:EHW60 ERS3:ERS60 FBO3:FBO60 FLK3:FLK60 FVG3:FVG60 GFC3:GFC60 GOY3:GOY60 GYU3:GYU60 HIQ3:HIQ60 HSM3:HSM60 ICI3:ICI60 IME3:IME60 IWA3:IWA60 JFW3:JFW60 JPS3:JPS60 JZO3:JZO60 KJK3:KJK60 KTG3:KTG60 LDC3:LDC60 LMY3:LMY60 LWU3:LWU60 MGQ3:MGQ60 MQM3:MQM60 NAI3:NAI60 NKE3:NKE60 NUA3:NUA60 ODW3:ODW60 ONS3:ONS60 OXO3:OXO60 PHK3:PHK60 PRG3:PRG60 QBC3:QBC60 QKY3:QKY60 QUU3:QUU60 REQ3:REQ60 ROM3:ROM60 RYI3:RYI60 SIE3:SIE60 SSA3:SSA60 TBW3:TBW60 TLS3:TLS60 TVO3:TVO60 UFK3:UFK60 UPG3:UPG60 UZC3:UZC60 VIY3:VIY60 VSU3:VSU60 WCQ3:WCQ60 WMM3:WMM60 WWI3:WWI60 G65539:G65596 JV65539:JV65596 TR65539:TR65596 ADN65539:ADN65596 ANJ65539:ANJ65596 AXF65539:AXF65596 BHB65539:BHB65596 BQX65539:BQX65596 CAT65539:CAT65596 CKP65539:CKP65596 CUL65539:CUL65596 DEH65539:DEH65596 DOD65539:DOD65596 DXZ65539:DXZ65596 EHV65539:EHV65596 ERR65539:ERR65596 FBN65539:FBN65596 FLJ65539:FLJ65596 FVF65539:FVF65596 GFB65539:GFB65596 GOX65539:GOX65596 GYT65539:GYT65596 HIP65539:HIP65596 HSL65539:HSL65596 ICH65539:ICH65596 IMD65539:IMD65596 IVZ65539:IVZ65596 JFV65539:JFV65596 JPR65539:JPR65596 JZN65539:JZN65596 KJJ65539:KJJ65596 KTF65539:KTF65596 LDB65539:LDB65596 LMX65539:LMX65596 LWT65539:LWT65596 MGP65539:MGP65596 MQL65539:MQL65596 NAH65539:NAH65596 NKD65539:NKD65596 NTZ65539:NTZ65596 ODV65539:ODV65596 ONR65539:ONR65596 OXN65539:OXN65596 PHJ65539:PHJ65596 PRF65539:PRF65596 QBB65539:QBB65596 QKX65539:QKX65596 QUT65539:QUT65596 REP65539:REP65596 ROL65539:ROL65596 RYH65539:RYH65596 SID65539:SID65596 SRZ65539:SRZ65596 TBV65539:TBV65596 TLR65539:TLR65596 TVN65539:TVN65596 UFJ65539:UFJ65596 UPF65539:UPF65596 UZB65539:UZB65596 VIX65539:VIX65596 VST65539:VST65596 WCP65539:WCP65596 WML65539:WML65596 WWH65539:WWH65596 G131075:G131132 JV131075:JV131132 TR131075:TR131132 ADN131075:ADN131132 ANJ131075:ANJ131132 AXF131075:AXF131132 BHB131075:BHB131132 BQX131075:BQX131132 CAT131075:CAT131132 CKP131075:CKP131132 CUL131075:CUL131132 DEH131075:DEH131132 DOD131075:DOD131132 DXZ131075:DXZ131132 EHV131075:EHV131132 ERR131075:ERR131132 FBN131075:FBN131132 FLJ131075:FLJ131132 FVF131075:FVF131132 GFB131075:GFB131132 GOX131075:GOX131132 GYT131075:GYT131132 HIP131075:HIP131132 HSL131075:HSL131132 ICH131075:ICH131132 IMD131075:IMD131132 IVZ131075:IVZ131132 JFV131075:JFV131132 JPR131075:JPR131132 JZN131075:JZN131132 KJJ131075:KJJ131132 KTF131075:KTF131132 LDB131075:LDB131132 LMX131075:LMX131132 LWT131075:LWT131132 MGP131075:MGP131132 MQL131075:MQL131132 NAH131075:NAH131132 NKD131075:NKD131132 NTZ131075:NTZ131132 ODV131075:ODV131132 ONR131075:ONR131132 OXN131075:OXN131132 PHJ131075:PHJ131132 PRF131075:PRF131132 QBB131075:QBB131132 QKX131075:QKX131132 QUT131075:QUT131132 REP131075:REP131132 ROL131075:ROL131132 RYH131075:RYH131132 SID131075:SID131132 SRZ131075:SRZ131132 TBV131075:TBV131132 TLR131075:TLR131132 TVN131075:TVN131132 UFJ131075:UFJ131132 UPF131075:UPF131132 UZB131075:UZB131132 VIX131075:VIX131132 VST131075:VST131132 WCP131075:WCP131132 WML131075:WML131132 WWH131075:WWH131132 G196611:G196668 JV196611:JV196668 TR196611:TR196668 ADN196611:ADN196668 ANJ196611:ANJ196668 AXF196611:AXF196668 BHB196611:BHB196668 BQX196611:BQX196668 CAT196611:CAT196668 CKP196611:CKP196668 CUL196611:CUL196668 DEH196611:DEH196668 DOD196611:DOD196668 DXZ196611:DXZ196668 EHV196611:EHV196668 ERR196611:ERR196668 FBN196611:FBN196668 FLJ196611:FLJ196668 FVF196611:FVF196668 GFB196611:GFB196668 GOX196611:GOX196668 GYT196611:GYT196668 HIP196611:HIP196668 HSL196611:HSL196668 ICH196611:ICH196668 IMD196611:IMD196668 IVZ196611:IVZ196668 JFV196611:JFV196668 JPR196611:JPR196668 JZN196611:JZN196668 KJJ196611:KJJ196668 KTF196611:KTF196668 LDB196611:LDB196668 LMX196611:LMX196668 LWT196611:LWT196668 MGP196611:MGP196668 MQL196611:MQL196668 NAH196611:NAH196668 NKD196611:NKD196668 NTZ196611:NTZ196668 ODV196611:ODV196668 ONR196611:ONR196668 OXN196611:OXN196668 PHJ196611:PHJ196668 PRF196611:PRF196668 QBB196611:QBB196668 QKX196611:QKX196668 QUT196611:QUT196668 REP196611:REP196668 ROL196611:ROL196668 RYH196611:RYH196668 SID196611:SID196668 SRZ196611:SRZ196668 TBV196611:TBV196668 TLR196611:TLR196668 TVN196611:TVN196668 UFJ196611:UFJ196668 UPF196611:UPF196668 UZB196611:UZB196668 VIX196611:VIX196668 VST196611:VST196668 WCP196611:WCP196668 WML196611:WML196668 WWH196611:WWH196668 G262147:G262204 JV262147:JV262204 TR262147:TR262204 ADN262147:ADN262204 ANJ262147:ANJ262204 AXF262147:AXF262204 BHB262147:BHB262204 BQX262147:BQX262204 CAT262147:CAT262204 CKP262147:CKP262204 CUL262147:CUL262204 DEH262147:DEH262204 DOD262147:DOD262204 DXZ262147:DXZ262204 EHV262147:EHV262204 ERR262147:ERR262204 FBN262147:FBN262204 FLJ262147:FLJ262204 FVF262147:FVF262204 GFB262147:GFB262204 GOX262147:GOX262204 GYT262147:GYT262204 HIP262147:HIP262204 HSL262147:HSL262204 ICH262147:ICH262204 IMD262147:IMD262204 IVZ262147:IVZ262204 JFV262147:JFV262204 JPR262147:JPR262204 JZN262147:JZN262204 KJJ262147:KJJ262204 KTF262147:KTF262204 LDB262147:LDB262204 LMX262147:LMX262204 LWT262147:LWT262204 MGP262147:MGP262204 MQL262147:MQL262204 NAH262147:NAH262204 NKD262147:NKD262204 NTZ262147:NTZ262204 ODV262147:ODV262204 ONR262147:ONR262204 OXN262147:OXN262204 PHJ262147:PHJ262204 PRF262147:PRF262204 QBB262147:QBB262204 QKX262147:QKX262204 QUT262147:QUT262204 REP262147:REP262204 ROL262147:ROL262204 RYH262147:RYH262204 SID262147:SID262204 SRZ262147:SRZ262204 TBV262147:TBV262204 TLR262147:TLR262204 TVN262147:TVN262204 UFJ262147:UFJ262204 UPF262147:UPF262204 UZB262147:UZB262204 VIX262147:VIX262204 VST262147:VST262204 WCP262147:WCP262204 WML262147:WML262204 WWH262147:WWH262204 G327683:G327740 JV327683:JV327740 TR327683:TR327740 ADN327683:ADN327740 ANJ327683:ANJ327740 AXF327683:AXF327740 BHB327683:BHB327740 BQX327683:BQX327740 CAT327683:CAT327740 CKP327683:CKP327740 CUL327683:CUL327740 DEH327683:DEH327740 DOD327683:DOD327740 DXZ327683:DXZ327740 EHV327683:EHV327740 ERR327683:ERR327740 FBN327683:FBN327740 FLJ327683:FLJ327740 FVF327683:FVF327740 GFB327683:GFB327740 GOX327683:GOX327740 GYT327683:GYT327740 HIP327683:HIP327740 HSL327683:HSL327740 ICH327683:ICH327740 IMD327683:IMD327740 IVZ327683:IVZ327740 JFV327683:JFV327740 JPR327683:JPR327740 JZN327683:JZN327740 KJJ327683:KJJ327740 KTF327683:KTF327740 LDB327683:LDB327740 LMX327683:LMX327740 LWT327683:LWT327740 MGP327683:MGP327740 MQL327683:MQL327740 NAH327683:NAH327740 NKD327683:NKD327740 NTZ327683:NTZ327740 ODV327683:ODV327740 ONR327683:ONR327740 OXN327683:OXN327740 PHJ327683:PHJ327740 PRF327683:PRF327740 QBB327683:QBB327740 QKX327683:QKX327740 QUT327683:QUT327740 REP327683:REP327740 ROL327683:ROL327740 RYH327683:RYH327740 SID327683:SID327740 SRZ327683:SRZ327740 TBV327683:TBV327740 TLR327683:TLR327740 TVN327683:TVN327740 UFJ327683:UFJ327740 UPF327683:UPF327740 UZB327683:UZB327740 VIX327683:VIX327740 VST327683:VST327740 WCP327683:WCP327740 WML327683:WML327740 WWH327683:WWH327740 G393219:G393276 JV393219:JV393276 TR393219:TR393276 ADN393219:ADN393276 ANJ393219:ANJ393276 AXF393219:AXF393276 BHB393219:BHB393276 BQX393219:BQX393276 CAT393219:CAT393276 CKP393219:CKP393276 CUL393219:CUL393276 DEH393219:DEH393276 DOD393219:DOD393276 DXZ393219:DXZ393276 EHV393219:EHV393276 ERR393219:ERR393276 FBN393219:FBN393276 FLJ393219:FLJ393276 FVF393219:FVF393276 GFB393219:GFB393276 GOX393219:GOX393276 GYT393219:GYT393276 HIP393219:HIP393276 HSL393219:HSL393276 ICH393219:ICH393276 IMD393219:IMD393276 IVZ393219:IVZ393276 JFV393219:JFV393276 JPR393219:JPR393276 JZN393219:JZN393276 KJJ393219:KJJ393276 KTF393219:KTF393276 LDB393219:LDB393276 LMX393219:LMX393276 LWT393219:LWT393276 MGP393219:MGP393276 MQL393219:MQL393276 NAH393219:NAH393276 NKD393219:NKD393276 NTZ393219:NTZ393276 ODV393219:ODV393276 ONR393219:ONR393276 OXN393219:OXN393276 PHJ393219:PHJ393276 PRF393219:PRF393276 QBB393219:QBB393276 QKX393219:QKX393276 QUT393219:QUT393276 REP393219:REP393276 ROL393219:ROL393276 RYH393219:RYH393276 SID393219:SID393276 SRZ393219:SRZ393276 TBV393219:TBV393276 TLR393219:TLR393276 TVN393219:TVN393276 UFJ393219:UFJ393276 UPF393219:UPF393276 UZB393219:UZB393276 VIX393219:VIX393276 VST393219:VST393276 WCP393219:WCP393276 WML393219:WML393276 WWH393219:WWH393276 G458755:G458812 JV458755:JV458812 TR458755:TR458812 ADN458755:ADN458812 ANJ458755:ANJ458812 AXF458755:AXF458812 BHB458755:BHB458812 BQX458755:BQX458812 CAT458755:CAT458812 CKP458755:CKP458812 CUL458755:CUL458812 DEH458755:DEH458812 DOD458755:DOD458812 DXZ458755:DXZ458812 EHV458755:EHV458812 ERR458755:ERR458812 FBN458755:FBN458812 FLJ458755:FLJ458812 FVF458755:FVF458812 GFB458755:GFB458812 GOX458755:GOX458812 GYT458755:GYT458812 HIP458755:HIP458812 HSL458755:HSL458812 ICH458755:ICH458812 IMD458755:IMD458812 IVZ458755:IVZ458812 JFV458755:JFV458812 JPR458755:JPR458812 JZN458755:JZN458812 KJJ458755:KJJ458812 KTF458755:KTF458812 LDB458755:LDB458812 LMX458755:LMX458812 LWT458755:LWT458812 MGP458755:MGP458812 MQL458755:MQL458812 NAH458755:NAH458812 NKD458755:NKD458812 NTZ458755:NTZ458812 ODV458755:ODV458812 ONR458755:ONR458812 OXN458755:OXN458812 PHJ458755:PHJ458812 PRF458755:PRF458812 QBB458755:QBB458812 QKX458755:QKX458812 QUT458755:QUT458812 REP458755:REP458812 ROL458755:ROL458812 RYH458755:RYH458812 SID458755:SID458812 SRZ458755:SRZ458812 TBV458755:TBV458812 TLR458755:TLR458812 TVN458755:TVN458812 UFJ458755:UFJ458812 UPF458755:UPF458812 UZB458755:UZB458812 VIX458755:VIX458812 VST458755:VST458812 WCP458755:WCP458812 WML458755:WML458812 WWH458755:WWH458812 G524291:G524348 JV524291:JV524348 TR524291:TR524348 ADN524291:ADN524348 ANJ524291:ANJ524348 AXF524291:AXF524348 BHB524291:BHB524348 BQX524291:BQX524348 CAT524291:CAT524348 CKP524291:CKP524348 CUL524291:CUL524348 DEH524291:DEH524348 DOD524291:DOD524348 DXZ524291:DXZ524348 EHV524291:EHV524348 ERR524291:ERR524348 FBN524291:FBN524348 FLJ524291:FLJ524348 FVF524291:FVF524348 GFB524291:GFB524348 GOX524291:GOX524348 GYT524291:GYT524348 HIP524291:HIP524348 HSL524291:HSL524348 ICH524291:ICH524348 IMD524291:IMD524348 IVZ524291:IVZ524348 JFV524291:JFV524348 JPR524291:JPR524348 JZN524291:JZN524348 KJJ524291:KJJ524348 KTF524291:KTF524348 LDB524291:LDB524348 LMX524291:LMX524348 LWT524291:LWT524348 MGP524291:MGP524348 MQL524291:MQL524348 NAH524291:NAH524348 NKD524291:NKD524348 NTZ524291:NTZ524348 ODV524291:ODV524348 ONR524291:ONR524348 OXN524291:OXN524348 PHJ524291:PHJ524348 PRF524291:PRF524348 QBB524291:QBB524348 QKX524291:QKX524348 QUT524291:QUT524348 REP524291:REP524348 ROL524291:ROL524348 RYH524291:RYH524348 SID524291:SID524348 SRZ524291:SRZ524348 TBV524291:TBV524348 TLR524291:TLR524348 TVN524291:TVN524348 UFJ524291:UFJ524348 UPF524291:UPF524348 UZB524291:UZB524348 VIX524291:VIX524348 VST524291:VST524348 WCP524291:WCP524348 WML524291:WML524348 WWH524291:WWH524348 G589827:G589884 JV589827:JV589884 TR589827:TR589884 ADN589827:ADN589884 ANJ589827:ANJ589884 AXF589827:AXF589884 BHB589827:BHB589884 BQX589827:BQX589884 CAT589827:CAT589884 CKP589827:CKP589884 CUL589827:CUL589884 DEH589827:DEH589884 DOD589827:DOD589884 DXZ589827:DXZ589884 EHV589827:EHV589884 ERR589827:ERR589884 FBN589827:FBN589884 FLJ589827:FLJ589884 FVF589827:FVF589884 GFB589827:GFB589884 GOX589827:GOX589884 GYT589827:GYT589884 HIP589827:HIP589884 HSL589827:HSL589884 ICH589827:ICH589884 IMD589827:IMD589884 IVZ589827:IVZ589884 JFV589827:JFV589884 JPR589827:JPR589884 JZN589827:JZN589884 KJJ589827:KJJ589884 KTF589827:KTF589884 LDB589827:LDB589884 LMX589827:LMX589884 LWT589827:LWT589884 MGP589827:MGP589884 MQL589827:MQL589884 NAH589827:NAH589884 NKD589827:NKD589884 NTZ589827:NTZ589884 ODV589827:ODV589884 ONR589827:ONR589884 OXN589827:OXN589884 PHJ589827:PHJ589884 PRF589827:PRF589884 QBB589827:QBB589884 QKX589827:QKX589884 QUT589827:QUT589884 REP589827:REP589884 ROL589827:ROL589884 RYH589827:RYH589884 SID589827:SID589884 SRZ589827:SRZ589884 TBV589827:TBV589884 TLR589827:TLR589884 TVN589827:TVN589884 UFJ589827:UFJ589884 UPF589827:UPF589884 UZB589827:UZB589884 VIX589827:VIX589884 VST589827:VST589884 WCP589827:WCP589884 WML589827:WML589884 WWH589827:WWH589884 G655363:G655420 JV655363:JV655420 TR655363:TR655420 ADN655363:ADN655420 ANJ655363:ANJ655420 AXF655363:AXF655420 BHB655363:BHB655420 BQX655363:BQX655420 CAT655363:CAT655420 CKP655363:CKP655420 CUL655363:CUL655420 DEH655363:DEH655420 DOD655363:DOD655420 DXZ655363:DXZ655420 EHV655363:EHV655420 ERR655363:ERR655420 FBN655363:FBN655420 FLJ655363:FLJ655420 FVF655363:FVF655420 GFB655363:GFB655420 GOX655363:GOX655420 GYT655363:GYT655420 HIP655363:HIP655420 HSL655363:HSL655420 ICH655363:ICH655420 IMD655363:IMD655420 IVZ655363:IVZ655420 JFV655363:JFV655420 JPR655363:JPR655420 JZN655363:JZN655420 KJJ655363:KJJ655420 KTF655363:KTF655420 LDB655363:LDB655420 LMX655363:LMX655420 LWT655363:LWT655420 MGP655363:MGP655420 MQL655363:MQL655420 NAH655363:NAH655420 NKD655363:NKD655420 NTZ655363:NTZ655420 ODV655363:ODV655420 ONR655363:ONR655420 OXN655363:OXN655420 PHJ655363:PHJ655420 PRF655363:PRF655420 QBB655363:QBB655420 QKX655363:QKX655420 QUT655363:QUT655420 REP655363:REP655420 ROL655363:ROL655420 RYH655363:RYH655420 SID655363:SID655420 SRZ655363:SRZ655420 TBV655363:TBV655420 TLR655363:TLR655420 TVN655363:TVN655420 UFJ655363:UFJ655420 UPF655363:UPF655420 UZB655363:UZB655420 VIX655363:VIX655420 VST655363:VST655420 WCP655363:WCP655420 WML655363:WML655420 WWH655363:WWH655420 G720899:G720956 JV720899:JV720956 TR720899:TR720956 ADN720899:ADN720956 ANJ720899:ANJ720956 AXF720899:AXF720956 BHB720899:BHB720956 BQX720899:BQX720956 CAT720899:CAT720956 CKP720899:CKP720956 CUL720899:CUL720956 DEH720899:DEH720956 DOD720899:DOD720956 DXZ720899:DXZ720956 EHV720899:EHV720956 ERR720899:ERR720956 FBN720899:FBN720956 FLJ720899:FLJ720956 FVF720899:FVF720956 GFB720899:GFB720956 GOX720899:GOX720956 GYT720899:GYT720956 HIP720899:HIP720956 HSL720899:HSL720956 ICH720899:ICH720956 IMD720899:IMD720956 IVZ720899:IVZ720956 JFV720899:JFV720956 JPR720899:JPR720956 JZN720899:JZN720956 KJJ720899:KJJ720956 KTF720899:KTF720956 LDB720899:LDB720956 LMX720899:LMX720956 LWT720899:LWT720956 MGP720899:MGP720956 MQL720899:MQL720956 NAH720899:NAH720956 NKD720899:NKD720956 NTZ720899:NTZ720956 ODV720899:ODV720956 ONR720899:ONR720956 OXN720899:OXN720956 PHJ720899:PHJ720956 PRF720899:PRF720956 QBB720899:QBB720956 QKX720899:QKX720956 QUT720899:QUT720956 REP720899:REP720956 ROL720899:ROL720956 RYH720899:RYH720956 SID720899:SID720956 SRZ720899:SRZ720956 TBV720899:TBV720956 TLR720899:TLR720956 TVN720899:TVN720956 UFJ720899:UFJ720956 UPF720899:UPF720956 UZB720899:UZB720956 VIX720899:VIX720956 VST720899:VST720956 WCP720899:WCP720956 WML720899:WML720956 WWH720899:WWH720956 G786435:G786492 JV786435:JV786492 TR786435:TR786492 ADN786435:ADN786492 ANJ786435:ANJ786492 AXF786435:AXF786492 BHB786435:BHB786492 BQX786435:BQX786492 CAT786435:CAT786492 CKP786435:CKP786492 CUL786435:CUL786492 DEH786435:DEH786492 DOD786435:DOD786492 DXZ786435:DXZ786492 EHV786435:EHV786492 ERR786435:ERR786492 FBN786435:FBN786492 FLJ786435:FLJ786492 FVF786435:FVF786492 GFB786435:GFB786492 GOX786435:GOX786492 GYT786435:GYT786492 HIP786435:HIP786492 HSL786435:HSL786492 ICH786435:ICH786492 IMD786435:IMD786492 IVZ786435:IVZ786492 JFV786435:JFV786492 JPR786435:JPR786492 JZN786435:JZN786492 KJJ786435:KJJ786492 KTF786435:KTF786492 LDB786435:LDB786492 LMX786435:LMX786492 LWT786435:LWT786492 MGP786435:MGP786492 MQL786435:MQL786492 NAH786435:NAH786492 NKD786435:NKD786492 NTZ786435:NTZ786492 ODV786435:ODV786492 ONR786435:ONR786492 OXN786435:OXN786492 PHJ786435:PHJ786492 PRF786435:PRF786492 QBB786435:QBB786492 QKX786435:QKX786492 QUT786435:QUT786492 REP786435:REP786492 ROL786435:ROL786492 RYH786435:RYH786492 SID786435:SID786492 SRZ786435:SRZ786492 TBV786435:TBV786492 TLR786435:TLR786492 TVN786435:TVN786492 UFJ786435:UFJ786492 UPF786435:UPF786492 UZB786435:UZB786492 VIX786435:VIX786492 VST786435:VST786492 WCP786435:WCP786492 WML786435:WML786492 WWH786435:WWH786492 G851971:G852028 JV851971:JV852028 TR851971:TR852028 ADN851971:ADN852028 ANJ851971:ANJ852028 AXF851971:AXF852028 BHB851971:BHB852028 BQX851971:BQX852028 CAT851971:CAT852028 CKP851971:CKP852028 CUL851971:CUL852028 DEH851971:DEH852028 DOD851971:DOD852028 DXZ851971:DXZ852028 EHV851971:EHV852028 ERR851971:ERR852028 FBN851971:FBN852028 FLJ851971:FLJ852028 FVF851971:FVF852028 GFB851971:GFB852028 GOX851971:GOX852028 GYT851971:GYT852028 HIP851971:HIP852028 HSL851971:HSL852028 ICH851971:ICH852028 IMD851971:IMD852028 IVZ851971:IVZ852028 JFV851971:JFV852028 JPR851971:JPR852028 JZN851971:JZN852028 KJJ851971:KJJ852028 KTF851971:KTF852028 LDB851971:LDB852028 LMX851971:LMX852028 LWT851971:LWT852028 MGP851971:MGP852028 MQL851971:MQL852028 NAH851971:NAH852028 NKD851971:NKD852028 NTZ851971:NTZ852028 ODV851971:ODV852028 ONR851971:ONR852028 OXN851971:OXN852028 PHJ851971:PHJ852028 PRF851971:PRF852028 QBB851971:QBB852028 QKX851971:QKX852028 QUT851971:QUT852028 REP851971:REP852028 ROL851971:ROL852028 RYH851971:RYH852028 SID851971:SID852028 SRZ851971:SRZ852028 TBV851971:TBV852028 TLR851971:TLR852028 TVN851971:TVN852028 UFJ851971:UFJ852028 UPF851971:UPF852028 UZB851971:UZB852028 VIX851971:VIX852028 VST851971:VST852028 WCP851971:WCP852028 WML851971:WML852028 WWH851971:WWH852028 G917507:G917564 JV917507:JV917564 TR917507:TR917564 ADN917507:ADN917564 ANJ917507:ANJ917564 AXF917507:AXF917564 BHB917507:BHB917564 BQX917507:BQX917564 CAT917507:CAT917564 CKP917507:CKP917564 CUL917507:CUL917564 DEH917507:DEH917564 DOD917507:DOD917564 DXZ917507:DXZ917564 EHV917507:EHV917564 ERR917507:ERR917564 FBN917507:FBN917564 FLJ917507:FLJ917564 FVF917507:FVF917564 GFB917507:GFB917564 GOX917507:GOX917564 GYT917507:GYT917564 HIP917507:HIP917564 HSL917507:HSL917564 ICH917507:ICH917564 IMD917507:IMD917564 IVZ917507:IVZ917564 JFV917507:JFV917564 JPR917507:JPR917564 JZN917507:JZN917564 KJJ917507:KJJ917564 KTF917507:KTF917564 LDB917507:LDB917564 LMX917507:LMX917564 LWT917507:LWT917564 MGP917507:MGP917564 MQL917507:MQL917564 NAH917507:NAH917564 NKD917507:NKD917564 NTZ917507:NTZ917564 ODV917507:ODV917564 ONR917507:ONR917564 OXN917507:OXN917564 PHJ917507:PHJ917564 PRF917507:PRF917564 QBB917507:QBB917564 QKX917507:QKX917564 QUT917507:QUT917564 REP917507:REP917564 ROL917507:ROL917564 RYH917507:RYH917564 SID917507:SID917564 SRZ917507:SRZ917564 TBV917507:TBV917564 TLR917507:TLR917564 TVN917507:TVN917564 UFJ917507:UFJ917564 UPF917507:UPF917564 UZB917507:UZB917564 VIX917507:VIX917564 VST917507:VST917564 WCP917507:WCP917564 WML917507:WML917564 WWH917507:WWH917564 G983043:G983100 JV983043:JV983100 TR983043:TR983100 ADN983043:ADN983100 ANJ983043:ANJ983100 AXF983043:AXF983100 BHB983043:BHB983100 BQX983043:BQX983100 CAT983043:CAT983100 CKP983043:CKP983100 CUL983043:CUL983100 DEH983043:DEH983100 DOD983043:DOD983100 DXZ983043:DXZ983100 EHV983043:EHV983100 ERR983043:ERR983100 FBN983043:FBN983100 FLJ983043:FLJ983100 FVF983043:FVF983100 GFB983043:GFB983100 GOX983043:GOX983100 GYT983043:GYT983100 HIP983043:HIP983100 HSL983043:HSL983100 ICH983043:ICH983100 IMD983043:IMD983100 IVZ983043:IVZ983100 JFV983043:JFV983100 JPR983043:JPR983100 JZN983043:JZN983100 KJJ983043:KJJ983100 KTF983043:KTF983100 LDB983043:LDB983100 LMX983043:LMX983100 LWT983043:LWT983100 MGP983043:MGP983100 MQL983043:MQL983100 NAH983043:NAH983100 NKD983043:NKD983100 NTZ983043:NTZ983100 ODV983043:ODV983100 ONR983043:ONR983100 OXN983043:OXN983100 PHJ983043:PHJ983100 PRF983043:PRF983100 QBB983043:QBB983100 QKX983043:QKX983100 QUT983043:QUT983100 REP983043:REP983100 ROL983043:ROL983100 RYH983043:RYH983100 SID983043:SID983100 SRZ983043:SRZ983100 TBV983043:TBV983100 TLR983043:TLR983100 TVN983043:TVN983100 UFJ983043:UFJ983100 UPF983043:UPF983100 UZB983043:UZB983100 VIX983043:VIX983100 VST983043:VST983100 WCP983043:WCP983100 WML983043:WML983100 WWH983043:WWH983100 G3:G60">
      <formula1>"IS,IR,"</formula1>
    </dataValidation>
    <dataValidation type="list" allowBlank="1" showInputMessage="1" showErrorMessage="1" sqref="D3:D60 JT3:JT60 TP3:TP60 ADL3:ADL60 ANH3:ANH60 AXD3:AXD60 BGZ3:BGZ60 BQV3:BQV60 CAR3:CAR60 CKN3:CKN60 CUJ3:CUJ60 DEF3:DEF60 DOB3:DOB60 DXX3:DXX60 EHT3:EHT60 ERP3:ERP60 FBL3:FBL60 FLH3:FLH60 FVD3:FVD60 GEZ3:GEZ60 GOV3:GOV60 GYR3:GYR60 HIN3:HIN60 HSJ3:HSJ60 ICF3:ICF60 IMB3:IMB60 IVX3:IVX60 JFT3:JFT60 JPP3:JPP60 JZL3:JZL60 KJH3:KJH60 KTD3:KTD60 LCZ3:LCZ60 LMV3:LMV60 LWR3:LWR60 MGN3:MGN60 MQJ3:MQJ60 NAF3:NAF60 NKB3:NKB60 NTX3:NTX60 ODT3:ODT60 ONP3:ONP60 OXL3:OXL60 PHH3:PHH60 PRD3:PRD60 QAZ3:QAZ60 QKV3:QKV60 QUR3:QUR60 REN3:REN60 ROJ3:ROJ60 RYF3:RYF60 SIB3:SIB60 SRX3:SRX60 TBT3:TBT60 TLP3:TLP60 TVL3:TVL60 UFH3:UFH60 UPD3:UPD60 UYZ3:UYZ60 VIV3:VIV60 VSR3:VSR60 WCN3:WCN60 WMJ3:WMJ60 WWF3:WWF60 D65539:D65596 JS65539:JS65596 TO65539:TO65596 ADK65539:ADK65596 ANG65539:ANG65596 AXC65539:AXC65596 BGY65539:BGY65596 BQU65539:BQU65596 CAQ65539:CAQ65596 CKM65539:CKM65596 CUI65539:CUI65596 DEE65539:DEE65596 DOA65539:DOA65596 DXW65539:DXW65596 EHS65539:EHS65596 ERO65539:ERO65596 FBK65539:FBK65596 FLG65539:FLG65596 FVC65539:FVC65596 GEY65539:GEY65596 GOU65539:GOU65596 GYQ65539:GYQ65596 HIM65539:HIM65596 HSI65539:HSI65596 ICE65539:ICE65596 IMA65539:IMA65596 IVW65539:IVW65596 JFS65539:JFS65596 JPO65539:JPO65596 JZK65539:JZK65596 KJG65539:KJG65596 KTC65539:KTC65596 LCY65539:LCY65596 LMU65539:LMU65596 LWQ65539:LWQ65596 MGM65539:MGM65596 MQI65539:MQI65596 NAE65539:NAE65596 NKA65539:NKA65596 NTW65539:NTW65596 ODS65539:ODS65596 ONO65539:ONO65596 OXK65539:OXK65596 PHG65539:PHG65596 PRC65539:PRC65596 QAY65539:QAY65596 QKU65539:QKU65596 QUQ65539:QUQ65596 REM65539:REM65596 ROI65539:ROI65596 RYE65539:RYE65596 SIA65539:SIA65596 SRW65539:SRW65596 TBS65539:TBS65596 TLO65539:TLO65596 TVK65539:TVK65596 UFG65539:UFG65596 UPC65539:UPC65596 UYY65539:UYY65596 VIU65539:VIU65596 VSQ65539:VSQ65596 WCM65539:WCM65596 WMI65539:WMI65596 WWE65539:WWE65596 D131075:D131132 JS131075:JS131132 TO131075:TO131132 ADK131075:ADK131132 ANG131075:ANG131132 AXC131075:AXC131132 BGY131075:BGY131132 BQU131075:BQU131132 CAQ131075:CAQ131132 CKM131075:CKM131132 CUI131075:CUI131132 DEE131075:DEE131132 DOA131075:DOA131132 DXW131075:DXW131132 EHS131075:EHS131132 ERO131075:ERO131132 FBK131075:FBK131132 FLG131075:FLG131132 FVC131075:FVC131132 GEY131075:GEY131132 GOU131075:GOU131132 GYQ131075:GYQ131132 HIM131075:HIM131132 HSI131075:HSI131132 ICE131075:ICE131132 IMA131075:IMA131132 IVW131075:IVW131132 JFS131075:JFS131132 JPO131075:JPO131132 JZK131075:JZK131132 KJG131075:KJG131132 KTC131075:KTC131132 LCY131075:LCY131132 LMU131075:LMU131132 LWQ131075:LWQ131132 MGM131075:MGM131132 MQI131075:MQI131132 NAE131075:NAE131132 NKA131075:NKA131132 NTW131075:NTW131132 ODS131075:ODS131132 ONO131075:ONO131132 OXK131075:OXK131132 PHG131075:PHG131132 PRC131075:PRC131132 QAY131075:QAY131132 QKU131075:QKU131132 QUQ131075:QUQ131132 REM131075:REM131132 ROI131075:ROI131132 RYE131075:RYE131132 SIA131075:SIA131132 SRW131075:SRW131132 TBS131075:TBS131132 TLO131075:TLO131132 TVK131075:TVK131132 UFG131075:UFG131132 UPC131075:UPC131132 UYY131075:UYY131132 VIU131075:VIU131132 VSQ131075:VSQ131132 WCM131075:WCM131132 WMI131075:WMI131132 WWE131075:WWE131132 D196611:D196668 JS196611:JS196668 TO196611:TO196668 ADK196611:ADK196668 ANG196611:ANG196668 AXC196611:AXC196668 BGY196611:BGY196668 BQU196611:BQU196668 CAQ196611:CAQ196668 CKM196611:CKM196668 CUI196611:CUI196668 DEE196611:DEE196668 DOA196611:DOA196668 DXW196611:DXW196668 EHS196611:EHS196668 ERO196611:ERO196668 FBK196611:FBK196668 FLG196611:FLG196668 FVC196611:FVC196668 GEY196611:GEY196668 GOU196611:GOU196668 GYQ196611:GYQ196668 HIM196611:HIM196668 HSI196611:HSI196668 ICE196611:ICE196668 IMA196611:IMA196668 IVW196611:IVW196668 JFS196611:JFS196668 JPO196611:JPO196668 JZK196611:JZK196668 KJG196611:KJG196668 KTC196611:KTC196668 LCY196611:LCY196668 LMU196611:LMU196668 LWQ196611:LWQ196668 MGM196611:MGM196668 MQI196611:MQI196668 NAE196611:NAE196668 NKA196611:NKA196668 NTW196611:NTW196668 ODS196611:ODS196668 ONO196611:ONO196668 OXK196611:OXK196668 PHG196611:PHG196668 PRC196611:PRC196668 QAY196611:QAY196668 QKU196611:QKU196668 QUQ196611:QUQ196668 REM196611:REM196668 ROI196611:ROI196668 RYE196611:RYE196668 SIA196611:SIA196668 SRW196611:SRW196668 TBS196611:TBS196668 TLO196611:TLO196668 TVK196611:TVK196668 UFG196611:UFG196668 UPC196611:UPC196668 UYY196611:UYY196668 VIU196611:VIU196668 VSQ196611:VSQ196668 WCM196611:WCM196668 WMI196611:WMI196668 WWE196611:WWE196668 D262147:D262204 JS262147:JS262204 TO262147:TO262204 ADK262147:ADK262204 ANG262147:ANG262204 AXC262147:AXC262204 BGY262147:BGY262204 BQU262147:BQU262204 CAQ262147:CAQ262204 CKM262147:CKM262204 CUI262147:CUI262204 DEE262147:DEE262204 DOA262147:DOA262204 DXW262147:DXW262204 EHS262147:EHS262204 ERO262147:ERO262204 FBK262147:FBK262204 FLG262147:FLG262204 FVC262147:FVC262204 GEY262147:GEY262204 GOU262147:GOU262204 GYQ262147:GYQ262204 HIM262147:HIM262204 HSI262147:HSI262204 ICE262147:ICE262204 IMA262147:IMA262204 IVW262147:IVW262204 JFS262147:JFS262204 JPO262147:JPO262204 JZK262147:JZK262204 KJG262147:KJG262204 KTC262147:KTC262204 LCY262147:LCY262204 LMU262147:LMU262204 LWQ262147:LWQ262204 MGM262147:MGM262204 MQI262147:MQI262204 NAE262147:NAE262204 NKA262147:NKA262204 NTW262147:NTW262204 ODS262147:ODS262204 ONO262147:ONO262204 OXK262147:OXK262204 PHG262147:PHG262204 PRC262147:PRC262204 QAY262147:QAY262204 QKU262147:QKU262204 QUQ262147:QUQ262204 REM262147:REM262204 ROI262147:ROI262204 RYE262147:RYE262204 SIA262147:SIA262204 SRW262147:SRW262204 TBS262147:TBS262204 TLO262147:TLO262204 TVK262147:TVK262204 UFG262147:UFG262204 UPC262147:UPC262204 UYY262147:UYY262204 VIU262147:VIU262204 VSQ262147:VSQ262204 WCM262147:WCM262204 WMI262147:WMI262204 WWE262147:WWE262204 D327683:D327740 JS327683:JS327740 TO327683:TO327740 ADK327683:ADK327740 ANG327683:ANG327740 AXC327683:AXC327740 BGY327683:BGY327740 BQU327683:BQU327740 CAQ327683:CAQ327740 CKM327683:CKM327740 CUI327683:CUI327740 DEE327683:DEE327740 DOA327683:DOA327740 DXW327683:DXW327740 EHS327683:EHS327740 ERO327683:ERO327740 FBK327683:FBK327740 FLG327683:FLG327740 FVC327683:FVC327740 GEY327683:GEY327740 GOU327683:GOU327740 GYQ327683:GYQ327740 HIM327683:HIM327740 HSI327683:HSI327740 ICE327683:ICE327740 IMA327683:IMA327740 IVW327683:IVW327740 JFS327683:JFS327740 JPO327683:JPO327740 JZK327683:JZK327740 KJG327683:KJG327740 KTC327683:KTC327740 LCY327683:LCY327740 LMU327683:LMU327740 LWQ327683:LWQ327740 MGM327683:MGM327740 MQI327683:MQI327740 NAE327683:NAE327740 NKA327683:NKA327740 NTW327683:NTW327740 ODS327683:ODS327740 ONO327683:ONO327740 OXK327683:OXK327740 PHG327683:PHG327740 PRC327683:PRC327740 QAY327683:QAY327740 QKU327683:QKU327740 QUQ327683:QUQ327740 REM327683:REM327740 ROI327683:ROI327740 RYE327683:RYE327740 SIA327683:SIA327740 SRW327683:SRW327740 TBS327683:TBS327740 TLO327683:TLO327740 TVK327683:TVK327740 UFG327683:UFG327740 UPC327683:UPC327740 UYY327683:UYY327740 VIU327683:VIU327740 VSQ327683:VSQ327740 WCM327683:WCM327740 WMI327683:WMI327740 WWE327683:WWE327740 D393219:D393276 JS393219:JS393276 TO393219:TO393276 ADK393219:ADK393276 ANG393219:ANG393276 AXC393219:AXC393276 BGY393219:BGY393276 BQU393219:BQU393276 CAQ393219:CAQ393276 CKM393219:CKM393276 CUI393219:CUI393276 DEE393219:DEE393276 DOA393219:DOA393276 DXW393219:DXW393276 EHS393219:EHS393276 ERO393219:ERO393276 FBK393219:FBK393276 FLG393219:FLG393276 FVC393219:FVC393276 GEY393219:GEY393276 GOU393219:GOU393276 GYQ393219:GYQ393276 HIM393219:HIM393276 HSI393219:HSI393276 ICE393219:ICE393276 IMA393219:IMA393276 IVW393219:IVW393276 JFS393219:JFS393276 JPO393219:JPO393276 JZK393219:JZK393276 KJG393219:KJG393276 KTC393219:KTC393276 LCY393219:LCY393276 LMU393219:LMU393276 LWQ393219:LWQ393276 MGM393219:MGM393276 MQI393219:MQI393276 NAE393219:NAE393276 NKA393219:NKA393276 NTW393219:NTW393276 ODS393219:ODS393276 ONO393219:ONO393276 OXK393219:OXK393276 PHG393219:PHG393276 PRC393219:PRC393276 QAY393219:QAY393276 QKU393219:QKU393276 QUQ393219:QUQ393276 REM393219:REM393276 ROI393219:ROI393276 RYE393219:RYE393276 SIA393219:SIA393276 SRW393219:SRW393276 TBS393219:TBS393276 TLO393219:TLO393276 TVK393219:TVK393276 UFG393219:UFG393276 UPC393219:UPC393276 UYY393219:UYY393276 VIU393219:VIU393276 VSQ393219:VSQ393276 WCM393219:WCM393276 WMI393219:WMI393276 WWE393219:WWE393276 D458755:D458812 JS458755:JS458812 TO458755:TO458812 ADK458755:ADK458812 ANG458755:ANG458812 AXC458755:AXC458812 BGY458755:BGY458812 BQU458755:BQU458812 CAQ458755:CAQ458812 CKM458755:CKM458812 CUI458755:CUI458812 DEE458755:DEE458812 DOA458755:DOA458812 DXW458755:DXW458812 EHS458755:EHS458812 ERO458755:ERO458812 FBK458755:FBK458812 FLG458755:FLG458812 FVC458755:FVC458812 GEY458755:GEY458812 GOU458755:GOU458812 GYQ458755:GYQ458812 HIM458755:HIM458812 HSI458755:HSI458812 ICE458755:ICE458812 IMA458755:IMA458812 IVW458755:IVW458812 JFS458755:JFS458812 JPO458755:JPO458812 JZK458755:JZK458812 KJG458755:KJG458812 KTC458755:KTC458812 LCY458755:LCY458812 LMU458755:LMU458812 LWQ458755:LWQ458812 MGM458755:MGM458812 MQI458755:MQI458812 NAE458755:NAE458812 NKA458755:NKA458812 NTW458755:NTW458812 ODS458755:ODS458812 ONO458755:ONO458812 OXK458755:OXK458812 PHG458755:PHG458812 PRC458755:PRC458812 QAY458755:QAY458812 QKU458755:QKU458812 QUQ458755:QUQ458812 REM458755:REM458812 ROI458755:ROI458812 RYE458755:RYE458812 SIA458755:SIA458812 SRW458755:SRW458812 TBS458755:TBS458812 TLO458755:TLO458812 TVK458755:TVK458812 UFG458755:UFG458812 UPC458755:UPC458812 UYY458755:UYY458812 VIU458755:VIU458812 VSQ458755:VSQ458812 WCM458755:WCM458812 WMI458755:WMI458812 WWE458755:WWE458812 D524291:D524348 JS524291:JS524348 TO524291:TO524348 ADK524291:ADK524348 ANG524291:ANG524348 AXC524291:AXC524348 BGY524291:BGY524348 BQU524291:BQU524348 CAQ524291:CAQ524348 CKM524291:CKM524348 CUI524291:CUI524348 DEE524291:DEE524348 DOA524291:DOA524348 DXW524291:DXW524348 EHS524291:EHS524348 ERO524291:ERO524348 FBK524291:FBK524348 FLG524291:FLG524348 FVC524291:FVC524348 GEY524291:GEY524348 GOU524291:GOU524348 GYQ524291:GYQ524348 HIM524291:HIM524348 HSI524291:HSI524348 ICE524291:ICE524348 IMA524291:IMA524348 IVW524291:IVW524348 JFS524291:JFS524348 JPO524291:JPO524348 JZK524291:JZK524348 KJG524291:KJG524348 KTC524291:KTC524348 LCY524291:LCY524348 LMU524291:LMU524348 LWQ524291:LWQ524348 MGM524291:MGM524348 MQI524291:MQI524348 NAE524291:NAE524348 NKA524291:NKA524348 NTW524291:NTW524348 ODS524291:ODS524348 ONO524291:ONO524348 OXK524291:OXK524348 PHG524291:PHG524348 PRC524291:PRC524348 QAY524291:QAY524348 QKU524291:QKU524348 QUQ524291:QUQ524348 REM524291:REM524348 ROI524291:ROI524348 RYE524291:RYE524348 SIA524291:SIA524348 SRW524291:SRW524348 TBS524291:TBS524348 TLO524291:TLO524348 TVK524291:TVK524348 UFG524291:UFG524348 UPC524291:UPC524348 UYY524291:UYY524348 VIU524291:VIU524348 VSQ524291:VSQ524348 WCM524291:WCM524348 WMI524291:WMI524348 WWE524291:WWE524348 D589827:D589884 JS589827:JS589884 TO589827:TO589884 ADK589827:ADK589884 ANG589827:ANG589884 AXC589827:AXC589884 BGY589827:BGY589884 BQU589827:BQU589884 CAQ589827:CAQ589884 CKM589827:CKM589884 CUI589827:CUI589884 DEE589827:DEE589884 DOA589827:DOA589884 DXW589827:DXW589884 EHS589827:EHS589884 ERO589827:ERO589884 FBK589827:FBK589884 FLG589827:FLG589884 FVC589827:FVC589884 GEY589827:GEY589884 GOU589827:GOU589884 GYQ589827:GYQ589884 HIM589827:HIM589884 HSI589827:HSI589884 ICE589827:ICE589884 IMA589827:IMA589884 IVW589827:IVW589884 JFS589827:JFS589884 JPO589827:JPO589884 JZK589827:JZK589884 KJG589827:KJG589884 KTC589827:KTC589884 LCY589827:LCY589884 LMU589827:LMU589884 LWQ589827:LWQ589884 MGM589827:MGM589884 MQI589827:MQI589884 NAE589827:NAE589884 NKA589827:NKA589884 NTW589827:NTW589884 ODS589827:ODS589884 ONO589827:ONO589884 OXK589827:OXK589884 PHG589827:PHG589884 PRC589827:PRC589884 QAY589827:QAY589884 QKU589827:QKU589884 QUQ589827:QUQ589884 REM589827:REM589884 ROI589827:ROI589884 RYE589827:RYE589884 SIA589827:SIA589884 SRW589827:SRW589884 TBS589827:TBS589884 TLO589827:TLO589884 TVK589827:TVK589884 UFG589827:UFG589884 UPC589827:UPC589884 UYY589827:UYY589884 VIU589827:VIU589884 VSQ589827:VSQ589884 WCM589827:WCM589884 WMI589827:WMI589884 WWE589827:WWE589884 D655363:D655420 JS655363:JS655420 TO655363:TO655420 ADK655363:ADK655420 ANG655363:ANG655420 AXC655363:AXC655420 BGY655363:BGY655420 BQU655363:BQU655420 CAQ655363:CAQ655420 CKM655363:CKM655420 CUI655363:CUI655420 DEE655363:DEE655420 DOA655363:DOA655420 DXW655363:DXW655420 EHS655363:EHS655420 ERO655363:ERO655420 FBK655363:FBK655420 FLG655363:FLG655420 FVC655363:FVC655420 GEY655363:GEY655420 GOU655363:GOU655420 GYQ655363:GYQ655420 HIM655363:HIM655420 HSI655363:HSI655420 ICE655363:ICE655420 IMA655363:IMA655420 IVW655363:IVW655420 JFS655363:JFS655420 JPO655363:JPO655420 JZK655363:JZK655420 KJG655363:KJG655420 KTC655363:KTC655420 LCY655363:LCY655420 LMU655363:LMU655420 LWQ655363:LWQ655420 MGM655363:MGM655420 MQI655363:MQI655420 NAE655363:NAE655420 NKA655363:NKA655420 NTW655363:NTW655420 ODS655363:ODS655420 ONO655363:ONO655420 OXK655363:OXK655420 PHG655363:PHG655420 PRC655363:PRC655420 QAY655363:QAY655420 QKU655363:QKU655420 QUQ655363:QUQ655420 REM655363:REM655420 ROI655363:ROI655420 RYE655363:RYE655420 SIA655363:SIA655420 SRW655363:SRW655420 TBS655363:TBS655420 TLO655363:TLO655420 TVK655363:TVK655420 UFG655363:UFG655420 UPC655363:UPC655420 UYY655363:UYY655420 VIU655363:VIU655420 VSQ655363:VSQ655420 WCM655363:WCM655420 WMI655363:WMI655420 WWE655363:WWE655420 D720899:D720956 JS720899:JS720956 TO720899:TO720956 ADK720899:ADK720956 ANG720899:ANG720956 AXC720899:AXC720956 BGY720899:BGY720956 BQU720899:BQU720956 CAQ720899:CAQ720956 CKM720899:CKM720956 CUI720899:CUI720956 DEE720899:DEE720956 DOA720899:DOA720956 DXW720899:DXW720956 EHS720899:EHS720956 ERO720899:ERO720956 FBK720899:FBK720956 FLG720899:FLG720956 FVC720899:FVC720956 GEY720899:GEY720956 GOU720899:GOU720956 GYQ720899:GYQ720956 HIM720899:HIM720956 HSI720899:HSI720956 ICE720899:ICE720956 IMA720899:IMA720956 IVW720899:IVW720956 JFS720899:JFS720956 JPO720899:JPO720956 JZK720899:JZK720956 KJG720899:KJG720956 KTC720899:KTC720956 LCY720899:LCY720956 LMU720899:LMU720956 LWQ720899:LWQ720956 MGM720899:MGM720956 MQI720899:MQI720956 NAE720899:NAE720956 NKA720899:NKA720956 NTW720899:NTW720956 ODS720899:ODS720956 ONO720899:ONO720956 OXK720899:OXK720956 PHG720899:PHG720956 PRC720899:PRC720956 QAY720899:QAY720956 QKU720899:QKU720956 QUQ720899:QUQ720956 REM720899:REM720956 ROI720899:ROI720956 RYE720899:RYE720956 SIA720899:SIA720956 SRW720899:SRW720956 TBS720899:TBS720956 TLO720899:TLO720956 TVK720899:TVK720956 UFG720899:UFG720956 UPC720899:UPC720956 UYY720899:UYY720956 VIU720899:VIU720956 VSQ720899:VSQ720956 WCM720899:WCM720956 WMI720899:WMI720956 WWE720899:WWE720956 D786435:D786492 JS786435:JS786492 TO786435:TO786492 ADK786435:ADK786492 ANG786435:ANG786492 AXC786435:AXC786492 BGY786435:BGY786492 BQU786435:BQU786492 CAQ786435:CAQ786492 CKM786435:CKM786492 CUI786435:CUI786492 DEE786435:DEE786492 DOA786435:DOA786492 DXW786435:DXW786492 EHS786435:EHS786492 ERO786435:ERO786492 FBK786435:FBK786492 FLG786435:FLG786492 FVC786435:FVC786492 GEY786435:GEY786492 GOU786435:GOU786492 GYQ786435:GYQ786492 HIM786435:HIM786492 HSI786435:HSI786492 ICE786435:ICE786492 IMA786435:IMA786492 IVW786435:IVW786492 JFS786435:JFS786492 JPO786435:JPO786492 JZK786435:JZK786492 KJG786435:KJG786492 KTC786435:KTC786492 LCY786435:LCY786492 LMU786435:LMU786492 LWQ786435:LWQ786492 MGM786435:MGM786492 MQI786435:MQI786492 NAE786435:NAE786492 NKA786435:NKA786492 NTW786435:NTW786492 ODS786435:ODS786492 ONO786435:ONO786492 OXK786435:OXK786492 PHG786435:PHG786492 PRC786435:PRC786492 QAY786435:QAY786492 QKU786435:QKU786492 QUQ786435:QUQ786492 REM786435:REM786492 ROI786435:ROI786492 RYE786435:RYE786492 SIA786435:SIA786492 SRW786435:SRW786492 TBS786435:TBS786492 TLO786435:TLO786492 TVK786435:TVK786492 UFG786435:UFG786492 UPC786435:UPC786492 UYY786435:UYY786492 VIU786435:VIU786492 VSQ786435:VSQ786492 WCM786435:WCM786492 WMI786435:WMI786492 WWE786435:WWE786492 D851971:D852028 JS851971:JS852028 TO851971:TO852028 ADK851971:ADK852028 ANG851971:ANG852028 AXC851971:AXC852028 BGY851971:BGY852028 BQU851971:BQU852028 CAQ851971:CAQ852028 CKM851971:CKM852028 CUI851971:CUI852028 DEE851971:DEE852028 DOA851971:DOA852028 DXW851971:DXW852028 EHS851971:EHS852028 ERO851971:ERO852028 FBK851971:FBK852028 FLG851971:FLG852028 FVC851971:FVC852028 GEY851971:GEY852028 GOU851971:GOU852028 GYQ851971:GYQ852028 HIM851971:HIM852028 HSI851971:HSI852028 ICE851971:ICE852028 IMA851971:IMA852028 IVW851971:IVW852028 JFS851971:JFS852028 JPO851971:JPO852028 JZK851971:JZK852028 KJG851971:KJG852028 KTC851971:KTC852028 LCY851971:LCY852028 LMU851971:LMU852028 LWQ851971:LWQ852028 MGM851971:MGM852028 MQI851971:MQI852028 NAE851971:NAE852028 NKA851971:NKA852028 NTW851971:NTW852028 ODS851971:ODS852028 ONO851971:ONO852028 OXK851971:OXK852028 PHG851971:PHG852028 PRC851971:PRC852028 QAY851971:QAY852028 QKU851971:QKU852028 QUQ851971:QUQ852028 REM851971:REM852028 ROI851971:ROI852028 RYE851971:RYE852028 SIA851971:SIA852028 SRW851971:SRW852028 TBS851971:TBS852028 TLO851971:TLO852028 TVK851971:TVK852028 UFG851971:UFG852028 UPC851971:UPC852028 UYY851971:UYY852028 VIU851971:VIU852028 VSQ851971:VSQ852028 WCM851971:WCM852028 WMI851971:WMI852028 WWE851971:WWE852028 D917507:D917564 JS917507:JS917564 TO917507:TO917564 ADK917507:ADK917564 ANG917507:ANG917564 AXC917507:AXC917564 BGY917507:BGY917564 BQU917507:BQU917564 CAQ917507:CAQ917564 CKM917507:CKM917564 CUI917507:CUI917564 DEE917507:DEE917564 DOA917507:DOA917564 DXW917507:DXW917564 EHS917507:EHS917564 ERO917507:ERO917564 FBK917507:FBK917564 FLG917507:FLG917564 FVC917507:FVC917564 GEY917507:GEY917564 GOU917507:GOU917564 GYQ917507:GYQ917564 HIM917507:HIM917564 HSI917507:HSI917564 ICE917507:ICE917564 IMA917507:IMA917564 IVW917507:IVW917564 JFS917507:JFS917564 JPO917507:JPO917564 JZK917507:JZK917564 KJG917507:KJG917564 KTC917507:KTC917564 LCY917507:LCY917564 LMU917507:LMU917564 LWQ917507:LWQ917564 MGM917507:MGM917564 MQI917507:MQI917564 NAE917507:NAE917564 NKA917507:NKA917564 NTW917507:NTW917564 ODS917507:ODS917564 ONO917507:ONO917564 OXK917507:OXK917564 PHG917507:PHG917564 PRC917507:PRC917564 QAY917507:QAY917564 QKU917507:QKU917564 QUQ917507:QUQ917564 REM917507:REM917564 ROI917507:ROI917564 RYE917507:RYE917564 SIA917507:SIA917564 SRW917507:SRW917564 TBS917507:TBS917564 TLO917507:TLO917564 TVK917507:TVK917564 UFG917507:UFG917564 UPC917507:UPC917564 UYY917507:UYY917564 VIU917507:VIU917564 VSQ917507:VSQ917564 WCM917507:WCM917564 WMI917507:WMI917564 WWE917507:WWE917564 D983043:D983100 JS983043:JS983100 TO983043:TO983100 ADK983043:ADK983100 ANG983043:ANG983100 AXC983043:AXC983100 BGY983043:BGY983100 BQU983043:BQU983100 CAQ983043:CAQ983100 CKM983043:CKM983100 CUI983043:CUI983100 DEE983043:DEE983100 DOA983043:DOA983100 DXW983043:DXW983100 EHS983043:EHS983100 ERO983043:ERO983100 FBK983043:FBK983100 FLG983043:FLG983100 FVC983043:FVC983100 GEY983043:GEY983100 GOU983043:GOU983100 GYQ983043:GYQ983100 HIM983043:HIM983100 HSI983043:HSI983100 ICE983043:ICE983100 IMA983043:IMA983100 IVW983043:IVW983100 JFS983043:JFS983100 JPO983043:JPO983100 JZK983043:JZK983100 KJG983043:KJG983100 KTC983043:KTC983100 LCY983043:LCY983100 LMU983043:LMU983100 LWQ983043:LWQ983100 MGM983043:MGM983100 MQI983043:MQI983100 NAE983043:NAE983100 NKA983043:NKA983100 NTW983043:NTW983100 ODS983043:ODS983100 ONO983043:ONO983100 OXK983043:OXK983100 PHG983043:PHG983100 PRC983043:PRC983100 QAY983043:QAY983100 QKU983043:QKU983100 QUQ983043:QUQ983100 REM983043:REM983100 ROI983043:ROI983100 RYE983043:RYE983100 SIA983043:SIA983100 SRW983043:SRW983100 TBS983043:TBS983100 TLO983043:TLO983100 TVK983043:TVK983100 UFG983043:UFG983100 UPC983043:UPC983100 UYY983043:UYY983100 VIU983043:VIU983100 VSQ983043:VSQ983100 WCM983043:WCM983100 WMI983043:WMI983100 WWE983043:WWE983100">
      <formula1>"ACS,AGRI,BNC,"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Paramètres!$O$6:$O$16</xm:f>
          </x14:formula1>
          <xm:sqref>AK3:AK60</xm:sqref>
        </x14:dataValidation>
        <x14:dataValidation type="list" allowBlank="1" showInputMessage="1" showErrorMessage="1">
          <x14:formula1>
            <xm:f>Paramètres!$O$4:$O$16</xm:f>
          </x14:formula1>
          <xm:sqref>BF3:BF60</xm:sqref>
        </x14:dataValidation>
        <x14:dataValidation type="list" allowBlank="1" showInputMessage="1" showErrorMessage="1">
          <x14:formula1>
            <xm:f>Paramètres!$N$4:$N$13</xm:f>
          </x14:formula1>
          <xm:sqref>BE3:BE60</xm:sqref>
        </x14:dataValidation>
        <x14:dataValidation type="list" allowBlank="1" showInputMessage="1" showErrorMessage="1">
          <x14:formula1>
            <xm:f>Paramètres!$K$4:$K$9</xm:f>
          </x14:formula1>
          <xm:sqref>AJ3</xm:sqref>
        </x14:dataValidation>
        <x14:dataValidation type="list" allowBlank="1" showInputMessage="1" showErrorMessage="1">
          <x14:formula1>
            <xm:f>Paramètres!$L$4:$L$11</xm:f>
          </x14:formula1>
          <xm:sqref>A3:A60</xm:sqref>
        </x14:dataValidation>
        <x14:dataValidation type="list" allowBlank="1" showInputMessage="1" showErrorMessage="1">
          <x14:formula1>
            <xm:f>Paramètres!$K$4:$K$8</xm:f>
          </x14:formula1>
          <xm:sqref>AJ4:AJ60</xm:sqref>
        </x14:dataValidation>
        <x14:dataValidation type="list" allowBlank="1" showInputMessage="1" showErrorMessage="1">
          <x14:formula1>
            <xm:f>Paramètres!$J$4:$J$7</xm:f>
          </x14:formula1>
          <xm:sqref>AI3:AI60</xm:sqref>
        </x14:dataValidation>
        <x14:dataValidation type="list" allowBlank="1" showInputMessage="1" showErrorMessage="1">
          <x14:formula1>
            <xm:f>Paramètres!$F$4:$F$17</xm:f>
          </x14:formula1>
          <xm:sqref>F3:F52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L183"/>
  <sheetViews>
    <sheetView zoomScale="85" zoomScaleNormal="85" workbookViewId="0">
      <pane xSplit="5" ySplit="2" topLeftCell="F3" activePane="bottomRight" state="frozen"/>
      <selection pane="topRight" activeCell="F1" sqref="F1"/>
      <selection pane="bottomLeft" activeCell="A3" sqref="A3"/>
      <selection pane="bottomRight" activeCell="A3" sqref="A3:A5"/>
    </sheetView>
  </sheetViews>
  <sheetFormatPr baseColWidth="10" defaultRowHeight="15" x14ac:dyDescent="0.25"/>
  <cols>
    <col min="1" max="1" width="24.42578125" style="89" bestFit="1" customWidth="1"/>
    <col min="2" max="2" width="15.42578125" style="89" customWidth="1"/>
    <col min="3" max="3" width="33.7109375" style="89" customWidth="1"/>
    <col min="4" max="4" width="19" style="89" customWidth="1"/>
    <col min="5" max="5" width="19.85546875" style="89" customWidth="1"/>
    <col min="6" max="6" width="18.5703125" style="89" customWidth="1"/>
    <col min="7" max="7" width="19.7109375" style="89" customWidth="1"/>
    <col min="8" max="8" width="14.85546875" style="89" customWidth="1"/>
    <col min="9" max="9" width="16.85546875" style="89" customWidth="1"/>
    <col min="10" max="12" width="11.42578125" style="89" customWidth="1"/>
    <col min="13" max="13" width="18.140625" style="89" customWidth="1"/>
    <col min="14" max="14" width="11.42578125" style="89" customWidth="1"/>
    <col min="15" max="15" width="12.5703125" style="89" customWidth="1"/>
    <col min="16" max="16" width="25" style="89" customWidth="1"/>
    <col min="17" max="17" width="16.5703125" style="89" customWidth="1"/>
    <col min="18" max="18" width="24" style="89" customWidth="1"/>
    <col min="19" max="19" width="16.5703125" style="89" customWidth="1"/>
    <col min="20" max="21" width="20" style="89" customWidth="1"/>
    <col min="22" max="22" width="20.85546875" style="89" customWidth="1"/>
    <col min="23" max="23" width="11.42578125" style="89" customWidth="1"/>
    <col min="24" max="24" width="23.7109375" style="89" customWidth="1"/>
    <col min="25" max="25" width="14" style="89" customWidth="1"/>
    <col min="26" max="26" width="13.28515625" style="89" customWidth="1"/>
    <col min="27" max="28" width="18.5703125" style="89" customWidth="1"/>
    <col min="29" max="29" width="18" style="89" customWidth="1"/>
    <col min="30" max="30" width="11.42578125" style="241" customWidth="1"/>
    <col min="31" max="32" width="18" style="89" customWidth="1"/>
    <col min="33" max="33" width="11.42578125" style="89" customWidth="1"/>
    <col min="34" max="35" width="18.7109375" style="241" customWidth="1"/>
    <col min="36" max="36" width="20" style="241" customWidth="1"/>
    <col min="37" max="37" width="18" style="89" customWidth="1"/>
    <col min="38" max="43" width="19" style="89" customWidth="1"/>
    <col min="44" max="44" width="11.42578125" style="241" customWidth="1"/>
    <col min="45" max="49" width="11.42578125" style="89" customWidth="1"/>
    <col min="50" max="50" width="15.140625" style="89" customWidth="1"/>
    <col min="51" max="51" width="14" style="89" customWidth="1"/>
    <col min="52" max="52" width="15.140625" style="89" customWidth="1"/>
    <col min="53" max="53" width="11.42578125" style="89" customWidth="1"/>
    <col min="54" max="54" width="22.28515625" style="89" customWidth="1"/>
    <col min="55" max="56" width="29.5703125" style="89" customWidth="1"/>
    <col min="57" max="57" width="30.85546875" style="89" customWidth="1"/>
    <col min="58" max="62" width="11.42578125" style="89" customWidth="1"/>
    <col min="63" max="76" width="30.7109375" style="89" customWidth="1"/>
    <col min="77" max="112" width="11.42578125" style="89" customWidth="1"/>
    <col min="113" max="116" width="11.42578125" style="89" hidden="1" customWidth="1"/>
    <col min="117" max="276" width="11.42578125" style="89"/>
    <col min="277" max="277" width="15.5703125" style="89" bestFit="1" customWidth="1"/>
    <col min="278" max="278" width="33.7109375" style="89" customWidth="1"/>
    <col min="279" max="279" width="19" style="89" customWidth="1"/>
    <col min="280" max="280" width="19.85546875" style="89" customWidth="1"/>
    <col min="281" max="281" width="18.5703125" style="89" customWidth="1"/>
    <col min="282" max="282" width="19.7109375" style="89" customWidth="1"/>
    <col min="283" max="283" width="14.85546875" style="89" customWidth="1"/>
    <col min="284" max="284" width="16.85546875" style="89" customWidth="1"/>
    <col min="285" max="287" width="11.42578125" style="89" customWidth="1"/>
    <col min="288" max="288" width="18.140625" style="89" customWidth="1"/>
    <col min="289" max="289" width="11.42578125" style="89" customWidth="1"/>
    <col min="290" max="290" width="12.5703125" style="89" customWidth="1"/>
    <col min="291" max="291" width="25" style="89" customWidth="1"/>
    <col min="292" max="292" width="16.5703125" style="89" bestFit="1" customWidth="1"/>
    <col min="293" max="293" width="24" style="89" customWidth="1"/>
    <col min="294" max="294" width="11.42578125" style="89" customWidth="1"/>
    <col min="295" max="295" width="20" style="89" customWidth="1"/>
    <col min="296" max="296" width="11.42578125" style="89" customWidth="1"/>
    <col min="297" max="297" width="19" style="89" customWidth="1"/>
    <col min="298" max="301" width="11.42578125" style="89" customWidth="1"/>
    <col min="302" max="302" width="15.140625" style="89" customWidth="1"/>
    <col min="303" max="303" width="14" style="89" customWidth="1"/>
    <col min="304" max="304" width="15.140625" style="89" customWidth="1"/>
    <col min="305" max="305" width="11.42578125" style="89" customWidth="1"/>
    <col min="306" max="306" width="51.7109375" style="89" customWidth="1"/>
    <col min="307" max="308" width="29.5703125" style="89" customWidth="1"/>
    <col min="309" max="309" width="44.42578125" style="89" customWidth="1"/>
    <col min="310" max="310" width="36.28515625" style="89" customWidth="1"/>
    <col min="311" max="311" width="27.42578125" style="89" bestFit="1" customWidth="1"/>
    <col min="312" max="532" width="11.42578125" style="89"/>
    <col min="533" max="533" width="15.5703125" style="89" bestFit="1" customWidth="1"/>
    <col min="534" max="534" width="33.7109375" style="89" customWidth="1"/>
    <col min="535" max="535" width="19" style="89" customWidth="1"/>
    <col min="536" max="536" width="19.85546875" style="89" customWidth="1"/>
    <col min="537" max="537" width="18.5703125" style="89" customWidth="1"/>
    <col min="538" max="538" width="19.7109375" style="89" customWidth="1"/>
    <col min="539" max="539" width="14.85546875" style="89" customWidth="1"/>
    <col min="540" max="540" width="16.85546875" style="89" customWidth="1"/>
    <col min="541" max="543" width="11.42578125" style="89" customWidth="1"/>
    <col min="544" max="544" width="18.140625" style="89" customWidth="1"/>
    <col min="545" max="545" width="11.42578125" style="89" customWidth="1"/>
    <col min="546" max="546" width="12.5703125" style="89" customWidth="1"/>
    <col min="547" max="547" width="25" style="89" customWidth="1"/>
    <col min="548" max="548" width="16.5703125" style="89" bestFit="1" customWidth="1"/>
    <col min="549" max="549" width="24" style="89" customWidth="1"/>
    <col min="550" max="550" width="11.42578125" style="89" customWidth="1"/>
    <col min="551" max="551" width="20" style="89" customWidth="1"/>
    <col min="552" max="552" width="11.42578125" style="89" customWidth="1"/>
    <col min="553" max="553" width="19" style="89" customWidth="1"/>
    <col min="554" max="557" width="11.42578125" style="89" customWidth="1"/>
    <col min="558" max="558" width="15.140625" style="89" customWidth="1"/>
    <col min="559" max="559" width="14" style="89" customWidth="1"/>
    <col min="560" max="560" width="15.140625" style="89" customWidth="1"/>
    <col min="561" max="561" width="11.42578125" style="89" customWidth="1"/>
    <col min="562" max="562" width="51.7109375" style="89" customWidth="1"/>
    <col min="563" max="564" width="29.5703125" style="89" customWidth="1"/>
    <col min="565" max="565" width="44.42578125" style="89" customWidth="1"/>
    <col min="566" max="566" width="36.28515625" style="89" customWidth="1"/>
    <col min="567" max="567" width="27.42578125" style="89" bestFit="1" customWidth="1"/>
    <col min="568" max="788" width="11.42578125" style="89"/>
    <col min="789" max="789" width="15.5703125" style="89" bestFit="1" customWidth="1"/>
    <col min="790" max="790" width="33.7109375" style="89" customWidth="1"/>
    <col min="791" max="791" width="19" style="89" customWidth="1"/>
    <col min="792" max="792" width="19.85546875" style="89" customWidth="1"/>
    <col min="793" max="793" width="18.5703125" style="89" customWidth="1"/>
    <col min="794" max="794" width="19.7109375" style="89" customWidth="1"/>
    <col min="795" max="795" width="14.85546875" style="89" customWidth="1"/>
    <col min="796" max="796" width="16.85546875" style="89" customWidth="1"/>
    <col min="797" max="799" width="11.42578125" style="89" customWidth="1"/>
    <col min="800" max="800" width="18.140625" style="89" customWidth="1"/>
    <col min="801" max="801" width="11.42578125" style="89" customWidth="1"/>
    <col min="802" max="802" width="12.5703125" style="89" customWidth="1"/>
    <col min="803" max="803" width="25" style="89" customWidth="1"/>
    <col min="804" max="804" width="16.5703125" style="89" bestFit="1" customWidth="1"/>
    <col min="805" max="805" width="24" style="89" customWidth="1"/>
    <col min="806" max="806" width="11.42578125" style="89" customWidth="1"/>
    <col min="807" max="807" width="20" style="89" customWidth="1"/>
    <col min="808" max="808" width="11.42578125" style="89" customWidth="1"/>
    <col min="809" max="809" width="19" style="89" customWidth="1"/>
    <col min="810" max="813" width="11.42578125" style="89" customWidth="1"/>
    <col min="814" max="814" width="15.140625" style="89" customWidth="1"/>
    <col min="815" max="815" width="14" style="89" customWidth="1"/>
    <col min="816" max="816" width="15.140625" style="89" customWidth="1"/>
    <col min="817" max="817" width="11.42578125" style="89" customWidth="1"/>
    <col min="818" max="818" width="51.7109375" style="89" customWidth="1"/>
    <col min="819" max="820" width="29.5703125" style="89" customWidth="1"/>
    <col min="821" max="821" width="44.42578125" style="89" customWidth="1"/>
    <col min="822" max="822" width="36.28515625" style="89" customWidth="1"/>
    <col min="823" max="823" width="27.42578125" style="89" bestFit="1" customWidth="1"/>
    <col min="824" max="1044" width="11.42578125" style="89"/>
    <col min="1045" max="1045" width="15.5703125" style="89" bestFit="1" customWidth="1"/>
    <col min="1046" max="1046" width="33.7109375" style="89" customWidth="1"/>
    <col min="1047" max="1047" width="19" style="89" customWidth="1"/>
    <col min="1048" max="1048" width="19.85546875" style="89" customWidth="1"/>
    <col min="1049" max="1049" width="18.5703125" style="89" customWidth="1"/>
    <col min="1050" max="1050" width="19.7109375" style="89" customWidth="1"/>
    <col min="1051" max="1051" width="14.85546875" style="89" customWidth="1"/>
    <col min="1052" max="1052" width="16.85546875" style="89" customWidth="1"/>
    <col min="1053" max="1055" width="11.42578125" style="89" customWidth="1"/>
    <col min="1056" max="1056" width="18.140625" style="89" customWidth="1"/>
    <col min="1057" max="1057" width="11.42578125" style="89" customWidth="1"/>
    <col min="1058" max="1058" width="12.5703125" style="89" customWidth="1"/>
    <col min="1059" max="1059" width="25" style="89" customWidth="1"/>
    <col min="1060" max="1060" width="16.5703125" style="89" bestFit="1" customWidth="1"/>
    <col min="1061" max="1061" width="24" style="89" customWidth="1"/>
    <col min="1062" max="1062" width="11.42578125" style="89" customWidth="1"/>
    <col min="1063" max="1063" width="20" style="89" customWidth="1"/>
    <col min="1064" max="1064" width="11.42578125" style="89" customWidth="1"/>
    <col min="1065" max="1065" width="19" style="89" customWidth="1"/>
    <col min="1066" max="1069" width="11.42578125" style="89" customWidth="1"/>
    <col min="1070" max="1070" width="15.140625" style="89" customWidth="1"/>
    <col min="1071" max="1071" width="14" style="89" customWidth="1"/>
    <col min="1072" max="1072" width="15.140625" style="89" customWidth="1"/>
    <col min="1073" max="1073" width="11.42578125" style="89" customWidth="1"/>
    <col min="1074" max="1074" width="51.7109375" style="89" customWidth="1"/>
    <col min="1075" max="1076" width="29.5703125" style="89" customWidth="1"/>
    <col min="1077" max="1077" width="44.42578125" style="89" customWidth="1"/>
    <col min="1078" max="1078" width="36.28515625" style="89" customWidth="1"/>
    <col min="1079" max="1079" width="27.42578125" style="89" bestFit="1" customWidth="1"/>
    <col min="1080" max="1300" width="11.42578125" style="89"/>
    <col min="1301" max="1301" width="15.5703125" style="89" bestFit="1" customWidth="1"/>
    <col min="1302" max="1302" width="33.7109375" style="89" customWidth="1"/>
    <col min="1303" max="1303" width="19" style="89" customWidth="1"/>
    <col min="1304" max="1304" width="19.85546875" style="89" customWidth="1"/>
    <col min="1305" max="1305" width="18.5703125" style="89" customWidth="1"/>
    <col min="1306" max="1306" width="19.7109375" style="89" customWidth="1"/>
    <col min="1307" max="1307" width="14.85546875" style="89" customWidth="1"/>
    <col min="1308" max="1308" width="16.85546875" style="89" customWidth="1"/>
    <col min="1309" max="1311" width="11.42578125" style="89" customWidth="1"/>
    <col min="1312" max="1312" width="18.140625" style="89" customWidth="1"/>
    <col min="1313" max="1313" width="11.42578125" style="89" customWidth="1"/>
    <col min="1314" max="1314" width="12.5703125" style="89" customWidth="1"/>
    <col min="1315" max="1315" width="25" style="89" customWidth="1"/>
    <col min="1316" max="1316" width="16.5703125" style="89" bestFit="1" customWidth="1"/>
    <col min="1317" max="1317" width="24" style="89" customWidth="1"/>
    <col min="1318" max="1318" width="11.42578125" style="89" customWidth="1"/>
    <col min="1319" max="1319" width="20" style="89" customWidth="1"/>
    <col min="1320" max="1320" width="11.42578125" style="89" customWidth="1"/>
    <col min="1321" max="1321" width="19" style="89" customWidth="1"/>
    <col min="1322" max="1325" width="11.42578125" style="89" customWidth="1"/>
    <col min="1326" max="1326" width="15.140625" style="89" customWidth="1"/>
    <col min="1327" max="1327" width="14" style="89" customWidth="1"/>
    <col min="1328" max="1328" width="15.140625" style="89" customWidth="1"/>
    <col min="1329" max="1329" width="11.42578125" style="89" customWidth="1"/>
    <col min="1330" max="1330" width="51.7109375" style="89" customWidth="1"/>
    <col min="1331" max="1332" width="29.5703125" style="89" customWidth="1"/>
    <col min="1333" max="1333" width="44.42578125" style="89" customWidth="1"/>
    <col min="1334" max="1334" width="36.28515625" style="89" customWidth="1"/>
    <col min="1335" max="1335" width="27.42578125" style="89" bestFit="1" customWidth="1"/>
    <col min="1336" max="1556" width="11.42578125" style="89"/>
    <col min="1557" max="1557" width="15.5703125" style="89" bestFit="1" customWidth="1"/>
    <col min="1558" max="1558" width="33.7109375" style="89" customWidth="1"/>
    <col min="1559" max="1559" width="19" style="89" customWidth="1"/>
    <col min="1560" max="1560" width="19.85546875" style="89" customWidth="1"/>
    <col min="1561" max="1561" width="18.5703125" style="89" customWidth="1"/>
    <col min="1562" max="1562" width="19.7109375" style="89" customWidth="1"/>
    <col min="1563" max="1563" width="14.85546875" style="89" customWidth="1"/>
    <col min="1564" max="1564" width="16.85546875" style="89" customWidth="1"/>
    <col min="1565" max="1567" width="11.42578125" style="89" customWidth="1"/>
    <col min="1568" max="1568" width="18.140625" style="89" customWidth="1"/>
    <col min="1569" max="1569" width="11.42578125" style="89" customWidth="1"/>
    <col min="1570" max="1570" width="12.5703125" style="89" customWidth="1"/>
    <col min="1571" max="1571" width="25" style="89" customWidth="1"/>
    <col min="1572" max="1572" width="16.5703125" style="89" bestFit="1" customWidth="1"/>
    <col min="1573" max="1573" width="24" style="89" customWidth="1"/>
    <col min="1574" max="1574" width="11.42578125" style="89" customWidth="1"/>
    <col min="1575" max="1575" width="20" style="89" customWidth="1"/>
    <col min="1576" max="1576" width="11.42578125" style="89" customWidth="1"/>
    <col min="1577" max="1577" width="19" style="89" customWidth="1"/>
    <col min="1578" max="1581" width="11.42578125" style="89" customWidth="1"/>
    <col min="1582" max="1582" width="15.140625" style="89" customWidth="1"/>
    <col min="1583" max="1583" width="14" style="89" customWidth="1"/>
    <col min="1584" max="1584" width="15.140625" style="89" customWidth="1"/>
    <col min="1585" max="1585" width="11.42578125" style="89" customWidth="1"/>
    <col min="1586" max="1586" width="51.7109375" style="89" customWidth="1"/>
    <col min="1587" max="1588" width="29.5703125" style="89" customWidth="1"/>
    <col min="1589" max="1589" width="44.42578125" style="89" customWidth="1"/>
    <col min="1590" max="1590" width="36.28515625" style="89" customWidth="1"/>
    <col min="1591" max="1591" width="27.42578125" style="89" bestFit="1" customWidth="1"/>
    <col min="1592" max="1812" width="11.42578125" style="89"/>
    <col min="1813" max="1813" width="15.5703125" style="89" bestFit="1" customWidth="1"/>
    <col min="1814" max="1814" width="33.7109375" style="89" customWidth="1"/>
    <col min="1815" max="1815" width="19" style="89" customWidth="1"/>
    <col min="1816" max="1816" width="19.85546875" style="89" customWidth="1"/>
    <col min="1817" max="1817" width="18.5703125" style="89" customWidth="1"/>
    <col min="1818" max="1818" width="19.7109375" style="89" customWidth="1"/>
    <col min="1819" max="1819" width="14.85546875" style="89" customWidth="1"/>
    <col min="1820" max="1820" width="16.85546875" style="89" customWidth="1"/>
    <col min="1821" max="1823" width="11.42578125" style="89" customWidth="1"/>
    <col min="1824" max="1824" width="18.140625" style="89" customWidth="1"/>
    <col min="1825" max="1825" width="11.42578125" style="89" customWidth="1"/>
    <col min="1826" max="1826" width="12.5703125" style="89" customWidth="1"/>
    <col min="1827" max="1827" width="25" style="89" customWidth="1"/>
    <col min="1828" max="1828" width="16.5703125" style="89" bestFit="1" customWidth="1"/>
    <col min="1829" max="1829" width="24" style="89" customWidth="1"/>
    <col min="1830" max="1830" width="11.42578125" style="89" customWidth="1"/>
    <col min="1831" max="1831" width="20" style="89" customWidth="1"/>
    <col min="1832" max="1832" width="11.42578125" style="89" customWidth="1"/>
    <col min="1833" max="1833" width="19" style="89" customWidth="1"/>
    <col min="1834" max="1837" width="11.42578125" style="89" customWidth="1"/>
    <col min="1838" max="1838" width="15.140625" style="89" customWidth="1"/>
    <col min="1839" max="1839" width="14" style="89" customWidth="1"/>
    <col min="1840" max="1840" width="15.140625" style="89" customWidth="1"/>
    <col min="1841" max="1841" width="11.42578125" style="89" customWidth="1"/>
    <col min="1842" max="1842" width="51.7109375" style="89" customWidth="1"/>
    <col min="1843" max="1844" width="29.5703125" style="89" customWidth="1"/>
    <col min="1845" max="1845" width="44.42578125" style="89" customWidth="1"/>
    <col min="1846" max="1846" width="36.28515625" style="89" customWidth="1"/>
    <col min="1847" max="1847" width="27.42578125" style="89" bestFit="1" customWidth="1"/>
    <col min="1848" max="2068" width="11.42578125" style="89"/>
    <col min="2069" max="2069" width="15.5703125" style="89" bestFit="1" customWidth="1"/>
    <col min="2070" max="2070" width="33.7109375" style="89" customWidth="1"/>
    <col min="2071" max="2071" width="19" style="89" customWidth="1"/>
    <col min="2072" max="2072" width="19.85546875" style="89" customWidth="1"/>
    <col min="2073" max="2073" width="18.5703125" style="89" customWidth="1"/>
    <col min="2074" max="2074" width="19.7109375" style="89" customWidth="1"/>
    <col min="2075" max="2075" width="14.85546875" style="89" customWidth="1"/>
    <col min="2076" max="2076" width="16.85546875" style="89" customWidth="1"/>
    <col min="2077" max="2079" width="11.42578125" style="89" customWidth="1"/>
    <col min="2080" max="2080" width="18.140625" style="89" customWidth="1"/>
    <col min="2081" max="2081" width="11.42578125" style="89" customWidth="1"/>
    <col min="2082" max="2082" width="12.5703125" style="89" customWidth="1"/>
    <col min="2083" max="2083" width="25" style="89" customWidth="1"/>
    <col min="2084" max="2084" width="16.5703125" style="89" bestFit="1" customWidth="1"/>
    <col min="2085" max="2085" width="24" style="89" customWidth="1"/>
    <col min="2086" max="2086" width="11.42578125" style="89" customWidth="1"/>
    <col min="2087" max="2087" width="20" style="89" customWidth="1"/>
    <col min="2088" max="2088" width="11.42578125" style="89" customWidth="1"/>
    <col min="2089" max="2089" width="19" style="89" customWidth="1"/>
    <col min="2090" max="2093" width="11.42578125" style="89" customWidth="1"/>
    <col min="2094" max="2094" width="15.140625" style="89" customWidth="1"/>
    <col min="2095" max="2095" width="14" style="89" customWidth="1"/>
    <col min="2096" max="2096" width="15.140625" style="89" customWidth="1"/>
    <col min="2097" max="2097" width="11.42578125" style="89" customWidth="1"/>
    <col min="2098" max="2098" width="51.7109375" style="89" customWidth="1"/>
    <col min="2099" max="2100" width="29.5703125" style="89" customWidth="1"/>
    <col min="2101" max="2101" width="44.42578125" style="89" customWidth="1"/>
    <col min="2102" max="2102" width="36.28515625" style="89" customWidth="1"/>
    <col min="2103" max="2103" width="27.42578125" style="89" bestFit="1" customWidth="1"/>
    <col min="2104" max="2324" width="11.42578125" style="89"/>
    <col min="2325" max="2325" width="15.5703125" style="89" bestFit="1" customWidth="1"/>
    <col min="2326" max="2326" width="33.7109375" style="89" customWidth="1"/>
    <col min="2327" max="2327" width="19" style="89" customWidth="1"/>
    <col min="2328" max="2328" width="19.85546875" style="89" customWidth="1"/>
    <col min="2329" max="2329" width="18.5703125" style="89" customWidth="1"/>
    <col min="2330" max="2330" width="19.7109375" style="89" customWidth="1"/>
    <col min="2331" max="2331" width="14.85546875" style="89" customWidth="1"/>
    <col min="2332" max="2332" width="16.85546875" style="89" customWidth="1"/>
    <col min="2333" max="2335" width="11.42578125" style="89" customWidth="1"/>
    <col min="2336" max="2336" width="18.140625" style="89" customWidth="1"/>
    <col min="2337" max="2337" width="11.42578125" style="89" customWidth="1"/>
    <col min="2338" max="2338" width="12.5703125" style="89" customWidth="1"/>
    <col min="2339" max="2339" width="25" style="89" customWidth="1"/>
    <col min="2340" max="2340" width="16.5703125" style="89" bestFit="1" customWidth="1"/>
    <col min="2341" max="2341" width="24" style="89" customWidth="1"/>
    <col min="2342" max="2342" width="11.42578125" style="89" customWidth="1"/>
    <col min="2343" max="2343" width="20" style="89" customWidth="1"/>
    <col min="2344" max="2344" width="11.42578125" style="89" customWidth="1"/>
    <col min="2345" max="2345" width="19" style="89" customWidth="1"/>
    <col min="2346" max="2349" width="11.42578125" style="89" customWidth="1"/>
    <col min="2350" max="2350" width="15.140625" style="89" customWidth="1"/>
    <col min="2351" max="2351" width="14" style="89" customWidth="1"/>
    <col min="2352" max="2352" width="15.140625" style="89" customWidth="1"/>
    <col min="2353" max="2353" width="11.42578125" style="89" customWidth="1"/>
    <col min="2354" max="2354" width="51.7109375" style="89" customWidth="1"/>
    <col min="2355" max="2356" width="29.5703125" style="89" customWidth="1"/>
    <col min="2357" max="2357" width="44.42578125" style="89" customWidth="1"/>
    <col min="2358" max="2358" width="36.28515625" style="89" customWidth="1"/>
    <col min="2359" max="2359" width="27.42578125" style="89" bestFit="1" customWidth="1"/>
    <col min="2360" max="2580" width="11.42578125" style="89"/>
    <col min="2581" max="2581" width="15.5703125" style="89" bestFit="1" customWidth="1"/>
    <col min="2582" max="2582" width="33.7109375" style="89" customWidth="1"/>
    <col min="2583" max="2583" width="19" style="89" customWidth="1"/>
    <col min="2584" max="2584" width="19.85546875" style="89" customWidth="1"/>
    <col min="2585" max="2585" width="18.5703125" style="89" customWidth="1"/>
    <col min="2586" max="2586" width="19.7109375" style="89" customWidth="1"/>
    <col min="2587" max="2587" width="14.85546875" style="89" customWidth="1"/>
    <col min="2588" max="2588" width="16.85546875" style="89" customWidth="1"/>
    <col min="2589" max="2591" width="11.42578125" style="89" customWidth="1"/>
    <col min="2592" max="2592" width="18.140625" style="89" customWidth="1"/>
    <col min="2593" max="2593" width="11.42578125" style="89" customWidth="1"/>
    <col min="2594" max="2594" width="12.5703125" style="89" customWidth="1"/>
    <col min="2595" max="2595" width="25" style="89" customWidth="1"/>
    <col min="2596" max="2596" width="16.5703125" style="89" bestFit="1" customWidth="1"/>
    <col min="2597" max="2597" width="24" style="89" customWidth="1"/>
    <col min="2598" max="2598" width="11.42578125" style="89" customWidth="1"/>
    <col min="2599" max="2599" width="20" style="89" customWidth="1"/>
    <col min="2600" max="2600" width="11.42578125" style="89" customWidth="1"/>
    <col min="2601" max="2601" width="19" style="89" customWidth="1"/>
    <col min="2602" max="2605" width="11.42578125" style="89" customWidth="1"/>
    <col min="2606" max="2606" width="15.140625" style="89" customWidth="1"/>
    <col min="2607" max="2607" width="14" style="89" customWidth="1"/>
    <col min="2608" max="2608" width="15.140625" style="89" customWidth="1"/>
    <col min="2609" max="2609" width="11.42578125" style="89" customWidth="1"/>
    <col min="2610" max="2610" width="51.7109375" style="89" customWidth="1"/>
    <col min="2611" max="2612" width="29.5703125" style="89" customWidth="1"/>
    <col min="2613" max="2613" width="44.42578125" style="89" customWidth="1"/>
    <col min="2614" max="2614" width="36.28515625" style="89" customWidth="1"/>
    <col min="2615" max="2615" width="27.42578125" style="89" bestFit="1" customWidth="1"/>
    <col min="2616" max="2836" width="11.42578125" style="89"/>
    <col min="2837" max="2837" width="15.5703125" style="89" bestFit="1" customWidth="1"/>
    <col min="2838" max="2838" width="33.7109375" style="89" customWidth="1"/>
    <col min="2839" max="2839" width="19" style="89" customWidth="1"/>
    <col min="2840" max="2840" width="19.85546875" style="89" customWidth="1"/>
    <col min="2841" max="2841" width="18.5703125" style="89" customWidth="1"/>
    <col min="2842" max="2842" width="19.7109375" style="89" customWidth="1"/>
    <col min="2843" max="2843" width="14.85546875" style="89" customWidth="1"/>
    <col min="2844" max="2844" width="16.85546875" style="89" customWidth="1"/>
    <col min="2845" max="2847" width="11.42578125" style="89" customWidth="1"/>
    <col min="2848" max="2848" width="18.140625" style="89" customWidth="1"/>
    <col min="2849" max="2849" width="11.42578125" style="89" customWidth="1"/>
    <col min="2850" max="2850" width="12.5703125" style="89" customWidth="1"/>
    <col min="2851" max="2851" width="25" style="89" customWidth="1"/>
    <col min="2852" max="2852" width="16.5703125" style="89" bestFit="1" customWidth="1"/>
    <col min="2853" max="2853" width="24" style="89" customWidth="1"/>
    <col min="2854" max="2854" width="11.42578125" style="89" customWidth="1"/>
    <col min="2855" max="2855" width="20" style="89" customWidth="1"/>
    <col min="2856" max="2856" width="11.42578125" style="89" customWidth="1"/>
    <col min="2857" max="2857" width="19" style="89" customWidth="1"/>
    <col min="2858" max="2861" width="11.42578125" style="89" customWidth="1"/>
    <col min="2862" max="2862" width="15.140625" style="89" customWidth="1"/>
    <col min="2863" max="2863" width="14" style="89" customWidth="1"/>
    <col min="2864" max="2864" width="15.140625" style="89" customWidth="1"/>
    <col min="2865" max="2865" width="11.42578125" style="89" customWidth="1"/>
    <col min="2866" max="2866" width="51.7109375" style="89" customWidth="1"/>
    <col min="2867" max="2868" width="29.5703125" style="89" customWidth="1"/>
    <col min="2869" max="2869" width="44.42578125" style="89" customWidth="1"/>
    <col min="2870" max="2870" width="36.28515625" style="89" customWidth="1"/>
    <col min="2871" max="2871" width="27.42578125" style="89" bestFit="1" customWidth="1"/>
    <col min="2872" max="3092" width="11.42578125" style="89"/>
    <col min="3093" max="3093" width="15.5703125" style="89" bestFit="1" customWidth="1"/>
    <col min="3094" max="3094" width="33.7109375" style="89" customWidth="1"/>
    <col min="3095" max="3095" width="19" style="89" customWidth="1"/>
    <col min="3096" max="3096" width="19.85546875" style="89" customWidth="1"/>
    <col min="3097" max="3097" width="18.5703125" style="89" customWidth="1"/>
    <col min="3098" max="3098" width="19.7109375" style="89" customWidth="1"/>
    <col min="3099" max="3099" width="14.85546875" style="89" customWidth="1"/>
    <col min="3100" max="3100" width="16.85546875" style="89" customWidth="1"/>
    <col min="3101" max="3103" width="11.42578125" style="89" customWidth="1"/>
    <col min="3104" max="3104" width="18.140625" style="89" customWidth="1"/>
    <col min="3105" max="3105" width="11.42578125" style="89" customWidth="1"/>
    <col min="3106" max="3106" width="12.5703125" style="89" customWidth="1"/>
    <col min="3107" max="3107" width="25" style="89" customWidth="1"/>
    <col min="3108" max="3108" width="16.5703125" style="89" bestFit="1" customWidth="1"/>
    <col min="3109" max="3109" width="24" style="89" customWidth="1"/>
    <col min="3110" max="3110" width="11.42578125" style="89" customWidth="1"/>
    <col min="3111" max="3111" width="20" style="89" customWidth="1"/>
    <col min="3112" max="3112" width="11.42578125" style="89" customWidth="1"/>
    <col min="3113" max="3113" width="19" style="89" customWidth="1"/>
    <col min="3114" max="3117" width="11.42578125" style="89" customWidth="1"/>
    <col min="3118" max="3118" width="15.140625" style="89" customWidth="1"/>
    <col min="3119" max="3119" width="14" style="89" customWidth="1"/>
    <col min="3120" max="3120" width="15.140625" style="89" customWidth="1"/>
    <col min="3121" max="3121" width="11.42578125" style="89" customWidth="1"/>
    <col min="3122" max="3122" width="51.7109375" style="89" customWidth="1"/>
    <col min="3123" max="3124" width="29.5703125" style="89" customWidth="1"/>
    <col min="3125" max="3125" width="44.42578125" style="89" customWidth="1"/>
    <col min="3126" max="3126" width="36.28515625" style="89" customWidth="1"/>
    <col min="3127" max="3127" width="27.42578125" style="89" bestFit="1" customWidth="1"/>
    <col min="3128" max="3348" width="11.42578125" style="89"/>
    <col min="3349" max="3349" width="15.5703125" style="89" bestFit="1" customWidth="1"/>
    <col min="3350" max="3350" width="33.7109375" style="89" customWidth="1"/>
    <col min="3351" max="3351" width="19" style="89" customWidth="1"/>
    <col min="3352" max="3352" width="19.85546875" style="89" customWidth="1"/>
    <col min="3353" max="3353" width="18.5703125" style="89" customWidth="1"/>
    <col min="3354" max="3354" width="19.7109375" style="89" customWidth="1"/>
    <col min="3355" max="3355" width="14.85546875" style="89" customWidth="1"/>
    <col min="3356" max="3356" width="16.85546875" style="89" customWidth="1"/>
    <col min="3357" max="3359" width="11.42578125" style="89" customWidth="1"/>
    <col min="3360" max="3360" width="18.140625" style="89" customWidth="1"/>
    <col min="3361" max="3361" width="11.42578125" style="89" customWidth="1"/>
    <col min="3362" max="3362" width="12.5703125" style="89" customWidth="1"/>
    <col min="3363" max="3363" width="25" style="89" customWidth="1"/>
    <col min="3364" max="3364" width="16.5703125" style="89" bestFit="1" customWidth="1"/>
    <col min="3365" max="3365" width="24" style="89" customWidth="1"/>
    <col min="3366" max="3366" width="11.42578125" style="89" customWidth="1"/>
    <col min="3367" max="3367" width="20" style="89" customWidth="1"/>
    <col min="3368" max="3368" width="11.42578125" style="89" customWidth="1"/>
    <col min="3369" max="3369" width="19" style="89" customWidth="1"/>
    <col min="3370" max="3373" width="11.42578125" style="89" customWidth="1"/>
    <col min="3374" max="3374" width="15.140625" style="89" customWidth="1"/>
    <col min="3375" max="3375" width="14" style="89" customWidth="1"/>
    <col min="3376" max="3376" width="15.140625" style="89" customWidth="1"/>
    <col min="3377" max="3377" width="11.42578125" style="89" customWidth="1"/>
    <col min="3378" max="3378" width="51.7109375" style="89" customWidth="1"/>
    <col min="3379" max="3380" width="29.5703125" style="89" customWidth="1"/>
    <col min="3381" max="3381" width="44.42578125" style="89" customWidth="1"/>
    <col min="3382" max="3382" width="36.28515625" style="89" customWidth="1"/>
    <col min="3383" max="3383" width="27.42578125" style="89" bestFit="1" customWidth="1"/>
    <col min="3384" max="3604" width="11.42578125" style="89"/>
    <col min="3605" max="3605" width="15.5703125" style="89" bestFit="1" customWidth="1"/>
    <col min="3606" max="3606" width="33.7109375" style="89" customWidth="1"/>
    <col min="3607" max="3607" width="19" style="89" customWidth="1"/>
    <col min="3608" max="3608" width="19.85546875" style="89" customWidth="1"/>
    <col min="3609" max="3609" width="18.5703125" style="89" customWidth="1"/>
    <col min="3610" max="3610" width="19.7109375" style="89" customWidth="1"/>
    <col min="3611" max="3611" width="14.85546875" style="89" customWidth="1"/>
    <col min="3612" max="3612" width="16.85546875" style="89" customWidth="1"/>
    <col min="3613" max="3615" width="11.42578125" style="89" customWidth="1"/>
    <col min="3616" max="3616" width="18.140625" style="89" customWidth="1"/>
    <col min="3617" max="3617" width="11.42578125" style="89" customWidth="1"/>
    <col min="3618" max="3618" width="12.5703125" style="89" customWidth="1"/>
    <col min="3619" max="3619" width="25" style="89" customWidth="1"/>
    <col min="3620" max="3620" width="16.5703125" style="89" bestFit="1" customWidth="1"/>
    <col min="3621" max="3621" width="24" style="89" customWidth="1"/>
    <col min="3622" max="3622" width="11.42578125" style="89" customWidth="1"/>
    <col min="3623" max="3623" width="20" style="89" customWidth="1"/>
    <col min="3624" max="3624" width="11.42578125" style="89" customWidth="1"/>
    <col min="3625" max="3625" width="19" style="89" customWidth="1"/>
    <col min="3626" max="3629" width="11.42578125" style="89" customWidth="1"/>
    <col min="3630" max="3630" width="15.140625" style="89" customWidth="1"/>
    <col min="3631" max="3631" width="14" style="89" customWidth="1"/>
    <col min="3632" max="3632" width="15.140625" style="89" customWidth="1"/>
    <col min="3633" max="3633" width="11.42578125" style="89" customWidth="1"/>
    <col min="3634" max="3634" width="51.7109375" style="89" customWidth="1"/>
    <col min="3635" max="3636" width="29.5703125" style="89" customWidth="1"/>
    <col min="3637" max="3637" width="44.42578125" style="89" customWidth="1"/>
    <col min="3638" max="3638" width="36.28515625" style="89" customWidth="1"/>
    <col min="3639" max="3639" width="27.42578125" style="89" bestFit="1" customWidth="1"/>
    <col min="3640" max="3860" width="11.42578125" style="89"/>
    <col min="3861" max="3861" width="15.5703125" style="89" bestFit="1" customWidth="1"/>
    <col min="3862" max="3862" width="33.7109375" style="89" customWidth="1"/>
    <col min="3863" max="3863" width="19" style="89" customWidth="1"/>
    <col min="3864" max="3864" width="19.85546875" style="89" customWidth="1"/>
    <col min="3865" max="3865" width="18.5703125" style="89" customWidth="1"/>
    <col min="3866" max="3866" width="19.7109375" style="89" customWidth="1"/>
    <col min="3867" max="3867" width="14.85546875" style="89" customWidth="1"/>
    <col min="3868" max="3868" width="16.85546875" style="89" customWidth="1"/>
    <col min="3869" max="3871" width="11.42578125" style="89" customWidth="1"/>
    <col min="3872" max="3872" width="18.140625" style="89" customWidth="1"/>
    <col min="3873" max="3873" width="11.42578125" style="89" customWidth="1"/>
    <col min="3874" max="3874" width="12.5703125" style="89" customWidth="1"/>
    <col min="3875" max="3875" width="25" style="89" customWidth="1"/>
    <col min="3876" max="3876" width="16.5703125" style="89" bestFit="1" customWidth="1"/>
    <col min="3877" max="3877" width="24" style="89" customWidth="1"/>
    <col min="3878" max="3878" width="11.42578125" style="89" customWidth="1"/>
    <col min="3879" max="3879" width="20" style="89" customWidth="1"/>
    <col min="3880" max="3880" width="11.42578125" style="89" customWidth="1"/>
    <col min="3881" max="3881" width="19" style="89" customWidth="1"/>
    <col min="3882" max="3885" width="11.42578125" style="89" customWidth="1"/>
    <col min="3886" max="3886" width="15.140625" style="89" customWidth="1"/>
    <col min="3887" max="3887" width="14" style="89" customWidth="1"/>
    <col min="3888" max="3888" width="15.140625" style="89" customWidth="1"/>
    <col min="3889" max="3889" width="11.42578125" style="89" customWidth="1"/>
    <col min="3890" max="3890" width="51.7109375" style="89" customWidth="1"/>
    <col min="3891" max="3892" width="29.5703125" style="89" customWidth="1"/>
    <col min="3893" max="3893" width="44.42578125" style="89" customWidth="1"/>
    <col min="3894" max="3894" width="36.28515625" style="89" customWidth="1"/>
    <col min="3895" max="3895" width="27.42578125" style="89" bestFit="1" customWidth="1"/>
    <col min="3896" max="4116" width="11.42578125" style="89"/>
    <col min="4117" max="4117" width="15.5703125" style="89" bestFit="1" customWidth="1"/>
    <col min="4118" max="4118" width="33.7109375" style="89" customWidth="1"/>
    <col min="4119" max="4119" width="19" style="89" customWidth="1"/>
    <col min="4120" max="4120" width="19.85546875" style="89" customWidth="1"/>
    <col min="4121" max="4121" width="18.5703125" style="89" customWidth="1"/>
    <col min="4122" max="4122" width="19.7109375" style="89" customWidth="1"/>
    <col min="4123" max="4123" width="14.85546875" style="89" customWidth="1"/>
    <col min="4124" max="4124" width="16.85546875" style="89" customWidth="1"/>
    <col min="4125" max="4127" width="11.42578125" style="89" customWidth="1"/>
    <col min="4128" max="4128" width="18.140625" style="89" customWidth="1"/>
    <col min="4129" max="4129" width="11.42578125" style="89" customWidth="1"/>
    <col min="4130" max="4130" width="12.5703125" style="89" customWidth="1"/>
    <col min="4131" max="4131" width="25" style="89" customWidth="1"/>
    <col min="4132" max="4132" width="16.5703125" style="89" bestFit="1" customWidth="1"/>
    <col min="4133" max="4133" width="24" style="89" customWidth="1"/>
    <col min="4134" max="4134" width="11.42578125" style="89" customWidth="1"/>
    <col min="4135" max="4135" width="20" style="89" customWidth="1"/>
    <col min="4136" max="4136" width="11.42578125" style="89" customWidth="1"/>
    <col min="4137" max="4137" width="19" style="89" customWidth="1"/>
    <col min="4138" max="4141" width="11.42578125" style="89" customWidth="1"/>
    <col min="4142" max="4142" width="15.140625" style="89" customWidth="1"/>
    <col min="4143" max="4143" width="14" style="89" customWidth="1"/>
    <col min="4144" max="4144" width="15.140625" style="89" customWidth="1"/>
    <col min="4145" max="4145" width="11.42578125" style="89" customWidth="1"/>
    <col min="4146" max="4146" width="51.7109375" style="89" customWidth="1"/>
    <col min="4147" max="4148" width="29.5703125" style="89" customWidth="1"/>
    <col min="4149" max="4149" width="44.42578125" style="89" customWidth="1"/>
    <col min="4150" max="4150" width="36.28515625" style="89" customWidth="1"/>
    <col min="4151" max="4151" width="27.42578125" style="89" bestFit="1" customWidth="1"/>
    <col min="4152" max="4372" width="11.42578125" style="89"/>
    <col min="4373" max="4373" width="15.5703125" style="89" bestFit="1" customWidth="1"/>
    <col min="4374" max="4374" width="33.7109375" style="89" customWidth="1"/>
    <col min="4375" max="4375" width="19" style="89" customWidth="1"/>
    <col min="4376" max="4376" width="19.85546875" style="89" customWidth="1"/>
    <col min="4377" max="4377" width="18.5703125" style="89" customWidth="1"/>
    <col min="4378" max="4378" width="19.7109375" style="89" customWidth="1"/>
    <col min="4379" max="4379" width="14.85546875" style="89" customWidth="1"/>
    <col min="4380" max="4380" width="16.85546875" style="89" customWidth="1"/>
    <col min="4381" max="4383" width="11.42578125" style="89" customWidth="1"/>
    <col min="4384" max="4384" width="18.140625" style="89" customWidth="1"/>
    <col min="4385" max="4385" width="11.42578125" style="89" customWidth="1"/>
    <col min="4386" max="4386" width="12.5703125" style="89" customWidth="1"/>
    <col min="4387" max="4387" width="25" style="89" customWidth="1"/>
    <col min="4388" max="4388" width="16.5703125" style="89" bestFit="1" customWidth="1"/>
    <col min="4389" max="4389" width="24" style="89" customWidth="1"/>
    <col min="4390" max="4390" width="11.42578125" style="89" customWidth="1"/>
    <col min="4391" max="4391" width="20" style="89" customWidth="1"/>
    <col min="4392" max="4392" width="11.42578125" style="89" customWidth="1"/>
    <col min="4393" max="4393" width="19" style="89" customWidth="1"/>
    <col min="4394" max="4397" width="11.42578125" style="89" customWidth="1"/>
    <col min="4398" max="4398" width="15.140625" style="89" customWidth="1"/>
    <col min="4399" max="4399" width="14" style="89" customWidth="1"/>
    <col min="4400" max="4400" width="15.140625" style="89" customWidth="1"/>
    <col min="4401" max="4401" width="11.42578125" style="89" customWidth="1"/>
    <col min="4402" max="4402" width="51.7109375" style="89" customWidth="1"/>
    <col min="4403" max="4404" width="29.5703125" style="89" customWidth="1"/>
    <col min="4405" max="4405" width="44.42578125" style="89" customWidth="1"/>
    <col min="4406" max="4406" width="36.28515625" style="89" customWidth="1"/>
    <col min="4407" max="4407" width="27.42578125" style="89" bestFit="1" customWidth="1"/>
    <col min="4408" max="4628" width="11.42578125" style="89"/>
    <col min="4629" max="4629" width="15.5703125" style="89" bestFit="1" customWidth="1"/>
    <col min="4630" max="4630" width="33.7109375" style="89" customWidth="1"/>
    <col min="4631" max="4631" width="19" style="89" customWidth="1"/>
    <col min="4632" max="4632" width="19.85546875" style="89" customWidth="1"/>
    <col min="4633" max="4633" width="18.5703125" style="89" customWidth="1"/>
    <col min="4634" max="4634" width="19.7109375" style="89" customWidth="1"/>
    <col min="4635" max="4635" width="14.85546875" style="89" customWidth="1"/>
    <col min="4636" max="4636" width="16.85546875" style="89" customWidth="1"/>
    <col min="4637" max="4639" width="11.42578125" style="89" customWidth="1"/>
    <col min="4640" max="4640" width="18.140625" style="89" customWidth="1"/>
    <col min="4641" max="4641" width="11.42578125" style="89" customWidth="1"/>
    <col min="4642" max="4642" width="12.5703125" style="89" customWidth="1"/>
    <col min="4643" max="4643" width="25" style="89" customWidth="1"/>
    <col min="4644" max="4644" width="16.5703125" style="89" bestFit="1" customWidth="1"/>
    <col min="4645" max="4645" width="24" style="89" customWidth="1"/>
    <col min="4646" max="4646" width="11.42578125" style="89" customWidth="1"/>
    <col min="4647" max="4647" width="20" style="89" customWidth="1"/>
    <col min="4648" max="4648" width="11.42578125" style="89" customWidth="1"/>
    <col min="4649" max="4649" width="19" style="89" customWidth="1"/>
    <col min="4650" max="4653" width="11.42578125" style="89" customWidth="1"/>
    <col min="4654" max="4654" width="15.140625" style="89" customWidth="1"/>
    <col min="4655" max="4655" width="14" style="89" customWidth="1"/>
    <col min="4656" max="4656" width="15.140625" style="89" customWidth="1"/>
    <col min="4657" max="4657" width="11.42578125" style="89" customWidth="1"/>
    <col min="4658" max="4658" width="51.7109375" style="89" customWidth="1"/>
    <col min="4659" max="4660" width="29.5703125" style="89" customWidth="1"/>
    <col min="4661" max="4661" width="44.42578125" style="89" customWidth="1"/>
    <col min="4662" max="4662" width="36.28515625" style="89" customWidth="1"/>
    <col min="4663" max="4663" width="27.42578125" style="89" bestFit="1" customWidth="1"/>
    <col min="4664" max="4884" width="11.42578125" style="89"/>
    <col min="4885" max="4885" width="15.5703125" style="89" bestFit="1" customWidth="1"/>
    <col min="4886" max="4886" width="33.7109375" style="89" customWidth="1"/>
    <col min="4887" max="4887" width="19" style="89" customWidth="1"/>
    <col min="4888" max="4888" width="19.85546875" style="89" customWidth="1"/>
    <col min="4889" max="4889" width="18.5703125" style="89" customWidth="1"/>
    <col min="4890" max="4890" width="19.7109375" style="89" customWidth="1"/>
    <col min="4891" max="4891" width="14.85546875" style="89" customWidth="1"/>
    <col min="4892" max="4892" width="16.85546875" style="89" customWidth="1"/>
    <col min="4893" max="4895" width="11.42578125" style="89" customWidth="1"/>
    <col min="4896" max="4896" width="18.140625" style="89" customWidth="1"/>
    <col min="4897" max="4897" width="11.42578125" style="89" customWidth="1"/>
    <col min="4898" max="4898" width="12.5703125" style="89" customWidth="1"/>
    <col min="4899" max="4899" width="25" style="89" customWidth="1"/>
    <col min="4900" max="4900" width="16.5703125" style="89" bestFit="1" customWidth="1"/>
    <col min="4901" max="4901" width="24" style="89" customWidth="1"/>
    <col min="4902" max="4902" width="11.42578125" style="89" customWidth="1"/>
    <col min="4903" max="4903" width="20" style="89" customWidth="1"/>
    <col min="4904" max="4904" width="11.42578125" style="89" customWidth="1"/>
    <col min="4905" max="4905" width="19" style="89" customWidth="1"/>
    <col min="4906" max="4909" width="11.42578125" style="89" customWidth="1"/>
    <col min="4910" max="4910" width="15.140625" style="89" customWidth="1"/>
    <col min="4911" max="4911" width="14" style="89" customWidth="1"/>
    <col min="4912" max="4912" width="15.140625" style="89" customWidth="1"/>
    <col min="4913" max="4913" width="11.42578125" style="89" customWidth="1"/>
    <col min="4914" max="4914" width="51.7109375" style="89" customWidth="1"/>
    <col min="4915" max="4916" width="29.5703125" style="89" customWidth="1"/>
    <col min="4917" max="4917" width="44.42578125" style="89" customWidth="1"/>
    <col min="4918" max="4918" width="36.28515625" style="89" customWidth="1"/>
    <col min="4919" max="4919" width="27.42578125" style="89" bestFit="1" customWidth="1"/>
    <col min="4920" max="5140" width="11.42578125" style="89"/>
    <col min="5141" max="5141" width="15.5703125" style="89" bestFit="1" customWidth="1"/>
    <col min="5142" max="5142" width="33.7109375" style="89" customWidth="1"/>
    <col min="5143" max="5143" width="19" style="89" customWidth="1"/>
    <col min="5144" max="5144" width="19.85546875" style="89" customWidth="1"/>
    <col min="5145" max="5145" width="18.5703125" style="89" customWidth="1"/>
    <col min="5146" max="5146" width="19.7109375" style="89" customWidth="1"/>
    <col min="5147" max="5147" width="14.85546875" style="89" customWidth="1"/>
    <col min="5148" max="5148" width="16.85546875" style="89" customWidth="1"/>
    <col min="5149" max="5151" width="11.42578125" style="89" customWidth="1"/>
    <col min="5152" max="5152" width="18.140625" style="89" customWidth="1"/>
    <col min="5153" max="5153" width="11.42578125" style="89" customWidth="1"/>
    <col min="5154" max="5154" width="12.5703125" style="89" customWidth="1"/>
    <col min="5155" max="5155" width="25" style="89" customWidth="1"/>
    <col min="5156" max="5156" width="16.5703125" style="89" bestFit="1" customWidth="1"/>
    <col min="5157" max="5157" width="24" style="89" customWidth="1"/>
    <col min="5158" max="5158" width="11.42578125" style="89" customWidth="1"/>
    <col min="5159" max="5159" width="20" style="89" customWidth="1"/>
    <col min="5160" max="5160" width="11.42578125" style="89" customWidth="1"/>
    <col min="5161" max="5161" width="19" style="89" customWidth="1"/>
    <col min="5162" max="5165" width="11.42578125" style="89" customWidth="1"/>
    <col min="5166" max="5166" width="15.140625" style="89" customWidth="1"/>
    <col min="5167" max="5167" width="14" style="89" customWidth="1"/>
    <col min="5168" max="5168" width="15.140625" style="89" customWidth="1"/>
    <col min="5169" max="5169" width="11.42578125" style="89" customWidth="1"/>
    <col min="5170" max="5170" width="51.7109375" style="89" customWidth="1"/>
    <col min="5171" max="5172" width="29.5703125" style="89" customWidth="1"/>
    <col min="5173" max="5173" width="44.42578125" style="89" customWidth="1"/>
    <col min="5174" max="5174" width="36.28515625" style="89" customWidth="1"/>
    <col min="5175" max="5175" width="27.42578125" style="89" bestFit="1" customWidth="1"/>
    <col min="5176" max="5396" width="11.42578125" style="89"/>
    <col min="5397" max="5397" width="15.5703125" style="89" bestFit="1" customWidth="1"/>
    <col min="5398" max="5398" width="33.7109375" style="89" customWidth="1"/>
    <col min="5399" max="5399" width="19" style="89" customWidth="1"/>
    <col min="5400" max="5400" width="19.85546875" style="89" customWidth="1"/>
    <col min="5401" max="5401" width="18.5703125" style="89" customWidth="1"/>
    <col min="5402" max="5402" width="19.7109375" style="89" customWidth="1"/>
    <col min="5403" max="5403" width="14.85546875" style="89" customWidth="1"/>
    <col min="5404" max="5404" width="16.85546875" style="89" customWidth="1"/>
    <col min="5405" max="5407" width="11.42578125" style="89" customWidth="1"/>
    <col min="5408" max="5408" width="18.140625" style="89" customWidth="1"/>
    <col min="5409" max="5409" width="11.42578125" style="89" customWidth="1"/>
    <col min="5410" max="5410" width="12.5703125" style="89" customWidth="1"/>
    <col min="5411" max="5411" width="25" style="89" customWidth="1"/>
    <col min="5412" max="5412" width="16.5703125" style="89" bestFit="1" customWidth="1"/>
    <col min="5413" max="5413" width="24" style="89" customWidth="1"/>
    <col min="5414" max="5414" width="11.42578125" style="89" customWidth="1"/>
    <col min="5415" max="5415" width="20" style="89" customWidth="1"/>
    <col min="5416" max="5416" width="11.42578125" style="89" customWidth="1"/>
    <col min="5417" max="5417" width="19" style="89" customWidth="1"/>
    <col min="5418" max="5421" width="11.42578125" style="89" customWidth="1"/>
    <col min="5422" max="5422" width="15.140625" style="89" customWidth="1"/>
    <col min="5423" max="5423" width="14" style="89" customWidth="1"/>
    <col min="5424" max="5424" width="15.140625" style="89" customWidth="1"/>
    <col min="5425" max="5425" width="11.42578125" style="89" customWidth="1"/>
    <col min="5426" max="5426" width="51.7109375" style="89" customWidth="1"/>
    <col min="5427" max="5428" width="29.5703125" style="89" customWidth="1"/>
    <col min="5429" max="5429" width="44.42578125" style="89" customWidth="1"/>
    <col min="5430" max="5430" width="36.28515625" style="89" customWidth="1"/>
    <col min="5431" max="5431" width="27.42578125" style="89" bestFit="1" customWidth="1"/>
    <col min="5432" max="5652" width="11.42578125" style="89"/>
    <col min="5653" max="5653" width="15.5703125" style="89" bestFit="1" customWidth="1"/>
    <col min="5654" max="5654" width="33.7109375" style="89" customWidth="1"/>
    <col min="5655" max="5655" width="19" style="89" customWidth="1"/>
    <col min="5656" max="5656" width="19.85546875" style="89" customWidth="1"/>
    <col min="5657" max="5657" width="18.5703125" style="89" customWidth="1"/>
    <col min="5658" max="5658" width="19.7109375" style="89" customWidth="1"/>
    <col min="5659" max="5659" width="14.85546875" style="89" customWidth="1"/>
    <col min="5660" max="5660" width="16.85546875" style="89" customWidth="1"/>
    <col min="5661" max="5663" width="11.42578125" style="89" customWidth="1"/>
    <col min="5664" max="5664" width="18.140625" style="89" customWidth="1"/>
    <col min="5665" max="5665" width="11.42578125" style="89" customWidth="1"/>
    <col min="5666" max="5666" width="12.5703125" style="89" customWidth="1"/>
    <col min="5667" max="5667" width="25" style="89" customWidth="1"/>
    <col min="5668" max="5668" width="16.5703125" style="89" bestFit="1" customWidth="1"/>
    <col min="5669" max="5669" width="24" style="89" customWidth="1"/>
    <col min="5670" max="5670" width="11.42578125" style="89" customWidth="1"/>
    <col min="5671" max="5671" width="20" style="89" customWidth="1"/>
    <col min="5672" max="5672" width="11.42578125" style="89" customWidth="1"/>
    <col min="5673" max="5673" width="19" style="89" customWidth="1"/>
    <col min="5674" max="5677" width="11.42578125" style="89" customWidth="1"/>
    <col min="5678" max="5678" width="15.140625" style="89" customWidth="1"/>
    <col min="5679" max="5679" width="14" style="89" customWidth="1"/>
    <col min="5680" max="5680" width="15.140625" style="89" customWidth="1"/>
    <col min="5681" max="5681" width="11.42578125" style="89" customWidth="1"/>
    <col min="5682" max="5682" width="51.7109375" style="89" customWidth="1"/>
    <col min="5683" max="5684" width="29.5703125" style="89" customWidth="1"/>
    <col min="5685" max="5685" width="44.42578125" style="89" customWidth="1"/>
    <col min="5686" max="5686" width="36.28515625" style="89" customWidth="1"/>
    <col min="5687" max="5687" width="27.42578125" style="89" bestFit="1" customWidth="1"/>
    <col min="5688" max="5908" width="11.42578125" style="89"/>
    <col min="5909" max="5909" width="15.5703125" style="89" bestFit="1" customWidth="1"/>
    <col min="5910" max="5910" width="33.7109375" style="89" customWidth="1"/>
    <col min="5911" max="5911" width="19" style="89" customWidth="1"/>
    <col min="5912" max="5912" width="19.85546875" style="89" customWidth="1"/>
    <col min="5913" max="5913" width="18.5703125" style="89" customWidth="1"/>
    <col min="5914" max="5914" width="19.7109375" style="89" customWidth="1"/>
    <col min="5915" max="5915" width="14.85546875" style="89" customWidth="1"/>
    <col min="5916" max="5916" width="16.85546875" style="89" customWidth="1"/>
    <col min="5917" max="5919" width="11.42578125" style="89" customWidth="1"/>
    <col min="5920" max="5920" width="18.140625" style="89" customWidth="1"/>
    <col min="5921" max="5921" width="11.42578125" style="89" customWidth="1"/>
    <col min="5922" max="5922" width="12.5703125" style="89" customWidth="1"/>
    <col min="5923" max="5923" width="25" style="89" customWidth="1"/>
    <col min="5924" max="5924" width="16.5703125" style="89" bestFit="1" customWidth="1"/>
    <col min="5925" max="5925" width="24" style="89" customWidth="1"/>
    <col min="5926" max="5926" width="11.42578125" style="89" customWidth="1"/>
    <col min="5927" max="5927" width="20" style="89" customWidth="1"/>
    <col min="5928" max="5928" width="11.42578125" style="89" customWidth="1"/>
    <col min="5929" max="5929" width="19" style="89" customWidth="1"/>
    <col min="5930" max="5933" width="11.42578125" style="89" customWidth="1"/>
    <col min="5934" max="5934" width="15.140625" style="89" customWidth="1"/>
    <col min="5935" max="5935" width="14" style="89" customWidth="1"/>
    <col min="5936" max="5936" width="15.140625" style="89" customWidth="1"/>
    <col min="5937" max="5937" width="11.42578125" style="89" customWidth="1"/>
    <col min="5938" max="5938" width="51.7109375" style="89" customWidth="1"/>
    <col min="5939" max="5940" width="29.5703125" style="89" customWidth="1"/>
    <col min="5941" max="5941" width="44.42578125" style="89" customWidth="1"/>
    <col min="5942" max="5942" width="36.28515625" style="89" customWidth="1"/>
    <col min="5943" max="5943" width="27.42578125" style="89" bestFit="1" customWidth="1"/>
    <col min="5944" max="6164" width="11.42578125" style="89"/>
    <col min="6165" max="6165" width="15.5703125" style="89" bestFit="1" customWidth="1"/>
    <col min="6166" max="6166" width="33.7109375" style="89" customWidth="1"/>
    <col min="6167" max="6167" width="19" style="89" customWidth="1"/>
    <col min="6168" max="6168" width="19.85546875" style="89" customWidth="1"/>
    <col min="6169" max="6169" width="18.5703125" style="89" customWidth="1"/>
    <col min="6170" max="6170" width="19.7109375" style="89" customWidth="1"/>
    <col min="6171" max="6171" width="14.85546875" style="89" customWidth="1"/>
    <col min="6172" max="6172" width="16.85546875" style="89" customWidth="1"/>
    <col min="6173" max="6175" width="11.42578125" style="89" customWidth="1"/>
    <col min="6176" max="6176" width="18.140625" style="89" customWidth="1"/>
    <col min="6177" max="6177" width="11.42578125" style="89" customWidth="1"/>
    <col min="6178" max="6178" width="12.5703125" style="89" customWidth="1"/>
    <col min="6179" max="6179" width="25" style="89" customWidth="1"/>
    <col min="6180" max="6180" width="16.5703125" style="89" bestFit="1" customWidth="1"/>
    <col min="6181" max="6181" width="24" style="89" customWidth="1"/>
    <col min="6182" max="6182" width="11.42578125" style="89" customWidth="1"/>
    <col min="6183" max="6183" width="20" style="89" customWidth="1"/>
    <col min="6184" max="6184" width="11.42578125" style="89" customWidth="1"/>
    <col min="6185" max="6185" width="19" style="89" customWidth="1"/>
    <col min="6186" max="6189" width="11.42578125" style="89" customWidth="1"/>
    <col min="6190" max="6190" width="15.140625" style="89" customWidth="1"/>
    <col min="6191" max="6191" width="14" style="89" customWidth="1"/>
    <col min="6192" max="6192" width="15.140625" style="89" customWidth="1"/>
    <col min="6193" max="6193" width="11.42578125" style="89" customWidth="1"/>
    <col min="6194" max="6194" width="51.7109375" style="89" customWidth="1"/>
    <col min="6195" max="6196" width="29.5703125" style="89" customWidth="1"/>
    <col min="6197" max="6197" width="44.42578125" style="89" customWidth="1"/>
    <col min="6198" max="6198" width="36.28515625" style="89" customWidth="1"/>
    <col min="6199" max="6199" width="27.42578125" style="89" bestFit="1" customWidth="1"/>
    <col min="6200" max="6420" width="11.42578125" style="89"/>
    <col min="6421" max="6421" width="15.5703125" style="89" bestFit="1" customWidth="1"/>
    <col min="6422" max="6422" width="33.7109375" style="89" customWidth="1"/>
    <col min="6423" max="6423" width="19" style="89" customWidth="1"/>
    <col min="6424" max="6424" width="19.85546875" style="89" customWidth="1"/>
    <col min="6425" max="6425" width="18.5703125" style="89" customWidth="1"/>
    <col min="6426" max="6426" width="19.7109375" style="89" customWidth="1"/>
    <col min="6427" max="6427" width="14.85546875" style="89" customWidth="1"/>
    <col min="6428" max="6428" width="16.85546875" style="89" customWidth="1"/>
    <col min="6429" max="6431" width="11.42578125" style="89" customWidth="1"/>
    <col min="6432" max="6432" width="18.140625" style="89" customWidth="1"/>
    <col min="6433" max="6433" width="11.42578125" style="89" customWidth="1"/>
    <col min="6434" max="6434" width="12.5703125" style="89" customWidth="1"/>
    <col min="6435" max="6435" width="25" style="89" customWidth="1"/>
    <col min="6436" max="6436" width="16.5703125" style="89" bestFit="1" customWidth="1"/>
    <col min="6437" max="6437" width="24" style="89" customWidth="1"/>
    <col min="6438" max="6438" width="11.42578125" style="89" customWidth="1"/>
    <col min="6439" max="6439" width="20" style="89" customWidth="1"/>
    <col min="6440" max="6440" width="11.42578125" style="89" customWidth="1"/>
    <col min="6441" max="6441" width="19" style="89" customWidth="1"/>
    <col min="6442" max="6445" width="11.42578125" style="89" customWidth="1"/>
    <col min="6446" max="6446" width="15.140625" style="89" customWidth="1"/>
    <col min="6447" max="6447" width="14" style="89" customWidth="1"/>
    <col min="6448" max="6448" width="15.140625" style="89" customWidth="1"/>
    <col min="6449" max="6449" width="11.42578125" style="89" customWidth="1"/>
    <col min="6450" max="6450" width="51.7109375" style="89" customWidth="1"/>
    <col min="6451" max="6452" width="29.5703125" style="89" customWidth="1"/>
    <col min="6453" max="6453" width="44.42578125" style="89" customWidth="1"/>
    <col min="6454" max="6454" width="36.28515625" style="89" customWidth="1"/>
    <col min="6455" max="6455" width="27.42578125" style="89" bestFit="1" customWidth="1"/>
    <col min="6456" max="6676" width="11.42578125" style="89"/>
    <col min="6677" max="6677" width="15.5703125" style="89" bestFit="1" customWidth="1"/>
    <col min="6678" max="6678" width="33.7109375" style="89" customWidth="1"/>
    <col min="6679" max="6679" width="19" style="89" customWidth="1"/>
    <col min="6680" max="6680" width="19.85546875" style="89" customWidth="1"/>
    <col min="6681" max="6681" width="18.5703125" style="89" customWidth="1"/>
    <col min="6682" max="6682" width="19.7109375" style="89" customWidth="1"/>
    <col min="6683" max="6683" width="14.85546875" style="89" customWidth="1"/>
    <col min="6684" max="6684" width="16.85546875" style="89" customWidth="1"/>
    <col min="6685" max="6687" width="11.42578125" style="89" customWidth="1"/>
    <col min="6688" max="6688" width="18.140625" style="89" customWidth="1"/>
    <col min="6689" max="6689" width="11.42578125" style="89" customWidth="1"/>
    <col min="6690" max="6690" width="12.5703125" style="89" customWidth="1"/>
    <col min="6691" max="6691" width="25" style="89" customWidth="1"/>
    <col min="6692" max="6692" width="16.5703125" style="89" bestFit="1" customWidth="1"/>
    <col min="6693" max="6693" width="24" style="89" customWidth="1"/>
    <col min="6694" max="6694" width="11.42578125" style="89" customWidth="1"/>
    <col min="6695" max="6695" width="20" style="89" customWidth="1"/>
    <col min="6696" max="6696" width="11.42578125" style="89" customWidth="1"/>
    <col min="6697" max="6697" width="19" style="89" customWidth="1"/>
    <col min="6698" max="6701" width="11.42578125" style="89" customWidth="1"/>
    <col min="6702" max="6702" width="15.140625" style="89" customWidth="1"/>
    <col min="6703" max="6703" width="14" style="89" customWidth="1"/>
    <col min="6704" max="6704" width="15.140625" style="89" customWidth="1"/>
    <col min="6705" max="6705" width="11.42578125" style="89" customWidth="1"/>
    <col min="6706" max="6706" width="51.7109375" style="89" customWidth="1"/>
    <col min="6707" max="6708" width="29.5703125" style="89" customWidth="1"/>
    <col min="6709" max="6709" width="44.42578125" style="89" customWidth="1"/>
    <col min="6710" max="6710" width="36.28515625" style="89" customWidth="1"/>
    <col min="6711" max="6711" width="27.42578125" style="89" bestFit="1" customWidth="1"/>
    <col min="6712" max="6932" width="11.42578125" style="89"/>
    <col min="6933" max="6933" width="15.5703125" style="89" bestFit="1" customWidth="1"/>
    <col min="6934" max="6934" width="33.7109375" style="89" customWidth="1"/>
    <col min="6935" max="6935" width="19" style="89" customWidth="1"/>
    <col min="6936" max="6936" width="19.85546875" style="89" customWidth="1"/>
    <col min="6937" max="6937" width="18.5703125" style="89" customWidth="1"/>
    <col min="6938" max="6938" width="19.7109375" style="89" customWidth="1"/>
    <col min="6939" max="6939" width="14.85546875" style="89" customWidth="1"/>
    <col min="6940" max="6940" width="16.85546875" style="89" customWidth="1"/>
    <col min="6941" max="6943" width="11.42578125" style="89" customWidth="1"/>
    <col min="6944" max="6944" width="18.140625" style="89" customWidth="1"/>
    <col min="6945" max="6945" width="11.42578125" style="89" customWidth="1"/>
    <col min="6946" max="6946" width="12.5703125" style="89" customWidth="1"/>
    <col min="6947" max="6947" width="25" style="89" customWidth="1"/>
    <col min="6948" max="6948" width="16.5703125" style="89" bestFit="1" customWidth="1"/>
    <col min="6949" max="6949" width="24" style="89" customWidth="1"/>
    <col min="6950" max="6950" width="11.42578125" style="89" customWidth="1"/>
    <col min="6951" max="6951" width="20" style="89" customWidth="1"/>
    <col min="6952" max="6952" width="11.42578125" style="89" customWidth="1"/>
    <col min="6953" max="6953" width="19" style="89" customWidth="1"/>
    <col min="6954" max="6957" width="11.42578125" style="89" customWidth="1"/>
    <col min="6958" max="6958" width="15.140625" style="89" customWidth="1"/>
    <col min="6959" max="6959" width="14" style="89" customWidth="1"/>
    <col min="6960" max="6960" width="15.140625" style="89" customWidth="1"/>
    <col min="6961" max="6961" width="11.42578125" style="89" customWidth="1"/>
    <col min="6962" max="6962" width="51.7109375" style="89" customWidth="1"/>
    <col min="6963" max="6964" width="29.5703125" style="89" customWidth="1"/>
    <col min="6965" max="6965" width="44.42578125" style="89" customWidth="1"/>
    <col min="6966" max="6966" width="36.28515625" style="89" customWidth="1"/>
    <col min="6967" max="6967" width="27.42578125" style="89" bestFit="1" customWidth="1"/>
    <col min="6968" max="7188" width="11.42578125" style="89"/>
    <col min="7189" max="7189" width="15.5703125" style="89" bestFit="1" customWidth="1"/>
    <col min="7190" max="7190" width="33.7109375" style="89" customWidth="1"/>
    <col min="7191" max="7191" width="19" style="89" customWidth="1"/>
    <col min="7192" max="7192" width="19.85546875" style="89" customWidth="1"/>
    <col min="7193" max="7193" width="18.5703125" style="89" customWidth="1"/>
    <col min="7194" max="7194" width="19.7109375" style="89" customWidth="1"/>
    <col min="7195" max="7195" width="14.85546875" style="89" customWidth="1"/>
    <col min="7196" max="7196" width="16.85546875" style="89" customWidth="1"/>
    <col min="7197" max="7199" width="11.42578125" style="89" customWidth="1"/>
    <col min="7200" max="7200" width="18.140625" style="89" customWidth="1"/>
    <col min="7201" max="7201" width="11.42578125" style="89" customWidth="1"/>
    <col min="7202" max="7202" width="12.5703125" style="89" customWidth="1"/>
    <col min="7203" max="7203" width="25" style="89" customWidth="1"/>
    <col min="7204" max="7204" width="16.5703125" style="89" bestFit="1" customWidth="1"/>
    <col min="7205" max="7205" width="24" style="89" customWidth="1"/>
    <col min="7206" max="7206" width="11.42578125" style="89" customWidth="1"/>
    <col min="7207" max="7207" width="20" style="89" customWidth="1"/>
    <col min="7208" max="7208" width="11.42578125" style="89" customWidth="1"/>
    <col min="7209" max="7209" width="19" style="89" customWidth="1"/>
    <col min="7210" max="7213" width="11.42578125" style="89" customWidth="1"/>
    <col min="7214" max="7214" width="15.140625" style="89" customWidth="1"/>
    <col min="7215" max="7215" width="14" style="89" customWidth="1"/>
    <col min="7216" max="7216" width="15.140625" style="89" customWidth="1"/>
    <col min="7217" max="7217" width="11.42578125" style="89" customWidth="1"/>
    <col min="7218" max="7218" width="51.7109375" style="89" customWidth="1"/>
    <col min="7219" max="7220" width="29.5703125" style="89" customWidth="1"/>
    <col min="7221" max="7221" width="44.42578125" style="89" customWidth="1"/>
    <col min="7222" max="7222" width="36.28515625" style="89" customWidth="1"/>
    <col min="7223" max="7223" width="27.42578125" style="89" bestFit="1" customWidth="1"/>
    <col min="7224" max="7444" width="11.42578125" style="89"/>
    <col min="7445" max="7445" width="15.5703125" style="89" bestFit="1" customWidth="1"/>
    <col min="7446" max="7446" width="33.7109375" style="89" customWidth="1"/>
    <col min="7447" max="7447" width="19" style="89" customWidth="1"/>
    <col min="7448" max="7448" width="19.85546875" style="89" customWidth="1"/>
    <col min="7449" max="7449" width="18.5703125" style="89" customWidth="1"/>
    <col min="7450" max="7450" width="19.7109375" style="89" customWidth="1"/>
    <col min="7451" max="7451" width="14.85546875" style="89" customWidth="1"/>
    <col min="7452" max="7452" width="16.85546875" style="89" customWidth="1"/>
    <col min="7453" max="7455" width="11.42578125" style="89" customWidth="1"/>
    <col min="7456" max="7456" width="18.140625" style="89" customWidth="1"/>
    <col min="7457" max="7457" width="11.42578125" style="89" customWidth="1"/>
    <col min="7458" max="7458" width="12.5703125" style="89" customWidth="1"/>
    <col min="7459" max="7459" width="25" style="89" customWidth="1"/>
    <col min="7460" max="7460" width="16.5703125" style="89" bestFit="1" customWidth="1"/>
    <col min="7461" max="7461" width="24" style="89" customWidth="1"/>
    <col min="7462" max="7462" width="11.42578125" style="89" customWidth="1"/>
    <col min="7463" max="7463" width="20" style="89" customWidth="1"/>
    <col min="7464" max="7464" width="11.42578125" style="89" customWidth="1"/>
    <col min="7465" max="7465" width="19" style="89" customWidth="1"/>
    <col min="7466" max="7469" width="11.42578125" style="89" customWidth="1"/>
    <col min="7470" max="7470" width="15.140625" style="89" customWidth="1"/>
    <col min="7471" max="7471" width="14" style="89" customWidth="1"/>
    <col min="7472" max="7472" width="15.140625" style="89" customWidth="1"/>
    <col min="7473" max="7473" width="11.42578125" style="89" customWidth="1"/>
    <col min="7474" max="7474" width="51.7109375" style="89" customWidth="1"/>
    <col min="7475" max="7476" width="29.5703125" style="89" customWidth="1"/>
    <col min="7477" max="7477" width="44.42578125" style="89" customWidth="1"/>
    <col min="7478" max="7478" width="36.28515625" style="89" customWidth="1"/>
    <col min="7479" max="7479" width="27.42578125" style="89" bestFit="1" customWidth="1"/>
    <col min="7480" max="7700" width="11.42578125" style="89"/>
    <col min="7701" max="7701" width="15.5703125" style="89" bestFit="1" customWidth="1"/>
    <col min="7702" max="7702" width="33.7109375" style="89" customWidth="1"/>
    <col min="7703" max="7703" width="19" style="89" customWidth="1"/>
    <col min="7704" max="7704" width="19.85546875" style="89" customWidth="1"/>
    <col min="7705" max="7705" width="18.5703125" style="89" customWidth="1"/>
    <col min="7706" max="7706" width="19.7109375" style="89" customWidth="1"/>
    <col min="7707" max="7707" width="14.85546875" style="89" customWidth="1"/>
    <col min="7708" max="7708" width="16.85546875" style="89" customWidth="1"/>
    <col min="7709" max="7711" width="11.42578125" style="89" customWidth="1"/>
    <col min="7712" max="7712" width="18.140625" style="89" customWidth="1"/>
    <col min="7713" max="7713" width="11.42578125" style="89" customWidth="1"/>
    <col min="7714" max="7714" width="12.5703125" style="89" customWidth="1"/>
    <col min="7715" max="7715" width="25" style="89" customWidth="1"/>
    <col min="7716" max="7716" width="16.5703125" style="89" bestFit="1" customWidth="1"/>
    <col min="7717" max="7717" width="24" style="89" customWidth="1"/>
    <col min="7718" max="7718" width="11.42578125" style="89" customWidth="1"/>
    <col min="7719" max="7719" width="20" style="89" customWidth="1"/>
    <col min="7720" max="7720" width="11.42578125" style="89" customWidth="1"/>
    <col min="7721" max="7721" width="19" style="89" customWidth="1"/>
    <col min="7722" max="7725" width="11.42578125" style="89" customWidth="1"/>
    <col min="7726" max="7726" width="15.140625" style="89" customWidth="1"/>
    <col min="7727" max="7727" width="14" style="89" customWidth="1"/>
    <col min="7728" max="7728" width="15.140625" style="89" customWidth="1"/>
    <col min="7729" max="7729" width="11.42578125" style="89" customWidth="1"/>
    <col min="7730" max="7730" width="51.7109375" style="89" customWidth="1"/>
    <col min="7731" max="7732" width="29.5703125" style="89" customWidth="1"/>
    <col min="7733" max="7733" width="44.42578125" style="89" customWidth="1"/>
    <col min="7734" max="7734" width="36.28515625" style="89" customWidth="1"/>
    <col min="7735" max="7735" width="27.42578125" style="89" bestFit="1" customWidth="1"/>
    <col min="7736" max="7956" width="11.42578125" style="89"/>
    <col min="7957" max="7957" width="15.5703125" style="89" bestFit="1" customWidth="1"/>
    <col min="7958" max="7958" width="33.7109375" style="89" customWidth="1"/>
    <col min="7959" max="7959" width="19" style="89" customWidth="1"/>
    <col min="7960" max="7960" width="19.85546875" style="89" customWidth="1"/>
    <col min="7961" max="7961" width="18.5703125" style="89" customWidth="1"/>
    <col min="7962" max="7962" width="19.7109375" style="89" customWidth="1"/>
    <col min="7963" max="7963" width="14.85546875" style="89" customWidth="1"/>
    <col min="7964" max="7964" width="16.85546875" style="89" customWidth="1"/>
    <col min="7965" max="7967" width="11.42578125" style="89" customWidth="1"/>
    <col min="7968" max="7968" width="18.140625" style="89" customWidth="1"/>
    <col min="7969" max="7969" width="11.42578125" style="89" customWidth="1"/>
    <col min="7970" max="7970" width="12.5703125" style="89" customWidth="1"/>
    <col min="7971" max="7971" width="25" style="89" customWidth="1"/>
    <col min="7972" max="7972" width="16.5703125" style="89" bestFit="1" customWidth="1"/>
    <col min="7973" max="7973" width="24" style="89" customWidth="1"/>
    <col min="7974" max="7974" width="11.42578125" style="89" customWidth="1"/>
    <col min="7975" max="7975" width="20" style="89" customWidth="1"/>
    <col min="7976" max="7976" width="11.42578125" style="89" customWidth="1"/>
    <col min="7977" max="7977" width="19" style="89" customWidth="1"/>
    <col min="7978" max="7981" width="11.42578125" style="89" customWidth="1"/>
    <col min="7982" max="7982" width="15.140625" style="89" customWidth="1"/>
    <col min="7983" max="7983" width="14" style="89" customWidth="1"/>
    <col min="7984" max="7984" width="15.140625" style="89" customWidth="1"/>
    <col min="7985" max="7985" width="11.42578125" style="89" customWidth="1"/>
    <col min="7986" max="7986" width="51.7109375" style="89" customWidth="1"/>
    <col min="7987" max="7988" width="29.5703125" style="89" customWidth="1"/>
    <col min="7989" max="7989" width="44.42578125" style="89" customWidth="1"/>
    <col min="7990" max="7990" width="36.28515625" style="89" customWidth="1"/>
    <col min="7991" max="7991" width="27.42578125" style="89" bestFit="1" customWidth="1"/>
    <col min="7992" max="8212" width="11.42578125" style="89"/>
    <col min="8213" max="8213" width="15.5703125" style="89" bestFit="1" customWidth="1"/>
    <col min="8214" max="8214" width="33.7109375" style="89" customWidth="1"/>
    <col min="8215" max="8215" width="19" style="89" customWidth="1"/>
    <col min="8216" max="8216" width="19.85546875" style="89" customWidth="1"/>
    <col min="8217" max="8217" width="18.5703125" style="89" customWidth="1"/>
    <col min="8218" max="8218" width="19.7109375" style="89" customWidth="1"/>
    <col min="8219" max="8219" width="14.85546875" style="89" customWidth="1"/>
    <col min="8220" max="8220" width="16.85546875" style="89" customWidth="1"/>
    <col min="8221" max="8223" width="11.42578125" style="89" customWidth="1"/>
    <col min="8224" max="8224" width="18.140625" style="89" customWidth="1"/>
    <col min="8225" max="8225" width="11.42578125" style="89" customWidth="1"/>
    <col min="8226" max="8226" width="12.5703125" style="89" customWidth="1"/>
    <col min="8227" max="8227" width="25" style="89" customWidth="1"/>
    <col min="8228" max="8228" width="16.5703125" style="89" bestFit="1" customWidth="1"/>
    <col min="8229" max="8229" width="24" style="89" customWidth="1"/>
    <col min="8230" max="8230" width="11.42578125" style="89" customWidth="1"/>
    <col min="8231" max="8231" width="20" style="89" customWidth="1"/>
    <col min="8232" max="8232" width="11.42578125" style="89" customWidth="1"/>
    <col min="8233" max="8233" width="19" style="89" customWidth="1"/>
    <col min="8234" max="8237" width="11.42578125" style="89" customWidth="1"/>
    <col min="8238" max="8238" width="15.140625" style="89" customWidth="1"/>
    <col min="8239" max="8239" width="14" style="89" customWidth="1"/>
    <col min="8240" max="8240" width="15.140625" style="89" customWidth="1"/>
    <col min="8241" max="8241" width="11.42578125" style="89" customWidth="1"/>
    <col min="8242" max="8242" width="51.7109375" style="89" customWidth="1"/>
    <col min="8243" max="8244" width="29.5703125" style="89" customWidth="1"/>
    <col min="8245" max="8245" width="44.42578125" style="89" customWidth="1"/>
    <col min="8246" max="8246" width="36.28515625" style="89" customWidth="1"/>
    <col min="8247" max="8247" width="27.42578125" style="89" bestFit="1" customWidth="1"/>
    <col min="8248" max="8468" width="11.42578125" style="89"/>
    <col min="8469" max="8469" width="15.5703125" style="89" bestFit="1" customWidth="1"/>
    <col min="8470" max="8470" width="33.7109375" style="89" customWidth="1"/>
    <col min="8471" max="8471" width="19" style="89" customWidth="1"/>
    <col min="8472" max="8472" width="19.85546875" style="89" customWidth="1"/>
    <col min="8473" max="8473" width="18.5703125" style="89" customWidth="1"/>
    <col min="8474" max="8474" width="19.7109375" style="89" customWidth="1"/>
    <col min="8475" max="8475" width="14.85546875" style="89" customWidth="1"/>
    <col min="8476" max="8476" width="16.85546875" style="89" customWidth="1"/>
    <col min="8477" max="8479" width="11.42578125" style="89" customWidth="1"/>
    <col min="8480" max="8480" width="18.140625" style="89" customWidth="1"/>
    <col min="8481" max="8481" width="11.42578125" style="89" customWidth="1"/>
    <col min="8482" max="8482" width="12.5703125" style="89" customWidth="1"/>
    <col min="8483" max="8483" width="25" style="89" customWidth="1"/>
    <col min="8484" max="8484" width="16.5703125" style="89" bestFit="1" customWidth="1"/>
    <col min="8485" max="8485" width="24" style="89" customWidth="1"/>
    <col min="8486" max="8486" width="11.42578125" style="89" customWidth="1"/>
    <col min="8487" max="8487" width="20" style="89" customWidth="1"/>
    <col min="8488" max="8488" width="11.42578125" style="89" customWidth="1"/>
    <col min="8489" max="8489" width="19" style="89" customWidth="1"/>
    <col min="8490" max="8493" width="11.42578125" style="89" customWidth="1"/>
    <col min="8494" max="8494" width="15.140625" style="89" customWidth="1"/>
    <col min="8495" max="8495" width="14" style="89" customWidth="1"/>
    <col min="8496" max="8496" width="15.140625" style="89" customWidth="1"/>
    <col min="8497" max="8497" width="11.42578125" style="89" customWidth="1"/>
    <col min="8498" max="8498" width="51.7109375" style="89" customWidth="1"/>
    <col min="8499" max="8500" width="29.5703125" style="89" customWidth="1"/>
    <col min="8501" max="8501" width="44.42578125" style="89" customWidth="1"/>
    <col min="8502" max="8502" width="36.28515625" style="89" customWidth="1"/>
    <col min="8503" max="8503" width="27.42578125" style="89" bestFit="1" customWidth="1"/>
    <col min="8504" max="8724" width="11.42578125" style="89"/>
    <col min="8725" max="8725" width="15.5703125" style="89" bestFit="1" customWidth="1"/>
    <col min="8726" max="8726" width="33.7109375" style="89" customWidth="1"/>
    <col min="8727" max="8727" width="19" style="89" customWidth="1"/>
    <col min="8728" max="8728" width="19.85546875" style="89" customWidth="1"/>
    <col min="8729" max="8729" width="18.5703125" style="89" customWidth="1"/>
    <col min="8730" max="8730" width="19.7109375" style="89" customWidth="1"/>
    <col min="8731" max="8731" width="14.85546875" style="89" customWidth="1"/>
    <col min="8732" max="8732" width="16.85546875" style="89" customWidth="1"/>
    <col min="8733" max="8735" width="11.42578125" style="89" customWidth="1"/>
    <col min="8736" max="8736" width="18.140625" style="89" customWidth="1"/>
    <col min="8737" max="8737" width="11.42578125" style="89" customWidth="1"/>
    <col min="8738" max="8738" width="12.5703125" style="89" customWidth="1"/>
    <col min="8739" max="8739" width="25" style="89" customWidth="1"/>
    <col min="8740" max="8740" width="16.5703125" style="89" bestFit="1" customWidth="1"/>
    <col min="8741" max="8741" width="24" style="89" customWidth="1"/>
    <col min="8742" max="8742" width="11.42578125" style="89" customWidth="1"/>
    <col min="8743" max="8743" width="20" style="89" customWidth="1"/>
    <col min="8744" max="8744" width="11.42578125" style="89" customWidth="1"/>
    <col min="8745" max="8745" width="19" style="89" customWidth="1"/>
    <col min="8746" max="8749" width="11.42578125" style="89" customWidth="1"/>
    <col min="8750" max="8750" width="15.140625" style="89" customWidth="1"/>
    <col min="8751" max="8751" width="14" style="89" customWidth="1"/>
    <col min="8752" max="8752" width="15.140625" style="89" customWidth="1"/>
    <col min="8753" max="8753" width="11.42578125" style="89" customWidth="1"/>
    <col min="8754" max="8754" width="51.7109375" style="89" customWidth="1"/>
    <col min="8755" max="8756" width="29.5703125" style="89" customWidth="1"/>
    <col min="8757" max="8757" width="44.42578125" style="89" customWidth="1"/>
    <col min="8758" max="8758" width="36.28515625" style="89" customWidth="1"/>
    <col min="8759" max="8759" width="27.42578125" style="89" bestFit="1" customWidth="1"/>
    <col min="8760" max="8980" width="11.42578125" style="89"/>
    <col min="8981" max="8981" width="15.5703125" style="89" bestFit="1" customWidth="1"/>
    <col min="8982" max="8982" width="33.7109375" style="89" customWidth="1"/>
    <col min="8983" max="8983" width="19" style="89" customWidth="1"/>
    <col min="8984" max="8984" width="19.85546875" style="89" customWidth="1"/>
    <col min="8985" max="8985" width="18.5703125" style="89" customWidth="1"/>
    <col min="8986" max="8986" width="19.7109375" style="89" customWidth="1"/>
    <col min="8987" max="8987" width="14.85546875" style="89" customWidth="1"/>
    <col min="8988" max="8988" width="16.85546875" style="89" customWidth="1"/>
    <col min="8989" max="8991" width="11.42578125" style="89" customWidth="1"/>
    <col min="8992" max="8992" width="18.140625" style="89" customWidth="1"/>
    <col min="8993" max="8993" width="11.42578125" style="89" customWidth="1"/>
    <col min="8994" max="8994" width="12.5703125" style="89" customWidth="1"/>
    <col min="8995" max="8995" width="25" style="89" customWidth="1"/>
    <col min="8996" max="8996" width="16.5703125" style="89" bestFit="1" customWidth="1"/>
    <col min="8997" max="8997" width="24" style="89" customWidth="1"/>
    <col min="8998" max="8998" width="11.42578125" style="89" customWidth="1"/>
    <col min="8999" max="8999" width="20" style="89" customWidth="1"/>
    <col min="9000" max="9000" width="11.42578125" style="89" customWidth="1"/>
    <col min="9001" max="9001" width="19" style="89" customWidth="1"/>
    <col min="9002" max="9005" width="11.42578125" style="89" customWidth="1"/>
    <col min="9006" max="9006" width="15.140625" style="89" customWidth="1"/>
    <col min="9007" max="9007" width="14" style="89" customWidth="1"/>
    <col min="9008" max="9008" width="15.140625" style="89" customWidth="1"/>
    <col min="9009" max="9009" width="11.42578125" style="89" customWidth="1"/>
    <col min="9010" max="9010" width="51.7109375" style="89" customWidth="1"/>
    <col min="9011" max="9012" width="29.5703125" style="89" customWidth="1"/>
    <col min="9013" max="9013" width="44.42578125" style="89" customWidth="1"/>
    <col min="9014" max="9014" width="36.28515625" style="89" customWidth="1"/>
    <col min="9015" max="9015" width="27.42578125" style="89" bestFit="1" customWidth="1"/>
    <col min="9016" max="9236" width="11.42578125" style="89"/>
    <col min="9237" max="9237" width="15.5703125" style="89" bestFit="1" customWidth="1"/>
    <col min="9238" max="9238" width="33.7109375" style="89" customWidth="1"/>
    <col min="9239" max="9239" width="19" style="89" customWidth="1"/>
    <col min="9240" max="9240" width="19.85546875" style="89" customWidth="1"/>
    <col min="9241" max="9241" width="18.5703125" style="89" customWidth="1"/>
    <col min="9242" max="9242" width="19.7109375" style="89" customWidth="1"/>
    <col min="9243" max="9243" width="14.85546875" style="89" customWidth="1"/>
    <col min="9244" max="9244" width="16.85546875" style="89" customWidth="1"/>
    <col min="9245" max="9247" width="11.42578125" style="89" customWidth="1"/>
    <col min="9248" max="9248" width="18.140625" style="89" customWidth="1"/>
    <col min="9249" max="9249" width="11.42578125" style="89" customWidth="1"/>
    <col min="9250" max="9250" width="12.5703125" style="89" customWidth="1"/>
    <col min="9251" max="9251" width="25" style="89" customWidth="1"/>
    <col min="9252" max="9252" width="16.5703125" style="89" bestFit="1" customWidth="1"/>
    <col min="9253" max="9253" width="24" style="89" customWidth="1"/>
    <col min="9254" max="9254" width="11.42578125" style="89" customWidth="1"/>
    <col min="9255" max="9255" width="20" style="89" customWidth="1"/>
    <col min="9256" max="9256" width="11.42578125" style="89" customWidth="1"/>
    <col min="9257" max="9257" width="19" style="89" customWidth="1"/>
    <col min="9258" max="9261" width="11.42578125" style="89" customWidth="1"/>
    <col min="9262" max="9262" width="15.140625" style="89" customWidth="1"/>
    <col min="9263" max="9263" width="14" style="89" customWidth="1"/>
    <col min="9264" max="9264" width="15.140625" style="89" customWidth="1"/>
    <col min="9265" max="9265" width="11.42578125" style="89" customWidth="1"/>
    <col min="9266" max="9266" width="51.7109375" style="89" customWidth="1"/>
    <col min="9267" max="9268" width="29.5703125" style="89" customWidth="1"/>
    <col min="9269" max="9269" width="44.42578125" style="89" customWidth="1"/>
    <col min="9270" max="9270" width="36.28515625" style="89" customWidth="1"/>
    <col min="9271" max="9271" width="27.42578125" style="89" bestFit="1" customWidth="1"/>
    <col min="9272" max="9492" width="11.42578125" style="89"/>
    <col min="9493" max="9493" width="15.5703125" style="89" bestFit="1" customWidth="1"/>
    <col min="9494" max="9494" width="33.7109375" style="89" customWidth="1"/>
    <col min="9495" max="9495" width="19" style="89" customWidth="1"/>
    <col min="9496" max="9496" width="19.85546875" style="89" customWidth="1"/>
    <col min="9497" max="9497" width="18.5703125" style="89" customWidth="1"/>
    <col min="9498" max="9498" width="19.7109375" style="89" customWidth="1"/>
    <col min="9499" max="9499" width="14.85546875" style="89" customWidth="1"/>
    <col min="9500" max="9500" width="16.85546875" style="89" customWidth="1"/>
    <col min="9501" max="9503" width="11.42578125" style="89" customWidth="1"/>
    <col min="9504" max="9504" width="18.140625" style="89" customWidth="1"/>
    <col min="9505" max="9505" width="11.42578125" style="89" customWidth="1"/>
    <col min="9506" max="9506" width="12.5703125" style="89" customWidth="1"/>
    <col min="9507" max="9507" width="25" style="89" customWidth="1"/>
    <col min="9508" max="9508" width="16.5703125" style="89" bestFit="1" customWidth="1"/>
    <col min="9509" max="9509" width="24" style="89" customWidth="1"/>
    <col min="9510" max="9510" width="11.42578125" style="89" customWidth="1"/>
    <col min="9511" max="9511" width="20" style="89" customWidth="1"/>
    <col min="9512" max="9512" width="11.42578125" style="89" customWidth="1"/>
    <col min="9513" max="9513" width="19" style="89" customWidth="1"/>
    <col min="9514" max="9517" width="11.42578125" style="89" customWidth="1"/>
    <col min="9518" max="9518" width="15.140625" style="89" customWidth="1"/>
    <col min="9519" max="9519" width="14" style="89" customWidth="1"/>
    <col min="9520" max="9520" width="15.140625" style="89" customWidth="1"/>
    <col min="9521" max="9521" width="11.42578125" style="89" customWidth="1"/>
    <col min="9522" max="9522" width="51.7109375" style="89" customWidth="1"/>
    <col min="9523" max="9524" width="29.5703125" style="89" customWidth="1"/>
    <col min="9525" max="9525" width="44.42578125" style="89" customWidth="1"/>
    <col min="9526" max="9526" width="36.28515625" style="89" customWidth="1"/>
    <col min="9527" max="9527" width="27.42578125" style="89" bestFit="1" customWidth="1"/>
    <col min="9528" max="9748" width="11.42578125" style="89"/>
    <col min="9749" max="9749" width="15.5703125" style="89" bestFit="1" customWidth="1"/>
    <col min="9750" max="9750" width="33.7109375" style="89" customWidth="1"/>
    <col min="9751" max="9751" width="19" style="89" customWidth="1"/>
    <col min="9752" max="9752" width="19.85546875" style="89" customWidth="1"/>
    <col min="9753" max="9753" width="18.5703125" style="89" customWidth="1"/>
    <col min="9754" max="9754" width="19.7109375" style="89" customWidth="1"/>
    <col min="9755" max="9755" width="14.85546875" style="89" customWidth="1"/>
    <col min="9756" max="9756" width="16.85546875" style="89" customWidth="1"/>
    <col min="9757" max="9759" width="11.42578125" style="89" customWidth="1"/>
    <col min="9760" max="9760" width="18.140625" style="89" customWidth="1"/>
    <col min="9761" max="9761" width="11.42578125" style="89" customWidth="1"/>
    <col min="9762" max="9762" width="12.5703125" style="89" customWidth="1"/>
    <col min="9763" max="9763" width="25" style="89" customWidth="1"/>
    <col min="9764" max="9764" width="16.5703125" style="89" bestFit="1" customWidth="1"/>
    <col min="9765" max="9765" width="24" style="89" customWidth="1"/>
    <col min="9766" max="9766" width="11.42578125" style="89" customWidth="1"/>
    <col min="9767" max="9767" width="20" style="89" customWidth="1"/>
    <col min="9768" max="9768" width="11.42578125" style="89" customWidth="1"/>
    <col min="9769" max="9769" width="19" style="89" customWidth="1"/>
    <col min="9770" max="9773" width="11.42578125" style="89" customWidth="1"/>
    <col min="9774" max="9774" width="15.140625" style="89" customWidth="1"/>
    <col min="9775" max="9775" width="14" style="89" customWidth="1"/>
    <col min="9776" max="9776" width="15.140625" style="89" customWidth="1"/>
    <col min="9777" max="9777" width="11.42578125" style="89" customWidth="1"/>
    <col min="9778" max="9778" width="51.7109375" style="89" customWidth="1"/>
    <col min="9779" max="9780" width="29.5703125" style="89" customWidth="1"/>
    <col min="9781" max="9781" width="44.42578125" style="89" customWidth="1"/>
    <col min="9782" max="9782" width="36.28515625" style="89" customWidth="1"/>
    <col min="9783" max="9783" width="27.42578125" style="89" bestFit="1" customWidth="1"/>
    <col min="9784" max="10004" width="11.42578125" style="89"/>
    <col min="10005" max="10005" width="15.5703125" style="89" bestFit="1" customWidth="1"/>
    <col min="10006" max="10006" width="33.7109375" style="89" customWidth="1"/>
    <col min="10007" max="10007" width="19" style="89" customWidth="1"/>
    <col min="10008" max="10008" width="19.85546875" style="89" customWidth="1"/>
    <col min="10009" max="10009" width="18.5703125" style="89" customWidth="1"/>
    <col min="10010" max="10010" width="19.7109375" style="89" customWidth="1"/>
    <col min="10011" max="10011" width="14.85546875" style="89" customWidth="1"/>
    <col min="10012" max="10012" width="16.85546875" style="89" customWidth="1"/>
    <col min="10013" max="10015" width="11.42578125" style="89" customWidth="1"/>
    <col min="10016" max="10016" width="18.140625" style="89" customWidth="1"/>
    <col min="10017" max="10017" width="11.42578125" style="89" customWidth="1"/>
    <col min="10018" max="10018" width="12.5703125" style="89" customWidth="1"/>
    <col min="10019" max="10019" width="25" style="89" customWidth="1"/>
    <col min="10020" max="10020" width="16.5703125" style="89" bestFit="1" customWidth="1"/>
    <col min="10021" max="10021" width="24" style="89" customWidth="1"/>
    <col min="10022" max="10022" width="11.42578125" style="89" customWidth="1"/>
    <col min="10023" max="10023" width="20" style="89" customWidth="1"/>
    <col min="10024" max="10024" width="11.42578125" style="89" customWidth="1"/>
    <col min="10025" max="10025" width="19" style="89" customWidth="1"/>
    <col min="10026" max="10029" width="11.42578125" style="89" customWidth="1"/>
    <col min="10030" max="10030" width="15.140625" style="89" customWidth="1"/>
    <col min="10031" max="10031" width="14" style="89" customWidth="1"/>
    <col min="10032" max="10032" width="15.140625" style="89" customWidth="1"/>
    <col min="10033" max="10033" width="11.42578125" style="89" customWidth="1"/>
    <col min="10034" max="10034" width="51.7109375" style="89" customWidth="1"/>
    <col min="10035" max="10036" width="29.5703125" style="89" customWidth="1"/>
    <col min="10037" max="10037" width="44.42578125" style="89" customWidth="1"/>
    <col min="10038" max="10038" width="36.28515625" style="89" customWidth="1"/>
    <col min="10039" max="10039" width="27.42578125" style="89" bestFit="1" customWidth="1"/>
    <col min="10040" max="10260" width="11.42578125" style="89"/>
    <col min="10261" max="10261" width="15.5703125" style="89" bestFit="1" customWidth="1"/>
    <col min="10262" max="10262" width="33.7109375" style="89" customWidth="1"/>
    <col min="10263" max="10263" width="19" style="89" customWidth="1"/>
    <col min="10264" max="10264" width="19.85546875" style="89" customWidth="1"/>
    <col min="10265" max="10265" width="18.5703125" style="89" customWidth="1"/>
    <col min="10266" max="10266" width="19.7109375" style="89" customWidth="1"/>
    <col min="10267" max="10267" width="14.85546875" style="89" customWidth="1"/>
    <col min="10268" max="10268" width="16.85546875" style="89" customWidth="1"/>
    <col min="10269" max="10271" width="11.42578125" style="89" customWidth="1"/>
    <col min="10272" max="10272" width="18.140625" style="89" customWidth="1"/>
    <col min="10273" max="10273" width="11.42578125" style="89" customWidth="1"/>
    <col min="10274" max="10274" width="12.5703125" style="89" customWidth="1"/>
    <col min="10275" max="10275" width="25" style="89" customWidth="1"/>
    <col min="10276" max="10276" width="16.5703125" style="89" bestFit="1" customWidth="1"/>
    <col min="10277" max="10277" width="24" style="89" customWidth="1"/>
    <col min="10278" max="10278" width="11.42578125" style="89" customWidth="1"/>
    <col min="10279" max="10279" width="20" style="89" customWidth="1"/>
    <col min="10280" max="10280" width="11.42578125" style="89" customWidth="1"/>
    <col min="10281" max="10281" width="19" style="89" customWidth="1"/>
    <col min="10282" max="10285" width="11.42578125" style="89" customWidth="1"/>
    <col min="10286" max="10286" width="15.140625" style="89" customWidth="1"/>
    <col min="10287" max="10287" width="14" style="89" customWidth="1"/>
    <col min="10288" max="10288" width="15.140625" style="89" customWidth="1"/>
    <col min="10289" max="10289" width="11.42578125" style="89" customWidth="1"/>
    <col min="10290" max="10290" width="51.7109375" style="89" customWidth="1"/>
    <col min="10291" max="10292" width="29.5703125" style="89" customWidth="1"/>
    <col min="10293" max="10293" width="44.42578125" style="89" customWidth="1"/>
    <col min="10294" max="10294" width="36.28515625" style="89" customWidth="1"/>
    <col min="10295" max="10295" width="27.42578125" style="89" bestFit="1" customWidth="1"/>
    <col min="10296" max="10516" width="11.42578125" style="89"/>
    <col min="10517" max="10517" width="15.5703125" style="89" bestFit="1" customWidth="1"/>
    <col min="10518" max="10518" width="33.7109375" style="89" customWidth="1"/>
    <col min="10519" max="10519" width="19" style="89" customWidth="1"/>
    <col min="10520" max="10520" width="19.85546875" style="89" customWidth="1"/>
    <col min="10521" max="10521" width="18.5703125" style="89" customWidth="1"/>
    <col min="10522" max="10522" width="19.7109375" style="89" customWidth="1"/>
    <col min="10523" max="10523" width="14.85546875" style="89" customWidth="1"/>
    <col min="10524" max="10524" width="16.85546875" style="89" customWidth="1"/>
    <col min="10525" max="10527" width="11.42578125" style="89" customWidth="1"/>
    <col min="10528" max="10528" width="18.140625" style="89" customWidth="1"/>
    <col min="10529" max="10529" width="11.42578125" style="89" customWidth="1"/>
    <col min="10530" max="10530" width="12.5703125" style="89" customWidth="1"/>
    <col min="10531" max="10531" width="25" style="89" customWidth="1"/>
    <col min="10532" max="10532" width="16.5703125" style="89" bestFit="1" customWidth="1"/>
    <col min="10533" max="10533" width="24" style="89" customWidth="1"/>
    <col min="10534" max="10534" width="11.42578125" style="89" customWidth="1"/>
    <col min="10535" max="10535" width="20" style="89" customWidth="1"/>
    <col min="10536" max="10536" width="11.42578125" style="89" customWidth="1"/>
    <col min="10537" max="10537" width="19" style="89" customWidth="1"/>
    <col min="10538" max="10541" width="11.42578125" style="89" customWidth="1"/>
    <col min="10542" max="10542" width="15.140625" style="89" customWidth="1"/>
    <col min="10543" max="10543" width="14" style="89" customWidth="1"/>
    <col min="10544" max="10544" width="15.140625" style="89" customWidth="1"/>
    <col min="10545" max="10545" width="11.42578125" style="89" customWidth="1"/>
    <col min="10546" max="10546" width="51.7109375" style="89" customWidth="1"/>
    <col min="10547" max="10548" width="29.5703125" style="89" customWidth="1"/>
    <col min="10549" max="10549" width="44.42578125" style="89" customWidth="1"/>
    <col min="10550" max="10550" width="36.28515625" style="89" customWidth="1"/>
    <col min="10551" max="10551" width="27.42578125" style="89" bestFit="1" customWidth="1"/>
    <col min="10552" max="10772" width="11.42578125" style="89"/>
    <col min="10773" max="10773" width="15.5703125" style="89" bestFit="1" customWidth="1"/>
    <col min="10774" max="10774" width="33.7109375" style="89" customWidth="1"/>
    <col min="10775" max="10775" width="19" style="89" customWidth="1"/>
    <col min="10776" max="10776" width="19.85546875" style="89" customWidth="1"/>
    <col min="10777" max="10777" width="18.5703125" style="89" customWidth="1"/>
    <col min="10778" max="10778" width="19.7109375" style="89" customWidth="1"/>
    <col min="10779" max="10779" width="14.85546875" style="89" customWidth="1"/>
    <col min="10780" max="10780" width="16.85546875" style="89" customWidth="1"/>
    <col min="10781" max="10783" width="11.42578125" style="89" customWidth="1"/>
    <col min="10784" max="10784" width="18.140625" style="89" customWidth="1"/>
    <col min="10785" max="10785" width="11.42578125" style="89" customWidth="1"/>
    <col min="10786" max="10786" width="12.5703125" style="89" customWidth="1"/>
    <col min="10787" max="10787" width="25" style="89" customWidth="1"/>
    <col min="10788" max="10788" width="16.5703125" style="89" bestFit="1" customWidth="1"/>
    <col min="10789" max="10789" width="24" style="89" customWidth="1"/>
    <col min="10790" max="10790" width="11.42578125" style="89" customWidth="1"/>
    <col min="10791" max="10791" width="20" style="89" customWidth="1"/>
    <col min="10792" max="10792" width="11.42578125" style="89" customWidth="1"/>
    <col min="10793" max="10793" width="19" style="89" customWidth="1"/>
    <col min="10794" max="10797" width="11.42578125" style="89" customWidth="1"/>
    <col min="10798" max="10798" width="15.140625" style="89" customWidth="1"/>
    <col min="10799" max="10799" width="14" style="89" customWidth="1"/>
    <col min="10800" max="10800" width="15.140625" style="89" customWidth="1"/>
    <col min="10801" max="10801" width="11.42578125" style="89" customWidth="1"/>
    <col min="10802" max="10802" width="51.7109375" style="89" customWidth="1"/>
    <col min="10803" max="10804" width="29.5703125" style="89" customWidth="1"/>
    <col min="10805" max="10805" width="44.42578125" style="89" customWidth="1"/>
    <col min="10806" max="10806" width="36.28515625" style="89" customWidth="1"/>
    <col min="10807" max="10807" width="27.42578125" style="89" bestFit="1" customWidth="1"/>
    <col min="10808" max="11028" width="11.42578125" style="89"/>
    <col min="11029" max="11029" width="15.5703125" style="89" bestFit="1" customWidth="1"/>
    <col min="11030" max="11030" width="33.7109375" style="89" customWidth="1"/>
    <col min="11031" max="11031" width="19" style="89" customWidth="1"/>
    <col min="11032" max="11032" width="19.85546875" style="89" customWidth="1"/>
    <col min="11033" max="11033" width="18.5703125" style="89" customWidth="1"/>
    <col min="11034" max="11034" width="19.7109375" style="89" customWidth="1"/>
    <col min="11035" max="11035" width="14.85546875" style="89" customWidth="1"/>
    <col min="11036" max="11036" width="16.85546875" style="89" customWidth="1"/>
    <col min="11037" max="11039" width="11.42578125" style="89" customWidth="1"/>
    <col min="11040" max="11040" width="18.140625" style="89" customWidth="1"/>
    <col min="11041" max="11041" width="11.42578125" style="89" customWidth="1"/>
    <col min="11042" max="11042" width="12.5703125" style="89" customWidth="1"/>
    <col min="11043" max="11043" width="25" style="89" customWidth="1"/>
    <col min="11044" max="11044" width="16.5703125" style="89" bestFit="1" customWidth="1"/>
    <col min="11045" max="11045" width="24" style="89" customWidth="1"/>
    <col min="11046" max="11046" width="11.42578125" style="89" customWidth="1"/>
    <col min="11047" max="11047" width="20" style="89" customWidth="1"/>
    <col min="11048" max="11048" width="11.42578125" style="89" customWidth="1"/>
    <col min="11049" max="11049" width="19" style="89" customWidth="1"/>
    <col min="11050" max="11053" width="11.42578125" style="89" customWidth="1"/>
    <col min="11054" max="11054" width="15.140625" style="89" customWidth="1"/>
    <col min="11055" max="11055" width="14" style="89" customWidth="1"/>
    <col min="11056" max="11056" width="15.140625" style="89" customWidth="1"/>
    <col min="11057" max="11057" width="11.42578125" style="89" customWidth="1"/>
    <col min="11058" max="11058" width="51.7109375" style="89" customWidth="1"/>
    <col min="11059" max="11060" width="29.5703125" style="89" customWidth="1"/>
    <col min="11061" max="11061" width="44.42578125" style="89" customWidth="1"/>
    <col min="11062" max="11062" width="36.28515625" style="89" customWidth="1"/>
    <col min="11063" max="11063" width="27.42578125" style="89" bestFit="1" customWidth="1"/>
    <col min="11064" max="11284" width="11.42578125" style="89"/>
    <col min="11285" max="11285" width="15.5703125" style="89" bestFit="1" customWidth="1"/>
    <col min="11286" max="11286" width="33.7109375" style="89" customWidth="1"/>
    <col min="11287" max="11287" width="19" style="89" customWidth="1"/>
    <col min="11288" max="11288" width="19.85546875" style="89" customWidth="1"/>
    <col min="11289" max="11289" width="18.5703125" style="89" customWidth="1"/>
    <col min="11290" max="11290" width="19.7109375" style="89" customWidth="1"/>
    <col min="11291" max="11291" width="14.85546875" style="89" customWidth="1"/>
    <col min="11292" max="11292" width="16.85546875" style="89" customWidth="1"/>
    <col min="11293" max="11295" width="11.42578125" style="89" customWidth="1"/>
    <col min="11296" max="11296" width="18.140625" style="89" customWidth="1"/>
    <col min="11297" max="11297" width="11.42578125" style="89" customWidth="1"/>
    <col min="11298" max="11298" width="12.5703125" style="89" customWidth="1"/>
    <col min="11299" max="11299" width="25" style="89" customWidth="1"/>
    <col min="11300" max="11300" width="16.5703125" style="89" bestFit="1" customWidth="1"/>
    <col min="11301" max="11301" width="24" style="89" customWidth="1"/>
    <col min="11302" max="11302" width="11.42578125" style="89" customWidth="1"/>
    <col min="11303" max="11303" width="20" style="89" customWidth="1"/>
    <col min="11304" max="11304" width="11.42578125" style="89" customWidth="1"/>
    <col min="11305" max="11305" width="19" style="89" customWidth="1"/>
    <col min="11306" max="11309" width="11.42578125" style="89" customWidth="1"/>
    <col min="11310" max="11310" width="15.140625" style="89" customWidth="1"/>
    <col min="11311" max="11311" width="14" style="89" customWidth="1"/>
    <col min="11312" max="11312" width="15.140625" style="89" customWidth="1"/>
    <col min="11313" max="11313" width="11.42578125" style="89" customWidth="1"/>
    <col min="11314" max="11314" width="51.7109375" style="89" customWidth="1"/>
    <col min="11315" max="11316" width="29.5703125" style="89" customWidth="1"/>
    <col min="11317" max="11317" width="44.42578125" style="89" customWidth="1"/>
    <col min="11318" max="11318" width="36.28515625" style="89" customWidth="1"/>
    <col min="11319" max="11319" width="27.42578125" style="89" bestFit="1" customWidth="1"/>
    <col min="11320" max="11540" width="11.42578125" style="89"/>
    <col min="11541" max="11541" width="15.5703125" style="89" bestFit="1" customWidth="1"/>
    <col min="11542" max="11542" width="33.7109375" style="89" customWidth="1"/>
    <col min="11543" max="11543" width="19" style="89" customWidth="1"/>
    <col min="11544" max="11544" width="19.85546875" style="89" customWidth="1"/>
    <col min="11545" max="11545" width="18.5703125" style="89" customWidth="1"/>
    <col min="11546" max="11546" width="19.7109375" style="89" customWidth="1"/>
    <col min="11547" max="11547" width="14.85546875" style="89" customWidth="1"/>
    <col min="11548" max="11548" width="16.85546875" style="89" customWidth="1"/>
    <col min="11549" max="11551" width="11.42578125" style="89" customWidth="1"/>
    <col min="11552" max="11552" width="18.140625" style="89" customWidth="1"/>
    <col min="11553" max="11553" width="11.42578125" style="89" customWidth="1"/>
    <col min="11554" max="11554" width="12.5703125" style="89" customWidth="1"/>
    <col min="11555" max="11555" width="25" style="89" customWidth="1"/>
    <col min="11556" max="11556" width="16.5703125" style="89" bestFit="1" customWidth="1"/>
    <col min="11557" max="11557" width="24" style="89" customWidth="1"/>
    <col min="11558" max="11558" width="11.42578125" style="89" customWidth="1"/>
    <col min="11559" max="11559" width="20" style="89" customWidth="1"/>
    <col min="11560" max="11560" width="11.42578125" style="89" customWidth="1"/>
    <col min="11561" max="11561" width="19" style="89" customWidth="1"/>
    <col min="11562" max="11565" width="11.42578125" style="89" customWidth="1"/>
    <col min="11566" max="11566" width="15.140625" style="89" customWidth="1"/>
    <col min="11567" max="11567" width="14" style="89" customWidth="1"/>
    <col min="11568" max="11568" width="15.140625" style="89" customWidth="1"/>
    <col min="11569" max="11569" width="11.42578125" style="89" customWidth="1"/>
    <col min="11570" max="11570" width="51.7109375" style="89" customWidth="1"/>
    <col min="11571" max="11572" width="29.5703125" style="89" customWidth="1"/>
    <col min="11573" max="11573" width="44.42578125" style="89" customWidth="1"/>
    <col min="11574" max="11574" width="36.28515625" style="89" customWidth="1"/>
    <col min="11575" max="11575" width="27.42578125" style="89" bestFit="1" customWidth="1"/>
    <col min="11576" max="11796" width="11.42578125" style="89"/>
    <col min="11797" max="11797" width="15.5703125" style="89" bestFit="1" customWidth="1"/>
    <col min="11798" max="11798" width="33.7109375" style="89" customWidth="1"/>
    <col min="11799" max="11799" width="19" style="89" customWidth="1"/>
    <col min="11800" max="11800" width="19.85546875" style="89" customWidth="1"/>
    <col min="11801" max="11801" width="18.5703125" style="89" customWidth="1"/>
    <col min="11802" max="11802" width="19.7109375" style="89" customWidth="1"/>
    <col min="11803" max="11803" width="14.85546875" style="89" customWidth="1"/>
    <col min="11804" max="11804" width="16.85546875" style="89" customWidth="1"/>
    <col min="11805" max="11807" width="11.42578125" style="89" customWidth="1"/>
    <col min="11808" max="11808" width="18.140625" style="89" customWidth="1"/>
    <col min="11809" max="11809" width="11.42578125" style="89" customWidth="1"/>
    <col min="11810" max="11810" width="12.5703125" style="89" customWidth="1"/>
    <col min="11811" max="11811" width="25" style="89" customWidth="1"/>
    <col min="11812" max="11812" width="16.5703125" style="89" bestFit="1" customWidth="1"/>
    <col min="11813" max="11813" width="24" style="89" customWidth="1"/>
    <col min="11814" max="11814" width="11.42578125" style="89" customWidth="1"/>
    <col min="11815" max="11815" width="20" style="89" customWidth="1"/>
    <col min="11816" max="11816" width="11.42578125" style="89" customWidth="1"/>
    <col min="11817" max="11817" width="19" style="89" customWidth="1"/>
    <col min="11818" max="11821" width="11.42578125" style="89" customWidth="1"/>
    <col min="11822" max="11822" width="15.140625" style="89" customWidth="1"/>
    <col min="11823" max="11823" width="14" style="89" customWidth="1"/>
    <col min="11824" max="11824" width="15.140625" style="89" customWidth="1"/>
    <col min="11825" max="11825" width="11.42578125" style="89" customWidth="1"/>
    <col min="11826" max="11826" width="51.7109375" style="89" customWidth="1"/>
    <col min="11827" max="11828" width="29.5703125" style="89" customWidth="1"/>
    <col min="11829" max="11829" width="44.42578125" style="89" customWidth="1"/>
    <col min="11830" max="11830" width="36.28515625" style="89" customWidth="1"/>
    <col min="11831" max="11831" width="27.42578125" style="89" bestFit="1" customWidth="1"/>
    <col min="11832" max="12052" width="11.42578125" style="89"/>
    <col min="12053" max="12053" width="15.5703125" style="89" bestFit="1" customWidth="1"/>
    <col min="12054" max="12054" width="33.7109375" style="89" customWidth="1"/>
    <col min="12055" max="12055" width="19" style="89" customWidth="1"/>
    <col min="12056" max="12056" width="19.85546875" style="89" customWidth="1"/>
    <col min="12057" max="12057" width="18.5703125" style="89" customWidth="1"/>
    <col min="12058" max="12058" width="19.7109375" style="89" customWidth="1"/>
    <col min="12059" max="12059" width="14.85546875" style="89" customWidth="1"/>
    <col min="12060" max="12060" width="16.85546875" style="89" customWidth="1"/>
    <col min="12061" max="12063" width="11.42578125" style="89" customWidth="1"/>
    <col min="12064" max="12064" width="18.140625" style="89" customWidth="1"/>
    <col min="12065" max="12065" width="11.42578125" style="89" customWidth="1"/>
    <col min="12066" max="12066" width="12.5703125" style="89" customWidth="1"/>
    <col min="12067" max="12067" width="25" style="89" customWidth="1"/>
    <col min="12068" max="12068" width="16.5703125" style="89" bestFit="1" customWidth="1"/>
    <col min="12069" max="12069" width="24" style="89" customWidth="1"/>
    <col min="12070" max="12070" width="11.42578125" style="89" customWidth="1"/>
    <col min="12071" max="12071" width="20" style="89" customWidth="1"/>
    <col min="12072" max="12072" width="11.42578125" style="89" customWidth="1"/>
    <col min="12073" max="12073" width="19" style="89" customWidth="1"/>
    <col min="12074" max="12077" width="11.42578125" style="89" customWidth="1"/>
    <col min="12078" max="12078" width="15.140625" style="89" customWidth="1"/>
    <col min="12079" max="12079" width="14" style="89" customWidth="1"/>
    <col min="12080" max="12080" width="15.140625" style="89" customWidth="1"/>
    <col min="12081" max="12081" width="11.42578125" style="89" customWidth="1"/>
    <col min="12082" max="12082" width="51.7109375" style="89" customWidth="1"/>
    <col min="12083" max="12084" width="29.5703125" style="89" customWidth="1"/>
    <col min="12085" max="12085" width="44.42578125" style="89" customWidth="1"/>
    <col min="12086" max="12086" width="36.28515625" style="89" customWidth="1"/>
    <col min="12087" max="12087" width="27.42578125" style="89" bestFit="1" customWidth="1"/>
    <col min="12088" max="12308" width="11.42578125" style="89"/>
    <col min="12309" max="12309" width="15.5703125" style="89" bestFit="1" customWidth="1"/>
    <col min="12310" max="12310" width="33.7109375" style="89" customWidth="1"/>
    <col min="12311" max="12311" width="19" style="89" customWidth="1"/>
    <col min="12312" max="12312" width="19.85546875" style="89" customWidth="1"/>
    <col min="12313" max="12313" width="18.5703125" style="89" customWidth="1"/>
    <col min="12314" max="12314" width="19.7109375" style="89" customWidth="1"/>
    <col min="12315" max="12315" width="14.85546875" style="89" customWidth="1"/>
    <col min="12316" max="12316" width="16.85546875" style="89" customWidth="1"/>
    <col min="12317" max="12319" width="11.42578125" style="89" customWidth="1"/>
    <col min="12320" max="12320" width="18.140625" style="89" customWidth="1"/>
    <col min="12321" max="12321" width="11.42578125" style="89" customWidth="1"/>
    <col min="12322" max="12322" width="12.5703125" style="89" customWidth="1"/>
    <col min="12323" max="12323" width="25" style="89" customWidth="1"/>
    <col min="12324" max="12324" width="16.5703125" style="89" bestFit="1" customWidth="1"/>
    <col min="12325" max="12325" width="24" style="89" customWidth="1"/>
    <col min="12326" max="12326" width="11.42578125" style="89" customWidth="1"/>
    <col min="12327" max="12327" width="20" style="89" customWidth="1"/>
    <col min="12328" max="12328" width="11.42578125" style="89" customWidth="1"/>
    <col min="12329" max="12329" width="19" style="89" customWidth="1"/>
    <col min="12330" max="12333" width="11.42578125" style="89" customWidth="1"/>
    <col min="12334" max="12334" width="15.140625" style="89" customWidth="1"/>
    <col min="12335" max="12335" width="14" style="89" customWidth="1"/>
    <col min="12336" max="12336" width="15.140625" style="89" customWidth="1"/>
    <col min="12337" max="12337" width="11.42578125" style="89" customWidth="1"/>
    <col min="12338" max="12338" width="51.7109375" style="89" customWidth="1"/>
    <col min="12339" max="12340" width="29.5703125" style="89" customWidth="1"/>
    <col min="12341" max="12341" width="44.42578125" style="89" customWidth="1"/>
    <col min="12342" max="12342" width="36.28515625" style="89" customWidth="1"/>
    <col min="12343" max="12343" width="27.42578125" style="89" bestFit="1" customWidth="1"/>
    <col min="12344" max="12564" width="11.42578125" style="89"/>
    <col min="12565" max="12565" width="15.5703125" style="89" bestFit="1" customWidth="1"/>
    <col min="12566" max="12566" width="33.7109375" style="89" customWidth="1"/>
    <col min="12567" max="12567" width="19" style="89" customWidth="1"/>
    <col min="12568" max="12568" width="19.85546875" style="89" customWidth="1"/>
    <col min="12569" max="12569" width="18.5703125" style="89" customWidth="1"/>
    <col min="12570" max="12570" width="19.7109375" style="89" customWidth="1"/>
    <col min="12571" max="12571" width="14.85546875" style="89" customWidth="1"/>
    <col min="12572" max="12572" width="16.85546875" style="89" customWidth="1"/>
    <col min="12573" max="12575" width="11.42578125" style="89" customWidth="1"/>
    <col min="12576" max="12576" width="18.140625" style="89" customWidth="1"/>
    <col min="12577" max="12577" width="11.42578125" style="89" customWidth="1"/>
    <col min="12578" max="12578" width="12.5703125" style="89" customWidth="1"/>
    <col min="12579" max="12579" width="25" style="89" customWidth="1"/>
    <col min="12580" max="12580" width="16.5703125" style="89" bestFit="1" customWidth="1"/>
    <col min="12581" max="12581" width="24" style="89" customWidth="1"/>
    <col min="12582" max="12582" width="11.42578125" style="89" customWidth="1"/>
    <col min="12583" max="12583" width="20" style="89" customWidth="1"/>
    <col min="12584" max="12584" width="11.42578125" style="89" customWidth="1"/>
    <col min="12585" max="12585" width="19" style="89" customWidth="1"/>
    <col min="12586" max="12589" width="11.42578125" style="89" customWidth="1"/>
    <col min="12590" max="12590" width="15.140625" style="89" customWidth="1"/>
    <col min="12591" max="12591" width="14" style="89" customWidth="1"/>
    <col min="12592" max="12592" width="15.140625" style="89" customWidth="1"/>
    <col min="12593" max="12593" width="11.42578125" style="89" customWidth="1"/>
    <col min="12594" max="12594" width="51.7109375" style="89" customWidth="1"/>
    <col min="12595" max="12596" width="29.5703125" style="89" customWidth="1"/>
    <col min="12597" max="12597" width="44.42578125" style="89" customWidth="1"/>
    <col min="12598" max="12598" width="36.28515625" style="89" customWidth="1"/>
    <col min="12599" max="12599" width="27.42578125" style="89" bestFit="1" customWidth="1"/>
    <col min="12600" max="12820" width="11.42578125" style="89"/>
    <col min="12821" max="12821" width="15.5703125" style="89" bestFit="1" customWidth="1"/>
    <col min="12822" max="12822" width="33.7109375" style="89" customWidth="1"/>
    <col min="12823" max="12823" width="19" style="89" customWidth="1"/>
    <col min="12824" max="12824" width="19.85546875" style="89" customWidth="1"/>
    <col min="12825" max="12825" width="18.5703125" style="89" customWidth="1"/>
    <col min="12826" max="12826" width="19.7109375" style="89" customWidth="1"/>
    <col min="12827" max="12827" width="14.85546875" style="89" customWidth="1"/>
    <col min="12828" max="12828" width="16.85546875" style="89" customWidth="1"/>
    <col min="12829" max="12831" width="11.42578125" style="89" customWidth="1"/>
    <col min="12832" max="12832" width="18.140625" style="89" customWidth="1"/>
    <col min="12833" max="12833" width="11.42578125" style="89" customWidth="1"/>
    <col min="12834" max="12834" width="12.5703125" style="89" customWidth="1"/>
    <col min="12835" max="12835" width="25" style="89" customWidth="1"/>
    <col min="12836" max="12836" width="16.5703125" style="89" bestFit="1" customWidth="1"/>
    <col min="12837" max="12837" width="24" style="89" customWidth="1"/>
    <col min="12838" max="12838" width="11.42578125" style="89" customWidth="1"/>
    <col min="12839" max="12839" width="20" style="89" customWidth="1"/>
    <col min="12840" max="12840" width="11.42578125" style="89" customWidth="1"/>
    <col min="12841" max="12841" width="19" style="89" customWidth="1"/>
    <col min="12842" max="12845" width="11.42578125" style="89" customWidth="1"/>
    <col min="12846" max="12846" width="15.140625" style="89" customWidth="1"/>
    <col min="12847" max="12847" width="14" style="89" customWidth="1"/>
    <col min="12848" max="12848" width="15.140625" style="89" customWidth="1"/>
    <col min="12849" max="12849" width="11.42578125" style="89" customWidth="1"/>
    <col min="12850" max="12850" width="51.7109375" style="89" customWidth="1"/>
    <col min="12851" max="12852" width="29.5703125" style="89" customWidth="1"/>
    <col min="12853" max="12853" width="44.42578125" style="89" customWidth="1"/>
    <col min="12854" max="12854" width="36.28515625" style="89" customWidth="1"/>
    <col min="12855" max="12855" width="27.42578125" style="89" bestFit="1" customWidth="1"/>
    <col min="12856" max="13076" width="11.42578125" style="89"/>
    <col min="13077" max="13077" width="15.5703125" style="89" bestFit="1" customWidth="1"/>
    <col min="13078" max="13078" width="33.7109375" style="89" customWidth="1"/>
    <col min="13079" max="13079" width="19" style="89" customWidth="1"/>
    <col min="13080" max="13080" width="19.85546875" style="89" customWidth="1"/>
    <col min="13081" max="13081" width="18.5703125" style="89" customWidth="1"/>
    <col min="13082" max="13082" width="19.7109375" style="89" customWidth="1"/>
    <col min="13083" max="13083" width="14.85546875" style="89" customWidth="1"/>
    <col min="13084" max="13084" width="16.85546875" style="89" customWidth="1"/>
    <col min="13085" max="13087" width="11.42578125" style="89" customWidth="1"/>
    <col min="13088" max="13088" width="18.140625" style="89" customWidth="1"/>
    <col min="13089" max="13089" width="11.42578125" style="89" customWidth="1"/>
    <col min="13090" max="13090" width="12.5703125" style="89" customWidth="1"/>
    <col min="13091" max="13091" width="25" style="89" customWidth="1"/>
    <col min="13092" max="13092" width="16.5703125" style="89" bestFit="1" customWidth="1"/>
    <col min="13093" max="13093" width="24" style="89" customWidth="1"/>
    <col min="13094" max="13094" width="11.42578125" style="89" customWidth="1"/>
    <col min="13095" max="13095" width="20" style="89" customWidth="1"/>
    <col min="13096" max="13096" width="11.42578125" style="89" customWidth="1"/>
    <col min="13097" max="13097" width="19" style="89" customWidth="1"/>
    <col min="13098" max="13101" width="11.42578125" style="89" customWidth="1"/>
    <col min="13102" max="13102" width="15.140625" style="89" customWidth="1"/>
    <col min="13103" max="13103" width="14" style="89" customWidth="1"/>
    <col min="13104" max="13104" width="15.140625" style="89" customWidth="1"/>
    <col min="13105" max="13105" width="11.42578125" style="89" customWidth="1"/>
    <col min="13106" max="13106" width="51.7109375" style="89" customWidth="1"/>
    <col min="13107" max="13108" width="29.5703125" style="89" customWidth="1"/>
    <col min="13109" max="13109" width="44.42578125" style="89" customWidth="1"/>
    <col min="13110" max="13110" width="36.28515625" style="89" customWidth="1"/>
    <col min="13111" max="13111" width="27.42578125" style="89" bestFit="1" customWidth="1"/>
    <col min="13112" max="13332" width="11.42578125" style="89"/>
    <col min="13333" max="13333" width="15.5703125" style="89" bestFit="1" customWidth="1"/>
    <col min="13334" max="13334" width="33.7109375" style="89" customWidth="1"/>
    <col min="13335" max="13335" width="19" style="89" customWidth="1"/>
    <col min="13336" max="13336" width="19.85546875" style="89" customWidth="1"/>
    <col min="13337" max="13337" width="18.5703125" style="89" customWidth="1"/>
    <col min="13338" max="13338" width="19.7109375" style="89" customWidth="1"/>
    <col min="13339" max="13339" width="14.85546875" style="89" customWidth="1"/>
    <col min="13340" max="13340" width="16.85546875" style="89" customWidth="1"/>
    <col min="13341" max="13343" width="11.42578125" style="89" customWidth="1"/>
    <col min="13344" max="13344" width="18.140625" style="89" customWidth="1"/>
    <col min="13345" max="13345" width="11.42578125" style="89" customWidth="1"/>
    <col min="13346" max="13346" width="12.5703125" style="89" customWidth="1"/>
    <col min="13347" max="13347" width="25" style="89" customWidth="1"/>
    <col min="13348" max="13348" width="16.5703125" style="89" bestFit="1" customWidth="1"/>
    <col min="13349" max="13349" width="24" style="89" customWidth="1"/>
    <col min="13350" max="13350" width="11.42578125" style="89" customWidth="1"/>
    <col min="13351" max="13351" width="20" style="89" customWidth="1"/>
    <col min="13352" max="13352" width="11.42578125" style="89" customWidth="1"/>
    <col min="13353" max="13353" width="19" style="89" customWidth="1"/>
    <col min="13354" max="13357" width="11.42578125" style="89" customWidth="1"/>
    <col min="13358" max="13358" width="15.140625" style="89" customWidth="1"/>
    <col min="13359" max="13359" width="14" style="89" customWidth="1"/>
    <col min="13360" max="13360" width="15.140625" style="89" customWidth="1"/>
    <col min="13361" max="13361" width="11.42578125" style="89" customWidth="1"/>
    <col min="13362" max="13362" width="51.7109375" style="89" customWidth="1"/>
    <col min="13363" max="13364" width="29.5703125" style="89" customWidth="1"/>
    <col min="13365" max="13365" width="44.42578125" style="89" customWidth="1"/>
    <col min="13366" max="13366" width="36.28515625" style="89" customWidth="1"/>
    <col min="13367" max="13367" width="27.42578125" style="89" bestFit="1" customWidth="1"/>
    <col min="13368" max="13588" width="11.42578125" style="89"/>
    <col min="13589" max="13589" width="15.5703125" style="89" bestFit="1" customWidth="1"/>
    <col min="13590" max="13590" width="33.7109375" style="89" customWidth="1"/>
    <col min="13591" max="13591" width="19" style="89" customWidth="1"/>
    <col min="13592" max="13592" width="19.85546875" style="89" customWidth="1"/>
    <col min="13593" max="13593" width="18.5703125" style="89" customWidth="1"/>
    <col min="13594" max="13594" width="19.7109375" style="89" customWidth="1"/>
    <col min="13595" max="13595" width="14.85546875" style="89" customWidth="1"/>
    <col min="13596" max="13596" width="16.85546875" style="89" customWidth="1"/>
    <col min="13597" max="13599" width="11.42578125" style="89" customWidth="1"/>
    <col min="13600" max="13600" width="18.140625" style="89" customWidth="1"/>
    <col min="13601" max="13601" width="11.42578125" style="89" customWidth="1"/>
    <col min="13602" max="13602" width="12.5703125" style="89" customWidth="1"/>
    <col min="13603" max="13603" width="25" style="89" customWidth="1"/>
    <col min="13604" max="13604" width="16.5703125" style="89" bestFit="1" customWidth="1"/>
    <col min="13605" max="13605" width="24" style="89" customWidth="1"/>
    <col min="13606" max="13606" width="11.42578125" style="89" customWidth="1"/>
    <col min="13607" max="13607" width="20" style="89" customWidth="1"/>
    <col min="13608" max="13608" width="11.42578125" style="89" customWidth="1"/>
    <col min="13609" max="13609" width="19" style="89" customWidth="1"/>
    <col min="13610" max="13613" width="11.42578125" style="89" customWidth="1"/>
    <col min="13614" max="13614" width="15.140625" style="89" customWidth="1"/>
    <col min="13615" max="13615" width="14" style="89" customWidth="1"/>
    <col min="13616" max="13616" width="15.140625" style="89" customWidth="1"/>
    <col min="13617" max="13617" width="11.42578125" style="89" customWidth="1"/>
    <col min="13618" max="13618" width="51.7109375" style="89" customWidth="1"/>
    <col min="13619" max="13620" width="29.5703125" style="89" customWidth="1"/>
    <col min="13621" max="13621" width="44.42578125" style="89" customWidth="1"/>
    <col min="13622" max="13622" width="36.28515625" style="89" customWidth="1"/>
    <col min="13623" max="13623" width="27.42578125" style="89" bestFit="1" customWidth="1"/>
    <col min="13624" max="13844" width="11.42578125" style="89"/>
    <col min="13845" max="13845" width="15.5703125" style="89" bestFit="1" customWidth="1"/>
    <col min="13846" max="13846" width="33.7109375" style="89" customWidth="1"/>
    <col min="13847" max="13847" width="19" style="89" customWidth="1"/>
    <col min="13848" max="13848" width="19.85546875" style="89" customWidth="1"/>
    <col min="13849" max="13849" width="18.5703125" style="89" customWidth="1"/>
    <col min="13850" max="13850" width="19.7109375" style="89" customWidth="1"/>
    <col min="13851" max="13851" width="14.85546875" style="89" customWidth="1"/>
    <col min="13852" max="13852" width="16.85546875" style="89" customWidth="1"/>
    <col min="13853" max="13855" width="11.42578125" style="89" customWidth="1"/>
    <col min="13856" max="13856" width="18.140625" style="89" customWidth="1"/>
    <col min="13857" max="13857" width="11.42578125" style="89" customWidth="1"/>
    <col min="13858" max="13858" width="12.5703125" style="89" customWidth="1"/>
    <col min="13859" max="13859" width="25" style="89" customWidth="1"/>
    <col min="13860" max="13860" width="16.5703125" style="89" bestFit="1" customWidth="1"/>
    <col min="13861" max="13861" width="24" style="89" customWidth="1"/>
    <col min="13862" max="13862" width="11.42578125" style="89" customWidth="1"/>
    <col min="13863" max="13863" width="20" style="89" customWidth="1"/>
    <col min="13864" max="13864" width="11.42578125" style="89" customWidth="1"/>
    <col min="13865" max="13865" width="19" style="89" customWidth="1"/>
    <col min="13866" max="13869" width="11.42578125" style="89" customWidth="1"/>
    <col min="13870" max="13870" width="15.140625" style="89" customWidth="1"/>
    <col min="13871" max="13871" width="14" style="89" customWidth="1"/>
    <col min="13872" max="13872" width="15.140625" style="89" customWidth="1"/>
    <col min="13873" max="13873" width="11.42578125" style="89" customWidth="1"/>
    <col min="13874" max="13874" width="51.7109375" style="89" customWidth="1"/>
    <col min="13875" max="13876" width="29.5703125" style="89" customWidth="1"/>
    <col min="13877" max="13877" width="44.42578125" style="89" customWidth="1"/>
    <col min="13878" max="13878" width="36.28515625" style="89" customWidth="1"/>
    <col min="13879" max="13879" width="27.42578125" style="89" bestFit="1" customWidth="1"/>
    <col min="13880" max="14100" width="11.42578125" style="89"/>
    <col min="14101" max="14101" width="15.5703125" style="89" bestFit="1" customWidth="1"/>
    <col min="14102" max="14102" width="33.7109375" style="89" customWidth="1"/>
    <col min="14103" max="14103" width="19" style="89" customWidth="1"/>
    <col min="14104" max="14104" width="19.85546875" style="89" customWidth="1"/>
    <col min="14105" max="14105" width="18.5703125" style="89" customWidth="1"/>
    <col min="14106" max="14106" width="19.7109375" style="89" customWidth="1"/>
    <col min="14107" max="14107" width="14.85546875" style="89" customWidth="1"/>
    <col min="14108" max="14108" width="16.85546875" style="89" customWidth="1"/>
    <col min="14109" max="14111" width="11.42578125" style="89" customWidth="1"/>
    <col min="14112" max="14112" width="18.140625" style="89" customWidth="1"/>
    <col min="14113" max="14113" width="11.42578125" style="89" customWidth="1"/>
    <col min="14114" max="14114" width="12.5703125" style="89" customWidth="1"/>
    <col min="14115" max="14115" width="25" style="89" customWidth="1"/>
    <col min="14116" max="14116" width="16.5703125" style="89" bestFit="1" customWidth="1"/>
    <col min="14117" max="14117" width="24" style="89" customWidth="1"/>
    <col min="14118" max="14118" width="11.42578125" style="89" customWidth="1"/>
    <col min="14119" max="14119" width="20" style="89" customWidth="1"/>
    <col min="14120" max="14120" width="11.42578125" style="89" customWidth="1"/>
    <col min="14121" max="14121" width="19" style="89" customWidth="1"/>
    <col min="14122" max="14125" width="11.42578125" style="89" customWidth="1"/>
    <col min="14126" max="14126" width="15.140625" style="89" customWidth="1"/>
    <col min="14127" max="14127" width="14" style="89" customWidth="1"/>
    <col min="14128" max="14128" width="15.140625" style="89" customWidth="1"/>
    <col min="14129" max="14129" width="11.42578125" style="89" customWidth="1"/>
    <col min="14130" max="14130" width="51.7109375" style="89" customWidth="1"/>
    <col min="14131" max="14132" width="29.5703125" style="89" customWidth="1"/>
    <col min="14133" max="14133" width="44.42578125" style="89" customWidth="1"/>
    <col min="14134" max="14134" width="36.28515625" style="89" customWidth="1"/>
    <col min="14135" max="14135" width="27.42578125" style="89" bestFit="1" customWidth="1"/>
    <col min="14136" max="14356" width="11.42578125" style="89"/>
    <col min="14357" max="14357" width="15.5703125" style="89" bestFit="1" customWidth="1"/>
    <col min="14358" max="14358" width="33.7109375" style="89" customWidth="1"/>
    <col min="14359" max="14359" width="19" style="89" customWidth="1"/>
    <col min="14360" max="14360" width="19.85546875" style="89" customWidth="1"/>
    <col min="14361" max="14361" width="18.5703125" style="89" customWidth="1"/>
    <col min="14362" max="14362" width="19.7109375" style="89" customWidth="1"/>
    <col min="14363" max="14363" width="14.85546875" style="89" customWidth="1"/>
    <col min="14364" max="14364" width="16.85546875" style="89" customWidth="1"/>
    <col min="14365" max="14367" width="11.42578125" style="89" customWidth="1"/>
    <col min="14368" max="14368" width="18.140625" style="89" customWidth="1"/>
    <col min="14369" max="14369" width="11.42578125" style="89" customWidth="1"/>
    <col min="14370" max="14370" width="12.5703125" style="89" customWidth="1"/>
    <col min="14371" max="14371" width="25" style="89" customWidth="1"/>
    <col min="14372" max="14372" width="16.5703125" style="89" bestFit="1" customWidth="1"/>
    <col min="14373" max="14373" width="24" style="89" customWidth="1"/>
    <col min="14374" max="14374" width="11.42578125" style="89" customWidth="1"/>
    <col min="14375" max="14375" width="20" style="89" customWidth="1"/>
    <col min="14376" max="14376" width="11.42578125" style="89" customWidth="1"/>
    <col min="14377" max="14377" width="19" style="89" customWidth="1"/>
    <col min="14378" max="14381" width="11.42578125" style="89" customWidth="1"/>
    <col min="14382" max="14382" width="15.140625" style="89" customWidth="1"/>
    <col min="14383" max="14383" width="14" style="89" customWidth="1"/>
    <col min="14384" max="14384" width="15.140625" style="89" customWidth="1"/>
    <col min="14385" max="14385" width="11.42578125" style="89" customWidth="1"/>
    <col min="14386" max="14386" width="51.7109375" style="89" customWidth="1"/>
    <col min="14387" max="14388" width="29.5703125" style="89" customWidth="1"/>
    <col min="14389" max="14389" width="44.42578125" style="89" customWidth="1"/>
    <col min="14390" max="14390" width="36.28515625" style="89" customWidth="1"/>
    <col min="14391" max="14391" width="27.42578125" style="89" bestFit="1" customWidth="1"/>
    <col min="14392" max="14612" width="11.42578125" style="89"/>
    <col min="14613" max="14613" width="15.5703125" style="89" bestFit="1" customWidth="1"/>
    <col min="14614" max="14614" width="33.7109375" style="89" customWidth="1"/>
    <col min="14615" max="14615" width="19" style="89" customWidth="1"/>
    <col min="14616" max="14616" width="19.85546875" style="89" customWidth="1"/>
    <col min="14617" max="14617" width="18.5703125" style="89" customWidth="1"/>
    <col min="14618" max="14618" width="19.7109375" style="89" customWidth="1"/>
    <col min="14619" max="14619" width="14.85546875" style="89" customWidth="1"/>
    <col min="14620" max="14620" width="16.85546875" style="89" customWidth="1"/>
    <col min="14621" max="14623" width="11.42578125" style="89" customWidth="1"/>
    <col min="14624" max="14624" width="18.140625" style="89" customWidth="1"/>
    <col min="14625" max="14625" width="11.42578125" style="89" customWidth="1"/>
    <col min="14626" max="14626" width="12.5703125" style="89" customWidth="1"/>
    <col min="14627" max="14627" width="25" style="89" customWidth="1"/>
    <col min="14628" max="14628" width="16.5703125" style="89" bestFit="1" customWidth="1"/>
    <col min="14629" max="14629" width="24" style="89" customWidth="1"/>
    <col min="14630" max="14630" width="11.42578125" style="89" customWidth="1"/>
    <col min="14631" max="14631" width="20" style="89" customWidth="1"/>
    <col min="14632" max="14632" width="11.42578125" style="89" customWidth="1"/>
    <col min="14633" max="14633" width="19" style="89" customWidth="1"/>
    <col min="14634" max="14637" width="11.42578125" style="89" customWidth="1"/>
    <col min="14638" max="14638" width="15.140625" style="89" customWidth="1"/>
    <col min="14639" max="14639" width="14" style="89" customWidth="1"/>
    <col min="14640" max="14640" width="15.140625" style="89" customWidth="1"/>
    <col min="14641" max="14641" width="11.42578125" style="89" customWidth="1"/>
    <col min="14642" max="14642" width="51.7109375" style="89" customWidth="1"/>
    <col min="14643" max="14644" width="29.5703125" style="89" customWidth="1"/>
    <col min="14645" max="14645" width="44.42578125" style="89" customWidth="1"/>
    <col min="14646" max="14646" width="36.28515625" style="89" customWidth="1"/>
    <col min="14647" max="14647" width="27.42578125" style="89" bestFit="1" customWidth="1"/>
    <col min="14648" max="14868" width="11.42578125" style="89"/>
    <col min="14869" max="14869" width="15.5703125" style="89" bestFit="1" customWidth="1"/>
    <col min="14870" max="14870" width="33.7109375" style="89" customWidth="1"/>
    <col min="14871" max="14871" width="19" style="89" customWidth="1"/>
    <col min="14872" max="14872" width="19.85546875" style="89" customWidth="1"/>
    <col min="14873" max="14873" width="18.5703125" style="89" customWidth="1"/>
    <col min="14874" max="14874" width="19.7109375" style="89" customWidth="1"/>
    <col min="14875" max="14875" width="14.85546875" style="89" customWidth="1"/>
    <col min="14876" max="14876" width="16.85546875" style="89" customWidth="1"/>
    <col min="14877" max="14879" width="11.42578125" style="89" customWidth="1"/>
    <col min="14880" max="14880" width="18.140625" style="89" customWidth="1"/>
    <col min="14881" max="14881" width="11.42578125" style="89" customWidth="1"/>
    <col min="14882" max="14882" width="12.5703125" style="89" customWidth="1"/>
    <col min="14883" max="14883" width="25" style="89" customWidth="1"/>
    <col min="14884" max="14884" width="16.5703125" style="89" bestFit="1" customWidth="1"/>
    <col min="14885" max="14885" width="24" style="89" customWidth="1"/>
    <col min="14886" max="14886" width="11.42578125" style="89" customWidth="1"/>
    <col min="14887" max="14887" width="20" style="89" customWidth="1"/>
    <col min="14888" max="14888" width="11.42578125" style="89" customWidth="1"/>
    <col min="14889" max="14889" width="19" style="89" customWidth="1"/>
    <col min="14890" max="14893" width="11.42578125" style="89" customWidth="1"/>
    <col min="14894" max="14894" width="15.140625" style="89" customWidth="1"/>
    <col min="14895" max="14895" width="14" style="89" customWidth="1"/>
    <col min="14896" max="14896" width="15.140625" style="89" customWidth="1"/>
    <col min="14897" max="14897" width="11.42578125" style="89" customWidth="1"/>
    <col min="14898" max="14898" width="51.7109375" style="89" customWidth="1"/>
    <col min="14899" max="14900" width="29.5703125" style="89" customWidth="1"/>
    <col min="14901" max="14901" width="44.42578125" style="89" customWidth="1"/>
    <col min="14902" max="14902" width="36.28515625" style="89" customWidth="1"/>
    <col min="14903" max="14903" width="27.42578125" style="89" bestFit="1" customWidth="1"/>
    <col min="14904" max="15124" width="11.42578125" style="89"/>
    <col min="15125" max="15125" width="15.5703125" style="89" bestFit="1" customWidth="1"/>
    <col min="15126" max="15126" width="33.7109375" style="89" customWidth="1"/>
    <col min="15127" max="15127" width="19" style="89" customWidth="1"/>
    <col min="15128" max="15128" width="19.85546875" style="89" customWidth="1"/>
    <col min="15129" max="15129" width="18.5703125" style="89" customWidth="1"/>
    <col min="15130" max="15130" width="19.7109375" style="89" customWidth="1"/>
    <col min="15131" max="15131" width="14.85546875" style="89" customWidth="1"/>
    <col min="15132" max="15132" width="16.85546875" style="89" customWidth="1"/>
    <col min="15133" max="15135" width="11.42578125" style="89" customWidth="1"/>
    <col min="15136" max="15136" width="18.140625" style="89" customWidth="1"/>
    <col min="15137" max="15137" width="11.42578125" style="89" customWidth="1"/>
    <col min="15138" max="15138" width="12.5703125" style="89" customWidth="1"/>
    <col min="15139" max="15139" width="25" style="89" customWidth="1"/>
    <col min="15140" max="15140" width="16.5703125" style="89" bestFit="1" customWidth="1"/>
    <col min="15141" max="15141" width="24" style="89" customWidth="1"/>
    <col min="15142" max="15142" width="11.42578125" style="89" customWidth="1"/>
    <col min="15143" max="15143" width="20" style="89" customWidth="1"/>
    <col min="15144" max="15144" width="11.42578125" style="89" customWidth="1"/>
    <col min="15145" max="15145" width="19" style="89" customWidth="1"/>
    <col min="15146" max="15149" width="11.42578125" style="89" customWidth="1"/>
    <col min="15150" max="15150" width="15.140625" style="89" customWidth="1"/>
    <col min="15151" max="15151" width="14" style="89" customWidth="1"/>
    <col min="15152" max="15152" width="15.140625" style="89" customWidth="1"/>
    <col min="15153" max="15153" width="11.42578125" style="89" customWidth="1"/>
    <col min="15154" max="15154" width="51.7109375" style="89" customWidth="1"/>
    <col min="15155" max="15156" width="29.5703125" style="89" customWidth="1"/>
    <col min="15157" max="15157" width="44.42578125" style="89" customWidth="1"/>
    <col min="15158" max="15158" width="36.28515625" style="89" customWidth="1"/>
    <col min="15159" max="15159" width="27.42578125" style="89" bestFit="1" customWidth="1"/>
    <col min="15160" max="15380" width="11.42578125" style="89"/>
    <col min="15381" max="15381" width="15.5703125" style="89" bestFit="1" customWidth="1"/>
    <col min="15382" max="15382" width="33.7109375" style="89" customWidth="1"/>
    <col min="15383" max="15383" width="19" style="89" customWidth="1"/>
    <col min="15384" max="15384" width="19.85546875" style="89" customWidth="1"/>
    <col min="15385" max="15385" width="18.5703125" style="89" customWidth="1"/>
    <col min="15386" max="15386" width="19.7109375" style="89" customWidth="1"/>
    <col min="15387" max="15387" width="14.85546875" style="89" customWidth="1"/>
    <col min="15388" max="15388" width="16.85546875" style="89" customWidth="1"/>
    <col min="15389" max="15391" width="11.42578125" style="89" customWidth="1"/>
    <col min="15392" max="15392" width="18.140625" style="89" customWidth="1"/>
    <col min="15393" max="15393" width="11.42578125" style="89" customWidth="1"/>
    <col min="15394" max="15394" width="12.5703125" style="89" customWidth="1"/>
    <col min="15395" max="15395" width="25" style="89" customWidth="1"/>
    <col min="15396" max="15396" width="16.5703125" style="89" bestFit="1" customWidth="1"/>
    <col min="15397" max="15397" width="24" style="89" customWidth="1"/>
    <col min="15398" max="15398" width="11.42578125" style="89" customWidth="1"/>
    <col min="15399" max="15399" width="20" style="89" customWidth="1"/>
    <col min="15400" max="15400" width="11.42578125" style="89" customWidth="1"/>
    <col min="15401" max="15401" width="19" style="89" customWidth="1"/>
    <col min="15402" max="15405" width="11.42578125" style="89" customWidth="1"/>
    <col min="15406" max="15406" width="15.140625" style="89" customWidth="1"/>
    <col min="15407" max="15407" width="14" style="89" customWidth="1"/>
    <col min="15408" max="15408" width="15.140625" style="89" customWidth="1"/>
    <col min="15409" max="15409" width="11.42578125" style="89" customWidth="1"/>
    <col min="15410" max="15410" width="51.7109375" style="89" customWidth="1"/>
    <col min="15411" max="15412" width="29.5703125" style="89" customWidth="1"/>
    <col min="15413" max="15413" width="44.42578125" style="89" customWidth="1"/>
    <col min="15414" max="15414" width="36.28515625" style="89" customWidth="1"/>
    <col min="15415" max="15415" width="27.42578125" style="89" bestFit="1" customWidth="1"/>
    <col min="15416" max="15636" width="11.42578125" style="89"/>
    <col min="15637" max="15637" width="15.5703125" style="89" bestFit="1" customWidth="1"/>
    <col min="15638" max="15638" width="33.7109375" style="89" customWidth="1"/>
    <col min="15639" max="15639" width="19" style="89" customWidth="1"/>
    <col min="15640" max="15640" width="19.85546875" style="89" customWidth="1"/>
    <col min="15641" max="15641" width="18.5703125" style="89" customWidth="1"/>
    <col min="15642" max="15642" width="19.7109375" style="89" customWidth="1"/>
    <col min="15643" max="15643" width="14.85546875" style="89" customWidth="1"/>
    <col min="15644" max="15644" width="16.85546875" style="89" customWidth="1"/>
    <col min="15645" max="15647" width="11.42578125" style="89" customWidth="1"/>
    <col min="15648" max="15648" width="18.140625" style="89" customWidth="1"/>
    <col min="15649" max="15649" width="11.42578125" style="89" customWidth="1"/>
    <col min="15650" max="15650" width="12.5703125" style="89" customWidth="1"/>
    <col min="15651" max="15651" width="25" style="89" customWidth="1"/>
    <col min="15652" max="15652" width="16.5703125" style="89" bestFit="1" customWidth="1"/>
    <col min="15653" max="15653" width="24" style="89" customWidth="1"/>
    <col min="15654" max="15654" width="11.42578125" style="89" customWidth="1"/>
    <col min="15655" max="15655" width="20" style="89" customWidth="1"/>
    <col min="15656" max="15656" width="11.42578125" style="89" customWidth="1"/>
    <col min="15657" max="15657" width="19" style="89" customWidth="1"/>
    <col min="15658" max="15661" width="11.42578125" style="89" customWidth="1"/>
    <col min="15662" max="15662" width="15.140625" style="89" customWidth="1"/>
    <col min="15663" max="15663" width="14" style="89" customWidth="1"/>
    <col min="15664" max="15664" width="15.140625" style="89" customWidth="1"/>
    <col min="15665" max="15665" width="11.42578125" style="89" customWidth="1"/>
    <col min="15666" max="15666" width="51.7109375" style="89" customWidth="1"/>
    <col min="15667" max="15668" width="29.5703125" style="89" customWidth="1"/>
    <col min="15669" max="15669" width="44.42578125" style="89" customWidth="1"/>
    <col min="15670" max="15670" width="36.28515625" style="89" customWidth="1"/>
    <col min="15671" max="15671" width="27.42578125" style="89" bestFit="1" customWidth="1"/>
    <col min="15672" max="15892" width="11.42578125" style="89"/>
    <col min="15893" max="15893" width="15.5703125" style="89" bestFit="1" customWidth="1"/>
    <col min="15894" max="15894" width="33.7109375" style="89" customWidth="1"/>
    <col min="15895" max="15895" width="19" style="89" customWidth="1"/>
    <col min="15896" max="15896" width="19.85546875" style="89" customWidth="1"/>
    <col min="15897" max="15897" width="18.5703125" style="89" customWidth="1"/>
    <col min="15898" max="15898" width="19.7109375" style="89" customWidth="1"/>
    <col min="15899" max="15899" width="14.85546875" style="89" customWidth="1"/>
    <col min="15900" max="15900" width="16.85546875" style="89" customWidth="1"/>
    <col min="15901" max="15903" width="11.42578125" style="89" customWidth="1"/>
    <col min="15904" max="15904" width="18.140625" style="89" customWidth="1"/>
    <col min="15905" max="15905" width="11.42578125" style="89" customWidth="1"/>
    <col min="15906" max="15906" width="12.5703125" style="89" customWidth="1"/>
    <col min="15907" max="15907" width="25" style="89" customWidth="1"/>
    <col min="15908" max="15908" width="16.5703125" style="89" bestFit="1" customWidth="1"/>
    <col min="15909" max="15909" width="24" style="89" customWidth="1"/>
    <col min="15910" max="15910" width="11.42578125" style="89" customWidth="1"/>
    <col min="15911" max="15911" width="20" style="89" customWidth="1"/>
    <col min="15912" max="15912" width="11.42578125" style="89" customWidth="1"/>
    <col min="15913" max="15913" width="19" style="89" customWidth="1"/>
    <col min="15914" max="15917" width="11.42578125" style="89" customWidth="1"/>
    <col min="15918" max="15918" width="15.140625" style="89" customWidth="1"/>
    <col min="15919" max="15919" width="14" style="89" customWidth="1"/>
    <col min="15920" max="15920" width="15.140625" style="89" customWidth="1"/>
    <col min="15921" max="15921" width="11.42578125" style="89" customWidth="1"/>
    <col min="15922" max="15922" width="51.7109375" style="89" customWidth="1"/>
    <col min="15923" max="15924" width="29.5703125" style="89" customWidth="1"/>
    <col min="15925" max="15925" width="44.42578125" style="89" customWidth="1"/>
    <col min="15926" max="15926" width="36.28515625" style="89" customWidth="1"/>
    <col min="15927" max="15927" width="27.42578125" style="89" bestFit="1" customWidth="1"/>
    <col min="15928" max="16148" width="11.42578125" style="89"/>
    <col min="16149" max="16149" width="15.5703125" style="89" bestFit="1" customWidth="1"/>
    <col min="16150" max="16150" width="33.7109375" style="89" customWidth="1"/>
    <col min="16151" max="16151" width="19" style="89" customWidth="1"/>
    <col min="16152" max="16152" width="19.85546875" style="89" customWidth="1"/>
    <col min="16153" max="16153" width="18.5703125" style="89" customWidth="1"/>
    <col min="16154" max="16154" width="19.7109375" style="89" customWidth="1"/>
    <col min="16155" max="16155" width="14.85546875" style="89" customWidth="1"/>
    <col min="16156" max="16156" width="16.85546875" style="89" customWidth="1"/>
    <col min="16157" max="16159" width="11.42578125" style="89" customWidth="1"/>
    <col min="16160" max="16160" width="18.140625" style="89" customWidth="1"/>
    <col min="16161" max="16161" width="11.42578125" style="89" customWidth="1"/>
    <col min="16162" max="16162" width="12.5703125" style="89" customWidth="1"/>
    <col min="16163" max="16163" width="25" style="89" customWidth="1"/>
    <col min="16164" max="16164" width="16.5703125" style="89" bestFit="1" customWidth="1"/>
    <col min="16165" max="16165" width="24" style="89" customWidth="1"/>
    <col min="16166" max="16166" width="11.42578125" style="89" customWidth="1"/>
    <col min="16167" max="16167" width="20" style="89" customWidth="1"/>
    <col min="16168" max="16168" width="11.42578125" style="89" customWidth="1"/>
    <col min="16169" max="16169" width="19" style="89" customWidth="1"/>
    <col min="16170" max="16173" width="11.42578125" style="89" customWidth="1"/>
    <col min="16174" max="16174" width="15.140625" style="89" customWidth="1"/>
    <col min="16175" max="16175" width="14" style="89" customWidth="1"/>
    <col min="16176" max="16176" width="15.140625" style="89" customWidth="1"/>
    <col min="16177" max="16177" width="11.42578125" style="89" customWidth="1"/>
    <col min="16178" max="16178" width="51.7109375" style="89" customWidth="1"/>
    <col min="16179" max="16180" width="29.5703125" style="89" customWidth="1"/>
    <col min="16181" max="16181" width="44.42578125" style="89" customWidth="1"/>
    <col min="16182" max="16182" width="36.28515625" style="89" customWidth="1"/>
    <col min="16183" max="16183" width="27.42578125" style="89" bestFit="1" customWidth="1"/>
    <col min="16184" max="16384" width="11.42578125" style="89"/>
  </cols>
  <sheetData>
    <row r="1" spans="1:76" s="90" customFormat="1" ht="34.5" customHeight="1" x14ac:dyDescent="0.6">
      <c r="AD1" s="238"/>
      <c r="AH1" s="238"/>
      <c r="AI1" s="238"/>
      <c r="AJ1" s="238"/>
      <c r="AR1" s="238"/>
      <c r="BL1" s="242" t="s">
        <v>218</v>
      </c>
      <c r="BM1" s="243"/>
      <c r="BN1" s="243"/>
      <c r="BO1" s="243"/>
      <c r="BP1" s="243"/>
      <c r="BQ1" s="243"/>
      <c r="BR1" s="243"/>
      <c r="BS1" s="243"/>
      <c r="BT1" s="243"/>
      <c r="BU1" s="243"/>
    </row>
    <row r="2" spans="1:76" ht="76.5" x14ac:dyDescent="0.25">
      <c r="A2" s="233" t="s">
        <v>176</v>
      </c>
      <c r="B2" s="234" t="s">
        <v>89</v>
      </c>
      <c r="C2" s="235" t="s">
        <v>90</v>
      </c>
      <c r="D2" s="235" t="s">
        <v>91</v>
      </c>
      <c r="E2" s="235" t="s">
        <v>92</v>
      </c>
      <c r="F2" s="236" t="s">
        <v>93</v>
      </c>
      <c r="G2" s="236" t="s">
        <v>94</v>
      </c>
      <c r="H2" s="236" t="s">
        <v>206</v>
      </c>
      <c r="I2" s="229" t="s">
        <v>95</v>
      </c>
      <c r="J2" s="226" t="s">
        <v>96</v>
      </c>
      <c r="K2" s="230" t="s">
        <v>97</v>
      </c>
      <c r="L2" s="226" t="s">
        <v>98</v>
      </c>
      <c r="M2" s="231" t="s">
        <v>99</v>
      </c>
      <c r="N2" s="231" t="s">
        <v>100</v>
      </c>
      <c r="O2" s="231" t="s">
        <v>101</v>
      </c>
      <c r="P2" s="226" t="s">
        <v>102</v>
      </c>
      <c r="Q2" s="226" t="s">
        <v>103</v>
      </c>
      <c r="R2" s="231" t="s">
        <v>145</v>
      </c>
      <c r="S2" s="237" t="s">
        <v>157</v>
      </c>
      <c r="T2" s="237" t="s">
        <v>158</v>
      </c>
      <c r="U2" s="237" t="s">
        <v>159</v>
      </c>
      <c r="V2" s="237" t="s">
        <v>160</v>
      </c>
      <c r="W2" s="237" t="s">
        <v>161</v>
      </c>
      <c r="X2" s="237" t="s">
        <v>211</v>
      </c>
      <c r="Y2" s="237" t="s">
        <v>212</v>
      </c>
      <c r="Z2" s="237" t="s">
        <v>213</v>
      </c>
      <c r="AA2" s="237" t="s">
        <v>162</v>
      </c>
      <c r="AB2" s="237" t="s">
        <v>163</v>
      </c>
      <c r="AC2" s="237" t="s">
        <v>164</v>
      </c>
      <c r="AD2" s="237" t="s">
        <v>165</v>
      </c>
      <c r="AE2" s="237" t="s">
        <v>166</v>
      </c>
      <c r="AF2" s="237" t="s">
        <v>167</v>
      </c>
      <c r="AG2" s="237" t="s">
        <v>178</v>
      </c>
      <c r="AH2" s="237" t="s">
        <v>179</v>
      </c>
      <c r="AI2" s="237" t="s">
        <v>104</v>
      </c>
      <c r="AJ2" s="237" t="s">
        <v>150</v>
      </c>
      <c r="AK2" s="237" t="s">
        <v>207</v>
      </c>
      <c r="AL2" s="231" t="s">
        <v>184</v>
      </c>
      <c r="AM2" s="231" t="s">
        <v>185</v>
      </c>
      <c r="AN2" s="231" t="s">
        <v>168</v>
      </c>
      <c r="AO2" s="231" t="s">
        <v>169</v>
      </c>
      <c r="AP2" s="237" t="s">
        <v>172</v>
      </c>
      <c r="AQ2" s="237" t="s">
        <v>173</v>
      </c>
      <c r="AR2" s="237" t="s">
        <v>181</v>
      </c>
      <c r="AS2" s="237" t="s">
        <v>180</v>
      </c>
      <c r="AT2" s="237" t="s">
        <v>170</v>
      </c>
      <c r="AU2" s="237" t="s">
        <v>171</v>
      </c>
      <c r="AV2" s="237" t="s">
        <v>182</v>
      </c>
      <c r="AW2" s="237" t="s">
        <v>183</v>
      </c>
      <c r="AX2" s="232" t="s">
        <v>105</v>
      </c>
      <c r="AY2" s="232" t="s">
        <v>106</v>
      </c>
      <c r="AZ2" s="226" t="s">
        <v>107</v>
      </c>
      <c r="BA2" s="232" t="s">
        <v>65</v>
      </c>
      <c r="BB2" s="226" t="s">
        <v>108</v>
      </c>
      <c r="BC2" s="226" t="s">
        <v>146</v>
      </c>
      <c r="BD2" s="226" t="s">
        <v>147</v>
      </c>
      <c r="BE2" s="227" t="s">
        <v>186</v>
      </c>
      <c r="BF2" s="227" t="s">
        <v>187</v>
      </c>
      <c r="BG2" s="227" t="s">
        <v>188</v>
      </c>
      <c r="BH2" s="228" t="s">
        <v>216</v>
      </c>
      <c r="BI2" s="228" t="s">
        <v>217</v>
      </c>
      <c r="BK2" s="239" t="s">
        <v>219</v>
      </c>
      <c r="BL2" s="239" t="s">
        <v>219</v>
      </c>
      <c r="BM2" s="239" t="s">
        <v>219</v>
      </c>
      <c r="BN2" s="239" t="s">
        <v>219</v>
      </c>
      <c r="BO2" s="239" t="s">
        <v>219</v>
      </c>
      <c r="BP2" s="239" t="s">
        <v>219</v>
      </c>
      <c r="BQ2" s="239" t="s">
        <v>219</v>
      </c>
      <c r="BR2" s="239" t="s">
        <v>219</v>
      </c>
      <c r="BS2" s="239" t="s">
        <v>219</v>
      </c>
      <c r="BT2" s="239" t="s">
        <v>219</v>
      </c>
      <c r="BU2" s="239" t="s">
        <v>219</v>
      </c>
      <c r="BV2" s="239" t="s">
        <v>219</v>
      </c>
      <c r="BW2" s="239" t="s">
        <v>219</v>
      </c>
      <c r="BX2" s="239" t="s">
        <v>219</v>
      </c>
    </row>
    <row r="3" spans="1:76" x14ac:dyDescent="0.25">
      <c r="A3" s="169" t="s">
        <v>225</v>
      </c>
      <c r="B3" s="170">
        <v>860075</v>
      </c>
      <c r="C3" s="165" t="s">
        <v>198</v>
      </c>
      <c r="D3" s="171" t="s">
        <v>109</v>
      </c>
      <c r="E3" s="189">
        <v>43830</v>
      </c>
      <c r="F3" s="188" t="s">
        <v>115</v>
      </c>
      <c r="G3" s="189" t="s">
        <v>114</v>
      </c>
      <c r="H3" s="189" t="s">
        <v>208</v>
      </c>
      <c r="I3" s="189">
        <v>43899</v>
      </c>
      <c r="J3" s="189">
        <v>43937</v>
      </c>
      <c r="K3" s="190">
        <f>IF(I3="","",MONTH(I3))</f>
        <v>3</v>
      </c>
      <c r="L3" s="190">
        <f>IF(I3="","",DAYS360(E3,I3))</f>
        <v>69</v>
      </c>
      <c r="M3" s="188"/>
      <c r="N3" s="188"/>
      <c r="O3" s="188"/>
      <c r="P3" s="188"/>
      <c r="Q3" s="188"/>
      <c r="R3" s="188"/>
      <c r="S3" s="213">
        <v>100</v>
      </c>
      <c r="T3" s="207">
        <v>50</v>
      </c>
      <c r="U3" s="219"/>
      <c r="V3" s="213">
        <v>200</v>
      </c>
      <c r="W3" s="219">
        <v>200</v>
      </c>
      <c r="X3" s="219">
        <v>300</v>
      </c>
      <c r="Y3" s="219">
        <v>20</v>
      </c>
      <c r="Z3" s="219"/>
      <c r="AA3" s="219">
        <v>200</v>
      </c>
      <c r="AB3" s="219">
        <v>100</v>
      </c>
      <c r="AC3" s="219">
        <v>2000</v>
      </c>
      <c r="AD3" s="219">
        <v>200</v>
      </c>
      <c r="AE3" s="219">
        <v>600</v>
      </c>
      <c r="AF3" s="219">
        <v>500</v>
      </c>
      <c r="AG3" s="219">
        <v>4470</v>
      </c>
      <c r="AH3" s="225">
        <f>SUM(PORTEFEUILLE_AURELIE_T[[#This Row],[PCR COMPTABLE €]:[MONTANT
RESPONSABLE RELATION CLIENT €]])-PORTEFEUILLE_AURELIE_T[[#This Row],[MONTANT TOTAL LETTRE DE MISION €]]</f>
        <v>0</v>
      </c>
      <c r="AI3" s="191" t="s">
        <v>152</v>
      </c>
      <c r="AJ3" s="188" t="s">
        <v>155</v>
      </c>
      <c r="AK3" s="188" t="s">
        <v>153</v>
      </c>
      <c r="AL3" s="188" t="s">
        <v>199</v>
      </c>
      <c r="AM3" s="188" t="s">
        <v>200</v>
      </c>
      <c r="AN3" s="188">
        <v>36</v>
      </c>
      <c r="AO3" s="188">
        <v>16</v>
      </c>
      <c r="AP3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Q3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400</v>
      </c>
      <c r="AR3" s="188" t="str">
        <f>IF(PORTEFEUILLE_AURELIE_T[[#This Row],[BONI AAC]]&lt;&gt;0,1,"")</f>
        <v/>
      </c>
      <c r="AS3" s="188">
        <f>IF(PORTEFEUILLE_AURELIE_T[[#This Row],[MALI AAC]]&lt;&gt;0,1,"")</f>
        <v>1</v>
      </c>
      <c r="AT3" s="225">
        <f>IF(AN3&lt;&gt;"",IF((AN3*Paramètres!$H$4)-PORTEFEUILLE_AURELIE_T[[#This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€]]-(DELPHINE!AN3*Paramètres!$H$4),0),0)</f>
        <v>0</v>
      </c>
      <c r="AU3" s="225">
        <f>IF(AN3&lt;&gt;"",IF(((AN3*Paramètres!$H$4)-PORTEFEUILLE_AURELIE_T[[#This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€]])&gt;0,(AN3*Paramètres!$H$4)-PORTEFEUILLE_AURELIE_T[[#This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V3" s="190" t="str">
        <f>IF(PORTEFEUILLE_AURELIE_T[[#This Row],[BONI COMPTABLE]]&lt;&gt;0,1,"")</f>
        <v/>
      </c>
      <c r="AW3" s="190" t="str">
        <f>IF(PORTEFEUILLE_AURELIE_T[[#This Row],[MALI COMPTABLE]]&lt;&gt;0,1,"")</f>
        <v/>
      </c>
      <c r="AX3" s="188">
        <v>2</v>
      </c>
      <c r="AY3" s="188" t="s">
        <v>209</v>
      </c>
      <c r="AZ3" s="188" t="s">
        <v>209</v>
      </c>
      <c r="BA3" s="188"/>
      <c r="BB3" s="188"/>
      <c r="BC3" s="188"/>
      <c r="BD3" s="188"/>
      <c r="BE3" s="192" t="s">
        <v>214</v>
      </c>
      <c r="BF3" s="192" t="s">
        <v>191</v>
      </c>
      <c r="BG3" s="192" t="s">
        <v>200</v>
      </c>
      <c r="BH3" s="193"/>
      <c r="BI3" s="192"/>
    </row>
    <row r="4" spans="1:76" x14ac:dyDescent="0.25">
      <c r="A4" s="169" t="s">
        <v>225</v>
      </c>
      <c r="B4" s="170">
        <v>860076</v>
      </c>
      <c r="C4" s="165" t="s">
        <v>210</v>
      </c>
      <c r="D4" s="171" t="s">
        <v>109</v>
      </c>
      <c r="E4" s="189">
        <v>43830</v>
      </c>
      <c r="F4" s="188" t="s">
        <v>112</v>
      </c>
      <c r="G4" s="189" t="s">
        <v>111</v>
      </c>
      <c r="H4" s="189"/>
      <c r="I4" s="189">
        <v>43873</v>
      </c>
      <c r="J4" s="189">
        <v>43938</v>
      </c>
      <c r="K4" s="190">
        <f t="shared" ref="K4:K60" si="0">IF(I4="","",MONTH(I4))</f>
        <v>2</v>
      </c>
      <c r="L4" s="190">
        <f t="shared" ref="L4:L60" si="1">IF(I4="","",DAYS360(E4,I4))</f>
        <v>42</v>
      </c>
      <c r="M4" s="188" t="s">
        <v>200</v>
      </c>
      <c r="N4" s="188"/>
      <c r="O4" s="188"/>
      <c r="P4" s="188"/>
      <c r="Q4" s="188"/>
      <c r="R4" s="188"/>
      <c r="S4" s="213">
        <v>0</v>
      </c>
      <c r="T4" s="207">
        <v>100</v>
      </c>
      <c r="U4" s="219"/>
      <c r="V4" s="219">
        <v>50</v>
      </c>
      <c r="W4" s="219">
        <v>550</v>
      </c>
      <c r="X4" s="219"/>
      <c r="Y4" s="219"/>
      <c r="Z4" s="219"/>
      <c r="AA4" s="219"/>
      <c r="AB4" s="219"/>
      <c r="AC4" s="219"/>
      <c r="AD4" s="219"/>
      <c r="AE4" s="219"/>
      <c r="AF4" s="219"/>
      <c r="AG4" s="219">
        <v>700</v>
      </c>
      <c r="AH4" s="225">
        <f>SUM(PORTEFEUILLE_AURELIE_T[[#This Row],[PCR COMPTABLE €]:[MONTANT
RESPONSABLE RELATION CLIENT €]])-PORTEFEUILLE_AURELIE_T[[#This Row],[MONTANT TOTAL LETTRE DE MISION €]]</f>
        <v>0</v>
      </c>
      <c r="AI4" s="191" t="s">
        <v>153</v>
      </c>
      <c r="AJ4" s="188" t="s">
        <v>154</v>
      </c>
      <c r="AK4" s="188"/>
      <c r="AL4" s="188" t="s">
        <v>199</v>
      </c>
      <c r="AM4" s="188"/>
      <c r="AN4" s="188">
        <v>30</v>
      </c>
      <c r="AO4" s="188">
        <v>20</v>
      </c>
      <c r="AP4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Q4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1000</v>
      </c>
      <c r="AR4" s="188" t="str">
        <f>IF(PORTEFEUILLE_AURELIE_T[[#This Row],[BONI AAC]]&lt;&gt;0,1,"")</f>
        <v/>
      </c>
      <c r="AS4" s="188">
        <f>IF(PORTEFEUILLE_AURELIE_T[[#This Row],[MALI AAC]]&lt;&gt;0,1,"")</f>
        <v>1</v>
      </c>
      <c r="AT4" s="225">
        <f>IF(AN4&lt;&gt;"",IF((AN4*Paramètres!$H$4)-PORTEFEUILLE_AURELIE_T[[#This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€]]-(DELPHINE!AN4*Paramètres!$H$4),0),0)</f>
        <v>0</v>
      </c>
      <c r="AU4" s="225">
        <f>IF(AN4&lt;&gt;"",IF(((AN4*Paramètres!$H$4)-PORTEFEUILLE_AURELIE_T[[#This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€]])&gt;0,(AN4*Paramètres!$H$4)-PORTEFEUILLE_AURELIE_T[[#This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3000</v>
      </c>
      <c r="AV4" s="190" t="str">
        <f>IF(PORTEFEUILLE_AURELIE_T[[#This Row],[BONI COMPTABLE]]&lt;&gt;0,1,"")</f>
        <v/>
      </c>
      <c r="AW4" s="190">
        <f>IF(PORTEFEUILLE_AURELIE_T[[#This Row],[MALI COMPTABLE]]&lt;&gt;0,1,"")</f>
        <v>1</v>
      </c>
      <c r="AX4" s="188">
        <v>4</v>
      </c>
      <c r="AY4" s="188" t="s">
        <v>209</v>
      </c>
      <c r="AZ4" s="188" t="s">
        <v>209</v>
      </c>
      <c r="BA4" s="188"/>
      <c r="BB4" s="188"/>
      <c r="BC4" s="188"/>
      <c r="BD4" s="188"/>
      <c r="BE4" s="192" t="s">
        <v>214</v>
      </c>
      <c r="BF4" s="194" t="s">
        <v>138</v>
      </c>
      <c r="BG4" s="194" t="s">
        <v>215</v>
      </c>
      <c r="BH4" s="195"/>
      <c r="BI4" s="194"/>
    </row>
    <row r="5" spans="1:76" x14ac:dyDescent="0.25">
      <c r="A5" s="169" t="s">
        <v>225</v>
      </c>
      <c r="B5" s="170">
        <v>860077</v>
      </c>
      <c r="C5" s="165" t="s">
        <v>204</v>
      </c>
      <c r="D5" s="171" t="s">
        <v>109</v>
      </c>
      <c r="E5" s="189">
        <v>43830</v>
      </c>
      <c r="F5" s="188" t="s">
        <v>130</v>
      </c>
      <c r="G5" s="189" t="s">
        <v>114</v>
      </c>
      <c r="H5" s="189" t="s">
        <v>208</v>
      </c>
      <c r="I5" s="189"/>
      <c r="J5" s="189"/>
      <c r="K5" s="190" t="str">
        <f t="shared" si="0"/>
        <v/>
      </c>
      <c r="L5" s="190" t="str">
        <f t="shared" si="1"/>
        <v/>
      </c>
      <c r="M5" s="188"/>
      <c r="N5" s="188"/>
      <c r="O5" s="188"/>
      <c r="P5" s="188"/>
      <c r="Q5" s="188"/>
      <c r="R5" s="188"/>
      <c r="S5" s="213">
        <v>85</v>
      </c>
      <c r="T5" s="207">
        <v>85</v>
      </c>
      <c r="U5" s="219">
        <v>200</v>
      </c>
      <c r="V5" s="219">
        <v>200</v>
      </c>
      <c r="W5" s="219">
        <v>400</v>
      </c>
      <c r="X5" s="219"/>
      <c r="Y5" s="219">
        <v>400</v>
      </c>
      <c r="Z5" s="219"/>
      <c r="AA5" s="219">
        <v>600</v>
      </c>
      <c r="AB5" s="219"/>
      <c r="AC5" s="219">
        <v>1500</v>
      </c>
      <c r="AD5" s="219">
        <v>200</v>
      </c>
      <c r="AE5" s="219">
        <v>0</v>
      </c>
      <c r="AF5" s="219">
        <v>65</v>
      </c>
      <c r="AG5" s="219">
        <v>3735</v>
      </c>
      <c r="AH5" s="225">
        <f>SUM(PORTEFEUILLE_AURELIE_T[[#This Row],[PCR COMPTABLE €]:[MONTANT
RESPONSABLE RELATION CLIENT €]])-PORTEFEUILLE_AURELIE_T[[#This Row],[MONTANT TOTAL LETTRE DE MISION €]]</f>
        <v>0</v>
      </c>
      <c r="AI5" s="191" t="s">
        <v>153</v>
      </c>
      <c r="AJ5" s="188" t="s">
        <v>156</v>
      </c>
      <c r="AK5" s="188" t="s">
        <v>153</v>
      </c>
      <c r="AL5" s="188"/>
      <c r="AM5" s="188"/>
      <c r="AN5" s="188">
        <v>60</v>
      </c>
      <c r="AO5" s="188">
        <v>60</v>
      </c>
      <c r="AP5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Q5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2200</v>
      </c>
      <c r="AR5" s="188" t="str">
        <f>IF(PORTEFEUILLE_AURELIE_T[[#This Row],[BONI AAC]]&lt;&gt;0,1,"")</f>
        <v/>
      </c>
      <c r="AS5" s="188">
        <f>IF(PORTEFEUILLE_AURELIE_T[[#This Row],[MALI AAC]]&lt;&gt;0,1,"")</f>
        <v>1</v>
      </c>
      <c r="AT5" s="225">
        <f>IF(AN5&lt;&gt;"",IF((AN5*Paramètres!$H$4)-PORTEFEUILLE_AURELIE_T[[#This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€]]-(DELPHINE!AN5*Paramètres!$H$4),0),0)</f>
        <v>0</v>
      </c>
      <c r="AU5" s="225">
        <f>IF(AN5&lt;&gt;"",IF(((AN5*Paramètres!$H$4)-PORTEFEUILLE_AURELIE_T[[#This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€]])&gt;0,(AN5*Paramètres!$H$4)-PORTEFEUILLE_AURELIE_T[[#This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4150</v>
      </c>
      <c r="AV5" s="190" t="str">
        <f>IF(PORTEFEUILLE_AURELIE_T[[#This Row],[BONI COMPTABLE]]&lt;&gt;0,1,"")</f>
        <v/>
      </c>
      <c r="AW5" s="190">
        <f>IF(PORTEFEUILLE_AURELIE_T[[#This Row],[MALI COMPTABLE]]&lt;&gt;0,1,"")</f>
        <v>1</v>
      </c>
      <c r="AX5" s="188"/>
      <c r="AY5" s="188"/>
      <c r="AZ5" s="188"/>
      <c r="BA5" s="188"/>
      <c r="BB5" s="188"/>
      <c r="BC5" s="188"/>
      <c r="BD5" s="188"/>
      <c r="BE5" s="192" t="s">
        <v>214</v>
      </c>
      <c r="BF5" s="194" t="s">
        <v>140</v>
      </c>
      <c r="BG5" s="194" t="s">
        <v>205</v>
      </c>
      <c r="BH5" s="195" t="s">
        <v>200</v>
      </c>
      <c r="BI5" s="194"/>
    </row>
    <row r="6" spans="1:76" x14ac:dyDescent="0.25">
      <c r="A6" s="172"/>
      <c r="B6" s="170"/>
      <c r="C6" s="165"/>
      <c r="D6" s="171"/>
      <c r="E6" s="189"/>
      <c r="F6" s="188"/>
      <c r="G6" s="189"/>
      <c r="H6" s="189"/>
      <c r="I6" s="189"/>
      <c r="J6" s="189"/>
      <c r="K6" s="190" t="str">
        <f t="shared" si="0"/>
        <v/>
      </c>
      <c r="L6" s="190" t="str">
        <f t="shared" si="1"/>
        <v/>
      </c>
      <c r="M6" s="188"/>
      <c r="N6" s="188"/>
      <c r="O6" s="188"/>
      <c r="P6" s="188"/>
      <c r="Q6" s="188"/>
      <c r="R6" s="188"/>
      <c r="S6" s="213"/>
      <c r="T6" s="207"/>
      <c r="U6" s="219"/>
      <c r="V6" s="219"/>
      <c r="W6" s="219"/>
      <c r="X6" s="219"/>
      <c r="Y6" s="219"/>
      <c r="Z6" s="219"/>
      <c r="AA6" s="219"/>
      <c r="AB6" s="219"/>
      <c r="AC6" s="219"/>
      <c r="AD6" s="219"/>
      <c r="AE6" s="219"/>
      <c r="AF6" s="219"/>
      <c r="AG6" s="219"/>
      <c r="AH6" s="225">
        <f>SUM(PORTEFEUILLE_AURELIE_T[[#This Row],[PCR COMPTABLE €]:[MONTANT
RESPONSABLE RELATION CLIENT €]])-PORTEFEUILLE_AURELIE_T[[#This Row],[MONTANT TOTAL LETTRE DE MISION €]]</f>
        <v>0</v>
      </c>
      <c r="AI6" s="191"/>
      <c r="AJ6" s="188"/>
      <c r="AK6" s="188"/>
      <c r="AL6" s="188"/>
      <c r="AM6" s="188"/>
      <c r="AN6" s="188"/>
      <c r="AO6" s="188"/>
      <c r="AP6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Q6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R6" s="188" t="str">
        <f>IF(PORTEFEUILLE_AURELIE_T[[#This Row],[BONI AAC]]&lt;&gt;0,1,"")</f>
        <v/>
      </c>
      <c r="AS6" s="188" t="str">
        <f>IF(PORTEFEUILLE_AURELIE_T[[#This Row],[MALI AAC]]&lt;&gt;0,1,"")</f>
        <v/>
      </c>
      <c r="AT6" s="225">
        <f>IF(AN6&lt;&gt;"",IF((AN6*Paramètres!$H$4)-PORTEFEUILLE_AURELIE_T[[#This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€]]-(DELPHINE!AN6*Paramètres!$H$4),0),0)</f>
        <v>0</v>
      </c>
      <c r="AU6" s="225">
        <f>IF(AN6&lt;&gt;"",IF(((AN6*Paramètres!$H$4)-PORTEFEUILLE_AURELIE_T[[#This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€]])&gt;0,(AN6*Paramètres!$H$4)-PORTEFEUILLE_AURELIE_T[[#This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V6" s="190" t="str">
        <f>IF(PORTEFEUILLE_AURELIE_T[[#This Row],[BONI COMPTABLE]]&lt;&gt;0,1,"")</f>
        <v/>
      </c>
      <c r="AW6" s="190" t="str">
        <f>IF(PORTEFEUILLE_AURELIE_T[[#This Row],[MALI COMPTABLE]]&lt;&gt;0,1,"")</f>
        <v/>
      </c>
      <c r="AX6" s="188"/>
      <c r="AY6" s="188"/>
      <c r="AZ6" s="188"/>
      <c r="BA6" s="188"/>
      <c r="BB6" s="188"/>
      <c r="BC6" s="188"/>
      <c r="BD6" s="188"/>
      <c r="BE6" s="192"/>
      <c r="BF6" s="194"/>
      <c r="BG6" s="194"/>
      <c r="BH6" s="195"/>
      <c r="BI6" s="194"/>
    </row>
    <row r="7" spans="1:76" x14ac:dyDescent="0.25">
      <c r="A7" s="172"/>
      <c r="B7" s="173"/>
      <c r="C7" s="165"/>
      <c r="D7" s="171"/>
      <c r="E7" s="189"/>
      <c r="F7" s="188"/>
      <c r="G7" s="189"/>
      <c r="H7" s="189"/>
      <c r="I7" s="189"/>
      <c r="J7" s="189"/>
      <c r="K7" s="190" t="str">
        <f t="shared" si="0"/>
        <v/>
      </c>
      <c r="L7" s="190" t="str">
        <f t="shared" si="1"/>
        <v/>
      </c>
      <c r="M7" s="188"/>
      <c r="N7" s="188"/>
      <c r="O7" s="188"/>
      <c r="P7" s="188"/>
      <c r="Q7" s="188"/>
      <c r="R7" s="188"/>
      <c r="S7" s="213"/>
      <c r="T7" s="207"/>
      <c r="U7" s="219"/>
      <c r="V7" s="219"/>
      <c r="W7" s="219"/>
      <c r="X7" s="219"/>
      <c r="Y7" s="219"/>
      <c r="Z7" s="219"/>
      <c r="AA7" s="219"/>
      <c r="AB7" s="219"/>
      <c r="AC7" s="219"/>
      <c r="AD7" s="219"/>
      <c r="AE7" s="219"/>
      <c r="AF7" s="219"/>
      <c r="AG7" s="219"/>
      <c r="AH7" s="225">
        <f>SUM(PORTEFEUILLE_AURELIE_T[[#This Row],[PCR COMPTABLE €]:[MONTANT
RESPONSABLE RELATION CLIENT €]])-PORTEFEUILLE_AURELIE_T[[#This Row],[MONTANT TOTAL LETTRE DE MISION €]]</f>
        <v>0</v>
      </c>
      <c r="AI7" s="191"/>
      <c r="AJ7" s="188"/>
      <c r="AK7" s="188"/>
      <c r="AL7" s="188"/>
      <c r="AM7" s="188"/>
      <c r="AN7" s="188"/>
      <c r="AO7" s="188"/>
      <c r="AP7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Q7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R7" s="188" t="str">
        <f>IF(PORTEFEUILLE_AURELIE_T[[#This Row],[BONI AAC]]&lt;&gt;0,1,"")</f>
        <v/>
      </c>
      <c r="AS7" s="188" t="str">
        <f>IF(PORTEFEUILLE_AURELIE_T[[#This Row],[MALI AAC]]&lt;&gt;0,1,"")</f>
        <v/>
      </c>
      <c r="AT7" s="225">
        <f>IF(AN7&lt;&gt;"",IF((AN7*Paramètres!$H$4)-PORTEFEUILLE_AURELIE_T[[#This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€]]-(DELPHINE!AN7*Paramètres!$H$4),0),0)</f>
        <v>0</v>
      </c>
      <c r="AU7" s="225">
        <f>IF(AN7&lt;&gt;"",IF(((AN7*Paramètres!$H$4)-PORTEFEUILLE_AURELIE_T[[#This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€]])&gt;0,(AN7*Paramètres!$H$4)-PORTEFEUILLE_AURELIE_T[[#This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V7" s="190" t="str">
        <f>IF(PORTEFEUILLE_AURELIE_T[[#This Row],[BONI COMPTABLE]]&lt;&gt;0,1,"")</f>
        <v/>
      </c>
      <c r="AW7" s="190" t="str">
        <f>IF(PORTEFEUILLE_AURELIE_T[[#This Row],[MALI COMPTABLE]]&lt;&gt;0,1,"")</f>
        <v/>
      </c>
      <c r="AX7" s="188"/>
      <c r="AY7" s="188"/>
      <c r="AZ7" s="188"/>
      <c r="BA7" s="188"/>
      <c r="BB7" s="196"/>
      <c r="BC7" s="196"/>
      <c r="BD7" s="196"/>
      <c r="BE7" s="192"/>
      <c r="BF7" s="194"/>
      <c r="BG7" s="194"/>
      <c r="BH7" s="195"/>
      <c r="BI7" s="194"/>
    </row>
    <row r="8" spans="1:76" x14ac:dyDescent="0.25">
      <c r="A8" s="172"/>
      <c r="B8" s="170"/>
      <c r="C8" s="165"/>
      <c r="D8" s="171"/>
      <c r="E8" s="189"/>
      <c r="F8" s="188"/>
      <c r="G8" s="189"/>
      <c r="H8" s="189"/>
      <c r="I8" s="189"/>
      <c r="J8" s="189"/>
      <c r="K8" s="190" t="str">
        <f t="shared" si="0"/>
        <v/>
      </c>
      <c r="L8" s="190" t="str">
        <f t="shared" si="1"/>
        <v/>
      </c>
      <c r="M8" s="188"/>
      <c r="N8" s="188"/>
      <c r="O8" s="188"/>
      <c r="P8" s="188"/>
      <c r="Q8" s="188"/>
      <c r="R8" s="188"/>
      <c r="S8" s="213"/>
      <c r="T8" s="207"/>
      <c r="U8" s="219"/>
      <c r="V8" s="219"/>
      <c r="W8" s="219"/>
      <c r="X8" s="219"/>
      <c r="Y8" s="219"/>
      <c r="Z8" s="219"/>
      <c r="AA8" s="219"/>
      <c r="AB8" s="219"/>
      <c r="AC8" s="219"/>
      <c r="AD8" s="219"/>
      <c r="AE8" s="219"/>
      <c r="AF8" s="219"/>
      <c r="AG8" s="219"/>
      <c r="AH8" s="225">
        <f>SUM(PORTEFEUILLE_AURELIE_T[[#This Row],[PCR COMPTABLE €]:[MONTANT
RESPONSABLE RELATION CLIENT €]])-PORTEFEUILLE_AURELIE_T[[#This Row],[MONTANT TOTAL LETTRE DE MISION €]]</f>
        <v>0</v>
      </c>
      <c r="AI8" s="191"/>
      <c r="AJ8" s="188"/>
      <c r="AK8" s="188"/>
      <c r="AL8" s="188"/>
      <c r="AM8" s="188"/>
      <c r="AN8" s="188"/>
      <c r="AO8" s="188"/>
      <c r="AP8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Q8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R8" s="188" t="str">
        <f>IF(PORTEFEUILLE_AURELIE_T[[#This Row],[BONI AAC]]&lt;&gt;0,1,"")</f>
        <v/>
      </c>
      <c r="AS8" s="188" t="str">
        <f>IF(PORTEFEUILLE_AURELIE_T[[#This Row],[MALI AAC]]&lt;&gt;0,1,"")</f>
        <v/>
      </c>
      <c r="AT8" s="225">
        <f>IF(AN8&lt;&gt;"",IF((AN8*Paramètres!$H$4)-PORTEFEUILLE_AURELIE_T[[#This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€]]-(DELPHINE!AN8*Paramètres!$H$4),0),0)</f>
        <v>0</v>
      </c>
      <c r="AU8" s="225">
        <f>IF(AN8&lt;&gt;"",IF(((AN8*Paramètres!$H$4)-PORTEFEUILLE_AURELIE_T[[#This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€]])&gt;0,(AN8*Paramètres!$H$4)-PORTEFEUILLE_AURELIE_T[[#This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V8" s="190" t="str">
        <f>IF(PORTEFEUILLE_AURELIE_T[[#This Row],[BONI COMPTABLE]]&lt;&gt;0,1,"")</f>
        <v/>
      </c>
      <c r="AW8" s="190" t="str">
        <f>IF(PORTEFEUILLE_AURELIE_T[[#This Row],[MALI COMPTABLE]]&lt;&gt;0,1,"")</f>
        <v/>
      </c>
      <c r="AX8" s="188"/>
      <c r="AY8" s="188"/>
      <c r="AZ8" s="188"/>
      <c r="BA8" s="188"/>
      <c r="BB8" s="188"/>
      <c r="BC8" s="188"/>
      <c r="BD8" s="188"/>
      <c r="BE8" s="192"/>
      <c r="BF8" s="194"/>
      <c r="BG8" s="194"/>
      <c r="BH8" s="195"/>
      <c r="BI8" s="194"/>
    </row>
    <row r="9" spans="1:76" x14ac:dyDescent="0.25">
      <c r="A9" s="172"/>
      <c r="B9" s="170"/>
      <c r="C9" s="165"/>
      <c r="D9" s="171"/>
      <c r="E9" s="189"/>
      <c r="F9" s="188"/>
      <c r="G9" s="188"/>
      <c r="H9" s="189"/>
      <c r="I9" s="189"/>
      <c r="J9" s="189"/>
      <c r="K9" s="190" t="str">
        <f t="shared" si="0"/>
        <v/>
      </c>
      <c r="L9" s="190" t="str">
        <f t="shared" si="1"/>
        <v/>
      </c>
      <c r="M9" s="188"/>
      <c r="N9" s="188"/>
      <c r="O9" s="188"/>
      <c r="P9" s="188"/>
      <c r="Q9" s="188"/>
      <c r="R9" s="188"/>
      <c r="S9" s="214"/>
      <c r="T9" s="208"/>
      <c r="U9" s="220"/>
      <c r="V9" s="220"/>
      <c r="W9" s="220"/>
      <c r="X9" s="220"/>
      <c r="Y9" s="220"/>
      <c r="Z9" s="220"/>
      <c r="AA9" s="220"/>
      <c r="AB9" s="220"/>
      <c r="AC9" s="220"/>
      <c r="AD9" s="220"/>
      <c r="AE9" s="220"/>
      <c r="AF9" s="220"/>
      <c r="AG9" s="219"/>
      <c r="AH9" s="225">
        <f>SUM(PORTEFEUILLE_AURELIE_T[[#This Row],[PCR COMPTABLE €]:[MONTANT
RESPONSABLE RELATION CLIENT €]])-PORTEFEUILLE_AURELIE_T[[#This Row],[MONTANT TOTAL LETTRE DE MISION €]]</f>
        <v>0</v>
      </c>
      <c r="AI9" s="191"/>
      <c r="AJ9" s="188"/>
      <c r="AK9" s="188"/>
      <c r="AL9" s="196"/>
      <c r="AM9" s="196"/>
      <c r="AN9" s="196"/>
      <c r="AO9" s="196"/>
      <c r="AP9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Q9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R9" s="188" t="str">
        <f>IF(PORTEFEUILLE_AURELIE_T[[#This Row],[BONI AAC]]&lt;&gt;0,1,"")</f>
        <v/>
      </c>
      <c r="AS9" s="188" t="str">
        <f>IF(PORTEFEUILLE_AURELIE_T[[#This Row],[MALI AAC]]&lt;&gt;0,1,"")</f>
        <v/>
      </c>
      <c r="AT9" s="225">
        <f>IF(AN9&lt;&gt;"",IF((AN9*Paramètres!$H$4)-PORTEFEUILLE_AURELIE_T[[#This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€]]-(DELPHINE!AN9*Paramètres!$H$4),0),0)</f>
        <v>0</v>
      </c>
      <c r="AU9" s="225">
        <f>IF(AN9&lt;&gt;"",IF(((AN9*Paramètres!$H$4)-PORTEFEUILLE_AURELIE_T[[#This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€]])&gt;0,(AN9*Paramètres!$H$4)-PORTEFEUILLE_AURELIE_T[[#This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V9" s="190" t="str">
        <f>IF(PORTEFEUILLE_AURELIE_T[[#This Row],[BONI COMPTABLE]]&lt;&gt;0,1,"")</f>
        <v/>
      </c>
      <c r="AW9" s="190" t="str">
        <f>IF(PORTEFEUILLE_AURELIE_T[[#This Row],[MALI COMPTABLE]]&lt;&gt;0,1,"")</f>
        <v/>
      </c>
      <c r="AX9" s="196"/>
      <c r="AY9" s="188"/>
      <c r="AZ9" s="188"/>
      <c r="BA9" s="188"/>
      <c r="BB9" s="188"/>
      <c r="BC9" s="188"/>
      <c r="BD9" s="188"/>
      <c r="BE9" s="192"/>
      <c r="BF9" s="194"/>
      <c r="BG9" s="194"/>
      <c r="BH9" s="195"/>
      <c r="BI9" s="194"/>
    </row>
    <row r="10" spans="1:76" x14ac:dyDescent="0.25">
      <c r="A10" s="172"/>
      <c r="B10" s="170"/>
      <c r="C10" s="165"/>
      <c r="D10" s="171"/>
      <c r="E10" s="189"/>
      <c r="F10" s="188"/>
      <c r="G10" s="189"/>
      <c r="H10" s="189"/>
      <c r="I10" s="189"/>
      <c r="J10" s="189"/>
      <c r="K10" s="190" t="str">
        <f t="shared" si="0"/>
        <v/>
      </c>
      <c r="L10" s="190" t="str">
        <f t="shared" si="1"/>
        <v/>
      </c>
      <c r="M10" s="188"/>
      <c r="N10" s="188"/>
      <c r="O10" s="188"/>
      <c r="P10" s="188"/>
      <c r="Q10" s="188"/>
      <c r="R10" s="188"/>
      <c r="S10" s="213"/>
      <c r="T10" s="207"/>
      <c r="U10" s="219"/>
      <c r="V10" s="219"/>
      <c r="W10" s="219"/>
      <c r="X10" s="219"/>
      <c r="Y10" s="219"/>
      <c r="Z10" s="219"/>
      <c r="AA10" s="219"/>
      <c r="AB10" s="219"/>
      <c r="AC10" s="219"/>
      <c r="AD10" s="219"/>
      <c r="AE10" s="219"/>
      <c r="AF10" s="219"/>
      <c r="AG10" s="219"/>
      <c r="AH10" s="225">
        <f>SUM(PORTEFEUILLE_AURELIE_T[[#This Row],[PCR COMPTABLE €]:[MONTANT
RESPONSABLE RELATION CLIENT €]])-PORTEFEUILLE_AURELIE_T[[#This Row],[MONTANT TOTAL LETTRE DE MISION €]]</f>
        <v>0</v>
      </c>
      <c r="AI10" s="191"/>
      <c r="AJ10" s="188"/>
      <c r="AK10" s="188"/>
      <c r="AL10" s="188"/>
      <c r="AM10" s="188"/>
      <c r="AN10" s="188"/>
      <c r="AO10" s="188"/>
      <c r="AP10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Q10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R10" s="188" t="str">
        <f>IF(PORTEFEUILLE_AURELIE_T[[#This Row],[BONI AAC]]&lt;&gt;0,1,"")</f>
        <v/>
      </c>
      <c r="AS10" s="188" t="str">
        <f>IF(PORTEFEUILLE_AURELIE_T[[#This Row],[MALI AAC]]&lt;&gt;0,1,"")</f>
        <v/>
      </c>
      <c r="AT10" s="225">
        <f>IF(AN10&lt;&gt;"",IF((AN10*Paramètres!$H$4)-PORTEFEUILLE_AURELIE_T[[#This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€]]-(DELPHINE!AN10*Paramètres!$H$4),0),0)</f>
        <v>0</v>
      </c>
      <c r="AU10" s="225">
        <f>IF(AN10&lt;&gt;"",IF(((AN10*Paramètres!$H$4)-PORTEFEUILLE_AURELIE_T[[#This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€]])&gt;0,(AN10*Paramètres!$H$4)-PORTEFEUILLE_AURELIE_T[[#This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V10" s="190" t="str">
        <f>IF(PORTEFEUILLE_AURELIE_T[[#This Row],[BONI COMPTABLE]]&lt;&gt;0,1,"")</f>
        <v/>
      </c>
      <c r="AW10" s="190" t="str">
        <f>IF(PORTEFEUILLE_AURELIE_T[[#This Row],[MALI COMPTABLE]]&lt;&gt;0,1,"")</f>
        <v/>
      </c>
      <c r="AX10" s="188"/>
      <c r="AY10" s="188"/>
      <c r="AZ10" s="188"/>
      <c r="BA10" s="188"/>
      <c r="BB10" s="188"/>
      <c r="BC10" s="188"/>
      <c r="BD10" s="188"/>
      <c r="BE10" s="192"/>
      <c r="BF10" s="194"/>
      <c r="BG10" s="194"/>
      <c r="BH10" s="195"/>
      <c r="BI10" s="194"/>
    </row>
    <row r="11" spans="1:76" x14ac:dyDescent="0.25">
      <c r="A11" s="172"/>
      <c r="B11" s="173"/>
      <c r="C11" s="165"/>
      <c r="D11" s="171"/>
      <c r="E11" s="189"/>
      <c r="F11" s="188"/>
      <c r="G11" s="189"/>
      <c r="H11" s="189"/>
      <c r="I11" s="189"/>
      <c r="J11" s="189"/>
      <c r="K11" s="190" t="str">
        <f t="shared" si="0"/>
        <v/>
      </c>
      <c r="L11" s="190" t="str">
        <f t="shared" si="1"/>
        <v/>
      </c>
      <c r="M11" s="188"/>
      <c r="N11" s="188"/>
      <c r="O11" s="188"/>
      <c r="P11" s="188"/>
      <c r="Q11" s="188"/>
      <c r="R11" s="188"/>
      <c r="S11" s="213"/>
      <c r="T11" s="207"/>
      <c r="U11" s="219"/>
      <c r="V11" s="219"/>
      <c r="W11" s="219"/>
      <c r="X11" s="219"/>
      <c r="Y11" s="219"/>
      <c r="Z11" s="219"/>
      <c r="AA11" s="219"/>
      <c r="AB11" s="219"/>
      <c r="AC11" s="219"/>
      <c r="AD11" s="219"/>
      <c r="AE11" s="219"/>
      <c r="AF11" s="219"/>
      <c r="AG11" s="219"/>
      <c r="AH11" s="225">
        <f>SUM(PORTEFEUILLE_AURELIE_T[[#This Row],[PCR COMPTABLE €]:[MONTANT
RESPONSABLE RELATION CLIENT €]])-PORTEFEUILLE_AURELIE_T[[#This Row],[MONTANT TOTAL LETTRE DE MISION €]]</f>
        <v>0</v>
      </c>
      <c r="AI11" s="191"/>
      <c r="AJ11" s="188"/>
      <c r="AK11" s="188"/>
      <c r="AL11" s="188"/>
      <c r="AM11" s="188"/>
      <c r="AN11" s="188"/>
      <c r="AO11" s="188"/>
      <c r="AP11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Q11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R11" s="188" t="str">
        <f>IF(PORTEFEUILLE_AURELIE_T[[#This Row],[BONI AAC]]&lt;&gt;0,1,"")</f>
        <v/>
      </c>
      <c r="AS11" s="188" t="str">
        <f>IF(PORTEFEUILLE_AURELIE_T[[#This Row],[MALI AAC]]&lt;&gt;0,1,"")</f>
        <v/>
      </c>
      <c r="AT11" s="225">
        <f>IF(AN11&lt;&gt;"",IF((AN11*Paramètres!$H$4)-PORTEFEUILLE_AURELIE_T[[#This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€]]-(DELPHINE!AN11*Paramètres!$H$4),0),0)</f>
        <v>0</v>
      </c>
      <c r="AU11" s="225">
        <f>IF(AN11&lt;&gt;"",IF(((AN11*Paramètres!$H$4)-PORTEFEUILLE_AURELIE_T[[#This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€]])&gt;0,(AN11*Paramètres!$H$4)-PORTEFEUILLE_AURELIE_T[[#This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V11" s="190" t="str">
        <f>IF(PORTEFEUILLE_AURELIE_T[[#This Row],[BONI COMPTABLE]]&lt;&gt;0,1,"")</f>
        <v/>
      </c>
      <c r="AW11" s="190" t="str">
        <f>IF(PORTEFEUILLE_AURELIE_T[[#This Row],[MALI COMPTABLE]]&lt;&gt;0,1,"")</f>
        <v/>
      </c>
      <c r="AX11" s="188"/>
      <c r="AY11" s="188"/>
      <c r="AZ11" s="188"/>
      <c r="BA11" s="188"/>
      <c r="BB11" s="188"/>
      <c r="BC11" s="188"/>
      <c r="BD11" s="188"/>
      <c r="BE11" s="192"/>
      <c r="BF11" s="194"/>
      <c r="BG11" s="194"/>
      <c r="BH11" s="195"/>
      <c r="BI11" s="194"/>
    </row>
    <row r="12" spans="1:76" x14ac:dyDescent="0.25">
      <c r="A12" s="172"/>
      <c r="B12" s="170"/>
      <c r="C12" s="165"/>
      <c r="D12" s="171"/>
      <c r="E12" s="189"/>
      <c r="F12" s="188"/>
      <c r="G12" s="189"/>
      <c r="H12" s="189"/>
      <c r="I12" s="189"/>
      <c r="J12" s="189"/>
      <c r="K12" s="190" t="str">
        <f t="shared" si="0"/>
        <v/>
      </c>
      <c r="L12" s="190" t="str">
        <f t="shared" si="1"/>
        <v/>
      </c>
      <c r="M12" s="188"/>
      <c r="N12" s="188"/>
      <c r="O12" s="188"/>
      <c r="P12" s="188"/>
      <c r="Q12" s="188"/>
      <c r="R12" s="188"/>
      <c r="S12" s="213"/>
      <c r="T12" s="207"/>
      <c r="U12" s="219"/>
      <c r="V12" s="219"/>
      <c r="W12" s="219"/>
      <c r="X12" s="219"/>
      <c r="Y12" s="219"/>
      <c r="Z12" s="219"/>
      <c r="AA12" s="219"/>
      <c r="AB12" s="219"/>
      <c r="AC12" s="219"/>
      <c r="AD12" s="219"/>
      <c r="AE12" s="219"/>
      <c r="AF12" s="219"/>
      <c r="AG12" s="219"/>
      <c r="AH12" s="225">
        <f>SUM(PORTEFEUILLE_AURELIE_T[[#This Row],[PCR COMPTABLE €]:[MONTANT
RESPONSABLE RELATION CLIENT €]])-PORTEFEUILLE_AURELIE_T[[#This Row],[MONTANT TOTAL LETTRE DE MISION €]]</f>
        <v>0</v>
      </c>
      <c r="AI12" s="191"/>
      <c r="AJ12" s="188"/>
      <c r="AK12" s="188"/>
      <c r="AL12" s="188"/>
      <c r="AM12" s="188"/>
      <c r="AN12" s="188"/>
      <c r="AO12" s="188"/>
      <c r="AP12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Q12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R12" s="188" t="str">
        <f>IF(PORTEFEUILLE_AURELIE_T[[#This Row],[BONI AAC]]&lt;&gt;0,1,"")</f>
        <v/>
      </c>
      <c r="AS12" s="188" t="str">
        <f>IF(PORTEFEUILLE_AURELIE_T[[#This Row],[MALI AAC]]&lt;&gt;0,1,"")</f>
        <v/>
      </c>
      <c r="AT12" s="225">
        <f>IF(AN12&lt;&gt;"",IF((AN12*Paramètres!$H$4)-PORTEFEUILLE_AURELIE_T[[#This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€]]-(DELPHINE!AN12*Paramètres!$H$4),0),0)</f>
        <v>0</v>
      </c>
      <c r="AU12" s="225">
        <f>IF(AN12&lt;&gt;"",IF(((AN12*Paramètres!$H$4)-PORTEFEUILLE_AURELIE_T[[#This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€]])&gt;0,(AN12*Paramètres!$H$4)-PORTEFEUILLE_AURELIE_T[[#This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V12" s="190" t="str">
        <f>IF(PORTEFEUILLE_AURELIE_T[[#This Row],[BONI COMPTABLE]]&lt;&gt;0,1,"")</f>
        <v/>
      </c>
      <c r="AW12" s="190" t="str">
        <f>IF(PORTEFEUILLE_AURELIE_T[[#This Row],[MALI COMPTABLE]]&lt;&gt;0,1,"")</f>
        <v/>
      </c>
      <c r="AX12" s="188"/>
      <c r="AY12" s="188"/>
      <c r="AZ12" s="188"/>
      <c r="BA12" s="188"/>
      <c r="BB12" s="188"/>
      <c r="BC12" s="188"/>
      <c r="BD12" s="188"/>
      <c r="BE12" s="192"/>
      <c r="BF12" s="194"/>
      <c r="BG12" s="194"/>
      <c r="BH12" s="195"/>
      <c r="BI12" s="194"/>
    </row>
    <row r="13" spans="1:76" x14ac:dyDescent="0.25">
      <c r="A13" s="172"/>
      <c r="B13" s="170"/>
      <c r="C13" s="165"/>
      <c r="D13" s="171"/>
      <c r="E13" s="189"/>
      <c r="F13" s="188"/>
      <c r="G13" s="189"/>
      <c r="H13" s="189"/>
      <c r="I13" s="189"/>
      <c r="J13" s="189"/>
      <c r="K13" s="190" t="str">
        <f t="shared" si="0"/>
        <v/>
      </c>
      <c r="L13" s="190" t="str">
        <f t="shared" si="1"/>
        <v/>
      </c>
      <c r="M13" s="188"/>
      <c r="N13" s="188"/>
      <c r="O13" s="188"/>
      <c r="P13" s="188"/>
      <c r="Q13" s="188"/>
      <c r="R13" s="188"/>
      <c r="S13" s="213"/>
      <c r="T13" s="207"/>
      <c r="U13" s="219"/>
      <c r="V13" s="219"/>
      <c r="W13" s="219"/>
      <c r="X13" s="219"/>
      <c r="Y13" s="219"/>
      <c r="Z13" s="219"/>
      <c r="AA13" s="219"/>
      <c r="AB13" s="219"/>
      <c r="AC13" s="219"/>
      <c r="AD13" s="219"/>
      <c r="AE13" s="219"/>
      <c r="AF13" s="219"/>
      <c r="AG13" s="219"/>
      <c r="AH13" s="225">
        <f>SUM(PORTEFEUILLE_AURELIE_T[[#This Row],[PCR COMPTABLE €]:[MONTANT
RESPONSABLE RELATION CLIENT €]])-PORTEFEUILLE_AURELIE_T[[#This Row],[MONTANT TOTAL LETTRE DE MISION €]]</f>
        <v>0</v>
      </c>
      <c r="AI13" s="191"/>
      <c r="AJ13" s="188"/>
      <c r="AK13" s="188"/>
      <c r="AL13" s="188"/>
      <c r="AM13" s="188"/>
      <c r="AN13" s="188"/>
      <c r="AO13" s="188"/>
      <c r="AP13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Q13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R13" s="188" t="str">
        <f>IF(PORTEFEUILLE_AURELIE_T[[#This Row],[BONI AAC]]&lt;&gt;0,1,"")</f>
        <v/>
      </c>
      <c r="AS13" s="188" t="str">
        <f>IF(PORTEFEUILLE_AURELIE_T[[#This Row],[MALI AAC]]&lt;&gt;0,1,"")</f>
        <v/>
      </c>
      <c r="AT13" s="225">
        <f>IF(AN13&lt;&gt;"",IF((AN13*Paramètres!$H$4)-PORTEFEUILLE_AURELIE_T[[#This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€]]-(DELPHINE!AN13*Paramètres!$H$4),0),0)</f>
        <v>0</v>
      </c>
      <c r="AU13" s="225">
        <f>IF(AN13&lt;&gt;"",IF(((AN13*Paramètres!$H$4)-PORTEFEUILLE_AURELIE_T[[#This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€]])&gt;0,(AN13*Paramètres!$H$4)-PORTEFEUILLE_AURELIE_T[[#This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V13" s="190" t="str">
        <f>IF(PORTEFEUILLE_AURELIE_T[[#This Row],[BONI COMPTABLE]]&lt;&gt;0,1,"")</f>
        <v/>
      </c>
      <c r="AW13" s="190" t="str">
        <f>IF(PORTEFEUILLE_AURELIE_T[[#This Row],[MALI COMPTABLE]]&lt;&gt;0,1,"")</f>
        <v/>
      </c>
      <c r="AX13" s="188"/>
      <c r="AY13" s="188"/>
      <c r="AZ13" s="188"/>
      <c r="BA13" s="188"/>
      <c r="BB13" s="188"/>
      <c r="BC13" s="188"/>
      <c r="BD13" s="188"/>
      <c r="BE13" s="192"/>
      <c r="BF13" s="194"/>
      <c r="BG13" s="194"/>
      <c r="BH13" s="195"/>
      <c r="BI13" s="194"/>
    </row>
    <row r="14" spans="1:76" x14ac:dyDescent="0.25">
      <c r="A14" s="172"/>
      <c r="B14" s="170"/>
      <c r="C14" s="165"/>
      <c r="D14" s="171"/>
      <c r="E14" s="189"/>
      <c r="F14" s="188"/>
      <c r="G14" s="189"/>
      <c r="H14" s="189"/>
      <c r="I14" s="189"/>
      <c r="J14" s="189"/>
      <c r="K14" s="190" t="str">
        <f t="shared" si="0"/>
        <v/>
      </c>
      <c r="L14" s="190" t="str">
        <f t="shared" si="1"/>
        <v/>
      </c>
      <c r="M14" s="188"/>
      <c r="N14" s="188"/>
      <c r="O14" s="188"/>
      <c r="P14" s="188"/>
      <c r="Q14" s="188"/>
      <c r="R14" s="188"/>
      <c r="S14" s="213"/>
      <c r="T14" s="207"/>
      <c r="U14" s="219"/>
      <c r="V14" s="219"/>
      <c r="W14" s="219"/>
      <c r="X14" s="219"/>
      <c r="Y14" s="219"/>
      <c r="Z14" s="219"/>
      <c r="AA14" s="219"/>
      <c r="AB14" s="219"/>
      <c r="AC14" s="219"/>
      <c r="AD14" s="219"/>
      <c r="AE14" s="219"/>
      <c r="AF14" s="219"/>
      <c r="AG14" s="219"/>
      <c r="AH14" s="225">
        <f>SUM(PORTEFEUILLE_AURELIE_T[[#This Row],[PCR COMPTABLE €]:[MONTANT
RESPONSABLE RELATION CLIENT €]])-PORTEFEUILLE_AURELIE_T[[#This Row],[MONTANT TOTAL LETTRE DE MISION €]]</f>
        <v>0</v>
      </c>
      <c r="AI14" s="191"/>
      <c r="AJ14" s="188"/>
      <c r="AK14" s="188"/>
      <c r="AL14" s="188"/>
      <c r="AM14" s="188"/>
      <c r="AN14" s="188"/>
      <c r="AO14" s="188"/>
      <c r="AP14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Q14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R14" s="188" t="str">
        <f>IF(PORTEFEUILLE_AURELIE_T[[#This Row],[BONI AAC]]&lt;&gt;0,1,"")</f>
        <v/>
      </c>
      <c r="AS14" s="188" t="str">
        <f>IF(PORTEFEUILLE_AURELIE_T[[#This Row],[MALI AAC]]&lt;&gt;0,1,"")</f>
        <v/>
      </c>
      <c r="AT14" s="225">
        <f>IF(AN14&lt;&gt;"",IF((AN14*Paramètres!$H$4)-PORTEFEUILLE_AURELIE_T[[#This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€]]-(DELPHINE!AN14*Paramètres!$H$4),0),0)</f>
        <v>0</v>
      </c>
      <c r="AU14" s="225">
        <f>IF(AN14&lt;&gt;"",IF(((AN14*Paramètres!$H$4)-PORTEFEUILLE_AURELIE_T[[#This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€]])&gt;0,(AN14*Paramètres!$H$4)-PORTEFEUILLE_AURELIE_T[[#This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V14" s="190" t="str">
        <f>IF(PORTEFEUILLE_AURELIE_T[[#This Row],[BONI COMPTABLE]]&lt;&gt;0,1,"")</f>
        <v/>
      </c>
      <c r="AW14" s="190" t="str">
        <f>IF(PORTEFEUILLE_AURELIE_T[[#This Row],[MALI COMPTABLE]]&lt;&gt;0,1,"")</f>
        <v/>
      </c>
      <c r="AX14" s="188"/>
      <c r="AY14" s="188"/>
      <c r="AZ14" s="188"/>
      <c r="BA14" s="188"/>
      <c r="BB14" s="188"/>
      <c r="BC14" s="188"/>
      <c r="BD14" s="188"/>
      <c r="BE14" s="192"/>
      <c r="BF14" s="194"/>
      <c r="BG14" s="194"/>
      <c r="BH14" s="195"/>
      <c r="BI14" s="194"/>
    </row>
    <row r="15" spans="1:76" x14ac:dyDescent="0.25">
      <c r="A15" s="172"/>
      <c r="B15" s="170"/>
      <c r="C15" s="170"/>
      <c r="D15" s="171"/>
      <c r="E15" s="189"/>
      <c r="F15" s="188"/>
      <c r="G15" s="189"/>
      <c r="H15" s="189"/>
      <c r="I15" s="189"/>
      <c r="J15" s="189"/>
      <c r="K15" s="190" t="str">
        <f t="shared" si="0"/>
        <v/>
      </c>
      <c r="L15" s="190" t="str">
        <f t="shared" si="1"/>
        <v/>
      </c>
      <c r="M15" s="188"/>
      <c r="N15" s="188"/>
      <c r="O15" s="188"/>
      <c r="P15" s="188"/>
      <c r="Q15" s="188"/>
      <c r="R15" s="188"/>
      <c r="S15" s="213"/>
      <c r="T15" s="207"/>
      <c r="U15" s="219"/>
      <c r="V15" s="219"/>
      <c r="W15" s="219"/>
      <c r="X15" s="219"/>
      <c r="Y15" s="219"/>
      <c r="Z15" s="219"/>
      <c r="AA15" s="219"/>
      <c r="AB15" s="219"/>
      <c r="AC15" s="219"/>
      <c r="AD15" s="219"/>
      <c r="AE15" s="219"/>
      <c r="AF15" s="219"/>
      <c r="AG15" s="219"/>
      <c r="AH15" s="225">
        <f>SUM(PORTEFEUILLE_AURELIE_T[[#This Row],[PCR COMPTABLE €]:[MONTANT
RESPONSABLE RELATION CLIENT €]])-PORTEFEUILLE_AURELIE_T[[#This Row],[MONTANT TOTAL LETTRE DE MISION €]]</f>
        <v>0</v>
      </c>
      <c r="AI15" s="191"/>
      <c r="AJ15" s="188"/>
      <c r="AK15" s="188"/>
      <c r="AL15" s="188"/>
      <c r="AM15" s="188"/>
      <c r="AN15" s="188"/>
      <c r="AO15" s="188"/>
      <c r="AP15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Q15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R15" s="188" t="str">
        <f>IF(PORTEFEUILLE_AURELIE_T[[#This Row],[BONI AAC]]&lt;&gt;0,1,"")</f>
        <v/>
      </c>
      <c r="AS15" s="188" t="str">
        <f>IF(PORTEFEUILLE_AURELIE_T[[#This Row],[MALI AAC]]&lt;&gt;0,1,"")</f>
        <v/>
      </c>
      <c r="AT15" s="225">
        <f>IF(AN15&lt;&gt;"",IF((AN15*Paramètres!$H$4)-PORTEFEUILLE_AURELIE_T[[#This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€]]-(DELPHINE!AN15*Paramètres!$H$4),0),0)</f>
        <v>0</v>
      </c>
      <c r="AU15" s="225">
        <f>IF(AN15&lt;&gt;"",IF(((AN15*Paramètres!$H$4)-PORTEFEUILLE_AURELIE_T[[#This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€]])&gt;0,(AN15*Paramètres!$H$4)-PORTEFEUILLE_AURELIE_T[[#This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V15" s="190" t="str">
        <f>IF(PORTEFEUILLE_AURELIE_T[[#This Row],[BONI COMPTABLE]]&lt;&gt;0,1,"")</f>
        <v/>
      </c>
      <c r="AW15" s="190" t="str">
        <f>IF(PORTEFEUILLE_AURELIE_T[[#This Row],[MALI COMPTABLE]]&lt;&gt;0,1,"")</f>
        <v/>
      </c>
      <c r="AX15" s="188"/>
      <c r="AY15" s="188"/>
      <c r="AZ15" s="188"/>
      <c r="BA15" s="188"/>
      <c r="BB15" s="188"/>
      <c r="BC15" s="188"/>
      <c r="BD15" s="188"/>
      <c r="BE15" s="192"/>
      <c r="BF15" s="194"/>
      <c r="BG15" s="194"/>
      <c r="BH15" s="195"/>
      <c r="BI15" s="194"/>
    </row>
    <row r="16" spans="1:76" x14ac:dyDescent="0.25">
      <c r="A16" s="172"/>
      <c r="B16" s="170"/>
      <c r="C16" s="174"/>
      <c r="D16" s="171"/>
      <c r="E16" s="189"/>
      <c r="F16" s="188"/>
      <c r="G16" s="189"/>
      <c r="H16" s="189"/>
      <c r="I16" s="189"/>
      <c r="J16" s="189"/>
      <c r="K16" s="190" t="str">
        <f t="shared" si="0"/>
        <v/>
      </c>
      <c r="L16" s="190" t="str">
        <f t="shared" si="1"/>
        <v/>
      </c>
      <c r="M16" s="188"/>
      <c r="N16" s="188"/>
      <c r="O16" s="188"/>
      <c r="P16" s="188"/>
      <c r="Q16" s="188"/>
      <c r="R16" s="188"/>
      <c r="S16" s="213"/>
      <c r="T16" s="207"/>
      <c r="U16" s="219"/>
      <c r="V16" s="219"/>
      <c r="W16" s="219"/>
      <c r="X16" s="219"/>
      <c r="Y16" s="219"/>
      <c r="Z16" s="219"/>
      <c r="AA16" s="219"/>
      <c r="AB16" s="219"/>
      <c r="AC16" s="219"/>
      <c r="AD16" s="219"/>
      <c r="AE16" s="219"/>
      <c r="AF16" s="219"/>
      <c r="AG16" s="219"/>
      <c r="AH16" s="225">
        <f>SUM(PORTEFEUILLE_AURELIE_T[[#This Row],[PCR COMPTABLE €]:[MONTANT
RESPONSABLE RELATION CLIENT €]])-PORTEFEUILLE_AURELIE_T[[#This Row],[MONTANT TOTAL LETTRE DE MISION €]]</f>
        <v>0</v>
      </c>
      <c r="AI16" s="191"/>
      <c r="AJ16" s="188"/>
      <c r="AK16" s="188"/>
      <c r="AL16" s="188"/>
      <c r="AM16" s="188"/>
      <c r="AN16" s="188"/>
      <c r="AO16" s="188"/>
      <c r="AP16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Q16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R16" s="188" t="str">
        <f>IF(PORTEFEUILLE_AURELIE_T[[#This Row],[BONI AAC]]&lt;&gt;0,1,"")</f>
        <v/>
      </c>
      <c r="AS16" s="188" t="str">
        <f>IF(PORTEFEUILLE_AURELIE_T[[#This Row],[MALI AAC]]&lt;&gt;0,1,"")</f>
        <v/>
      </c>
      <c r="AT16" s="225">
        <f>IF(AN16&lt;&gt;"",IF((AN16*Paramètres!$H$4)-PORTEFEUILLE_AURELIE_T[[#This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€]]-(DELPHINE!AN16*Paramètres!$H$4),0),0)</f>
        <v>0</v>
      </c>
      <c r="AU16" s="225">
        <f>IF(AN16&lt;&gt;"",IF(((AN16*Paramètres!$H$4)-PORTEFEUILLE_AURELIE_T[[#This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€]])&gt;0,(AN16*Paramètres!$H$4)-PORTEFEUILLE_AURELIE_T[[#This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V16" s="190" t="str">
        <f>IF(PORTEFEUILLE_AURELIE_T[[#This Row],[BONI COMPTABLE]]&lt;&gt;0,1,"")</f>
        <v/>
      </c>
      <c r="AW16" s="190" t="str">
        <f>IF(PORTEFEUILLE_AURELIE_T[[#This Row],[MALI COMPTABLE]]&lt;&gt;0,1,"")</f>
        <v/>
      </c>
      <c r="AX16" s="188"/>
      <c r="AY16" s="188"/>
      <c r="AZ16" s="188"/>
      <c r="BA16" s="188"/>
      <c r="BB16" s="188"/>
      <c r="BC16" s="188"/>
      <c r="BD16" s="188"/>
      <c r="BE16" s="192"/>
      <c r="BF16" s="194"/>
      <c r="BG16" s="194"/>
      <c r="BH16" s="195"/>
      <c r="BI16" s="194"/>
    </row>
    <row r="17" spans="1:61" x14ac:dyDescent="0.25">
      <c r="A17" s="172"/>
      <c r="B17" s="170"/>
      <c r="C17" s="175"/>
      <c r="D17" s="171"/>
      <c r="E17" s="189"/>
      <c r="F17" s="188"/>
      <c r="G17" s="189"/>
      <c r="H17" s="189"/>
      <c r="I17" s="189"/>
      <c r="J17" s="189"/>
      <c r="K17" s="190" t="str">
        <f t="shared" si="0"/>
        <v/>
      </c>
      <c r="L17" s="190" t="str">
        <f t="shared" si="1"/>
        <v/>
      </c>
      <c r="M17" s="188"/>
      <c r="N17" s="188"/>
      <c r="O17" s="188"/>
      <c r="P17" s="188"/>
      <c r="Q17" s="188"/>
      <c r="R17" s="188"/>
      <c r="S17" s="213"/>
      <c r="T17" s="207"/>
      <c r="U17" s="219"/>
      <c r="V17" s="219"/>
      <c r="W17" s="219"/>
      <c r="X17" s="219"/>
      <c r="Y17" s="219"/>
      <c r="Z17" s="219"/>
      <c r="AA17" s="219"/>
      <c r="AB17" s="219"/>
      <c r="AC17" s="219"/>
      <c r="AD17" s="219"/>
      <c r="AE17" s="219"/>
      <c r="AF17" s="219"/>
      <c r="AG17" s="219"/>
      <c r="AH17" s="225">
        <f>SUM(PORTEFEUILLE_AURELIE_T[[#This Row],[PCR COMPTABLE €]:[MONTANT
RESPONSABLE RELATION CLIENT €]])-PORTEFEUILLE_AURELIE_T[[#This Row],[MONTANT TOTAL LETTRE DE MISION €]]</f>
        <v>0</v>
      </c>
      <c r="AI17" s="191"/>
      <c r="AJ17" s="188"/>
      <c r="AK17" s="188"/>
      <c r="AL17" s="188"/>
      <c r="AM17" s="188"/>
      <c r="AN17" s="188"/>
      <c r="AO17" s="188"/>
      <c r="AP17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Q17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R17" s="188" t="str">
        <f>IF(PORTEFEUILLE_AURELIE_T[[#This Row],[BONI AAC]]&lt;&gt;0,1,"")</f>
        <v/>
      </c>
      <c r="AS17" s="188" t="str">
        <f>IF(PORTEFEUILLE_AURELIE_T[[#This Row],[MALI AAC]]&lt;&gt;0,1,"")</f>
        <v/>
      </c>
      <c r="AT17" s="225">
        <f>IF(AN17&lt;&gt;"",IF((AN17*Paramètres!$H$4)-PORTEFEUILLE_AURELIE_T[[#This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€]]-(DELPHINE!AN17*Paramètres!$H$4),0),0)</f>
        <v>0</v>
      </c>
      <c r="AU17" s="225">
        <f>IF(AN17&lt;&gt;"",IF(((AN17*Paramètres!$H$4)-PORTEFEUILLE_AURELIE_T[[#This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€]])&gt;0,(AN17*Paramètres!$H$4)-PORTEFEUILLE_AURELIE_T[[#This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V17" s="190" t="str">
        <f>IF(PORTEFEUILLE_AURELIE_T[[#This Row],[BONI COMPTABLE]]&lt;&gt;0,1,"")</f>
        <v/>
      </c>
      <c r="AW17" s="190" t="str">
        <f>IF(PORTEFEUILLE_AURELIE_T[[#This Row],[MALI COMPTABLE]]&lt;&gt;0,1,"")</f>
        <v/>
      </c>
      <c r="AX17" s="188"/>
      <c r="AY17" s="188"/>
      <c r="AZ17" s="188"/>
      <c r="BA17" s="188"/>
      <c r="BB17" s="188"/>
      <c r="BC17" s="188"/>
      <c r="BD17" s="188"/>
      <c r="BE17" s="192"/>
      <c r="BF17" s="194"/>
      <c r="BG17" s="194"/>
      <c r="BH17" s="195"/>
      <c r="BI17" s="194"/>
    </row>
    <row r="18" spans="1:61" s="241" customFormat="1" x14ac:dyDescent="0.25">
      <c r="A18" s="172"/>
      <c r="B18" s="170"/>
      <c r="C18" s="165"/>
      <c r="D18" s="171"/>
      <c r="E18" s="189"/>
      <c r="F18" s="188"/>
      <c r="G18" s="189"/>
      <c r="H18" s="189"/>
      <c r="I18" s="189"/>
      <c r="J18" s="189"/>
      <c r="K18" s="190" t="str">
        <f t="shared" si="0"/>
        <v/>
      </c>
      <c r="L18" s="190" t="str">
        <f t="shared" si="1"/>
        <v/>
      </c>
      <c r="M18" s="188"/>
      <c r="N18" s="188"/>
      <c r="O18" s="188"/>
      <c r="P18" s="188"/>
      <c r="Q18" s="188"/>
      <c r="R18" s="188"/>
      <c r="S18" s="213"/>
      <c r="T18" s="207"/>
      <c r="U18" s="219"/>
      <c r="V18" s="219"/>
      <c r="W18" s="219"/>
      <c r="X18" s="219"/>
      <c r="Y18" s="219"/>
      <c r="Z18" s="219"/>
      <c r="AA18" s="219"/>
      <c r="AB18" s="219"/>
      <c r="AC18" s="219"/>
      <c r="AD18" s="219"/>
      <c r="AE18" s="219"/>
      <c r="AF18" s="219"/>
      <c r="AG18" s="219"/>
      <c r="AH18" s="225">
        <f>SUM(PORTEFEUILLE_AURELIE_T[[#This Row],[PCR COMPTABLE €]:[MONTANT
RESPONSABLE RELATION CLIENT €]])-PORTEFEUILLE_AURELIE_T[[#This Row],[MONTANT TOTAL LETTRE DE MISION €]]</f>
        <v>0</v>
      </c>
      <c r="AI18" s="191"/>
      <c r="AJ18" s="188"/>
      <c r="AK18" s="188"/>
      <c r="AL18" s="188"/>
      <c r="AM18" s="188"/>
      <c r="AN18" s="188"/>
      <c r="AO18" s="188"/>
      <c r="AP18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Q18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R18" s="188" t="str">
        <f>IF(PORTEFEUILLE_AURELIE_T[[#This Row],[BONI AAC]]&lt;&gt;0,1,"")</f>
        <v/>
      </c>
      <c r="AS18" s="188" t="str">
        <f>IF(PORTEFEUILLE_AURELIE_T[[#This Row],[MALI AAC]]&lt;&gt;0,1,"")</f>
        <v/>
      </c>
      <c r="AT18" s="225">
        <f>IF(AN18&lt;&gt;"",IF((AN18*Paramètres!$H$4)-PORTEFEUILLE_AURELIE_T[[#This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€]]-(DELPHINE!AN18*Paramètres!$H$4),0),0)</f>
        <v>0</v>
      </c>
      <c r="AU18" s="225">
        <f>IF(AN18&lt;&gt;"",IF(((AN18*Paramètres!$H$4)-PORTEFEUILLE_AURELIE_T[[#This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€]])&gt;0,(AN18*Paramètres!$H$4)-PORTEFEUILLE_AURELIE_T[[#This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V18" s="190" t="str">
        <f>IF(PORTEFEUILLE_AURELIE_T[[#This Row],[BONI COMPTABLE]]&lt;&gt;0,1,"")</f>
        <v/>
      </c>
      <c r="AW18" s="190" t="str">
        <f>IF(PORTEFEUILLE_AURELIE_T[[#This Row],[MALI COMPTABLE]]&lt;&gt;0,1,"")</f>
        <v/>
      </c>
      <c r="AX18" s="188"/>
      <c r="AY18" s="188"/>
      <c r="AZ18" s="188"/>
      <c r="BA18" s="188"/>
      <c r="BB18" s="188"/>
      <c r="BC18" s="188"/>
      <c r="BD18" s="188"/>
      <c r="BE18" s="192"/>
      <c r="BF18" s="194"/>
      <c r="BG18" s="194"/>
      <c r="BH18" s="195"/>
      <c r="BI18" s="194"/>
    </row>
    <row r="19" spans="1:61" x14ac:dyDescent="0.25">
      <c r="A19" s="172"/>
      <c r="B19" s="170"/>
      <c r="C19" s="165"/>
      <c r="D19" s="171"/>
      <c r="E19" s="189"/>
      <c r="F19" s="188"/>
      <c r="G19" s="189"/>
      <c r="H19" s="189"/>
      <c r="I19" s="189"/>
      <c r="J19" s="189"/>
      <c r="K19" s="190" t="str">
        <f t="shared" si="0"/>
        <v/>
      </c>
      <c r="L19" s="190" t="str">
        <f t="shared" si="1"/>
        <v/>
      </c>
      <c r="M19" s="188"/>
      <c r="N19" s="188"/>
      <c r="O19" s="188"/>
      <c r="P19" s="188"/>
      <c r="Q19" s="188"/>
      <c r="R19" s="188"/>
      <c r="S19" s="213"/>
      <c r="T19" s="207"/>
      <c r="U19" s="219"/>
      <c r="V19" s="219"/>
      <c r="W19" s="219"/>
      <c r="X19" s="219"/>
      <c r="Y19" s="219"/>
      <c r="Z19" s="219"/>
      <c r="AA19" s="219"/>
      <c r="AB19" s="219"/>
      <c r="AC19" s="219"/>
      <c r="AD19" s="219"/>
      <c r="AE19" s="219"/>
      <c r="AF19" s="219"/>
      <c r="AG19" s="219"/>
      <c r="AH19" s="225">
        <f>SUM(PORTEFEUILLE_AURELIE_T[[#This Row],[PCR COMPTABLE €]:[MONTANT
RESPONSABLE RELATION CLIENT €]])-PORTEFEUILLE_AURELIE_T[[#This Row],[MONTANT TOTAL LETTRE DE MISION €]]</f>
        <v>0</v>
      </c>
      <c r="AI19" s="191"/>
      <c r="AJ19" s="188"/>
      <c r="AK19" s="188"/>
      <c r="AL19" s="188"/>
      <c r="AM19" s="188"/>
      <c r="AN19" s="188"/>
      <c r="AO19" s="188"/>
      <c r="AP19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Q19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R19" s="188" t="str">
        <f>IF(PORTEFEUILLE_AURELIE_T[[#This Row],[BONI AAC]]&lt;&gt;0,1,"")</f>
        <v/>
      </c>
      <c r="AS19" s="188" t="str">
        <f>IF(PORTEFEUILLE_AURELIE_T[[#This Row],[MALI AAC]]&lt;&gt;0,1,"")</f>
        <v/>
      </c>
      <c r="AT19" s="225">
        <f>IF(AN19&lt;&gt;"",IF((AN19*Paramètres!$H$4)-PORTEFEUILLE_AURELIE_T[[#This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€]]-(DELPHINE!AN19*Paramètres!$H$4),0),0)</f>
        <v>0</v>
      </c>
      <c r="AU19" s="225">
        <f>IF(AN19&lt;&gt;"",IF(((AN19*Paramètres!$H$4)-PORTEFEUILLE_AURELIE_T[[#This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€]])&gt;0,(AN19*Paramètres!$H$4)-PORTEFEUILLE_AURELIE_T[[#This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V19" s="190" t="str">
        <f>IF(PORTEFEUILLE_AURELIE_T[[#This Row],[BONI COMPTABLE]]&lt;&gt;0,1,"")</f>
        <v/>
      </c>
      <c r="AW19" s="190" t="str">
        <f>IF(PORTEFEUILLE_AURELIE_T[[#This Row],[MALI COMPTABLE]]&lt;&gt;0,1,"")</f>
        <v/>
      </c>
      <c r="AX19" s="188"/>
      <c r="AY19" s="188"/>
      <c r="AZ19" s="188"/>
      <c r="BA19" s="188"/>
      <c r="BB19" s="188"/>
      <c r="BC19" s="188"/>
      <c r="BD19" s="188"/>
      <c r="BE19" s="192"/>
      <c r="BF19" s="194"/>
      <c r="BG19" s="194"/>
      <c r="BH19" s="195"/>
      <c r="BI19" s="194"/>
    </row>
    <row r="20" spans="1:61" x14ac:dyDescent="0.25">
      <c r="A20" s="172"/>
      <c r="B20" s="170"/>
      <c r="C20" s="165"/>
      <c r="D20" s="171"/>
      <c r="E20" s="189"/>
      <c r="F20" s="188"/>
      <c r="G20" s="188"/>
      <c r="H20" s="189"/>
      <c r="I20" s="189"/>
      <c r="J20" s="189"/>
      <c r="K20" s="190" t="str">
        <f t="shared" si="0"/>
        <v/>
      </c>
      <c r="L20" s="190" t="str">
        <f t="shared" si="1"/>
        <v/>
      </c>
      <c r="M20" s="188"/>
      <c r="N20" s="188"/>
      <c r="O20" s="188"/>
      <c r="P20" s="188"/>
      <c r="Q20" s="188"/>
      <c r="R20" s="188"/>
      <c r="S20" s="214"/>
      <c r="T20" s="208"/>
      <c r="U20" s="220"/>
      <c r="V20" s="220"/>
      <c r="W20" s="220"/>
      <c r="X20" s="220"/>
      <c r="Y20" s="220"/>
      <c r="Z20" s="220"/>
      <c r="AA20" s="220"/>
      <c r="AB20" s="220"/>
      <c r="AC20" s="220"/>
      <c r="AD20" s="220"/>
      <c r="AE20" s="220"/>
      <c r="AF20" s="220"/>
      <c r="AG20" s="219"/>
      <c r="AH20" s="225">
        <f>SUM(PORTEFEUILLE_AURELIE_T[[#This Row],[PCR COMPTABLE €]:[MONTANT
RESPONSABLE RELATION CLIENT €]])-PORTEFEUILLE_AURELIE_T[[#This Row],[MONTANT TOTAL LETTRE DE MISION €]]</f>
        <v>0</v>
      </c>
      <c r="AI20" s="191"/>
      <c r="AJ20" s="188"/>
      <c r="AK20" s="188"/>
      <c r="AL20" s="196"/>
      <c r="AM20" s="196"/>
      <c r="AN20" s="196"/>
      <c r="AO20" s="196"/>
      <c r="AP20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Q20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R20" s="188" t="str">
        <f>IF(PORTEFEUILLE_AURELIE_T[[#This Row],[BONI AAC]]&lt;&gt;0,1,"")</f>
        <v/>
      </c>
      <c r="AS20" s="188" t="str">
        <f>IF(PORTEFEUILLE_AURELIE_T[[#This Row],[MALI AAC]]&lt;&gt;0,1,"")</f>
        <v/>
      </c>
      <c r="AT20" s="225">
        <f>IF(AN20&lt;&gt;"",IF((AN20*Paramètres!$H$4)-PORTEFEUILLE_AURELIE_T[[#This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€]]-(DELPHINE!AN20*Paramètres!$H$4),0),0)</f>
        <v>0</v>
      </c>
      <c r="AU20" s="225">
        <f>IF(AN20&lt;&gt;"",IF(((AN20*Paramètres!$H$4)-PORTEFEUILLE_AURELIE_T[[#This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€]])&gt;0,(AN20*Paramètres!$H$4)-PORTEFEUILLE_AURELIE_T[[#This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V20" s="190" t="str">
        <f>IF(PORTEFEUILLE_AURELIE_T[[#This Row],[BONI COMPTABLE]]&lt;&gt;0,1,"")</f>
        <v/>
      </c>
      <c r="AW20" s="190" t="str">
        <f>IF(PORTEFEUILLE_AURELIE_T[[#This Row],[MALI COMPTABLE]]&lt;&gt;0,1,"")</f>
        <v/>
      </c>
      <c r="AX20" s="196"/>
      <c r="AY20" s="188"/>
      <c r="AZ20" s="188"/>
      <c r="BA20" s="188"/>
      <c r="BB20" s="196"/>
      <c r="BC20" s="196"/>
      <c r="BD20" s="196"/>
      <c r="BE20" s="192"/>
      <c r="BF20" s="194"/>
      <c r="BG20" s="194"/>
      <c r="BH20" s="195"/>
      <c r="BI20" s="194"/>
    </row>
    <row r="21" spans="1:61" x14ac:dyDescent="0.25">
      <c r="A21" s="172"/>
      <c r="B21" s="170"/>
      <c r="C21" s="165"/>
      <c r="D21" s="171"/>
      <c r="E21" s="189"/>
      <c r="F21" s="188"/>
      <c r="G21" s="189"/>
      <c r="H21" s="189"/>
      <c r="I21" s="189"/>
      <c r="J21" s="189"/>
      <c r="K21" s="190" t="str">
        <f t="shared" si="0"/>
        <v/>
      </c>
      <c r="L21" s="190" t="str">
        <f t="shared" si="1"/>
        <v/>
      </c>
      <c r="M21" s="188"/>
      <c r="N21" s="188"/>
      <c r="O21" s="188"/>
      <c r="P21" s="188"/>
      <c r="Q21" s="188"/>
      <c r="R21" s="188"/>
      <c r="S21" s="213"/>
      <c r="T21" s="207"/>
      <c r="U21" s="219"/>
      <c r="V21" s="219"/>
      <c r="W21" s="219"/>
      <c r="X21" s="219"/>
      <c r="Y21" s="219"/>
      <c r="Z21" s="219"/>
      <c r="AA21" s="219"/>
      <c r="AB21" s="219"/>
      <c r="AC21" s="219"/>
      <c r="AD21" s="219"/>
      <c r="AE21" s="219"/>
      <c r="AF21" s="219"/>
      <c r="AG21" s="219"/>
      <c r="AH21" s="225">
        <f>SUM(PORTEFEUILLE_AURELIE_T[[#This Row],[PCR COMPTABLE €]:[MONTANT
RESPONSABLE RELATION CLIENT €]])-PORTEFEUILLE_AURELIE_T[[#This Row],[MONTANT TOTAL LETTRE DE MISION €]]</f>
        <v>0</v>
      </c>
      <c r="AI21" s="191"/>
      <c r="AJ21" s="188"/>
      <c r="AK21" s="188"/>
      <c r="AL21" s="188"/>
      <c r="AM21" s="188"/>
      <c r="AN21" s="188"/>
      <c r="AO21" s="188"/>
      <c r="AP21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Q21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R21" s="188" t="str">
        <f>IF(PORTEFEUILLE_AURELIE_T[[#This Row],[BONI AAC]]&lt;&gt;0,1,"")</f>
        <v/>
      </c>
      <c r="AS21" s="188" t="str">
        <f>IF(PORTEFEUILLE_AURELIE_T[[#This Row],[MALI AAC]]&lt;&gt;0,1,"")</f>
        <v/>
      </c>
      <c r="AT21" s="225">
        <f>IF(AN21&lt;&gt;"",IF((AN21*Paramètres!$H$4)-PORTEFEUILLE_AURELIE_T[[#This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€]]-(DELPHINE!AN21*Paramètres!$H$4),0),0)</f>
        <v>0</v>
      </c>
      <c r="AU21" s="225">
        <f>IF(AN21&lt;&gt;"",IF(((AN21*Paramètres!$H$4)-PORTEFEUILLE_AURELIE_T[[#This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€]])&gt;0,(AN21*Paramètres!$H$4)-PORTEFEUILLE_AURELIE_T[[#This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V21" s="190" t="str">
        <f>IF(PORTEFEUILLE_AURELIE_T[[#This Row],[BONI COMPTABLE]]&lt;&gt;0,1,"")</f>
        <v/>
      </c>
      <c r="AW21" s="190" t="str">
        <f>IF(PORTEFEUILLE_AURELIE_T[[#This Row],[MALI COMPTABLE]]&lt;&gt;0,1,"")</f>
        <v/>
      </c>
      <c r="AX21" s="188"/>
      <c r="AY21" s="188"/>
      <c r="AZ21" s="188"/>
      <c r="BA21" s="188"/>
      <c r="BB21" s="196"/>
      <c r="BC21" s="196"/>
      <c r="BD21" s="196"/>
      <c r="BE21" s="192"/>
      <c r="BF21" s="194"/>
      <c r="BG21" s="194"/>
      <c r="BH21" s="195"/>
      <c r="BI21" s="194"/>
    </row>
    <row r="22" spans="1:61" x14ac:dyDescent="0.25">
      <c r="A22" s="172"/>
      <c r="B22" s="170"/>
      <c r="C22" s="165"/>
      <c r="D22" s="171"/>
      <c r="E22" s="189"/>
      <c r="F22" s="188"/>
      <c r="G22" s="189"/>
      <c r="H22" s="189"/>
      <c r="I22" s="189"/>
      <c r="J22" s="189"/>
      <c r="K22" s="190" t="str">
        <f t="shared" si="0"/>
        <v/>
      </c>
      <c r="L22" s="190" t="str">
        <f t="shared" si="1"/>
        <v/>
      </c>
      <c r="M22" s="188"/>
      <c r="N22" s="188"/>
      <c r="O22" s="188"/>
      <c r="P22" s="188"/>
      <c r="Q22" s="188"/>
      <c r="R22" s="188"/>
      <c r="S22" s="215"/>
      <c r="T22" s="209"/>
      <c r="U22" s="221"/>
      <c r="V22" s="221"/>
      <c r="W22" s="221"/>
      <c r="X22" s="221"/>
      <c r="Y22" s="221"/>
      <c r="Z22" s="221"/>
      <c r="AA22" s="221"/>
      <c r="AB22" s="221"/>
      <c r="AC22" s="221"/>
      <c r="AD22" s="221"/>
      <c r="AE22" s="221"/>
      <c r="AF22" s="221"/>
      <c r="AG22" s="219"/>
      <c r="AH22" s="225">
        <f>SUM(PORTEFEUILLE_AURELIE_T[[#This Row],[PCR COMPTABLE €]:[MONTANT
RESPONSABLE RELATION CLIENT €]])-PORTEFEUILLE_AURELIE_T[[#This Row],[MONTANT TOTAL LETTRE DE MISION €]]</f>
        <v>0</v>
      </c>
      <c r="AI22" s="191"/>
      <c r="AJ22" s="188"/>
      <c r="AK22" s="188"/>
      <c r="AL22" s="197"/>
      <c r="AM22" s="197"/>
      <c r="AN22" s="197"/>
      <c r="AO22" s="197"/>
      <c r="AP22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Q22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R22" s="188" t="str">
        <f>IF(PORTEFEUILLE_AURELIE_T[[#This Row],[BONI AAC]]&lt;&gt;0,1,"")</f>
        <v/>
      </c>
      <c r="AS22" s="188" t="str">
        <f>IF(PORTEFEUILLE_AURELIE_T[[#This Row],[MALI AAC]]&lt;&gt;0,1,"")</f>
        <v/>
      </c>
      <c r="AT22" s="225">
        <f>IF(AN22&lt;&gt;"",IF((AN22*Paramètres!$H$4)-PORTEFEUILLE_AURELIE_T[[#This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€]]-(DELPHINE!AN22*Paramètres!$H$4),0),0)</f>
        <v>0</v>
      </c>
      <c r="AU22" s="225">
        <f>IF(AN22&lt;&gt;"",IF(((AN22*Paramètres!$H$4)-PORTEFEUILLE_AURELIE_T[[#This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€]])&gt;0,(AN22*Paramètres!$H$4)-PORTEFEUILLE_AURELIE_T[[#This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V22" s="190" t="str">
        <f>IF(PORTEFEUILLE_AURELIE_T[[#This Row],[BONI COMPTABLE]]&lt;&gt;0,1,"")</f>
        <v/>
      </c>
      <c r="AW22" s="190" t="str">
        <f>IF(PORTEFEUILLE_AURELIE_T[[#This Row],[MALI COMPTABLE]]&lt;&gt;0,1,"")</f>
        <v/>
      </c>
      <c r="AX22" s="188"/>
      <c r="AY22" s="188"/>
      <c r="AZ22" s="188"/>
      <c r="BA22" s="188"/>
      <c r="BB22" s="196"/>
      <c r="BC22" s="196"/>
      <c r="BD22" s="196"/>
      <c r="BE22" s="192"/>
      <c r="BF22" s="194"/>
      <c r="BG22" s="194"/>
      <c r="BH22" s="195"/>
      <c r="BI22" s="194"/>
    </row>
    <row r="23" spans="1:61" x14ac:dyDescent="0.25">
      <c r="A23" s="172"/>
      <c r="B23" s="170"/>
      <c r="C23" s="165"/>
      <c r="D23" s="171"/>
      <c r="E23" s="189"/>
      <c r="F23" s="188"/>
      <c r="G23" s="189"/>
      <c r="H23" s="189"/>
      <c r="I23" s="189"/>
      <c r="J23" s="189"/>
      <c r="K23" s="190" t="str">
        <f t="shared" si="0"/>
        <v/>
      </c>
      <c r="L23" s="190" t="str">
        <f t="shared" si="1"/>
        <v/>
      </c>
      <c r="M23" s="188"/>
      <c r="N23" s="188"/>
      <c r="O23" s="188"/>
      <c r="P23" s="188"/>
      <c r="Q23" s="188"/>
      <c r="R23" s="188"/>
      <c r="S23" s="213"/>
      <c r="T23" s="207"/>
      <c r="U23" s="219"/>
      <c r="V23" s="219"/>
      <c r="W23" s="219"/>
      <c r="X23" s="219"/>
      <c r="Y23" s="219"/>
      <c r="Z23" s="219"/>
      <c r="AA23" s="219"/>
      <c r="AB23" s="219"/>
      <c r="AC23" s="219"/>
      <c r="AD23" s="219"/>
      <c r="AE23" s="219"/>
      <c r="AF23" s="219"/>
      <c r="AG23" s="219"/>
      <c r="AH23" s="225">
        <f>SUM(PORTEFEUILLE_AURELIE_T[[#This Row],[PCR COMPTABLE €]:[MONTANT
RESPONSABLE RELATION CLIENT €]])-PORTEFEUILLE_AURELIE_T[[#This Row],[MONTANT TOTAL LETTRE DE MISION €]]</f>
        <v>0</v>
      </c>
      <c r="AI23" s="191"/>
      <c r="AJ23" s="188"/>
      <c r="AK23" s="188"/>
      <c r="AL23" s="188"/>
      <c r="AM23" s="188"/>
      <c r="AN23" s="188"/>
      <c r="AO23" s="188"/>
      <c r="AP23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Q23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R23" s="188" t="str">
        <f>IF(PORTEFEUILLE_AURELIE_T[[#This Row],[BONI AAC]]&lt;&gt;0,1,"")</f>
        <v/>
      </c>
      <c r="AS23" s="188" t="str">
        <f>IF(PORTEFEUILLE_AURELIE_T[[#This Row],[MALI AAC]]&lt;&gt;0,1,"")</f>
        <v/>
      </c>
      <c r="AT23" s="225">
        <f>IF(AN23&lt;&gt;"",IF((AN23*Paramètres!$H$4)-PORTEFEUILLE_AURELIE_T[[#This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€]]-(DELPHINE!AN23*Paramètres!$H$4),0),0)</f>
        <v>0</v>
      </c>
      <c r="AU23" s="225">
        <f>IF(AN23&lt;&gt;"",IF(((AN23*Paramètres!$H$4)-PORTEFEUILLE_AURELIE_T[[#This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€]])&gt;0,(AN23*Paramètres!$H$4)-PORTEFEUILLE_AURELIE_T[[#This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V23" s="190" t="str">
        <f>IF(PORTEFEUILLE_AURELIE_T[[#This Row],[BONI COMPTABLE]]&lt;&gt;0,1,"")</f>
        <v/>
      </c>
      <c r="AW23" s="190" t="str">
        <f>IF(PORTEFEUILLE_AURELIE_T[[#This Row],[MALI COMPTABLE]]&lt;&gt;0,1,"")</f>
        <v/>
      </c>
      <c r="AX23" s="188"/>
      <c r="AY23" s="188"/>
      <c r="AZ23" s="188"/>
      <c r="BA23" s="188"/>
      <c r="BB23" s="188"/>
      <c r="BC23" s="188"/>
      <c r="BD23" s="188"/>
      <c r="BE23" s="192"/>
      <c r="BF23" s="194"/>
      <c r="BG23" s="194"/>
      <c r="BH23" s="195"/>
      <c r="BI23" s="194"/>
    </row>
    <row r="24" spans="1:61" x14ac:dyDescent="0.25">
      <c r="A24" s="172"/>
      <c r="B24" s="170"/>
      <c r="C24" s="165"/>
      <c r="D24" s="171"/>
      <c r="E24" s="189"/>
      <c r="F24" s="188"/>
      <c r="G24" s="188"/>
      <c r="H24" s="189"/>
      <c r="I24" s="189"/>
      <c r="J24" s="189"/>
      <c r="K24" s="190" t="str">
        <f t="shared" si="0"/>
        <v/>
      </c>
      <c r="L24" s="190" t="str">
        <f t="shared" si="1"/>
        <v/>
      </c>
      <c r="M24" s="188"/>
      <c r="N24" s="188"/>
      <c r="O24" s="188"/>
      <c r="P24" s="188"/>
      <c r="Q24" s="188"/>
      <c r="R24" s="188"/>
      <c r="S24" s="214"/>
      <c r="T24" s="208"/>
      <c r="U24" s="220"/>
      <c r="V24" s="220"/>
      <c r="W24" s="220"/>
      <c r="X24" s="220"/>
      <c r="Y24" s="220"/>
      <c r="Z24" s="220"/>
      <c r="AA24" s="220"/>
      <c r="AB24" s="220"/>
      <c r="AC24" s="220"/>
      <c r="AD24" s="220"/>
      <c r="AE24" s="220"/>
      <c r="AF24" s="220"/>
      <c r="AG24" s="219"/>
      <c r="AH24" s="225">
        <f>SUM(PORTEFEUILLE_AURELIE_T[[#This Row],[PCR COMPTABLE €]:[MONTANT
RESPONSABLE RELATION CLIENT €]])-PORTEFEUILLE_AURELIE_T[[#This Row],[MONTANT TOTAL LETTRE DE MISION €]]</f>
        <v>0</v>
      </c>
      <c r="AI24" s="191"/>
      <c r="AJ24" s="188"/>
      <c r="AK24" s="188"/>
      <c r="AL24" s="196"/>
      <c r="AM24" s="196"/>
      <c r="AN24" s="196"/>
      <c r="AO24" s="196"/>
      <c r="AP24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Q24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R24" s="188" t="str">
        <f>IF(PORTEFEUILLE_AURELIE_T[[#This Row],[BONI AAC]]&lt;&gt;0,1,"")</f>
        <v/>
      </c>
      <c r="AS24" s="188" t="str">
        <f>IF(PORTEFEUILLE_AURELIE_T[[#This Row],[MALI AAC]]&lt;&gt;0,1,"")</f>
        <v/>
      </c>
      <c r="AT24" s="225">
        <f>IF(AN24&lt;&gt;"",IF((AN24*Paramètres!$H$4)-PORTEFEUILLE_AURELIE_T[[#This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€]]-(DELPHINE!AN24*Paramètres!$H$4),0),0)</f>
        <v>0</v>
      </c>
      <c r="AU24" s="225">
        <f>IF(AN24&lt;&gt;"",IF(((AN24*Paramètres!$H$4)-PORTEFEUILLE_AURELIE_T[[#This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€]])&gt;0,(AN24*Paramètres!$H$4)-PORTEFEUILLE_AURELIE_T[[#This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V24" s="190" t="str">
        <f>IF(PORTEFEUILLE_AURELIE_T[[#This Row],[BONI COMPTABLE]]&lt;&gt;0,1,"")</f>
        <v/>
      </c>
      <c r="AW24" s="190" t="str">
        <f>IF(PORTEFEUILLE_AURELIE_T[[#This Row],[MALI COMPTABLE]]&lt;&gt;0,1,"")</f>
        <v/>
      </c>
      <c r="AX24" s="196"/>
      <c r="AY24" s="188"/>
      <c r="AZ24" s="188"/>
      <c r="BA24" s="188"/>
      <c r="BB24" s="188"/>
      <c r="BC24" s="188"/>
      <c r="BD24" s="188"/>
      <c r="BE24" s="192"/>
      <c r="BF24" s="194"/>
      <c r="BG24" s="194"/>
      <c r="BH24" s="195"/>
      <c r="BI24" s="194"/>
    </row>
    <row r="25" spans="1:61" x14ac:dyDescent="0.25">
      <c r="A25" s="172"/>
      <c r="B25" s="170"/>
      <c r="C25" s="165"/>
      <c r="D25" s="171"/>
      <c r="E25" s="189"/>
      <c r="F25" s="188"/>
      <c r="G25" s="188"/>
      <c r="H25" s="189"/>
      <c r="I25" s="189"/>
      <c r="J25" s="189"/>
      <c r="K25" s="190" t="str">
        <f t="shared" si="0"/>
        <v/>
      </c>
      <c r="L25" s="190" t="str">
        <f t="shared" si="1"/>
        <v/>
      </c>
      <c r="M25" s="188"/>
      <c r="N25" s="188"/>
      <c r="O25" s="188"/>
      <c r="P25" s="188"/>
      <c r="Q25" s="188"/>
      <c r="R25" s="188"/>
      <c r="S25" s="214"/>
      <c r="T25" s="208"/>
      <c r="U25" s="220"/>
      <c r="V25" s="220"/>
      <c r="W25" s="220"/>
      <c r="X25" s="220"/>
      <c r="Y25" s="220"/>
      <c r="Z25" s="220"/>
      <c r="AA25" s="220"/>
      <c r="AB25" s="220"/>
      <c r="AC25" s="220"/>
      <c r="AD25" s="220"/>
      <c r="AE25" s="220"/>
      <c r="AF25" s="220"/>
      <c r="AG25" s="219"/>
      <c r="AH25" s="225">
        <f>SUM(PORTEFEUILLE_AURELIE_T[[#This Row],[PCR COMPTABLE €]:[MONTANT
RESPONSABLE RELATION CLIENT €]])-PORTEFEUILLE_AURELIE_T[[#This Row],[MONTANT TOTAL LETTRE DE MISION €]]</f>
        <v>0</v>
      </c>
      <c r="AI25" s="191"/>
      <c r="AJ25" s="188"/>
      <c r="AK25" s="188"/>
      <c r="AL25" s="196"/>
      <c r="AM25" s="196"/>
      <c r="AN25" s="196"/>
      <c r="AO25" s="196"/>
      <c r="AP25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Q25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R25" s="188" t="str">
        <f>IF(PORTEFEUILLE_AURELIE_T[[#This Row],[BONI AAC]]&lt;&gt;0,1,"")</f>
        <v/>
      </c>
      <c r="AS25" s="188" t="str">
        <f>IF(PORTEFEUILLE_AURELIE_T[[#This Row],[MALI AAC]]&lt;&gt;0,1,"")</f>
        <v/>
      </c>
      <c r="AT25" s="225">
        <f>IF(AN25&lt;&gt;"",IF((AN25*Paramètres!$H$4)-PORTEFEUILLE_AURELIE_T[[#This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€]]-(DELPHINE!AN25*Paramètres!$H$4),0),0)</f>
        <v>0</v>
      </c>
      <c r="AU25" s="225">
        <f>IF(AN25&lt;&gt;"",IF(((AN25*Paramètres!$H$4)-PORTEFEUILLE_AURELIE_T[[#This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€]])&gt;0,(AN25*Paramètres!$H$4)-PORTEFEUILLE_AURELIE_T[[#This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V25" s="190" t="str">
        <f>IF(PORTEFEUILLE_AURELIE_T[[#This Row],[BONI COMPTABLE]]&lt;&gt;0,1,"")</f>
        <v/>
      </c>
      <c r="AW25" s="190" t="str">
        <f>IF(PORTEFEUILLE_AURELIE_T[[#This Row],[MALI COMPTABLE]]&lt;&gt;0,1,"")</f>
        <v/>
      </c>
      <c r="AX25" s="196"/>
      <c r="AY25" s="188"/>
      <c r="AZ25" s="188"/>
      <c r="BA25" s="188"/>
      <c r="BB25" s="188"/>
      <c r="BC25" s="188"/>
      <c r="BD25" s="188"/>
      <c r="BE25" s="192"/>
      <c r="BF25" s="194"/>
      <c r="BG25" s="194"/>
      <c r="BH25" s="195"/>
      <c r="BI25" s="194"/>
    </row>
    <row r="26" spans="1:61" x14ac:dyDescent="0.25">
      <c r="A26" s="172"/>
      <c r="B26" s="170"/>
      <c r="C26" s="165"/>
      <c r="D26" s="171"/>
      <c r="E26" s="189"/>
      <c r="F26" s="188"/>
      <c r="G26" s="188"/>
      <c r="H26" s="189"/>
      <c r="I26" s="189"/>
      <c r="J26" s="189"/>
      <c r="K26" s="190" t="str">
        <f t="shared" si="0"/>
        <v/>
      </c>
      <c r="L26" s="190" t="str">
        <f t="shared" si="1"/>
        <v/>
      </c>
      <c r="M26" s="188"/>
      <c r="N26" s="188"/>
      <c r="O26" s="188"/>
      <c r="P26" s="188"/>
      <c r="Q26" s="188"/>
      <c r="R26" s="188"/>
      <c r="S26" s="214"/>
      <c r="T26" s="208"/>
      <c r="U26" s="220"/>
      <c r="V26" s="220"/>
      <c r="W26" s="220"/>
      <c r="X26" s="220"/>
      <c r="Y26" s="220"/>
      <c r="Z26" s="220"/>
      <c r="AA26" s="220"/>
      <c r="AB26" s="220"/>
      <c r="AC26" s="220"/>
      <c r="AD26" s="220"/>
      <c r="AE26" s="220"/>
      <c r="AF26" s="220"/>
      <c r="AG26" s="219"/>
      <c r="AH26" s="225">
        <f>SUM(PORTEFEUILLE_AURELIE_T[[#This Row],[PCR COMPTABLE €]:[MONTANT
RESPONSABLE RELATION CLIENT €]])-PORTEFEUILLE_AURELIE_T[[#This Row],[MONTANT TOTAL LETTRE DE MISION €]]</f>
        <v>0</v>
      </c>
      <c r="AI26" s="191"/>
      <c r="AJ26" s="188"/>
      <c r="AK26" s="188"/>
      <c r="AL26" s="196"/>
      <c r="AM26" s="196"/>
      <c r="AN26" s="196"/>
      <c r="AO26" s="196"/>
      <c r="AP26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Q26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R26" s="188" t="str">
        <f>IF(PORTEFEUILLE_AURELIE_T[[#This Row],[BONI AAC]]&lt;&gt;0,1,"")</f>
        <v/>
      </c>
      <c r="AS26" s="188" t="str">
        <f>IF(PORTEFEUILLE_AURELIE_T[[#This Row],[MALI AAC]]&lt;&gt;0,1,"")</f>
        <v/>
      </c>
      <c r="AT26" s="225">
        <f>IF(AN26&lt;&gt;"",IF((AN26*Paramètres!$H$4)-PORTEFEUILLE_AURELIE_T[[#This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€]]-(DELPHINE!AN26*Paramètres!$H$4),0),0)</f>
        <v>0</v>
      </c>
      <c r="AU26" s="225">
        <f>IF(AN26&lt;&gt;"",IF(((AN26*Paramètres!$H$4)-PORTEFEUILLE_AURELIE_T[[#This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€]])&gt;0,(AN26*Paramètres!$H$4)-PORTEFEUILLE_AURELIE_T[[#This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V26" s="190" t="str">
        <f>IF(PORTEFEUILLE_AURELIE_T[[#This Row],[BONI COMPTABLE]]&lt;&gt;0,1,"")</f>
        <v/>
      </c>
      <c r="AW26" s="190" t="str">
        <f>IF(PORTEFEUILLE_AURELIE_T[[#This Row],[MALI COMPTABLE]]&lt;&gt;0,1,"")</f>
        <v/>
      </c>
      <c r="AX26" s="196"/>
      <c r="AY26" s="188"/>
      <c r="AZ26" s="188"/>
      <c r="BA26" s="188"/>
      <c r="BB26" s="188"/>
      <c r="BC26" s="188"/>
      <c r="BD26" s="188"/>
      <c r="BE26" s="192"/>
      <c r="BF26" s="194"/>
      <c r="BG26" s="194"/>
      <c r="BH26" s="195"/>
      <c r="BI26" s="194"/>
    </row>
    <row r="27" spans="1:61" x14ac:dyDescent="0.25">
      <c r="A27" s="172"/>
      <c r="B27" s="170"/>
      <c r="C27" s="165"/>
      <c r="D27" s="171"/>
      <c r="E27" s="189"/>
      <c r="F27" s="188"/>
      <c r="G27" s="188"/>
      <c r="H27" s="189"/>
      <c r="I27" s="189"/>
      <c r="J27" s="189"/>
      <c r="K27" s="190" t="str">
        <f t="shared" si="0"/>
        <v/>
      </c>
      <c r="L27" s="190" t="str">
        <f t="shared" si="1"/>
        <v/>
      </c>
      <c r="M27" s="188"/>
      <c r="N27" s="188"/>
      <c r="O27" s="188"/>
      <c r="P27" s="188"/>
      <c r="Q27" s="188"/>
      <c r="R27" s="188"/>
      <c r="S27" s="214"/>
      <c r="T27" s="208"/>
      <c r="U27" s="220"/>
      <c r="V27" s="220"/>
      <c r="W27" s="220"/>
      <c r="X27" s="220"/>
      <c r="Y27" s="220"/>
      <c r="Z27" s="220"/>
      <c r="AA27" s="220"/>
      <c r="AB27" s="220"/>
      <c r="AC27" s="220"/>
      <c r="AD27" s="220"/>
      <c r="AE27" s="220"/>
      <c r="AF27" s="220"/>
      <c r="AG27" s="219"/>
      <c r="AH27" s="225">
        <f>SUM(PORTEFEUILLE_AURELIE_T[[#This Row],[PCR COMPTABLE €]:[MONTANT
RESPONSABLE RELATION CLIENT €]])-PORTEFEUILLE_AURELIE_T[[#This Row],[MONTANT TOTAL LETTRE DE MISION €]]</f>
        <v>0</v>
      </c>
      <c r="AI27" s="191"/>
      <c r="AJ27" s="188"/>
      <c r="AK27" s="188"/>
      <c r="AL27" s="196"/>
      <c r="AM27" s="196"/>
      <c r="AN27" s="196"/>
      <c r="AO27" s="196"/>
      <c r="AP27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Q27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R27" s="188" t="str">
        <f>IF(PORTEFEUILLE_AURELIE_T[[#This Row],[BONI AAC]]&lt;&gt;0,1,"")</f>
        <v/>
      </c>
      <c r="AS27" s="188" t="str">
        <f>IF(PORTEFEUILLE_AURELIE_T[[#This Row],[MALI AAC]]&lt;&gt;0,1,"")</f>
        <v/>
      </c>
      <c r="AT27" s="225">
        <f>IF(AN27&lt;&gt;"",IF((AN27*Paramètres!$H$4)-PORTEFEUILLE_AURELIE_T[[#This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€]]-(DELPHINE!AN27*Paramètres!$H$4),0),0)</f>
        <v>0</v>
      </c>
      <c r="AU27" s="225">
        <f>IF(AN27&lt;&gt;"",IF(((AN27*Paramètres!$H$4)-PORTEFEUILLE_AURELIE_T[[#This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€]])&gt;0,(AN27*Paramètres!$H$4)-PORTEFEUILLE_AURELIE_T[[#This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V27" s="190" t="str">
        <f>IF(PORTEFEUILLE_AURELIE_T[[#This Row],[BONI COMPTABLE]]&lt;&gt;0,1,"")</f>
        <v/>
      </c>
      <c r="AW27" s="190" t="str">
        <f>IF(PORTEFEUILLE_AURELIE_T[[#This Row],[MALI COMPTABLE]]&lt;&gt;0,1,"")</f>
        <v/>
      </c>
      <c r="AX27" s="196"/>
      <c r="AY27" s="188"/>
      <c r="AZ27" s="188"/>
      <c r="BA27" s="188"/>
      <c r="BB27" s="188"/>
      <c r="BC27" s="188"/>
      <c r="BD27" s="188"/>
      <c r="BE27" s="192"/>
      <c r="BF27" s="194"/>
      <c r="BG27" s="194"/>
      <c r="BH27" s="195"/>
      <c r="BI27" s="194"/>
    </row>
    <row r="28" spans="1:61" s="90" customFormat="1" x14ac:dyDescent="0.25">
      <c r="A28" s="176"/>
      <c r="B28" s="170"/>
      <c r="C28" s="165"/>
      <c r="D28" s="171"/>
      <c r="E28" s="189"/>
      <c r="F28" s="188"/>
      <c r="G28" s="189"/>
      <c r="H28" s="189"/>
      <c r="I28" s="189"/>
      <c r="J28" s="189"/>
      <c r="K28" s="190" t="str">
        <f t="shared" si="0"/>
        <v/>
      </c>
      <c r="L28" s="190" t="str">
        <f t="shared" si="1"/>
        <v/>
      </c>
      <c r="M28" s="188"/>
      <c r="N28" s="188"/>
      <c r="O28" s="188"/>
      <c r="P28" s="188"/>
      <c r="Q28" s="188"/>
      <c r="R28" s="188"/>
      <c r="S28" s="213"/>
      <c r="T28" s="207"/>
      <c r="U28" s="219"/>
      <c r="V28" s="219"/>
      <c r="W28" s="219"/>
      <c r="X28" s="219"/>
      <c r="Y28" s="219"/>
      <c r="Z28" s="219"/>
      <c r="AA28" s="219"/>
      <c r="AB28" s="219"/>
      <c r="AC28" s="219"/>
      <c r="AD28" s="219"/>
      <c r="AE28" s="219"/>
      <c r="AF28" s="219"/>
      <c r="AG28" s="219"/>
      <c r="AH28" s="225">
        <f>SUM(PORTEFEUILLE_AURELIE_T[[#This Row],[PCR COMPTABLE €]:[MONTANT
RESPONSABLE RELATION CLIENT €]])-PORTEFEUILLE_AURELIE_T[[#This Row],[MONTANT TOTAL LETTRE DE MISION €]]</f>
        <v>0</v>
      </c>
      <c r="AI28" s="191"/>
      <c r="AJ28" s="188"/>
      <c r="AK28" s="188"/>
      <c r="AL28" s="188"/>
      <c r="AM28" s="188"/>
      <c r="AN28" s="188"/>
      <c r="AO28" s="188"/>
      <c r="AP28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Q28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R28" s="188" t="str">
        <f>IF(PORTEFEUILLE_AURELIE_T[[#This Row],[BONI AAC]]&lt;&gt;0,1,"")</f>
        <v/>
      </c>
      <c r="AS28" s="188" t="str">
        <f>IF(PORTEFEUILLE_AURELIE_T[[#This Row],[MALI AAC]]&lt;&gt;0,1,"")</f>
        <v/>
      </c>
      <c r="AT28" s="225">
        <f>IF(AN28&lt;&gt;"",IF((AN28*Paramètres!$H$4)-PORTEFEUILLE_AURELIE_T[[#This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€]]-(DELPHINE!AN28*Paramètres!$H$4),0),0)</f>
        <v>0</v>
      </c>
      <c r="AU28" s="225">
        <f>IF(AN28&lt;&gt;"",IF(((AN28*Paramètres!$H$4)-PORTEFEUILLE_AURELIE_T[[#This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€]])&gt;0,(AN28*Paramètres!$H$4)-PORTEFEUILLE_AURELIE_T[[#This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V28" s="190" t="str">
        <f>IF(PORTEFEUILLE_AURELIE_T[[#This Row],[BONI COMPTABLE]]&lt;&gt;0,1,"")</f>
        <v/>
      </c>
      <c r="AW28" s="190" t="str">
        <f>IF(PORTEFEUILLE_AURELIE_T[[#This Row],[MALI COMPTABLE]]&lt;&gt;0,1,"")</f>
        <v/>
      </c>
      <c r="AX28" s="188"/>
      <c r="AY28" s="188"/>
      <c r="AZ28" s="188"/>
      <c r="BA28" s="188"/>
      <c r="BB28" s="196"/>
      <c r="BC28" s="196"/>
      <c r="BD28" s="196"/>
      <c r="BE28" s="192"/>
      <c r="BF28" s="196"/>
      <c r="BG28" s="196"/>
      <c r="BH28" s="198"/>
      <c r="BI28" s="196"/>
    </row>
    <row r="29" spans="1:61" x14ac:dyDescent="0.25">
      <c r="A29" s="172"/>
      <c r="B29" s="170"/>
      <c r="C29" s="165"/>
      <c r="D29" s="171"/>
      <c r="E29" s="189"/>
      <c r="F29" s="188"/>
      <c r="G29" s="189"/>
      <c r="H29" s="189"/>
      <c r="I29" s="189"/>
      <c r="J29" s="189"/>
      <c r="K29" s="190" t="str">
        <f t="shared" si="0"/>
        <v/>
      </c>
      <c r="L29" s="190" t="str">
        <f t="shared" si="1"/>
        <v/>
      </c>
      <c r="M29" s="188"/>
      <c r="N29" s="188"/>
      <c r="O29" s="188"/>
      <c r="P29" s="188"/>
      <c r="Q29" s="188"/>
      <c r="R29" s="188"/>
      <c r="S29" s="213"/>
      <c r="T29" s="207"/>
      <c r="U29" s="219"/>
      <c r="V29" s="219"/>
      <c r="W29" s="219"/>
      <c r="X29" s="219"/>
      <c r="Y29" s="219"/>
      <c r="Z29" s="219"/>
      <c r="AA29" s="219"/>
      <c r="AB29" s="219"/>
      <c r="AC29" s="219"/>
      <c r="AD29" s="219"/>
      <c r="AE29" s="219"/>
      <c r="AF29" s="219"/>
      <c r="AG29" s="219"/>
      <c r="AH29" s="225">
        <f>SUM(PORTEFEUILLE_AURELIE_T[[#This Row],[PCR COMPTABLE €]:[MONTANT
RESPONSABLE RELATION CLIENT €]])-PORTEFEUILLE_AURELIE_T[[#This Row],[MONTANT TOTAL LETTRE DE MISION €]]</f>
        <v>0</v>
      </c>
      <c r="AI29" s="191"/>
      <c r="AJ29" s="188"/>
      <c r="AK29" s="188"/>
      <c r="AL29" s="188"/>
      <c r="AM29" s="188"/>
      <c r="AN29" s="188"/>
      <c r="AO29" s="188"/>
      <c r="AP29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Q29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R29" s="188" t="str">
        <f>IF(PORTEFEUILLE_AURELIE_T[[#This Row],[BONI AAC]]&lt;&gt;0,1,"")</f>
        <v/>
      </c>
      <c r="AS29" s="188" t="str">
        <f>IF(PORTEFEUILLE_AURELIE_T[[#This Row],[MALI AAC]]&lt;&gt;0,1,"")</f>
        <v/>
      </c>
      <c r="AT29" s="225">
        <f>IF(AN29&lt;&gt;"",IF((AN29*Paramètres!$H$4)-PORTEFEUILLE_AURELIE_T[[#This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€]]-(DELPHINE!AN29*Paramètres!$H$4),0),0)</f>
        <v>0</v>
      </c>
      <c r="AU29" s="225">
        <f>IF(AN29&lt;&gt;"",IF(((AN29*Paramètres!$H$4)-PORTEFEUILLE_AURELIE_T[[#This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€]])&gt;0,(AN29*Paramètres!$H$4)-PORTEFEUILLE_AURELIE_T[[#This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V29" s="190" t="str">
        <f>IF(PORTEFEUILLE_AURELIE_T[[#This Row],[BONI COMPTABLE]]&lt;&gt;0,1,"")</f>
        <v/>
      </c>
      <c r="AW29" s="190" t="str">
        <f>IF(PORTEFEUILLE_AURELIE_T[[#This Row],[MALI COMPTABLE]]&lt;&gt;0,1,"")</f>
        <v/>
      </c>
      <c r="AX29" s="188"/>
      <c r="AY29" s="188"/>
      <c r="AZ29" s="188"/>
      <c r="BA29" s="188"/>
      <c r="BB29" s="196"/>
      <c r="BC29" s="196"/>
      <c r="BD29" s="196"/>
      <c r="BE29" s="192"/>
      <c r="BF29" s="194"/>
      <c r="BG29" s="194"/>
      <c r="BH29" s="195"/>
      <c r="BI29" s="194"/>
    </row>
    <row r="30" spans="1:61" x14ac:dyDescent="0.25">
      <c r="A30" s="172"/>
      <c r="B30" s="170"/>
      <c r="C30" s="165"/>
      <c r="D30" s="171"/>
      <c r="E30" s="189"/>
      <c r="F30" s="188"/>
      <c r="G30" s="189"/>
      <c r="H30" s="189"/>
      <c r="I30" s="189"/>
      <c r="J30" s="189"/>
      <c r="K30" s="190" t="str">
        <f t="shared" si="0"/>
        <v/>
      </c>
      <c r="L30" s="190" t="str">
        <f t="shared" si="1"/>
        <v/>
      </c>
      <c r="M30" s="188"/>
      <c r="N30" s="188"/>
      <c r="O30" s="188"/>
      <c r="P30" s="188"/>
      <c r="Q30" s="188"/>
      <c r="R30" s="188"/>
      <c r="S30" s="213"/>
      <c r="T30" s="207"/>
      <c r="U30" s="219"/>
      <c r="V30" s="219"/>
      <c r="W30" s="219"/>
      <c r="X30" s="219"/>
      <c r="Y30" s="219"/>
      <c r="Z30" s="219"/>
      <c r="AA30" s="219"/>
      <c r="AB30" s="219"/>
      <c r="AC30" s="219"/>
      <c r="AD30" s="219"/>
      <c r="AE30" s="219"/>
      <c r="AF30" s="219"/>
      <c r="AG30" s="219"/>
      <c r="AH30" s="225">
        <f>SUM(PORTEFEUILLE_AURELIE_T[[#This Row],[PCR COMPTABLE €]:[MONTANT
RESPONSABLE RELATION CLIENT €]])-PORTEFEUILLE_AURELIE_T[[#This Row],[MONTANT TOTAL LETTRE DE MISION €]]</f>
        <v>0</v>
      </c>
      <c r="AI30" s="191"/>
      <c r="AJ30" s="188"/>
      <c r="AK30" s="188"/>
      <c r="AL30" s="188"/>
      <c r="AM30" s="188"/>
      <c r="AN30" s="188"/>
      <c r="AO30" s="188"/>
      <c r="AP30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Q30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R30" s="188" t="str">
        <f>IF(PORTEFEUILLE_AURELIE_T[[#This Row],[BONI AAC]]&lt;&gt;0,1,"")</f>
        <v/>
      </c>
      <c r="AS30" s="188" t="str">
        <f>IF(PORTEFEUILLE_AURELIE_T[[#This Row],[MALI AAC]]&lt;&gt;0,1,"")</f>
        <v/>
      </c>
      <c r="AT30" s="225">
        <f>IF(AN30&lt;&gt;"",IF((AN30*Paramètres!$H$4)-PORTEFEUILLE_AURELIE_T[[#This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€]]-(DELPHINE!AN30*Paramètres!$H$4),0),0)</f>
        <v>0</v>
      </c>
      <c r="AU30" s="225">
        <f>IF(AN30&lt;&gt;"",IF(((AN30*Paramètres!$H$4)-PORTEFEUILLE_AURELIE_T[[#This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€]])&gt;0,(AN30*Paramètres!$H$4)-PORTEFEUILLE_AURELIE_T[[#This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V30" s="190" t="str">
        <f>IF(PORTEFEUILLE_AURELIE_T[[#This Row],[BONI COMPTABLE]]&lt;&gt;0,1,"")</f>
        <v/>
      </c>
      <c r="AW30" s="190" t="str">
        <f>IF(PORTEFEUILLE_AURELIE_T[[#This Row],[MALI COMPTABLE]]&lt;&gt;0,1,"")</f>
        <v/>
      </c>
      <c r="AX30" s="188"/>
      <c r="AY30" s="188"/>
      <c r="AZ30" s="188"/>
      <c r="BA30" s="188"/>
      <c r="BB30" s="188"/>
      <c r="BC30" s="188"/>
      <c r="BD30" s="188"/>
      <c r="BE30" s="192"/>
      <c r="BF30" s="194"/>
      <c r="BG30" s="194"/>
      <c r="BH30" s="195"/>
      <c r="BI30" s="194"/>
    </row>
    <row r="31" spans="1:61" x14ac:dyDescent="0.25">
      <c r="A31" s="172"/>
      <c r="B31" s="170"/>
      <c r="C31" s="165"/>
      <c r="D31" s="171"/>
      <c r="E31" s="189"/>
      <c r="F31" s="188"/>
      <c r="G31" s="189"/>
      <c r="H31" s="189"/>
      <c r="I31" s="189"/>
      <c r="J31" s="189"/>
      <c r="K31" s="190" t="str">
        <f t="shared" si="0"/>
        <v/>
      </c>
      <c r="L31" s="190" t="str">
        <f t="shared" si="1"/>
        <v/>
      </c>
      <c r="M31" s="188"/>
      <c r="N31" s="188"/>
      <c r="O31" s="188"/>
      <c r="P31" s="188"/>
      <c r="Q31" s="188"/>
      <c r="R31" s="188"/>
      <c r="S31" s="213"/>
      <c r="T31" s="207"/>
      <c r="U31" s="219"/>
      <c r="V31" s="219"/>
      <c r="W31" s="219"/>
      <c r="X31" s="219"/>
      <c r="Y31" s="219"/>
      <c r="Z31" s="219"/>
      <c r="AA31" s="219"/>
      <c r="AB31" s="219"/>
      <c r="AC31" s="219"/>
      <c r="AD31" s="219"/>
      <c r="AE31" s="219"/>
      <c r="AF31" s="219"/>
      <c r="AG31" s="219"/>
      <c r="AH31" s="225">
        <f>SUM(PORTEFEUILLE_AURELIE_T[[#This Row],[PCR COMPTABLE €]:[MONTANT
RESPONSABLE RELATION CLIENT €]])-PORTEFEUILLE_AURELIE_T[[#This Row],[MONTANT TOTAL LETTRE DE MISION €]]</f>
        <v>0</v>
      </c>
      <c r="AI31" s="191"/>
      <c r="AJ31" s="188"/>
      <c r="AK31" s="188"/>
      <c r="AL31" s="188"/>
      <c r="AM31" s="188"/>
      <c r="AN31" s="188"/>
      <c r="AO31" s="188"/>
      <c r="AP31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Q31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R31" s="188" t="str">
        <f>IF(PORTEFEUILLE_AURELIE_T[[#This Row],[BONI AAC]]&lt;&gt;0,1,"")</f>
        <v/>
      </c>
      <c r="AS31" s="188" t="str">
        <f>IF(PORTEFEUILLE_AURELIE_T[[#This Row],[MALI AAC]]&lt;&gt;0,1,"")</f>
        <v/>
      </c>
      <c r="AT31" s="225">
        <f>IF(AN31&lt;&gt;"",IF((AN31*Paramètres!$H$4)-PORTEFEUILLE_AURELIE_T[[#This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€]]-(DELPHINE!AN31*Paramètres!$H$4),0),0)</f>
        <v>0</v>
      </c>
      <c r="AU31" s="225">
        <f>IF(AN31&lt;&gt;"",IF(((AN31*Paramètres!$H$4)-PORTEFEUILLE_AURELIE_T[[#This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€]])&gt;0,(AN31*Paramètres!$H$4)-PORTEFEUILLE_AURELIE_T[[#This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V31" s="190" t="str">
        <f>IF(PORTEFEUILLE_AURELIE_T[[#This Row],[BONI COMPTABLE]]&lt;&gt;0,1,"")</f>
        <v/>
      </c>
      <c r="AW31" s="190" t="str">
        <f>IF(PORTEFEUILLE_AURELIE_T[[#This Row],[MALI COMPTABLE]]&lt;&gt;0,1,"")</f>
        <v/>
      </c>
      <c r="AX31" s="188"/>
      <c r="AY31" s="188"/>
      <c r="AZ31" s="188"/>
      <c r="BA31" s="188"/>
      <c r="BB31" s="196"/>
      <c r="BC31" s="196"/>
      <c r="BD31" s="196"/>
      <c r="BE31" s="192"/>
      <c r="BF31" s="194"/>
      <c r="BG31" s="194"/>
      <c r="BH31" s="195"/>
      <c r="BI31" s="194"/>
    </row>
    <row r="32" spans="1:61" x14ac:dyDescent="0.25">
      <c r="A32" s="172"/>
      <c r="B32" s="177"/>
      <c r="C32" s="165"/>
      <c r="D32" s="171"/>
      <c r="E32" s="189"/>
      <c r="F32" s="188"/>
      <c r="G32" s="189"/>
      <c r="H32" s="189"/>
      <c r="I32" s="189"/>
      <c r="J32" s="189"/>
      <c r="K32" s="190" t="str">
        <f t="shared" si="0"/>
        <v/>
      </c>
      <c r="L32" s="190" t="str">
        <f t="shared" si="1"/>
        <v/>
      </c>
      <c r="M32" s="188"/>
      <c r="N32" s="188"/>
      <c r="O32" s="188"/>
      <c r="P32" s="188"/>
      <c r="Q32" s="188"/>
      <c r="R32" s="188"/>
      <c r="S32" s="213"/>
      <c r="T32" s="207"/>
      <c r="U32" s="219"/>
      <c r="V32" s="219"/>
      <c r="W32" s="219"/>
      <c r="X32" s="219"/>
      <c r="Y32" s="219"/>
      <c r="Z32" s="219"/>
      <c r="AA32" s="219"/>
      <c r="AB32" s="219"/>
      <c r="AC32" s="219"/>
      <c r="AD32" s="219"/>
      <c r="AE32" s="219"/>
      <c r="AF32" s="219"/>
      <c r="AG32" s="219"/>
      <c r="AH32" s="225">
        <f>SUM(PORTEFEUILLE_AURELIE_T[[#This Row],[PCR COMPTABLE €]:[MONTANT
RESPONSABLE RELATION CLIENT €]])-PORTEFEUILLE_AURELIE_T[[#This Row],[MONTANT TOTAL LETTRE DE MISION €]]</f>
        <v>0</v>
      </c>
      <c r="AI32" s="191"/>
      <c r="AJ32" s="188"/>
      <c r="AK32" s="188"/>
      <c r="AL32" s="188"/>
      <c r="AM32" s="188"/>
      <c r="AN32" s="188"/>
      <c r="AO32" s="188"/>
      <c r="AP32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Q32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R32" s="188" t="str">
        <f>IF(PORTEFEUILLE_AURELIE_T[[#This Row],[BONI AAC]]&lt;&gt;0,1,"")</f>
        <v/>
      </c>
      <c r="AS32" s="188" t="str">
        <f>IF(PORTEFEUILLE_AURELIE_T[[#This Row],[MALI AAC]]&lt;&gt;0,1,"")</f>
        <v/>
      </c>
      <c r="AT32" s="225">
        <f>IF(AN32&lt;&gt;"",IF((AN32*Paramètres!$H$4)-PORTEFEUILLE_AURELIE_T[[#This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€]]-(DELPHINE!AN32*Paramètres!$H$4),0),0)</f>
        <v>0</v>
      </c>
      <c r="AU32" s="225">
        <f>IF(AN32&lt;&gt;"",IF(((AN32*Paramètres!$H$4)-PORTEFEUILLE_AURELIE_T[[#This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€]])&gt;0,(AN32*Paramètres!$H$4)-PORTEFEUILLE_AURELIE_T[[#This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V32" s="190" t="str">
        <f>IF(PORTEFEUILLE_AURELIE_T[[#This Row],[BONI COMPTABLE]]&lt;&gt;0,1,"")</f>
        <v/>
      </c>
      <c r="AW32" s="190" t="str">
        <f>IF(PORTEFEUILLE_AURELIE_T[[#This Row],[MALI COMPTABLE]]&lt;&gt;0,1,"")</f>
        <v/>
      </c>
      <c r="AX32" s="188"/>
      <c r="AY32" s="188"/>
      <c r="AZ32" s="188"/>
      <c r="BA32" s="188"/>
      <c r="BB32" s="188"/>
      <c r="BC32" s="188"/>
      <c r="BD32" s="188"/>
      <c r="BE32" s="192"/>
      <c r="BF32" s="194"/>
      <c r="BG32" s="194"/>
      <c r="BH32" s="195"/>
      <c r="BI32" s="194"/>
    </row>
    <row r="33" spans="1:61" x14ac:dyDescent="0.25">
      <c r="A33" s="172"/>
      <c r="B33" s="177"/>
      <c r="C33" s="165"/>
      <c r="D33" s="171"/>
      <c r="E33" s="189"/>
      <c r="F33" s="188"/>
      <c r="G33" s="188"/>
      <c r="H33" s="189"/>
      <c r="I33" s="188"/>
      <c r="J33" s="189"/>
      <c r="K33" s="190" t="str">
        <f t="shared" si="0"/>
        <v/>
      </c>
      <c r="L33" s="190" t="str">
        <f t="shared" si="1"/>
        <v/>
      </c>
      <c r="M33" s="188"/>
      <c r="N33" s="188"/>
      <c r="O33" s="188"/>
      <c r="P33" s="188"/>
      <c r="Q33" s="188"/>
      <c r="R33" s="188"/>
      <c r="S33" s="214"/>
      <c r="T33" s="208"/>
      <c r="U33" s="220"/>
      <c r="V33" s="220"/>
      <c r="W33" s="220"/>
      <c r="X33" s="220"/>
      <c r="Y33" s="220"/>
      <c r="Z33" s="220"/>
      <c r="AA33" s="220"/>
      <c r="AB33" s="220"/>
      <c r="AC33" s="220"/>
      <c r="AD33" s="220"/>
      <c r="AE33" s="220"/>
      <c r="AF33" s="220"/>
      <c r="AG33" s="219"/>
      <c r="AH33" s="225">
        <f>SUM(PORTEFEUILLE_AURELIE_T[[#This Row],[PCR COMPTABLE €]:[MONTANT
RESPONSABLE RELATION CLIENT €]])-PORTEFEUILLE_AURELIE_T[[#This Row],[MONTANT TOTAL LETTRE DE MISION €]]</f>
        <v>0</v>
      </c>
      <c r="AI33" s="191"/>
      <c r="AJ33" s="188"/>
      <c r="AK33" s="188"/>
      <c r="AL33" s="196"/>
      <c r="AM33" s="196"/>
      <c r="AN33" s="196"/>
      <c r="AO33" s="196"/>
      <c r="AP33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Q33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R33" s="188" t="str">
        <f>IF(PORTEFEUILLE_AURELIE_T[[#This Row],[BONI AAC]]&lt;&gt;0,1,"")</f>
        <v/>
      </c>
      <c r="AS33" s="188" t="str">
        <f>IF(PORTEFEUILLE_AURELIE_T[[#This Row],[MALI AAC]]&lt;&gt;0,1,"")</f>
        <v/>
      </c>
      <c r="AT33" s="225">
        <f>IF(AN33&lt;&gt;"",IF((AN33*Paramètres!$H$4)-PORTEFEUILLE_AURELIE_T[[#This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€]]-(DELPHINE!AN33*Paramètres!$H$4),0),0)</f>
        <v>0</v>
      </c>
      <c r="AU33" s="225">
        <f>IF(AN33&lt;&gt;"",IF(((AN33*Paramètres!$H$4)-PORTEFEUILLE_AURELIE_T[[#This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€]])&gt;0,(AN33*Paramètres!$H$4)-PORTEFEUILLE_AURELIE_T[[#This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V33" s="190" t="str">
        <f>IF(PORTEFEUILLE_AURELIE_T[[#This Row],[BONI COMPTABLE]]&lt;&gt;0,1,"")</f>
        <v/>
      </c>
      <c r="AW33" s="190" t="str">
        <f>IF(PORTEFEUILLE_AURELIE_T[[#This Row],[MALI COMPTABLE]]&lt;&gt;0,1,"")</f>
        <v/>
      </c>
      <c r="AX33" s="196"/>
      <c r="AY33" s="188"/>
      <c r="AZ33" s="188"/>
      <c r="BA33" s="188"/>
      <c r="BB33" s="196"/>
      <c r="BC33" s="196"/>
      <c r="BD33" s="196"/>
      <c r="BE33" s="192"/>
      <c r="BF33" s="194"/>
      <c r="BG33" s="194"/>
      <c r="BH33" s="195"/>
      <c r="BI33" s="194"/>
    </row>
    <row r="34" spans="1:61" x14ac:dyDescent="0.25">
      <c r="A34" s="172"/>
      <c r="B34" s="177"/>
      <c r="C34" s="165"/>
      <c r="D34" s="171"/>
      <c r="E34" s="189"/>
      <c r="F34" s="188"/>
      <c r="G34" s="188"/>
      <c r="H34" s="189"/>
      <c r="I34" s="189"/>
      <c r="J34" s="189"/>
      <c r="K34" s="190" t="str">
        <f t="shared" si="0"/>
        <v/>
      </c>
      <c r="L34" s="190" t="str">
        <f t="shared" si="1"/>
        <v/>
      </c>
      <c r="M34" s="188"/>
      <c r="N34" s="188"/>
      <c r="O34" s="188"/>
      <c r="P34" s="188"/>
      <c r="Q34" s="188"/>
      <c r="R34" s="188"/>
      <c r="S34" s="214"/>
      <c r="T34" s="208"/>
      <c r="U34" s="220"/>
      <c r="V34" s="220"/>
      <c r="W34" s="220"/>
      <c r="X34" s="220"/>
      <c r="Y34" s="220"/>
      <c r="Z34" s="220"/>
      <c r="AA34" s="220"/>
      <c r="AB34" s="220"/>
      <c r="AC34" s="220"/>
      <c r="AD34" s="220"/>
      <c r="AE34" s="220"/>
      <c r="AF34" s="220"/>
      <c r="AG34" s="219"/>
      <c r="AH34" s="225">
        <f>SUM(PORTEFEUILLE_AURELIE_T[[#This Row],[PCR COMPTABLE €]:[MONTANT
RESPONSABLE RELATION CLIENT €]])-PORTEFEUILLE_AURELIE_T[[#This Row],[MONTANT TOTAL LETTRE DE MISION €]]</f>
        <v>0</v>
      </c>
      <c r="AI34" s="191"/>
      <c r="AJ34" s="188"/>
      <c r="AK34" s="188"/>
      <c r="AL34" s="196"/>
      <c r="AM34" s="196"/>
      <c r="AN34" s="196"/>
      <c r="AO34" s="196"/>
      <c r="AP34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Q34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R34" s="188" t="str">
        <f>IF(PORTEFEUILLE_AURELIE_T[[#This Row],[BONI AAC]]&lt;&gt;0,1,"")</f>
        <v/>
      </c>
      <c r="AS34" s="188" t="str">
        <f>IF(PORTEFEUILLE_AURELIE_T[[#This Row],[MALI AAC]]&lt;&gt;0,1,"")</f>
        <v/>
      </c>
      <c r="AT34" s="225">
        <f>IF(AN34&lt;&gt;"",IF((AN34*Paramètres!$H$4)-PORTEFEUILLE_AURELIE_T[[#This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€]]-(DELPHINE!AN34*Paramètres!$H$4),0),0)</f>
        <v>0</v>
      </c>
      <c r="AU34" s="225">
        <f>IF(AN34&lt;&gt;"",IF(((AN34*Paramètres!$H$4)-PORTEFEUILLE_AURELIE_T[[#This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€]])&gt;0,(AN34*Paramètres!$H$4)-PORTEFEUILLE_AURELIE_T[[#This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V34" s="190" t="str">
        <f>IF(PORTEFEUILLE_AURELIE_T[[#This Row],[BONI COMPTABLE]]&lt;&gt;0,1,"")</f>
        <v/>
      </c>
      <c r="AW34" s="190" t="str">
        <f>IF(PORTEFEUILLE_AURELIE_T[[#This Row],[MALI COMPTABLE]]&lt;&gt;0,1,"")</f>
        <v/>
      </c>
      <c r="AX34" s="196"/>
      <c r="AY34" s="188"/>
      <c r="AZ34" s="188"/>
      <c r="BA34" s="188"/>
      <c r="BB34" s="188"/>
      <c r="BC34" s="188"/>
      <c r="BD34" s="188"/>
      <c r="BE34" s="192"/>
      <c r="BF34" s="194"/>
      <c r="BG34" s="194"/>
      <c r="BH34" s="195"/>
      <c r="BI34" s="194"/>
    </row>
    <row r="35" spans="1:61" x14ac:dyDescent="0.25">
      <c r="A35" s="172"/>
      <c r="B35" s="177"/>
      <c r="C35" s="165"/>
      <c r="D35" s="171"/>
      <c r="E35" s="189"/>
      <c r="F35" s="188"/>
      <c r="G35" s="189"/>
      <c r="H35" s="189"/>
      <c r="I35" s="189"/>
      <c r="J35" s="189"/>
      <c r="K35" s="190" t="str">
        <f t="shared" si="0"/>
        <v/>
      </c>
      <c r="L35" s="190" t="str">
        <f t="shared" si="1"/>
        <v/>
      </c>
      <c r="M35" s="188"/>
      <c r="N35" s="188"/>
      <c r="O35" s="188"/>
      <c r="P35" s="188"/>
      <c r="Q35" s="188"/>
      <c r="R35" s="188"/>
      <c r="S35" s="213"/>
      <c r="T35" s="207"/>
      <c r="U35" s="219"/>
      <c r="V35" s="219"/>
      <c r="W35" s="219"/>
      <c r="X35" s="219"/>
      <c r="Y35" s="219"/>
      <c r="Z35" s="219"/>
      <c r="AA35" s="219"/>
      <c r="AB35" s="219"/>
      <c r="AC35" s="219"/>
      <c r="AD35" s="219"/>
      <c r="AE35" s="219"/>
      <c r="AF35" s="219"/>
      <c r="AG35" s="219"/>
      <c r="AH35" s="225">
        <f>SUM(PORTEFEUILLE_AURELIE_T[[#This Row],[PCR COMPTABLE €]:[MONTANT
RESPONSABLE RELATION CLIENT €]])-PORTEFEUILLE_AURELIE_T[[#This Row],[MONTANT TOTAL LETTRE DE MISION €]]</f>
        <v>0</v>
      </c>
      <c r="AI35" s="191"/>
      <c r="AJ35" s="188"/>
      <c r="AK35" s="188"/>
      <c r="AL35" s="188"/>
      <c r="AM35" s="188"/>
      <c r="AN35" s="188"/>
      <c r="AO35" s="188"/>
      <c r="AP35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Q35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R35" s="188" t="str">
        <f>IF(PORTEFEUILLE_AURELIE_T[[#This Row],[BONI AAC]]&lt;&gt;0,1,"")</f>
        <v/>
      </c>
      <c r="AS35" s="188" t="str">
        <f>IF(PORTEFEUILLE_AURELIE_T[[#This Row],[MALI AAC]]&lt;&gt;0,1,"")</f>
        <v/>
      </c>
      <c r="AT35" s="225">
        <f>IF(AN35&lt;&gt;"",IF((AN35*Paramètres!$H$4)-PORTEFEUILLE_AURELIE_T[[#This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€]]-(DELPHINE!AN35*Paramètres!$H$4),0),0)</f>
        <v>0</v>
      </c>
      <c r="AU35" s="225">
        <f>IF(AN35&lt;&gt;"",IF(((AN35*Paramètres!$H$4)-PORTEFEUILLE_AURELIE_T[[#This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€]])&gt;0,(AN35*Paramètres!$H$4)-PORTEFEUILLE_AURELIE_T[[#This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V35" s="190" t="str">
        <f>IF(PORTEFEUILLE_AURELIE_T[[#This Row],[BONI COMPTABLE]]&lt;&gt;0,1,"")</f>
        <v/>
      </c>
      <c r="AW35" s="190" t="str">
        <f>IF(PORTEFEUILLE_AURELIE_T[[#This Row],[MALI COMPTABLE]]&lt;&gt;0,1,"")</f>
        <v/>
      </c>
      <c r="AX35" s="188"/>
      <c r="AY35" s="188"/>
      <c r="AZ35" s="188"/>
      <c r="BA35" s="188"/>
      <c r="BB35" s="188"/>
      <c r="BC35" s="188"/>
      <c r="BD35" s="188"/>
      <c r="BE35" s="192"/>
      <c r="BF35" s="194"/>
      <c r="BG35" s="194"/>
      <c r="BH35" s="195"/>
      <c r="BI35" s="194"/>
    </row>
    <row r="36" spans="1:61" x14ac:dyDescent="0.25">
      <c r="A36" s="172"/>
      <c r="B36" s="178"/>
      <c r="C36" s="165"/>
      <c r="D36" s="171"/>
      <c r="E36" s="189"/>
      <c r="F36" s="188"/>
      <c r="G36" s="189"/>
      <c r="H36" s="189"/>
      <c r="I36" s="189"/>
      <c r="J36" s="189"/>
      <c r="K36" s="190" t="str">
        <f t="shared" si="0"/>
        <v/>
      </c>
      <c r="L36" s="190" t="str">
        <f t="shared" si="1"/>
        <v/>
      </c>
      <c r="M36" s="188"/>
      <c r="N36" s="188"/>
      <c r="O36" s="188"/>
      <c r="P36" s="188"/>
      <c r="Q36" s="188"/>
      <c r="R36" s="188"/>
      <c r="S36" s="213"/>
      <c r="T36" s="207"/>
      <c r="U36" s="219"/>
      <c r="V36" s="219"/>
      <c r="W36" s="219"/>
      <c r="X36" s="219"/>
      <c r="Y36" s="219"/>
      <c r="Z36" s="219"/>
      <c r="AA36" s="219"/>
      <c r="AB36" s="219"/>
      <c r="AC36" s="219"/>
      <c r="AD36" s="219"/>
      <c r="AE36" s="219"/>
      <c r="AF36" s="219"/>
      <c r="AG36" s="219"/>
      <c r="AH36" s="225">
        <f>SUM(PORTEFEUILLE_AURELIE_T[[#This Row],[PCR COMPTABLE €]:[MONTANT
RESPONSABLE RELATION CLIENT €]])-PORTEFEUILLE_AURELIE_T[[#This Row],[MONTANT TOTAL LETTRE DE MISION €]]</f>
        <v>0</v>
      </c>
      <c r="AI36" s="191"/>
      <c r="AJ36" s="188"/>
      <c r="AK36" s="188"/>
      <c r="AL36" s="188"/>
      <c r="AM36" s="188"/>
      <c r="AN36" s="188"/>
      <c r="AO36" s="188"/>
      <c r="AP36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Q36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R36" s="188" t="str">
        <f>IF(PORTEFEUILLE_AURELIE_T[[#This Row],[BONI AAC]]&lt;&gt;0,1,"")</f>
        <v/>
      </c>
      <c r="AS36" s="188" t="str">
        <f>IF(PORTEFEUILLE_AURELIE_T[[#This Row],[MALI AAC]]&lt;&gt;0,1,"")</f>
        <v/>
      </c>
      <c r="AT36" s="225">
        <f>IF(AN36&lt;&gt;"",IF((AN36*Paramètres!$H$4)-PORTEFEUILLE_AURELIE_T[[#This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€]]-(DELPHINE!AN36*Paramètres!$H$4),0),0)</f>
        <v>0</v>
      </c>
      <c r="AU36" s="225">
        <f>IF(AN36&lt;&gt;"",IF(((AN36*Paramètres!$H$4)-PORTEFEUILLE_AURELIE_T[[#This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€]])&gt;0,(AN36*Paramètres!$H$4)-PORTEFEUILLE_AURELIE_T[[#This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V36" s="190" t="str">
        <f>IF(PORTEFEUILLE_AURELIE_T[[#This Row],[BONI COMPTABLE]]&lt;&gt;0,1,"")</f>
        <v/>
      </c>
      <c r="AW36" s="190" t="str">
        <f>IF(PORTEFEUILLE_AURELIE_T[[#This Row],[MALI COMPTABLE]]&lt;&gt;0,1,"")</f>
        <v/>
      </c>
      <c r="AX36" s="188"/>
      <c r="AY36" s="188"/>
      <c r="AZ36" s="188"/>
      <c r="BA36" s="188"/>
      <c r="BB36" s="196"/>
      <c r="BC36" s="196"/>
      <c r="BD36" s="196"/>
      <c r="BE36" s="192"/>
      <c r="BF36" s="194"/>
      <c r="BG36" s="194"/>
      <c r="BH36" s="195"/>
      <c r="BI36" s="194"/>
    </row>
    <row r="37" spans="1:61" x14ac:dyDescent="0.25">
      <c r="A37" s="172"/>
      <c r="B37" s="178"/>
      <c r="C37" s="165"/>
      <c r="D37" s="171"/>
      <c r="E37" s="189"/>
      <c r="F37" s="188"/>
      <c r="G37" s="189"/>
      <c r="H37" s="189"/>
      <c r="I37" s="189"/>
      <c r="J37" s="189"/>
      <c r="K37" s="190" t="str">
        <f t="shared" si="0"/>
        <v/>
      </c>
      <c r="L37" s="190" t="str">
        <f t="shared" si="1"/>
        <v/>
      </c>
      <c r="M37" s="188"/>
      <c r="N37" s="188"/>
      <c r="O37" s="188"/>
      <c r="P37" s="188"/>
      <c r="Q37" s="188"/>
      <c r="R37" s="188"/>
      <c r="S37" s="213"/>
      <c r="T37" s="207"/>
      <c r="U37" s="219"/>
      <c r="V37" s="219"/>
      <c r="W37" s="219"/>
      <c r="X37" s="219"/>
      <c r="Y37" s="219"/>
      <c r="Z37" s="219"/>
      <c r="AA37" s="219"/>
      <c r="AB37" s="219"/>
      <c r="AC37" s="219"/>
      <c r="AD37" s="219"/>
      <c r="AE37" s="219"/>
      <c r="AF37" s="219"/>
      <c r="AG37" s="219"/>
      <c r="AH37" s="225">
        <f>SUM(PORTEFEUILLE_AURELIE_T[[#This Row],[PCR COMPTABLE €]:[MONTANT
RESPONSABLE RELATION CLIENT €]])-PORTEFEUILLE_AURELIE_T[[#This Row],[MONTANT TOTAL LETTRE DE MISION €]]</f>
        <v>0</v>
      </c>
      <c r="AI37" s="191"/>
      <c r="AJ37" s="188"/>
      <c r="AK37" s="188"/>
      <c r="AL37" s="188"/>
      <c r="AM37" s="188"/>
      <c r="AN37" s="188"/>
      <c r="AO37" s="188"/>
      <c r="AP37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Q37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R37" s="188" t="str">
        <f>IF(PORTEFEUILLE_AURELIE_T[[#This Row],[BONI AAC]]&lt;&gt;0,1,"")</f>
        <v/>
      </c>
      <c r="AS37" s="188" t="str">
        <f>IF(PORTEFEUILLE_AURELIE_T[[#This Row],[MALI AAC]]&lt;&gt;0,1,"")</f>
        <v/>
      </c>
      <c r="AT37" s="225">
        <f>IF(AN37&lt;&gt;"",IF((AN37*Paramètres!$H$4)-PORTEFEUILLE_AURELIE_T[[#This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€]]-(DELPHINE!AN37*Paramètres!$H$4),0),0)</f>
        <v>0</v>
      </c>
      <c r="AU37" s="225">
        <f>IF(AN37&lt;&gt;"",IF(((AN37*Paramètres!$H$4)-PORTEFEUILLE_AURELIE_T[[#This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€]])&gt;0,(AN37*Paramètres!$H$4)-PORTEFEUILLE_AURELIE_T[[#This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V37" s="190" t="str">
        <f>IF(PORTEFEUILLE_AURELIE_T[[#This Row],[BONI COMPTABLE]]&lt;&gt;0,1,"")</f>
        <v/>
      </c>
      <c r="AW37" s="190" t="str">
        <f>IF(PORTEFEUILLE_AURELIE_T[[#This Row],[MALI COMPTABLE]]&lt;&gt;0,1,"")</f>
        <v/>
      </c>
      <c r="AX37" s="188"/>
      <c r="AY37" s="188"/>
      <c r="AZ37" s="188"/>
      <c r="BA37" s="188"/>
      <c r="BB37" s="196"/>
      <c r="BC37" s="196"/>
      <c r="BD37" s="196"/>
      <c r="BE37" s="192"/>
      <c r="BF37" s="194"/>
      <c r="BG37" s="194"/>
      <c r="BH37" s="195"/>
      <c r="BI37" s="194"/>
    </row>
    <row r="38" spans="1:61" x14ac:dyDescent="0.25">
      <c r="A38" s="172"/>
      <c r="B38" s="179"/>
      <c r="C38" s="165"/>
      <c r="D38" s="171"/>
      <c r="E38" s="189"/>
      <c r="F38" s="188"/>
      <c r="G38" s="188"/>
      <c r="H38" s="189"/>
      <c r="I38" s="189"/>
      <c r="J38" s="199"/>
      <c r="K38" s="190" t="str">
        <f t="shared" si="0"/>
        <v/>
      </c>
      <c r="L38" s="190" t="str">
        <f t="shared" si="1"/>
        <v/>
      </c>
      <c r="M38" s="188"/>
      <c r="N38" s="188"/>
      <c r="O38" s="188"/>
      <c r="P38" s="188"/>
      <c r="Q38" s="188"/>
      <c r="R38" s="188"/>
      <c r="S38" s="213"/>
      <c r="T38" s="207"/>
      <c r="U38" s="219"/>
      <c r="V38" s="219"/>
      <c r="W38" s="219"/>
      <c r="X38" s="219"/>
      <c r="Y38" s="219"/>
      <c r="Z38" s="219"/>
      <c r="AA38" s="219"/>
      <c r="AB38" s="219"/>
      <c r="AC38" s="219"/>
      <c r="AD38" s="219"/>
      <c r="AE38" s="219"/>
      <c r="AF38" s="219"/>
      <c r="AG38" s="219"/>
      <c r="AH38" s="225">
        <f>SUM(PORTEFEUILLE_AURELIE_T[[#This Row],[PCR COMPTABLE €]:[MONTANT
RESPONSABLE RELATION CLIENT €]])-PORTEFEUILLE_AURELIE_T[[#This Row],[MONTANT TOTAL LETTRE DE MISION €]]</f>
        <v>0</v>
      </c>
      <c r="AI38" s="191"/>
      <c r="AJ38" s="188"/>
      <c r="AK38" s="188"/>
      <c r="AL38" s="188"/>
      <c r="AM38" s="188"/>
      <c r="AN38" s="188"/>
      <c r="AO38" s="188"/>
      <c r="AP38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Q38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R38" s="188" t="str">
        <f>IF(PORTEFEUILLE_AURELIE_T[[#This Row],[BONI AAC]]&lt;&gt;0,1,"")</f>
        <v/>
      </c>
      <c r="AS38" s="188" t="str">
        <f>IF(PORTEFEUILLE_AURELIE_T[[#This Row],[MALI AAC]]&lt;&gt;0,1,"")</f>
        <v/>
      </c>
      <c r="AT38" s="225">
        <f>IF(AN38&lt;&gt;"",IF((AN38*Paramètres!$H$4)-PORTEFEUILLE_AURELIE_T[[#This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€]]-(DELPHINE!AN38*Paramètres!$H$4),0),0)</f>
        <v>0</v>
      </c>
      <c r="AU38" s="225">
        <f>IF(AN38&lt;&gt;"",IF(((AN38*Paramètres!$H$4)-PORTEFEUILLE_AURELIE_T[[#This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€]])&gt;0,(AN38*Paramètres!$H$4)-PORTEFEUILLE_AURELIE_T[[#This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V38" s="190" t="str">
        <f>IF(PORTEFEUILLE_AURELIE_T[[#This Row],[BONI COMPTABLE]]&lt;&gt;0,1,"")</f>
        <v/>
      </c>
      <c r="AW38" s="190" t="str">
        <f>IF(PORTEFEUILLE_AURELIE_T[[#This Row],[MALI COMPTABLE]]&lt;&gt;0,1,"")</f>
        <v/>
      </c>
      <c r="AX38" s="188"/>
      <c r="AY38" s="188"/>
      <c r="AZ38" s="188"/>
      <c r="BA38" s="188"/>
      <c r="BB38" s="196"/>
      <c r="BC38" s="196"/>
      <c r="BD38" s="196"/>
      <c r="BE38" s="192"/>
      <c r="BF38" s="194"/>
      <c r="BG38" s="194"/>
      <c r="BH38" s="195"/>
      <c r="BI38" s="194"/>
    </row>
    <row r="39" spans="1:61" x14ac:dyDescent="0.25">
      <c r="A39" s="172"/>
      <c r="B39" s="180"/>
      <c r="C39" s="165"/>
      <c r="D39" s="171"/>
      <c r="E39" s="189"/>
      <c r="F39" s="188"/>
      <c r="G39" s="189"/>
      <c r="H39" s="189"/>
      <c r="I39" s="189"/>
      <c r="J39" s="189"/>
      <c r="K39" s="190" t="str">
        <f t="shared" si="0"/>
        <v/>
      </c>
      <c r="L39" s="190" t="str">
        <f t="shared" si="1"/>
        <v/>
      </c>
      <c r="M39" s="188"/>
      <c r="N39" s="188"/>
      <c r="O39" s="188"/>
      <c r="P39" s="188"/>
      <c r="Q39" s="188"/>
      <c r="R39" s="188"/>
      <c r="S39" s="213"/>
      <c r="T39" s="207"/>
      <c r="U39" s="219"/>
      <c r="V39" s="219"/>
      <c r="W39" s="219"/>
      <c r="X39" s="219"/>
      <c r="Y39" s="219"/>
      <c r="Z39" s="219"/>
      <c r="AA39" s="219"/>
      <c r="AB39" s="219"/>
      <c r="AC39" s="219"/>
      <c r="AD39" s="219"/>
      <c r="AE39" s="219"/>
      <c r="AF39" s="219"/>
      <c r="AG39" s="219"/>
      <c r="AH39" s="225">
        <f>SUM(PORTEFEUILLE_AURELIE_T[[#This Row],[PCR COMPTABLE €]:[MONTANT
RESPONSABLE RELATION CLIENT €]])-PORTEFEUILLE_AURELIE_T[[#This Row],[MONTANT TOTAL LETTRE DE MISION €]]</f>
        <v>0</v>
      </c>
      <c r="AI39" s="191"/>
      <c r="AJ39" s="188"/>
      <c r="AK39" s="188"/>
      <c r="AL39" s="188"/>
      <c r="AM39" s="188"/>
      <c r="AN39" s="188"/>
      <c r="AO39" s="188"/>
      <c r="AP39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Q39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R39" s="188" t="str">
        <f>IF(PORTEFEUILLE_AURELIE_T[[#This Row],[BONI AAC]]&lt;&gt;0,1,"")</f>
        <v/>
      </c>
      <c r="AS39" s="188" t="str">
        <f>IF(PORTEFEUILLE_AURELIE_T[[#This Row],[MALI AAC]]&lt;&gt;0,1,"")</f>
        <v/>
      </c>
      <c r="AT39" s="225">
        <f>IF(AN39&lt;&gt;"",IF((AN39*Paramètres!$H$4)-PORTEFEUILLE_AURELIE_T[[#This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€]]-(DELPHINE!AN39*Paramètres!$H$4),0),0)</f>
        <v>0</v>
      </c>
      <c r="AU39" s="225">
        <f>IF(AN39&lt;&gt;"",IF(((AN39*Paramètres!$H$4)-PORTEFEUILLE_AURELIE_T[[#This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€]])&gt;0,(AN39*Paramètres!$H$4)-PORTEFEUILLE_AURELIE_T[[#This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V39" s="190" t="str">
        <f>IF(PORTEFEUILLE_AURELIE_T[[#This Row],[BONI COMPTABLE]]&lt;&gt;0,1,"")</f>
        <v/>
      </c>
      <c r="AW39" s="190" t="str">
        <f>IF(PORTEFEUILLE_AURELIE_T[[#This Row],[MALI COMPTABLE]]&lt;&gt;0,1,"")</f>
        <v/>
      </c>
      <c r="AX39" s="188"/>
      <c r="AY39" s="188"/>
      <c r="AZ39" s="188"/>
      <c r="BA39" s="188"/>
      <c r="BB39" s="188"/>
      <c r="BC39" s="188"/>
      <c r="BD39" s="188"/>
      <c r="BE39" s="192"/>
      <c r="BF39" s="194"/>
      <c r="BG39" s="194"/>
      <c r="BH39" s="195"/>
      <c r="BI39" s="194"/>
    </row>
    <row r="40" spans="1:61" x14ac:dyDescent="0.25">
      <c r="A40" s="172"/>
      <c r="B40" s="178"/>
      <c r="C40" s="165"/>
      <c r="D40" s="171"/>
      <c r="E40" s="189"/>
      <c r="F40" s="188"/>
      <c r="G40" s="189"/>
      <c r="H40" s="189"/>
      <c r="I40" s="189"/>
      <c r="J40" s="189"/>
      <c r="K40" s="190" t="str">
        <f t="shared" si="0"/>
        <v/>
      </c>
      <c r="L40" s="190" t="str">
        <f t="shared" si="1"/>
        <v/>
      </c>
      <c r="M40" s="188"/>
      <c r="N40" s="188"/>
      <c r="O40" s="188"/>
      <c r="P40" s="188"/>
      <c r="Q40" s="188"/>
      <c r="R40" s="188"/>
      <c r="S40" s="213"/>
      <c r="T40" s="207"/>
      <c r="U40" s="219"/>
      <c r="V40" s="219"/>
      <c r="W40" s="219"/>
      <c r="X40" s="219"/>
      <c r="Y40" s="219"/>
      <c r="Z40" s="219"/>
      <c r="AA40" s="219"/>
      <c r="AB40" s="219"/>
      <c r="AC40" s="219"/>
      <c r="AD40" s="219"/>
      <c r="AE40" s="219"/>
      <c r="AF40" s="219"/>
      <c r="AG40" s="219"/>
      <c r="AH40" s="225">
        <f>SUM(PORTEFEUILLE_AURELIE_T[[#This Row],[PCR COMPTABLE €]:[MONTANT
RESPONSABLE RELATION CLIENT €]])-PORTEFEUILLE_AURELIE_T[[#This Row],[MONTANT TOTAL LETTRE DE MISION €]]</f>
        <v>0</v>
      </c>
      <c r="AI40" s="191"/>
      <c r="AJ40" s="188"/>
      <c r="AK40" s="188"/>
      <c r="AL40" s="188"/>
      <c r="AM40" s="188"/>
      <c r="AN40" s="188"/>
      <c r="AO40" s="188"/>
      <c r="AP40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Q40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R40" s="188" t="str">
        <f>IF(PORTEFEUILLE_AURELIE_T[[#This Row],[BONI AAC]]&lt;&gt;0,1,"")</f>
        <v/>
      </c>
      <c r="AS40" s="188" t="str">
        <f>IF(PORTEFEUILLE_AURELIE_T[[#This Row],[MALI AAC]]&lt;&gt;0,1,"")</f>
        <v/>
      </c>
      <c r="AT40" s="225">
        <f>IF(AN40&lt;&gt;"",IF((AN40*Paramètres!$H$4)-PORTEFEUILLE_AURELIE_T[[#This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€]]-(DELPHINE!AN40*Paramètres!$H$4),0),0)</f>
        <v>0</v>
      </c>
      <c r="AU40" s="225">
        <f>IF(AN40&lt;&gt;"",IF(((AN40*Paramètres!$H$4)-PORTEFEUILLE_AURELIE_T[[#This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€]])&gt;0,(AN40*Paramètres!$H$4)-PORTEFEUILLE_AURELIE_T[[#This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V40" s="190" t="str">
        <f>IF(PORTEFEUILLE_AURELIE_T[[#This Row],[BONI COMPTABLE]]&lt;&gt;0,1,"")</f>
        <v/>
      </c>
      <c r="AW40" s="190" t="str">
        <f>IF(PORTEFEUILLE_AURELIE_T[[#This Row],[MALI COMPTABLE]]&lt;&gt;0,1,"")</f>
        <v/>
      </c>
      <c r="AX40" s="188"/>
      <c r="AY40" s="188"/>
      <c r="AZ40" s="188"/>
      <c r="BA40" s="188"/>
      <c r="BB40" s="188"/>
      <c r="BC40" s="188"/>
      <c r="BD40" s="188"/>
      <c r="BE40" s="192"/>
      <c r="BF40" s="194"/>
      <c r="BG40" s="194"/>
      <c r="BH40" s="195"/>
      <c r="BI40" s="194"/>
    </row>
    <row r="41" spans="1:61" x14ac:dyDescent="0.25">
      <c r="A41" s="172"/>
      <c r="B41" s="178"/>
      <c r="C41" s="165"/>
      <c r="D41" s="171"/>
      <c r="E41" s="189"/>
      <c r="F41" s="188"/>
      <c r="G41" s="188"/>
      <c r="H41" s="189"/>
      <c r="I41" s="189"/>
      <c r="J41" s="189"/>
      <c r="K41" s="190" t="str">
        <f t="shared" si="0"/>
        <v/>
      </c>
      <c r="L41" s="190" t="str">
        <f t="shared" si="1"/>
        <v/>
      </c>
      <c r="M41" s="188"/>
      <c r="N41" s="188"/>
      <c r="O41" s="188"/>
      <c r="P41" s="188"/>
      <c r="Q41" s="188"/>
      <c r="R41" s="188"/>
      <c r="S41" s="214"/>
      <c r="T41" s="208"/>
      <c r="U41" s="220"/>
      <c r="V41" s="220"/>
      <c r="W41" s="220"/>
      <c r="X41" s="220"/>
      <c r="Y41" s="220"/>
      <c r="Z41" s="220"/>
      <c r="AA41" s="220"/>
      <c r="AB41" s="220"/>
      <c r="AC41" s="220"/>
      <c r="AD41" s="220"/>
      <c r="AE41" s="220"/>
      <c r="AF41" s="220"/>
      <c r="AG41" s="219"/>
      <c r="AH41" s="225">
        <f>SUM(PORTEFEUILLE_AURELIE_T[[#This Row],[PCR COMPTABLE €]:[MONTANT
RESPONSABLE RELATION CLIENT €]])-PORTEFEUILLE_AURELIE_T[[#This Row],[MONTANT TOTAL LETTRE DE MISION €]]</f>
        <v>0</v>
      </c>
      <c r="AI41" s="191"/>
      <c r="AJ41" s="188"/>
      <c r="AK41" s="188"/>
      <c r="AL41" s="196"/>
      <c r="AM41" s="196"/>
      <c r="AN41" s="196"/>
      <c r="AO41" s="196"/>
      <c r="AP41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Q41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R41" s="188" t="str">
        <f>IF(PORTEFEUILLE_AURELIE_T[[#This Row],[BONI AAC]]&lt;&gt;0,1,"")</f>
        <v/>
      </c>
      <c r="AS41" s="188" t="str">
        <f>IF(PORTEFEUILLE_AURELIE_T[[#This Row],[MALI AAC]]&lt;&gt;0,1,"")</f>
        <v/>
      </c>
      <c r="AT41" s="225">
        <f>IF(AN41&lt;&gt;"",IF((AN41*Paramètres!$H$4)-PORTEFEUILLE_AURELIE_T[[#This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€]]-(DELPHINE!AN41*Paramètres!$H$4),0),0)</f>
        <v>0</v>
      </c>
      <c r="AU41" s="225">
        <f>IF(AN41&lt;&gt;"",IF(((AN41*Paramètres!$H$4)-PORTEFEUILLE_AURELIE_T[[#This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€]])&gt;0,(AN41*Paramètres!$H$4)-PORTEFEUILLE_AURELIE_T[[#This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V41" s="190" t="str">
        <f>IF(PORTEFEUILLE_AURELIE_T[[#This Row],[BONI COMPTABLE]]&lt;&gt;0,1,"")</f>
        <v/>
      </c>
      <c r="AW41" s="190" t="str">
        <f>IF(PORTEFEUILLE_AURELIE_T[[#This Row],[MALI COMPTABLE]]&lt;&gt;0,1,"")</f>
        <v/>
      </c>
      <c r="AX41" s="196"/>
      <c r="AY41" s="188"/>
      <c r="AZ41" s="188"/>
      <c r="BA41" s="188"/>
      <c r="BB41" s="188"/>
      <c r="BC41" s="188"/>
      <c r="BD41" s="188"/>
      <c r="BE41" s="192"/>
      <c r="BF41" s="194"/>
      <c r="BG41" s="194"/>
      <c r="BH41" s="195"/>
      <c r="BI41" s="194"/>
    </row>
    <row r="42" spans="1:61" x14ac:dyDescent="0.25">
      <c r="A42" s="172"/>
      <c r="B42" s="178"/>
      <c r="C42" s="165"/>
      <c r="D42" s="171"/>
      <c r="E42" s="189"/>
      <c r="F42" s="188"/>
      <c r="G42" s="188"/>
      <c r="H42" s="189"/>
      <c r="I42" s="188"/>
      <c r="J42" s="189"/>
      <c r="K42" s="190" t="str">
        <f t="shared" si="0"/>
        <v/>
      </c>
      <c r="L42" s="190" t="str">
        <f t="shared" si="1"/>
        <v/>
      </c>
      <c r="M42" s="188"/>
      <c r="N42" s="188"/>
      <c r="O42" s="188"/>
      <c r="P42" s="188"/>
      <c r="Q42" s="188"/>
      <c r="R42" s="188"/>
      <c r="S42" s="214"/>
      <c r="T42" s="208"/>
      <c r="U42" s="220"/>
      <c r="V42" s="220"/>
      <c r="W42" s="220"/>
      <c r="X42" s="220"/>
      <c r="Y42" s="220"/>
      <c r="Z42" s="220"/>
      <c r="AA42" s="220"/>
      <c r="AB42" s="220"/>
      <c r="AC42" s="220"/>
      <c r="AD42" s="220"/>
      <c r="AE42" s="220"/>
      <c r="AF42" s="220"/>
      <c r="AG42" s="219"/>
      <c r="AH42" s="225">
        <f>SUM(PORTEFEUILLE_AURELIE_T[[#This Row],[PCR COMPTABLE €]:[MONTANT
RESPONSABLE RELATION CLIENT €]])-PORTEFEUILLE_AURELIE_T[[#This Row],[MONTANT TOTAL LETTRE DE MISION €]]</f>
        <v>0</v>
      </c>
      <c r="AI42" s="191"/>
      <c r="AJ42" s="188"/>
      <c r="AK42" s="188"/>
      <c r="AL42" s="196"/>
      <c r="AM42" s="196"/>
      <c r="AN42" s="196"/>
      <c r="AO42" s="196"/>
      <c r="AP42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Q42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R42" s="188" t="str">
        <f>IF(PORTEFEUILLE_AURELIE_T[[#This Row],[BONI AAC]]&lt;&gt;0,1,"")</f>
        <v/>
      </c>
      <c r="AS42" s="188" t="str">
        <f>IF(PORTEFEUILLE_AURELIE_T[[#This Row],[MALI AAC]]&lt;&gt;0,1,"")</f>
        <v/>
      </c>
      <c r="AT42" s="225">
        <f>IF(AN42&lt;&gt;"",IF((AN42*Paramètres!$H$4)-PORTEFEUILLE_AURELIE_T[[#This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€]]-(DELPHINE!AN42*Paramètres!$H$4),0),0)</f>
        <v>0</v>
      </c>
      <c r="AU42" s="225">
        <f>IF(AN42&lt;&gt;"",IF(((AN42*Paramètres!$H$4)-PORTEFEUILLE_AURELIE_T[[#This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€]])&gt;0,(AN42*Paramètres!$H$4)-PORTEFEUILLE_AURELIE_T[[#This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V42" s="190" t="str">
        <f>IF(PORTEFEUILLE_AURELIE_T[[#This Row],[BONI COMPTABLE]]&lt;&gt;0,1,"")</f>
        <v/>
      </c>
      <c r="AW42" s="190" t="str">
        <f>IF(PORTEFEUILLE_AURELIE_T[[#This Row],[MALI COMPTABLE]]&lt;&gt;0,1,"")</f>
        <v/>
      </c>
      <c r="AX42" s="196"/>
      <c r="AY42" s="188"/>
      <c r="AZ42" s="188"/>
      <c r="BA42" s="188"/>
      <c r="BB42" s="196"/>
      <c r="BC42" s="196"/>
      <c r="BD42" s="196"/>
      <c r="BE42" s="192"/>
      <c r="BF42" s="194"/>
      <c r="BG42" s="194"/>
      <c r="BH42" s="195"/>
      <c r="BI42" s="194"/>
    </row>
    <row r="43" spans="1:61" x14ac:dyDescent="0.25">
      <c r="A43" s="172"/>
      <c r="B43" s="178"/>
      <c r="C43" s="165"/>
      <c r="D43" s="171"/>
      <c r="E43" s="189"/>
      <c r="F43" s="188"/>
      <c r="G43" s="189"/>
      <c r="H43" s="189"/>
      <c r="I43" s="189"/>
      <c r="J43" s="189"/>
      <c r="K43" s="190" t="str">
        <f t="shared" si="0"/>
        <v/>
      </c>
      <c r="L43" s="190" t="str">
        <f t="shared" si="1"/>
        <v/>
      </c>
      <c r="M43" s="188"/>
      <c r="N43" s="188"/>
      <c r="O43" s="188"/>
      <c r="P43" s="188"/>
      <c r="Q43" s="188"/>
      <c r="R43" s="188"/>
      <c r="S43" s="213"/>
      <c r="T43" s="207"/>
      <c r="U43" s="219"/>
      <c r="V43" s="219"/>
      <c r="W43" s="219"/>
      <c r="X43" s="219"/>
      <c r="Y43" s="219"/>
      <c r="Z43" s="219"/>
      <c r="AA43" s="219"/>
      <c r="AB43" s="219"/>
      <c r="AC43" s="219"/>
      <c r="AD43" s="219"/>
      <c r="AE43" s="219"/>
      <c r="AF43" s="219"/>
      <c r="AG43" s="219"/>
      <c r="AH43" s="225">
        <f>SUM(PORTEFEUILLE_AURELIE_T[[#This Row],[PCR COMPTABLE €]:[MONTANT
RESPONSABLE RELATION CLIENT €]])-PORTEFEUILLE_AURELIE_T[[#This Row],[MONTANT TOTAL LETTRE DE MISION €]]</f>
        <v>0</v>
      </c>
      <c r="AI43" s="191"/>
      <c r="AJ43" s="188"/>
      <c r="AK43" s="188"/>
      <c r="AL43" s="188"/>
      <c r="AM43" s="188"/>
      <c r="AN43" s="188"/>
      <c r="AO43" s="188"/>
      <c r="AP43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Q43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R43" s="188" t="str">
        <f>IF(PORTEFEUILLE_AURELIE_T[[#This Row],[BONI AAC]]&lt;&gt;0,1,"")</f>
        <v/>
      </c>
      <c r="AS43" s="188" t="str">
        <f>IF(PORTEFEUILLE_AURELIE_T[[#This Row],[MALI AAC]]&lt;&gt;0,1,"")</f>
        <v/>
      </c>
      <c r="AT43" s="225">
        <f>IF(AN43&lt;&gt;"",IF((AN43*Paramètres!$H$4)-PORTEFEUILLE_AURELIE_T[[#This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€]]-(DELPHINE!AN43*Paramètres!$H$4),0),0)</f>
        <v>0</v>
      </c>
      <c r="AU43" s="225">
        <f>IF(AN43&lt;&gt;"",IF(((AN43*Paramètres!$H$4)-PORTEFEUILLE_AURELIE_T[[#This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€]])&gt;0,(AN43*Paramètres!$H$4)-PORTEFEUILLE_AURELIE_T[[#This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V43" s="190" t="str">
        <f>IF(PORTEFEUILLE_AURELIE_T[[#This Row],[BONI COMPTABLE]]&lt;&gt;0,1,"")</f>
        <v/>
      </c>
      <c r="AW43" s="190" t="str">
        <f>IF(PORTEFEUILLE_AURELIE_T[[#This Row],[MALI COMPTABLE]]&lt;&gt;0,1,"")</f>
        <v/>
      </c>
      <c r="AX43" s="188"/>
      <c r="AY43" s="188"/>
      <c r="AZ43" s="188"/>
      <c r="BA43" s="188"/>
      <c r="BB43" s="196"/>
      <c r="BC43" s="196"/>
      <c r="BD43" s="196"/>
      <c r="BE43" s="192"/>
      <c r="BF43" s="194"/>
      <c r="BG43" s="194"/>
      <c r="BH43" s="195"/>
      <c r="BI43" s="194"/>
    </row>
    <row r="44" spans="1:61" s="241" customFormat="1" x14ac:dyDescent="0.25">
      <c r="A44" s="172"/>
      <c r="B44" s="181"/>
      <c r="C44" s="165"/>
      <c r="D44" s="165"/>
      <c r="E44" s="189"/>
      <c r="F44" s="188"/>
      <c r="G44" s="189"/>
      <c r="H44" s="189"/>
      <c r="I44" s="189"/>
      <c r="J44" s="199"/>
      <c r="K44" s="190" t="str">
        <f t="shared" si="0"/>
        <v/>
      </c>
      <c r="L44" s="190" t="str">
        <f t="shared" si="1"/>
        <v/>
      </c>
      <c r="M44" s="188"/>
      <c r="N44" s="188"/>
      <c r="O44" s="188"/>
      <c r="P44" s="188"/>
      <c r="Q44" s="188"/>
      <c r="R44" s="188"/>
      <c r="S44" s="213"/>
      <c r="T44" s="207"/>
      <c r="U44" s="219"/>
      <c r="V44" s="219"/>
      <c r="W44" s="219"/>
      <c r="X44" s="219"/>
      <c r="Y44" s="219"/>
      <c r="Z44" s="219"/>
      <c r="AA44" s="219"/>
      <c r="AB44" s="219"/>
      <c r="AC44" s="219"/>
      <c r="AD44" s="219"/>
      <c r="AE44" s="219"/>
      <c r="AF44" s="219"/>
      <c r="AG44" s="219"/>
      <c r="AH44" s="225">
        <f>SUM(PORTEFEUILLE_AURELIE_T[[#This Row],[PCR COMPTABLE €]:[MONTANT
RESPONSABLE RELATION CLIENT €]])-PORTEFEUILLE_AURELIE_T[[#This Row],[MONTANT TOTAL LETTRE DE MISION €]]</f>
        <v>0</v>
      </c>
      <c r="AI44" s="191"/>
      <c r="AJ44" s="188"/>
      <c r="AK44" s="188"/>
      <c r="AL44" s="188"/>
      <c r="AM44" s="188"/>
      <c r="AN44" s="188"/>
      <c r="AO44" s="188"/>
      <c r="AP44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Q44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R44" s="188" t="str">
        <f>IF(PORTEFEUILLE_AURELIE_T[[#This Row],[BONI AAC]]&lt;&gt;0,1,"")</f>
        <v/>
      </c>
      <c r="AS44" s="188" t="str">
        <f>IF(PORTEFEUILLE_AURELIE_T[[#This Row],[MALI AAC]]&lt;&gt;0,1,"")</f>
        <v/>
      </c>
      <c r="AT44" s="225">
        <f>IF(AN44&lt;&gt;"",IF((AN44*Paramètres!$H$4)-PORTEFEUILLE_AURELIE_T[[#This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€]]-(DELPHINE!AN44*Paramètres!$H$4),0),0)</f>
        <v>0</v>
      </c>
      <c r="AU44" s="225">
        <f>IF(AN44&lt;&gt;"",IF(((AN44*Paramètres!$H$4)-PORTEFEUILLE_AURELIE_T[[#This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€]])&gt;0,(AN44*Paramètres!$H$4)-PORTEFEUILLE_AURELIE_T[[#This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V44" s="190" t="str">
        <f>IF(PORTEFEUILLE_AURELIE_T[[#This Row],[BONI COMPTABLE]]&lt;&gt;0,1,"")</f>
        <v/>
      </c>
      <c r="AW44" s="190" t="str">
        <f>IF(PORTEFEUILLE_AURELIE_T[[#This Row],[MALI COMPTABLE]]&lt;&gt;0,1,"")</f>
        <v/>
      </c>
      <c r="AX44" s="188"/>
      <c r="AY44" s="188"/>
      <c r="AZ44" s="188"/>
      <c r="BA44" s="188"/>
      <c r="BB44" s="196"/>
      <c r="BC44" s="196"/>
      <c r="BD44" s="196"/>
      <c r="BE44" s="192"/>
      <c r="BF44" s="194"/>
      <c r="BG44" s="194"/>
      <c r="BH44" s="195"/>
      <c r="BI44" s="194"/>
    </row>
    <row r="45" spans="1:61" x14ac:dyDescent="0.25">
      <c r="A45" s="172"/>
      <c r="B45" s="181"/>
      <c r="C45" s="165"/>
      <c r="D45" s="165"/>
      <c r="E45" s="189"/>
      <c r="F45" s="188"/>
      <c r="G45" s="189"/>
      <c r="H45" s="189"/>
      <c r="I45" s="189"/>
      <c r="J45" s="189"/>
      <c r="K45" s="190" t="str">
        <f t="shared" si="0"/>
        <v/>
      </c>
      <c r="L45" s="190" t="str">
        <f t="shared" si="1"/>
        <v/>
      </c>
      <c r="M45" s="188"/>
      <c r="N45" s="188"/>
      <c r="O45" s="188"/>
      <c r="P45" s="188"/>
      <c r="Q45" s="188"/>
      <c r="R45" s="188"/>
      <c r="S45" s="213"/>
      <c r="T45" s="207"/>
      <c r="U45" s="219"/>
      <c r="V45" s="219"/>
      <c r="W45" s="219"/>
      <c r="X45" s="219"/>
      <c r="Y45" s="219"/>
      <c r="Z45" s="219"/>
      <c r="AA45" s="219"/>
      <c r="AB45" s="219"/>
      <c r="AC45" s="219"/>
      <c r="AD45" s="219"/>
      <c r="AE45" s="219"/>
      <c r="AF45" s="219"/>
      <c r="AG45" s="219"/>
      <c r="AH45" s="225">
        <f>SUM(PORTEFEUILLE_AURELIE_T[[#This Row],[PCR COMPTABLE €]:[MONTANT
RESPONSABLE RELATION CLIENT €]])-PORTEFEUILLE_AURELIE_T[[#This Row],[MONTANT TOTAL LETTRE DE MISION €]]</f>
        <v>0</v>
      </c>
      <c r="AI45" s="191"/>
      <c r="AJ45" s="188"/>
      <c r="AK45" s="188"/>
      <c r="AL45" s="188"/>
      <c r="AM45" s="188"/>
      <c r="AN45" s="188"/>
      <c r="AO45" s="188"/>
      <c r="AP45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Q45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R45" s="188" t="str">
        <f>IF(PORTEFEUILLE_AURELIE_T[[#This Row],[BONI AAC]]&lt;&gt;0,1,"")</f>
        <v/>
      </c>
      <c r="AS45" s="188" t="str">
        <f>IF(PORTEFEUILLE_AURELIE_T[[#This Row],[MALI AAC]]&lt;&gt;0,1,"")</f>
        <v/>
      </c>
      <c r="AT45" s="225">
        <f>IF(AN45&lt;&gt;"",IF((AN45*Paramètres!$H$4)-PORTEFEUILLE_AURELIE_T[[#This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€]]-(DELPHINE!AN45*Paramètres!$H$4),0),0)</f>
        <v>0</v>
      </c>
      <c r="AU45" s="225">
        <f>IF(AN45&lt;&gt;"",IF(((AN45*Paramètres!$H$4)-PORTEFEUILLE_AURELIE_T[[#This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€]])&gt;0,(AN45*Paramètres!$H$4)-PORTEFEUILLE_AURELIE_T[[#This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V45" s="190" t="str">
        <f>IF(PORTEFEUILLE_AURELIE_T[[#This Row],[BONI COMPTABLE]]&lt;&gt;0,1,"")</f>
        <v/>
      </c>
      <c r="AW45" s="190" t="str">
        <f>IF(PORTEFEUILLE_AURELIE_T[[#This Row],[MALI COMPTABLE]]&lt;&gt;0,1,"")</f>
        <v/>
      </c>
      <c r="AX45" s="188"/>
      <c r="AY45" s="188"/>
      <c r="AZ45" s="188"/>
      <c r="BA45" s="188"/>
      <c r="BB45" s="188"/>
      <c r="BC45" s="188"/>
      <c r="BD45" s="188"/>
      <c r="BE45" s="192"/>
      <c r="BF45" s="194"/>
      <c r="BG45" s="194"/>
      <c r="BH45" s="195"/>
      <c r="BI45" s="194"/>
    </row>
    <row r="46" spans="1:61" x14ac:dyDescent="0.25">
      <c r="A46" s="172"/>
      <c r="B46" s="181"/>
      <c r="C46" s="165"/>
      <c r="D46" s="171"/>
      <c r="E46" s="189"/>
      <c r="F46" s="188"/>
      <c r="G46" s="188"/>
      <c r="H46" s="189"/>
      <c r="I46" s="188"/>
      <c r="J46" s="189"/>
      <c r="K46" s="190" t="str">
        <f t="shared" si="0"/>
        <v/>
      </c>
      <c r="L46" s="190" t="str">
        <f t="shared" si="1"/>
        <v/>
      </c>
      <c r="M46" s="188"/>
      <c r="N46" s="188"/>
      <c r="O46" s="188"/>
      <c r="P46" s="188"/>
      <c r="Q46" s="188"/>
      <c r="R46" s="188"/>
      <c r="S46" s="214"/>
      <c r="T46" s="208"/>
      <c r="U46" s="220"/>
      <c r="V46" s="220"/>
      <c r="W46" s="220"/>
      <c r="X46" s="220"/>
      <c r="Y46" s="220"/>
      <c r="Z46" s="220"/>
      <c r="AA46" s="220"/>
      <c r="AB46" s="220"/>
      <c r="AC46" s="220"/>
      <c r="AD46" s="220"/>
      <c r="AE46" s="220"/>
      <c r="AF46" s="220"/>
      <c r="AG46" s="219"/>
      <c r="AH46" s="225">
        <f>SUM(PORTEFEUILLE_AURELIE_T[[#This Row],[PCR COMPTABLE €]:[MONTANT
RESPONSABLE RELATION CLIENT €]])-PORTEFEUILLE_AURELIE_T[[#This Row],[MONTANT TOTAL LETTRE DE MISION €]]</f>
        <v>0</v>
      </c>
      <c r="AI46" s="191"/>
      <c r="AJ46" s="188"/>
      <c r="AK46" s="188"/>
      <c r="AL46" s="196"/>
      <c r="AM46" s="196"/>
      <c r="AN46" s="196"/>
      <c r="AO46" s="196"/>
      <c r="AP46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Q46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R46" s="188" t="str">
        <f>IF(PORTEFEUILLE_AURELIE_T[[#This Row],[BONI AAC]]&lt;&gt;0,1,"")</f>
        <v/>
      </c>
      <c r="AS46" s="188" t="str">
        <f>IF(PORTEFEUILLE_AURELIE_T[[#This Row],[MALI AAC]]&lt;&gt;0,1,"")</f>
        <v/>
      </c>
      <c r="AT46" s="225">
        <f>IF(AN46&lt;&gt;"",IF((AN46*Paramètres!$H$4)-PORTEFEUILLE_AURELIE_T[[#This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€]]-(DELPHINE!AN46*Paramètres!$H$4),0),0)</f>
        <v>0</v>
      </c>
      <c r="AU46" s="225">
        <f>IF(AN46&lt;&gt;"",IF(((AN46*Paramètres!$H$4)-PORTEFEUILLE_AURELIE_T[[#This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€]])&gt;0,(AN46*Paramètres!$H$4)-PORTEFEUILLE_AURELIE_T[[#This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V46" s="190" t="str">
        <f>IF(PORTEFEUILLE_AURELIE_T[[#This Row],[BONI COMPTABLE]]&lt;&gt;0,1,"")</f>
        <v/>
      </c>
      <c r="AW46" s="190" t="str">
        <f>IF(PORTEFEUILLE_AURELIE_T[[#This Row],[MALI COMPTABLE]]&lt;&gt;0,1,"")</f>
        <v/>
      </c>
      <c r="AX46" s="196"/>
      <c r="AY46" s="188"/>
      <c r="AZ46" s="188"/>
      <c r="BA46" s="188"/>
      <c r="BB46" s="188"/>
      <c r="BC46" s="188"/>
      <c r="BD46" s="188"/>
      <c r="BE46" s="192"/>
      <c r="BF46" s="194"/>
      <c r="BG46" s="194"/>
      <c r="BH46" s="195"/>
      <c r="BI46" s="194"/>
    </row>
    <row r="47" spans="1:61" x14ac:dyDescent="0.25">
      <c r="A47" s="172"/>
      <c r="B47" s="181"/>
      <c r="C47" s="165"/>
      <c r="D47" s="171"/>
      <c r="E47" s="189"/>
      <c r="F47" s="188"/>
      <c r="G47" s="189"/>
      <c r="H47" s="189"/>
      <c r="I47" s="189"/>
      <c r="J47" s="189"/>
      <c r="K47" s="190" t="str">
        <f t="shared" si="0"/>
        <v/>
      </c>
      <c r="L47" s="190" t="str">
        <f t="shared" si="1"/>
        <v/>
      </c>
      <c r="M47" s="188"/>
      <c r="N47" s="188"/>
      <c r="O47" s="188"/>
      <c r="P47" s="188"/>
      <c r="Q47" s="188"/>
      <c r="R47" s="188"/>
      <c r="S47" s="213"/>
      <c r="T47" s="207"/>
      <c r="U47" s="219"/>
      <c r="V47" s="219"/>
      <c r="W47" s="219"/>
      <c r="X47" s="219"/>
      <c r="Y47" s="219"/>
      <c r="Z47" s="219"/>
      <c r="AA47" s="219"/>
      <c r="AB47" s="219"/>
      <c r="AC47" s="219"/>
      <c r="AD47" s="219"/>
      <c r="AE47" s="219"/>
      <c r="AF47" s="219"/>
      <c r="AG47" s="219"/>
      <c r="AH47" s="225">
        <f>SUM(PORTEFEUILLE_AURELIE_T[[#This Row],[PCR COMPTABLE €]:[MONTANT
RESPONSABLE RELATION CLIENT €]])-PORTEFEUILLE_AURELIE_T[[#This Row],[MONTANT TOTAL LETTRE DE MISION €]]</f>
        <v>0</v>
      </c>
      <c r="AI47" s="191"/>
      <c r="AJ47" s="188"/>
      <c r="AK47" s="188"/>
      <c r="AL47" s="188"/>
      <c r="AM47" s="188"/>
      <c r="AN47" s="188"/>
      <c r="AO47" s="188"/>
      <c r="AP47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Q47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R47" s="188" t="str">
        <f>IF(PORTEFEUILLE_AURELIE_T[[#This Row],[BONI AAC]]&lt;&gt;0,1,"")</f>
        <v/>
      </c>
      <c r="AS47" s="188" t="str">
        <f>IF(PORTEFEUILLE_AURELIE_T[[#This Row],[MALI AAC]]&lt;&gt;0,1,"")</f>
        <v/>
      </c>
      <c r="AT47" s="225">
        <f>IF(AN47&lt;&gt;"",IF((AN47*Paramètres!$H$4)-PORTEFEUILLE_AURELIE_T[[#This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€]]-(DELPHINE!AN47*Paramètres!$H$4),0),0)</f>
        <v>0</v>
      </c>
      <c r="AU47" s="225">
        <f>IF(AN47&lt;&gt;"",IF(((AN47*Paramètres!$H$4)-PORTEFEUILLE_AURELIE_T[[#This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€]])&gt;0,(AN47*Paramètres!$H$4)-PORTEFEUILLE_AURELIE_T[[#This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V47" s="190" t="str">
        <f>IF(PORTEFEUILLE_AURELIE_T[[#This Row],[BONI COMPTABLE]]&lt;&gt;0,1,"")</f>
        <v/>
      </c>
      <c r="AW47" s="190" t="str">
        <f>IF(PORTEFEUILLE_AURELIE_T[[#This Row],[MALI COMPTABLE]]&lt;&gt;0,1,"")</f>
        <v/>
      </c>
      <c r="AX47" s="188"/>
      <c r="AY47" s="188"/>
      <c r="AZ47" s="188"/>
      <c r="BA47" s="188"/>
      <c r="BB47" s="188"/>
      <c r="BC47" s="188"/>
      <c r="BD47" s="188"/>
      <c r="BE47" s="192"/>
      <c r="BF47" s="194"/>
      <c r="BG47" s="194"/>
      <c r="BH47" s="195"/>
      <c r="BI47" s="194"/>
    </row>
    <row r="48" spans="1:61" x14ac:dyDescent="0.25">
      <c r="A48" s="172"/>
      <c r="B48" s="180"/>
      <c r="C48" s="165"/>
      <c r="D48" s="171"/>
      <c r="E48" s="189"/>
      <c r="F48" s="188"/>
      <c r="G48" s="188"/>
      <c r="H48" s="189"/>
      <c r="I48" s="189"/>
      <c r="J48" s="189"/>
      <c r="K48" s="190" t="str">
        <f t="shared" si="0"/>
        <v/>
      </c>
      <c r="L48" s="190" t="str">
        <f t="shared" si="1"/>
        <v/>
      </c>
      <c r="M48" s="188"/>
      <c r="N48" s="188"/>
      <c r="O48" s="188"/>
      <c r="P48" s="188"/>
      <c r="Q48" s="188"/>
      <c r="R48" s="188"/>
      <c r="S48" s="214"/>
      <c r="T48" s="208"/>
      <c r="U48" s="220"/>
      <c r="V48" s="220"/>
      <c r="W48" s="220"/>
      <c r="X48" s="220"/>
      <c r="Y48" s="220"/>
      <c r="Z48" s="220"/>
      <c r="AA48" s="220"/>
      <c r="AB48" s="220"/>
      <c r="AC48" s="220"/>
      <c r="AD48" s="220"/>
      <c r="AE48" s="220"/>
      <c r="AF48" s="220"/>
      <c r="AG48" s="219"/>
      <c r="AH48" s="225">
        <f>SUM(PORTEFEUILLE_AURELIE_T[[#This Row],[PCR COMPTABLE €]:[MONTANT
RESPONSABLE RELATION CLIENT €]])-PORTEFEUILLE_AURELIE_T[[#This Row],[MONTANT TOTAL LETTRE DE MISION €]]</f>
        <v>0</v>
      </c>
      <c r="AI48" s="191"/>
      <c r="AJ48" s="188"/>
      <c r="AK48" s="188"/>
      <c r="AL48" s="196"/>
      <c r="AM48" s="196"/>
      <c r="AN48" s="196"/>
      <c r="AO48" s="196"/>
      <c r="AP48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Q48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R48" s="188" t="str">
        <f>IF(PORTEFEUILLE_AURELIE_T[[#This Row],[BONI AAC]]&lt;&gt;0,1,"")</f>
        <v/>
      </c>
      <c r="AS48" s="188" t="str">
        <f>IF(PORTEFEUILLE_AURELIE_T[[#This Row],[MALI AAC]]&lt;&gt;0,1,"")</f>
        <v/>
      </c>
      <c r="AT48" s="225">
        <f>IF(AN48&lt;&gt;"",IF((AN48*Paramètres!$H$4)-PORTEFEUILLE_AURELIE_T[[#This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€]]-(DELPHINE!AN48*Paramètres!$H$4),0),0)</f>
        <v>0</v>
      </c>
      <c r="AU48" s="225">
        <f>IF(AN48&lt;&gt;"",IF(((AN48*Paramètres!$H$4)-PORTEFEUILLE_AURELIE_T[[#This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€]])&gt;0,(AN48*Paramètres!$H$4)-PORTEFEUILLE_AURELIE_T[[#This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V48" s="190" t="str">
        <f>IF(PORTEFEUILLE_AURELIE_T[[#This Row],[BONI COMPTABLE]]&lt;&gt;0,1,"")</f>
        <v/>
      </c>
      <c r="AW48" s="190" t="str">
        <f>IF(PORTEFEUILLE_AURELIE_T[[#This Row],[MALI COMPTABLE]]&lt;&gt;0,1,"")</f>
        <v/>
      </c>
      <c r="AX48" s="196"/>
      <c r="AY48" s="188"/>
      <c r="AZ48" s="188"/>
      <c r="BA48" s="188"/>
      <c r="BB48" s="188"/>
      <c r="BC48" s="188"/>
      <c r="BD48" s="188"/>
      <c r="BE48" s="192"/>
      <c r="BF48" s="194"/>
      <c r="BG48" s="194"/>
      <c r="BH48" s="195"/>
      <c r="BI48" s="194"/>
    </row>
    <row r="49" spans="1:61" x14ac:dyDescent="0.25">
      <c r="A49" s="172"/>
      <c r="B49" s="180"/>
      <c r="C49" s="165"/>
      <c r="D49" s="171"/>
      <c r="E49" s="189"/>
      <c r="F49" s="188"/>
      <c r="G49" s="189"/>
      <c r="H49" s="189"/>
      <c r="I49" s="189"/>
      <c r="J49" s="189"/>
      <c r="K49" s="190" t="str">
        <f t="shared" si="0"/>
        <v/>
      </c>
      <c r="L49" s="190" t="str">
        <f t="shared" si="1"/>
        <v/>
      </c>
      <c r="M49" s="188"/>
      <c r="N49" s="188"/>
      <c r="O49" s="188"/>
      <c r="P49" s="188"/>
      <c r="Q49" s="188"/>
      <c r="R49" s="188"/>
      <c r="S49" s="213"/>
      <c r="T49" s="207"/>
      <c r="U49" s="219"/>
      <c r="V49" s="219"/>
      <c r="W49" s="219"/>
      <c r="X49" s="219"/>
      <c r="Y49" s="219"/>
      <c r="Z49" s="219"/>
      <c r="AA49" s="219"/>
      <c r="AB49" s="219"/>
      <c r="AC49" s="219"/>
      <c r="AD49" s="219"/>
      <c r="AE49" s="219"/>
      <c r="AF49" s="219"/>
      <c r="AG49" s="219"/>
      <c r="AH49" s="225">
        <f>SUM(PORTEFEUILLE_AURELIE_T[[#This Row],[PCR COMPTABLE €]:[MONTANT
RESPONSABLE RELATION CLIENT €]])-PORTEFEUILLE_AURELIE_T[[#This Row],[MONTANT TOTAL LETTRE DE MISION €]]</f>
        <v>0</v>
      </c>
      <c r="AI49" s="191"/>
      <c r="AJ49" s="188"/>
      <c r="AK49" s="188"/>
      <c r="AL49" s="188"/>
      <c r="AM49" s="188"/>
      <c r="AN49" s="188"/>
      <c r="AO49" s="188"/>
      <c r="AP49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Q49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R49" s="188" t="str">
        <f>IF(PORTEFEUILLE_AURELIE_T[[#This Row],[BONI AAC]]&lt;&gt;0,1,"")</f>
        <v/>
      </c>
      <c r="AS49" s="188" t="str">
        <f>IF(PORTEFEUILLE_AURELIE_T[[#This Row],[MALI AAC]]&lt;&gt;0,1,"")</f>
        <v/>
      </c>
      <c r="AT49" s="225">
        <f>IF(AN49&lt;&gt;"",IF((AN49*Paramètres!$H$4)-PORTEFEUILLE_AURELIE_T[[#This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€]]-(DELPHINE!AN49*Paramètres!$H$4),0),0)</f>
        <v>0</v>
      </c>
      <c r="AU49" s="225">
        <f>IF(AN49&lt;&gt;"",IF(((AN49*Paramètres!$H$4)-PORTEFEUILLE_AURELIE_T[[#This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€]])&gt;0,(AN49*Paramètres!$H$4)-PORTEFEUILLE_AURELIE_T[[#This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V49" s="190" t="str">
        <f>IF(PORTEFEUILLE_AURELIE_T[[#This Row],[BONI COMPTABLE]]&lt;&gt;0,1,"")</f>
        <v/>
      </c>
      <c r="AW49" s="190" t="str">
        <f>IF(PORTEFEUILLE_AURELIE_T[[#This Row],[MALI COMPTABLE]]&lt;&gt;0,1,"")</f>
        <v/>
      </c>
      <c r="AX49" s="188"/>
      <c r="AY49" s="188"/>
      <c r="AZ49" s="188"/>
      <c r="BA49" s="188"/>
      <c r="BB49" s="196"/>
      <c r="BC49" s="188"/>
      <c r="BD49" s="188"/>
      <c r="BE49" s="192"/>
      <c r="BF49" s="194"/>
      <c r="BG49" s="194"/>
      <c r="BH49" s="195"/>
      <c r="BI49" s="194"/>
    </row>
    <row r="50" spans="1:61" x14ac:dyDescent="0.25">
      <c r="A50" s="172"/>
      <c r="B50" s="170"/>
      <c r="C50" s="165"/>
      <c r="D50" s="171"/>
      <c r="E50" s="189"/>
      <c r="F50" s="188"/>
      <c r="G50" s="188"/>
      <c r="H50" s="189"/>
      <c r="I50" s="188"/>
      <c r="J50" s="188"/>
      <c r="K50" s="190" t="str">
        <f t="shared" si="0"/>
        <v/>
      </c>
      <c r="L50" s="190" t="str">
        <f t="shared" si="1"/>
        <v/>
      </c>
      <c r="M50" s="188"/>
      <c r="N50" s="188"/>
      <c r="O50" s="188"/>
      <c r="P50" s="188"/>
      <c r="Q50" s="188"/>
      <c r="R50" s="188"/>
      <c r="S50" s="214"/>
      <c r="T50" s="208"/>
      <c r="U50" s="220"/>
      <c r="V50" s="220"/>
      <c r="W50" s="220"/>
      <c r="X50" s="220"/>
      <c r="Y50" s="220"/>
      <c r="Z50" s="220"/>
      <c r="AA50" s="220"/>
      <c r="AB50" s="220"/>
      <c r="AC50" s="220"/>
      <c r="AD50" s="220"/>
      <c r="AE50" s="220"/>
      <c r="AF50" s="220"/>
      <c r="AG50" s="219"/>
      <c r="AH50" s="225">
        <f>SUM(PORTEFEUILLE_AURELIE_T[[#This Row],[PCR COMPTABLE €]:[MONTANT
RESPONSABLE RELATION CLIENT €]])-PORTEFEUILLE_AURELIE_T[[#This Row],[MONTANT TOTAL LETTRE DE MISION €]]</f>
        <v>0</v>
      </c>
      <c r="AI50" s="191"/>
      <c r="AJ50" s="188"/>
      <c r="AK50" s="188"/>
      <c r="AL50" s="196"/>
      <c r="AM50" s="196"/>
      <c r="AN50" s="196"/>
      <c r="AO50" s="196"/>
      <c r="AP50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Q50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R50" s="188" t="str">
        <f>IF(PORTEFEUILLE_AURELIE_T[[#This Row],[BONI AAC]]&lt;&gt;0,1,"")</f>
        <v/>
      </c>
      <c r="AS50" s="188" t="str">
        <f>IF(PORTEFEUILLE_AURELIE_T[[#This Row],[MALI AAC]]&lt;&gt;0,1,"")</f>
        <v/>
      </c>
      <c r="AT50" s="225">
        <f>IF(AN50&lt;&gt;"",IF((AN50*Paramètres!$H$4)-PORTEFEUILLE_AURELIE_T[[#This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€]]-(DELPHINE!AN50*Paramètres!$H$4),0),0)</f>
        <v>0</v>
      </c>
      <c r="AU50" s="225">
        <f>IF(AN50&lt;&gt;"",IF(((AN50*Paramètres!$H$4)-PORTEFEUILLE_AURELIE_T[[#This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€]])&gt;0,(AN50*Paramètres!$H$4)-PORTEFEUILLE_AURELIE_T[[#This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V50" s="190" t="str">
        <f>IF(PORTEFEUILLE_AURELIE_T[[#This Row],[BONI COMPTABLE]]&lt;&gt;0,1,"")</f>
        <v/>
      </c>
      <c r="AW50" s="190" t="str">
        <f>IF(PORTEFEUILLE_AURELIE_T[[#This Row],[MALI COMPTABLE]]&lt;&gt;0,1,"")</f>
        <v/>
      </c>
      <c r="AX50" s="196"/>
      <c r="AY50" s="188"/>
      <c r="AZ50" s="188"/>
      <c r="BA50" s="188"/>
      <c r="BB50" s="196"/>
      <c r="BC50" s="196"/>
      <c r="BD50" s="196"/>
      <c r="BE50" s="192"/>
      <c r="BF50" s="194"/>
      <c r="BG50" s="194"/>
      <c r="BH50" s="195"/>
      <c r="BI50" s="194"/>
    </row>
    <row r="51" spans="1:61" x14ac:dyDescent="0.25">
      <c r="A51" s="172"/>
      <c r="B51" s="170"/>
      <c r="C51" s="165"/>
      <c r="D51" s="171"/>
      <c r="E51" s="189"/>
      <c r="F51" s="188"/>
      <c r="G51" s="188"/>
      <c r="H51" s="189"/>
      <c r="I51" s="188"/>
      <c r="J51" s="189"/>
      <c r="K51" s="190" t="str">
        <f t="shared" si="0"/>
        <v/>
      </c>
      <c r="L51" s="190" t="str">
        <f t="shared" si="1"/>
        <v/>
      </c>
      <c r="M51" s="188"/>
      <c r="N51" s="188"/>
      <c r="O51" s="188"/>
      <c r="P51" s="188"/>
      <c r="Q51" s="188"/>
      <c r="R51" s="188"/>
      <c r="S51" s="214"/>
      <c r="T51" s="208"/>
      <c r="U51" s="220"/>
      <c r="V51" s="220"/>
      <c r="W51" s="220"/>
      <c r="X51" s="220"/>
      <c r="Y51" s="220"/>
      <c r="Z51" s="220"/>
      <c r="AA51" s="220"/>
      <c r="AB51" s="220"/>
      <c r="AC51" s="220"/>
      <c r="AD51" s="220"/>
      <c r="AE51" s="220"/>
      <c r="AF51" s="220"/>
      <c r="AG51" s="219"/>
      <c r="AH51" s="225">
        <f>SUM(PORTEFEUILLE_AURELIE_T[[#This Row],[PCR COMPTABLE €]:[MONTANT
RESPONSABLE RELATION CLIENT €]])-PORTEFEUILLE_AURELIE_T[[#This Row],[MONTANT TOTAL LETTRE DE MISION €]]</f>
        <v>0</v>
      </c>
      <c r="AI51" s="191"/>
      <c r="AJ51" s="188"/>
      <c r="AK51" s="188"/>
      <c r="AL51" s="196"/>
      <c r="AM51" s="196"/>
      <c r="AN51" s="196"/>
      <c r="AO51" s="196"/>
      <c r="AP51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Q51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R51" s="188" t="str">
        <f>IF(PORTEFEUILLE_AURELIE_T[[#This Row],[BONI AAC]]&lt;&gt;0,1,"")</f>
        <v/>
      </c>
      <c r="AS51" s="188" t="str">
        <f>IF(PORTEFEUILLE_AURELIE_T[[#This Row],[MALI AAC]]&lt;&gt;0,1,"")</f>
        <v/>
      </c>
      <c r="AT51" s="225">
        <f>IF(AN51&lt;&gt;"",IF((AN51*Paramètres!$H$4)-PORTEFEUILLE_AURELIE_T[[#This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€]]-(DELPHINE!AN51*Paramètres!$H$4),0),0)</f>
        <v>0</v>
      </c>
      <c r="AU51" s="225">
        <f>IF(AN51&lt;&gt;"",IF(((AN51*Paramètres!$H$4)-PORTEFEUILLE_AURELIE_T[[#This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€]])&gt;0,(AN51*Paramètres!$H$4)-PORTEFEUILLE_AURELIE_T[[#This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V51" s="190" t="str">
        <f>IF(PORTEFEUILLE_AURELIE_T[[#This Row],[BONI COMPTABLE]]&lt;&gt;0,1,"")</f>
        <v/>
      </c>
      <c r="AW51" s="190" t="str">
        <f>IF(PORTEFEUILLE_AURELIE_T[[#This Row],[MALI COMPTABLE]]&lt;&gt;0,1,"")</f>
        <v/>
      </c>
      <c r="AX51" s="196"/>
      <c r="AY51" s="188"/>
      <c r="AZ51" s="188"/>
      <c r="BA51" s="188"/>
      <c r="BB51" s="196"/>
      <c r="BC51" s="196"/>
      <c r="BD51" s="196"/>
      <c r="BE51" s="192"/>
      <c r="BF51" s="194"/>
      <c r="BG51" s="194"/>
      <c r="BH51" s="195"/>
      <c r="BI51" s="194"/>
    </row>
    <row r="52" spans="1:61" x14ac:dyDescent="0.25">
      <c r="A52" s="172"/>
      <c r="B52" s="170"/>
      <c r="C52" s="165"/>
      <c r="D52" s="171"/>
      <c r="E52" s="189"/>
      <c r="F52" s="188"/>
      <c r="G52" s="188"/>
      <c r="H52" s="189"/>
      <c r="I52" s="188"/>
      <c r="J52" s="189"/>
      <c r="K52" s="190" t="str">
        <f t="shared" si="0"/>
        <v/>
      </c>
      <c r="L52" s="190" t="str">
        <f t="shared" si="1"/>
        <v/>
      </c>
      <c r="M52" s="188"/>
      <c r="N52" s="188"/>
      <c r="O52" s="188"/>
      <c r="P52" s="188"/>
      <c r="Q52" s="188"/>
      <c r="R52" s="188"/>
      <c r="S52" s="214"/>
      <c r="T52" s="208"/>
      <c r="U52" s="220"/>
      <c r="V52" s="220"/>
      <c r="W52" s="220"/>
      <c r="X52" s="220"/>
      <c r="Y52" s="220"/>
      <c r="Z52" s="220"/>
      <c r="AA52" s="220"/>
      <c r="AB52" s="220"/>
      <c r="AC52" s="220"/>
      <c r="AD52" s="220"/>
      <c r="AE52" s="220"/>
      <c r="AF52" s="220"/>
      <c r="AG52" s="219"/>
      <c r="AH52" s="225">
        <f>SUM(PORTEFEUILLE_AURELIE_T[[#This Row],[PCR COMPTABLE €]:[MONTANT
RESPONSABLE RELATION CLIENT €]])-PORTEFEUILLE_AURELIE_T[[#This Row],[MONTANT TOTAL LETTRE DE MISION €]]</f>
        <v>0</v>
      </c>
      <c r="AI52" s="191"/>
      <c r="AJ52" s="188"/>
      <c r="AK52" s="188"/>
      <c r="AL52" s="196"/>
      <c r="AM52" s="196"/>
      <c r="AN52" s="196"/>
      <c r="AO52" s="196"/>
      <c r="AP52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Q52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R52" s="188" t="str">
        <f>IF(PORTEFEUILLE_AURELIE_T[[#This Row],[BONI AAC]]&lt;&gt;0,1,"")</f>
        <v/>
      </c>
      <c r="AS52" s="188" t="str">
        <f>IF(PORTEFEUILLE_AURELIE_T[[#This Row],[MALI AAC]]&lt;&gt;0,1,"")</f>
        <v/>
      </c>
      <c r="AT52" s="225">
        <f>IF(AN52&lt;&gt;"",IF((AN52*Paramètres!$H$4)-PORTEFEUILLE_AURELIE_T[[#This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€]]-(DELPHINE!AN52*Paramètres!$H$4),0),0)</f>
        <v>0</v>
      </c>
      <c r="AU52" s="225">
        <f>IF(AN52&lt;&gt;"",IF(((AN52*Paramètres!$H$4)-PORTEFEUILLE_AURELIE_T[[#This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€]])&gt;0,(AN52*Paramètres!$H$4)-PORTEFEUILLE_AURELIE_T[[#This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V52" s="190" t="str">
        <f>IF(PORTEFEUILLE_AURELIE_T[[#This Row],[BONI COMPTABLE]]&lt;&gt;0,1,"")</f>
        <v/>
      </c>
      <c r="AW52" s="190" t="str">
        <f>IF(PORTEFEUILLE_AURELIE_T[[#This Row],[MALI COMPTABLE]]&lt;&gt;0,1,"")</f>
        <v/>
      </c>
      <c r="AX52" s="196"/>
      <c r="AY52" s="188"/>
      <c r="AZ52" s="188"/>
      <c r="BA52" s="188"/>
      <c r="BB52" s="196"/>
      <c r="BC52" s="196"/>
      <c r="BD52" s="196"/>
      <c r="BE52" s="192"/>
      <c r="BF52" s="194"/>
      <c r="BG52" s="194"/>
      <c r="BH52" s="195"/>
      <c r="BI52" s="194"/>
    </row>
    <row r="53" spans="1:61" x14ac:dyDescent="0.25">
      <c r="A53" s="172"/>
      <c r="B53" s="182"/>
      <c r="C53" s="183"/>
      <c r="D53" s="184"/>
      <c r="E53" s="200"/>
      <c r="F53" s="201"/>
      <c r="G53" s="201"/>
      <c r="H53" s="189"/>
      <c r="I53" s="201"/>
      <c r="J53" s="201"/>
      <c r="K53" s="190" t="str">
        <f t="shared" si="0"/>
        <v/>
      </c>
      <c r="L53" s="190" t="str">
        <f t="shared" si="1"/>
        <v/>
      </c>
      <c r="M53" s="188"/>
      <c r="N53" s="188"/>
      <c r="O53" s="188"/>
      <c r="P53" s="188"/>
      <c r="Q53" s="188"/>
      <c r="R53" s="188"/>
      <c r="S53" s="216"/>
      <c r="T53" s="210"/>
      <c r="U53" s="222"/>
      <c r="V53" s="222"/>
      <c r="W53" s="222"/>
      <c r="X53" s="222"/>
      <c r="Y53" s="222"/>
      <c r="Z53" s="222"/>
      <c r="AA53" s="222"/>
      <c r="AB53" s="222"/>
      <c r="AC53" s="222"/>
      <c r="AD53" s="222"/>
      <c r="AE53" s="222"/>
      <c r="AF53" s="222"/>
      <c r="AG53" s="219"/>
      <c r="AH53" s="225">
        <f>SUM(PORTEFEUILLE_AURELIE_T[[#This Row],[PCR COMPTABLE €]:[MONTANT
RESPONSABLE RELATION CLIENT €]])-PORTEFEUILLE_AURELIE_T[[#This Row],[MONTANT TOTAL LETTRE DE MISION €]]</f>
        <v>0</v>
      </c>
      <c r="AI53" s="191"/>
      <c r="AJ53" s="188"/>
      <c r="AK53" s="201"/>
      <c r="AL53" s="202"/>
      <c r="AM53" s="202"/>
      <c r="AN53" s="202"/>
      <c r="AO53" s="202"/>
      <c r="AP53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Q53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R53" s="188" t="str">
        <f>IF(PORTEFEUILLE_AURELIE_T[[#This Row],[BONI AAC]]&lt;&gt;0,1,"")</f>
        <v/>
      </c>
      <c r="AS53" s="188" t="str">
        <f>IF(PORTEFEUILLE_AURELIE_T[[#This Row],[MALI AAC]]&lt;&gt;0,1,"")</f>
        <v/>
      </c>
      <c r="AT53" s="225">
        <f>IF(AN53&lt;&gt;"",IF((AN53*Paramètres!$H$4)-PORTEFEUILLE_AURELIE_T[[#This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€]]-(DELPHINE!AN53*Paramètres!$H$4),0),0)</f>
        <v>0</v>
      </c>
      <c r="AU53" s="225">
        <f>IF(AN53&lt;&gt;"",IF(((AN53*Paramètres!$H$4)-PORTEFEUILLE_AURELIE_T[[#This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€]])&gt;0,(AN53*Paramètres!$H$4)-PORTEFEUILLE_AURELIE_T[[#This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V53" s="190" t="str">
        <f>IF(PORTEFEUILLE_AURELIE_T[[#This Row],[BONI COMPTABLE]]&lt;&gt;0,1,"")</f>
        <v/>
      </c>
      <c r="AW53" s="190" t="str">
        <f>IF(PORTEFEUILLE_AURELIE_T[[#This Row],[MALI COMPTABLE]]&lt;&gt;0,1,"")</f>
        <v/>
      </c>
      <c r="AX53" s="202"/>
      <c r="AY53" s="188"/>
      <c r="AZ53" s="188"/>
      <c r="BA53" s="188"/>
      <c r="BB53" s="202"/>
      <c r="BC53" s="202"/>
      <c r="BD53" s="202"/>
      <c r="BE53" s="192"/>
      <c r="BF53" s="194"/>
      <c r="BG53" s="194"/>
      <c r="BH53" s="195"/>
      <c r="BI53" s="194"/>
    </row>
    <row r="54" spans="1:61" x14ac:dyDescent="0.25">
      <c r="A54" s="172"/>
      <c r="B54" s="185"/>
      <c r="C54" s="172"/>
      <c r="D54" s="172"/>
      <c r="E54" s="203"/>
      <c r="F54" s="194"/>
      <c r="G54" s="194"/>
      <c r="H54" s="189"/>
      <c r="I54" s="194"/>
      <c r="J54" s="194"/>
      <c r="K54" s="190" t="str">
        <f t="shared" si="0"/>
        <v/>
      </c>
      <c r="L54" s="190" t="str">
        <f t="shared" si="1"/>
        <v/>
      </c>
      <c r="M54" s="188"/>
      <c r="N54" s="188"/>
      <c r="O54" s="188"/>
      <c r="P54" s="188"/>
      <c r="Q54" s="188"/>
      <c r="R54" s="188"/>
      <c r="S54" s="217"/>
      <c r="T54" s="211"/>
      <c r="U54" s="223"/>
      <c r="V54" s="223"/>
      <c r="W54" s="223"/>
      <c r="X54" s="223"/>
      <c r="Y54" s="223"/>
      <c r="Z54" s="223"/>
      <c r="AA54" s="223"/>
      <c r="AB54" s="223"/>
      <c r="AC54" s="223"/>
      <c r="AD54" s="223"/>
      <c r="AE54" s="223"/>
      <c r="AF54" s="223"/>
      <c r="AG54" s="219"/>
      <c r="AH54" s="225">
        <f>SUM(PORTEFEUILLE_AURELIE_T[[#This Row],[PCR COMPTABLE €]:[MONTANT
RESPONSABLE RELATION CLIENT €]])-PORTEFEUILLE_AURELIE_T[[#This Row],[MONTANT TOTAL LETTRE DE MISION €]]</f>
        <v>0</v>
      </c>
      <c r="AI54" s="191"/>
      <c r="AJ54" s="188"/>
      <c r="AK54" s="188"/>
      <c r="AL54" s="194"/>
      <c r="AM54" s="194"/>
      <c r="AN54" s="194"/>
      <c r="AO54" s="194"/>
      <c r="AP54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Q54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R54" s="188" t="str">
        <f>IF(PORTEFEUILLE_AURELIE_T[[#This Row],[BONI AAC]]&lt;&gt;0,1,"")</f>
        <v/>
      </c>
      <c r="AS54" s="188" t="str">
        <f>IF(PORTEFEUILLE_AURELIE_T[[#This Row],[MALI AAC]]&lt;&gt;0,1,"")</f>
        <v/>
      </c>
      <c r="AT54" s="225">
        <f>IF(AN54&lt;&gt;"",IF((AN54*Paramètres!$H$4)-PORTEFEUILLE_AURELIE_T[[#This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€]]-(DELPHINE!AN54*Paramètres!$H$4),0),0)</f>
        <v>0</v>
      </c>
      <c r="AU54" s="225">
        <f>IF(AN54&lt;&gt;"",IF(((AN54*Paramètres!$H$4)-PORTEFEUILLE_AURELIE_T[[#This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€]])&gt;0,(AN54*Paramètres!$H$4)-PORTEFEUILLE_AURELIE_T[[#This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V54" s="190" t="str">
        <f>IF(PORTEFEUILLE_AURELIE_T[[#This Row],[BONI COMPTABLE]]&lt;&gt;0,1,"")</f>
        <v/>
      </c>
      <c r="AW54" s="190" t="str">
        <f>IF(PORTEFEUILLE_AURELIE_T[[#This Row],[MALI COMPTABLE]]&lt;&gt;0,1,"")</f>
        <v/>
      </c>
      <c r="AX54" s="194"/>
      <c r="AY54" s="188"/>
      <c r="AZ54" s="188"/>
      <c r="BA54" s="188"/>
      <c r="BB54" s="194"/>
      <c r="BC54" s="194"/>
      <c r="BD54" s="194"/>
      <c r="BE54" s="192"/>
      <c r="BF54" s="194"/>
      <c r="BG54" s="194"/>
      <c r="BH54" s="195"/>
      <c r="BI54" s="194"/>
    </row>
    <row r="55" spans="1:61" x14ac:dyDescent="0.25">
      <c r="A55" s="172"/>
      <c r="B55" s="185"/>
      <c r="C55" s="172"/>
      <c r="D55" s="172"/>
      <c r="E55" s="203"/>
      <c r="F55" s="194"/>
      <c r="G55" s="194"/>
      <c r="H55" s="189"/>
      <c r="I55" s="194"/>
      <c r="J55" s="194"/>
      <c r="K55" s="190" t="str">
        <f t="shared" si="0"/>
        <v/>
      </c>
      <c r="L55" s="190" t="str">
        <f t="shared" si="1"/>
        <v/>
      </c>
      <c r="M55" s="188"/>
      <c r="N55" s="188"/>
      <c r="O55" s="188"/>
      <c r="P55" s="188"/>
      <c r="Q55" s="188"/>
      <c r="R55" s="188"/>
      <c r="S55" s="217"/>
      <c r="T55" s="211"/>
      <c r="U55" s="223"/>
      <c r="V55" s="223"/>
      <c r="W55" s="223"/>
      <c r="X55" s="223"/>
      <c r="Y55" s="223"/>
      <c r="Z55" s="223"/>
      <c r="AA55" s="223"/>
      <c r="AB55" s="223"/>
      <c r="AC55" s="223"/>
      <c r="AD55" s="223"/>
      <c r="AE55" s="223"/>
      <c r="AF55" s="223"/>
      <c r="AG55" s="219"/>
      <c r="AH55" s="225">
        <f>SUM(PORTEFEUILLE_AURELIE_T[[#This Row],[PCR COMPTABLE €]:[MONTANT
RESPONSABLE RELATION CLIENT €]])-PORTEFEUILLE_AURELIE_T[[#This Row],[MONTANT TOTAL LETTRE DE MISION €]]</f>
        <v>0</v>
      </c>
      <c r="AI55" s="191"/>
      <c r="AJ55" s="188"/>
      <c r="AK55" s="188"/>
      <c r="AL55" s="194"/>
      <c r="AM55" s="194"/>
      <c r="AN55" s="194"/>
      <c r="AO55" s="194"/>
      <c r="AP55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Q55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R55" s="188" t="str">
        <f>IF(PORTEFEUILLE_AURELIE_T[[#This Row],[BONI AAC]]&lt;&gt;0,1,"")</f>
        <v/>
      </c>
      <c r="AS55" s="188" t="str">
        <f>IF(PORTEFEUILLE_AURELIE_T[[#This Row],[MALI AAC]]&lt;&gt;0,1,"")</f>
        <v/>
      </c>
      <c r="AT55" s="225">
        <f>IF(AN55&lt;&gt;"",IF((AN55*Paramètres!$H$4)-PORTEFEUILLE_AURELIE_T[[#This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€]]-(DELPHINE!AN55*Paramètres!$H$4),0),0)</f>
        <v>0</v>
      </c>
      <c r="AU55" s="225">
        <f>IF(AN55&lt;&gt;"",IF(((AN55*Paramètres!$H$4)-PORTEFEUILLE_AURELIE_T[[#This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€]])&gt;0,(AN55*Paramètres!$H$4)-PORTEFEUILLE_AURELIE_T[[#This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V55" s="190" t="str">
        <f>IF(PORTEFEUILLE_AURELIE_T[[#This Row],[BONI COMPTABLE]]&lt;&gt;0,1,"")</f>
        <v/>
      </c>
      <c r="AW55" s="190" t="str">
        <f>IF(PORTEFEUILLE_AURELIE_T[[#This Row],[MALI COMPTABLE]]&lt;&gt;0,1,"")</f>
        <v/>
      </c>
      <c r="AX55" s="194"/>
      <c r="AY55" s="188"/>
      <c r="AZ55" s="188"/>
      <c r="BA55" s="188"/>
      <c r="BB55" s="194"/>
      <c r="BC55" s="194"/>
      <c r="BD55" s="194"/>
      <c r="BE55" s="192"/>
      <c r="BF55" s="194"/>
      <c r="BG55" s="194"/>
      <c r="BH55" s="195"/>
      <c r="BI55" s="194"/>
    </row>
    <row r="56" spans="1:61" x14ac:dyDescent="0.25">
      <c r="A56" s="172"/>
      <c r="B56" s="185"/>
      <c r="C56" s="172"/>
      <c r="D56" s="172"/>
      <c r="E56" s="203"/>
      <c r="F56" s="194"/>
      <c r="G56" s="194"/>
      <c r="H56" s="189"/>
      <c r="I56" s="194"/>
      <c r="J56" s="194"/>
      <c r="K56" s="190" t="str">
        <f t="shared" si="0"/>
        <v/>
      </c>
      <c r="L56" s="190" t="str">
        <f t="shared" si="1"/>
        <v/>
      </c>
      <c r="M56" s="188"/>
      <c r="N56" s="188"/>
      <c r="O56" s="188"/>
      <c r="P56" s="188"/>
      <c r="Q56" s="188"/>
      <c r="R56" s="188"/>
      <c r="S56" s="217"/>
      <c r="T56" s="211"/>
      <c r="U56" s="223"/>
      <c r="V56" s="223"/>
      <c r="W56" s="223"/>
      <c r="X56" s="223"/>
      <c r="Y56" s="223"/>
      <c r="Z56" s="223"/>
      <c r="AA56" s="223"/>
      <c r="AB56" s="223"/>
      <c r="AC56" s="223"/>
      <c r="AD56" s="223"/>
      <c r="AE56" s="223"/>
      <c r="AF56" s="223"/>
      <c r="AG56" s="219"/>
      <c r="AH56" s="225">
        <f>SUM(PORTEFEUILLE_AURELIE_T[[#This Row],[PCR COMPTABLE €]:[MONTANT
RESPONSABLE RELATION CLIENT €]])-PORTEFEUILLE_AURELIE_T[[#This Row],[MONTANT TOTAL LETTRE DE MISION €]]</f>
        <v>0</v>
      </c>
      <c r="AI56" s="191"/>
      <c r="AJ56" s="188"/>
      <c r="AK56" s="188"/>
      <c r="AL56" s="194"/>
      <c r="AM56" s="194"/>
      <c r="AN56" s="194"/>
      <c r="AO56" s="194"/>
      <c r="AP56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Q56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R56" s="188" t="str">
        <f>IF(PORTEFEUILLE_AURELIE_T[[#This Row],[BONI AAC]]&lt;&gt;0,1,"")</f>
        <v/>
      </c>
      <c r="AS56" s="188" t="str">
        <f>IF(PORTEFEUILLE_AURELIE_T[[#This Row],[MALI AAC]]&lt;&gt;0,1,"")</f>
        <v/>
      </c>
      <c r="AT56" s="225">
        <f>IF(AN56&lt;&gt;"",IF((AN56*Paramètres!$H$4)-PORTEFEUILLE_AURELIE_T[[#This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€]]-(DELPHINE!AN56*Paramètres!$H$4),0),0)</f>
        <v>0</v>
      </c>
      <c r="AU56" s="225">
        <f>IF(AN56&lt;&gt;"",IF(((AN56*Paramètres!$H$4)-PORTEFEUILLE_AURELIE_T[[#This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€]])&gt;0,(AN56*Paramètres!$H$4)-PORTEFEUILLE_AURELIE_T[[#This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V56" s="190" t="str">
        <f>IF(PORTEFEUILLE_AURELIE_T[[#This Row],[BONI COMPTABLE]]&lt;&gt;0,1,"")</f>
        <v/>
      </c>
      <c r="AW56" s="190" t="str">
        <f>IF(PORTEFEUILLE_AURELIE_T[[#This Row],[MALI COMPTABLE]]&lt;&gt;0,1,"")</f>
        <v/>
      </c>
      <c r="AX56" s="194"/>
      <c r="AY56" s="188"/>
      <c r="AZ56" s="188"/>
      <c r="BA56" s="188"/>
      <c r="BB56" s="194"/>
      <c r="BC56" s="194"/>
      <c r="BD56" s="194"/>
      <c r="BE56" s="192"/>
      <c r="BF56" s="194"/>
      <c r="BG56" s="194"/>
      <c r="BH56" s="195"/>
      <c r="BI56" s="194"/>
    </row>
    <row r="57" spans="1:61" x14ac:dyDescent="0.25">
      <c r="A57" s="172"/>
      <c r="B57" s="185"/>
      <c r="C57" s="172"/>
      <c r="D57" s="172"/>
      <c r="E57" s="203"/>
      <c r="F57" s="194"/>
      <c r="G57" s="194"/>
      <c r="H57" s="189"/>
      <c r="I57" s="194"/>
      <c r="J57" s="194"/>
      <c r="K57" s="190" t="str">
        <f t="shared" si="0"/>
        <v/>
      </c>
      <c r="L57" s="190" t="str">
        <f t="shared" si="1"/>
        <v/>
      </c>
      <c r="M57" s="188"/>
      <c r="N57" s="188"/>
      <c r="O57" s="188"/>
      <c r="P57" s="188"/>
      <c r="Q57" s="188"/>
      <c r="R57" s="188"/>
      <c r="S57" s="217"/>
      <c r="T57" s="211"/>
      <c r="U57" s="223"/>
      <c r="V57" s="223"/>
      <c r="W57" s="223"/>
      <c r="X57" s="223"/>
      <c r="Y57" s="223"/>
      <c r="Z57" s="223"/>
      <c r="AA57" s="223"/>
      <c r="AB57" s="223"/>
      <c r="AC57" s="223"/>
      <c r="AD57" s="223"/>
      <c r="AE57" s="223"/>
      <c r="AF57" s="223"/>
      <c r="AG57" s="219"/>
      <c r="AH57" s="225">
        <f>SUM(PORTEFEUILLE_AURELIE_T[[#This Row],[PCR COMPTABLE €]:[MONTANT
RESPONSABLE RELATION CLIENT €]])-PORTEFEUILLE_AURELIE_T[[#This Row],[MONTANT TOTAL LETTRE DE MISION €]]</f>
        <v>0</v>
      </c>
      <c r="AI57" s="191"/>
      <c r="AJ57" s="188"/>
      <c r="AK57" s="188"/>
      <c r="AL57" s="194"/>
      <c r="AM57" s="194"/>
      <c r="AN57" s="194"/>
      <c r="AO57" s="194"/>
      <c r="AP57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Q57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R57" s="188" t="str">
        <f>IF(PORTEFEUILLE_AURELIE_T[[#This Row],[BONI AAC]]&lt;&gt;0,1,"")</f>
        <v/>
      </c>
      <c r="AS57" s="188" t="str">
        <f>IF(PORTEFEUILLE_AURELIE_T[[#This Row],[MALI AAC]]&lt;&gt;0,1,"")</f>
        <v/>
      </c>
      <c r="AT57" s="225">
        <f>IF(AN57&lt;&gt;"",IF((AN57*Paramètres!$H$4)-PORTEFEUILLE_AURELIE_T[[#This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€]]-(DELPHINE!AN57*Paramètres!$H$4),0),0)</f>
        <v>0</v>
      </c>
      <c r="AU57" s="225">
        <f>IF(AN57&lt;&gt;"",IF(((AN57*Paramètres!$H$4)-PORTEFEUILLE_AURELIE_T[[#This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€]])&gt;0,(AN57*Paramètres!$H$4)-PORTEFEUILLE_AURELIE_T[[#This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V57" s="190" t="str">
        <f>IF(PORTEFEUILLE_AURELIE_T[[#This Row],[BONI COMPTABLE]]&lt;&gt;0,1,"")</f>
        <v/>
      </c>
      <c r="AW57" s="190" t="str">
        <f>IF(PORTEFEUILLE_AURELIE_T[[#This Row],[MALI COMPTABLE]]&lt;&gt;0,1,"")</f>
        <v/>
      </c>
      <c r="AX57" s="194"/>
      <c r="AY57" s="188"/>
      <c r="AZ57" s="188"/>
      <c r="BA57" s="188"/>
      <c r="BB57" s="194"/>
      <c r="BC57" s="194"/>
      <c r="BD57" s="194"/>
      <c r="BE57" s="192"/>
      <c r="BF57" s="194"/>
      <c r="BG57" s="194"/>
      <c r="BH57" s="195"/>
      <c r="BI57" s="194"/>
    </row>
    <row r="58" spans="1:61" x14ac:dyDescent="0.25">
      <c r="A58" s="172"/>
      <c r="B58" s="179"/>
      <c r="C58" s="176"/>
      <c r="D58" s="172"/>
      <c r="E58" s="203"/>
      <c r="F58" s="194"/>
      <c r="G58" s="194"/>
      <c r="H58" s="189"/>
      <c r="I58" s="194"/>
      <c r="J58" s="194"/>
      <c r="K58" s="190" t="str">
        <f t="shared" si="0"/>
        <v/>
      </c>
      <c r="L58" s="190" t="str">
        <f t="shared" si="1"/>
        <v/>
      </c>
      <c r="M58" s="188"/>
      <c r="N58" s="188"/>
      <c r="O58" s="188"/>
      <c r="P58" s="188"/>
      <c r="Q58" s="188"/>
      <c r="R58" s="188"/>
      <c r="S58" s="217"/>
      <c r="T58" s="211"/>
      <c r="U58" s="223"/>
      <c r="V58" s="223"/>
      <c r="W58" s="223"/>
      <c r="X58" s="223"/>
      <c r="Y58" s="223"/>
      <c r="Z58" s="223"/>
      <c r="AA58" s="223"/>
      <c r="AB58" s="223"/>
      <c r="AC58" s="223"/>
      <c r="AD58" s="223"/>
      <c r="AE58" s="223"/>
      <c r="AF58" s="223"/>
      <c r="AG58" s="219"/>
      <c r="AH58" s="225">
        <f>SUM(PORTEFEUILLE_AURELIE_T[[#This Row],[PCR COMPTABLE €]:[MONTANT
RESPONSABLE RELATION CLIENT €]])-PORTEFEUILLE_AURELIE_T[[#This Row],[MONTANT TOTAL LETTRE DE MISION €]]</f>
        <v>0</v>
      </c>
      <c r="AI58" s="191"/>
      <c r="AJ58" s="188"/>
      <c r="AK58" s="188"/>
      <c r="AL58" s="194"/>
      <c r="AM58" s="194"/>
      <c r="AN58" s="194"/>
      <c r="AO58" s="194"/>
      <c r="AP58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Q58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R58" s="188" t="str">
        <f>IF(PORTEFEUILLE_AURELIE_T[[#This Row],[BONI AAC]]&lt;&gt;0,1,"")</f>
        <v/>
      </c>
      <c r="AS58" s="188" t="str">
        <f>IF(PORTEFEUILLE_AURELIE_T[[#This Row],[MALI AAC]]&lt;&gt;0,1,"")</f>
        <v/>
      </c>
      <c r="AT58" s="225">
        <f>IF(AN58&lt;&gt;"",IF((AN58*Paramètres!$H$4)-PORTEFEUILLE_AURELIE_T[[#This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€]]-(DELPHINE!AN58*Paramètres!$H$4),0),0)</f>
        <v>0</v>
      </c>
      <c r="AU58" s="225">
        <f>IF(AN58&lt;&gt;"",IF(((AN58*Paramètres!$H$4)-PORTEFEUILLE_AURELIE_T[[#This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€]])&gt;0,(AN58*Paramètres!$H$4)-PORTEFEUILLE_AURELIE_T[[#This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V58" s="190" t="str">
        <f>IF(PORTEFEUILLE_AURELIE_T[[#This Row],[BONI COMPTABLE]]&lt;&gt;0,1,"")</f>
        <v/>
      </c>
      <c r="AW58" s="190" t="str">
        <f>IF(PORTEFEUILLE_AURELIE_T[[#This Row],[MALI COMPTABLE]]&lt;&gt;0,1,"")</f>
        <v/>
      </c>
      <c r="AX58" s="194"/>
      <c r="AY58" s="188"/>
      <c r="AZ58" s="188"/>
      <c r="BA58" s="188"/>
      <c r="BB58" s="194"/>
      <c r="BC58" s="194"/>
      <c r="BD58" s="194"/>
      <c r="BE58" s="192"/>
      <c r="BF58" s="194"/>
      <c r="BG58" s="194"/>
      <c r="BH58" s="195"/>
      <c r="BI58" s="194"/>
    </row>
    <row r="59" spans="1:61" x14ac:dyDescent="0.25">
      <c r="A59" s="172"/>
      <c r="B59" s="179"/>
      <c r="C59" s="176"/>
      <c r="D59" s="172"/>
      <c r="E59" s="203"/>
      <c r="F59" s="194"/>
      <c r="G59" s="194"/>
      <c r="H59" s="189"/>
      <c r="I59" s="194"/>
      <c r="J59" s="194"/>
      <c r="K59" s="190" t="str">
        <f t="shared" si="0"/>
        <v/>
      </c>
      <c r="L59" s="190" t="str">
        <f t="shared" si="1"/>
        <v/>
      </c>
      <c r="M59" s="188"/>
      <c r="N59" s="188"/>
      <c r="O59" s="188"/>
      <c r="P59" s="188"/>
      <c r="Q59" s="188"/>
      <c r="R59" s="188"/>
      <c r="S59" s="217"/>
      <c r="T59" s="211"/>
      <c r="U59" s="223"/>
      <c r="V59" s="223"/>
      <c r="W59" s="223"/>
      <c r="X59" s="223"/>
      <c r="Y59" s="223"/>
      <c r="Z59" s="223"/>
      <c r="AA59" s="223"/>
      <c r="AB59" s="223"/>
      <c r="AC59" s="223"/>
      <c r="AD59" s="223"/>
      <c r="AE59" s="223"/>
      <c r="AF59" s="223"/>
      <c r="AG59" s="219"/>
      <c r="AH59" s="225">
        <f>SUM(PORTEFEUILLE_AURELIE_T[[#This Row],[PCR COMPTABLE €]:[MONTANT
RESPONSABLE RELATION CLIENT €]])-PORTEFEUILLE_AURELIE_T[[#This Row],[MONTANT TOTAL LETTRE DE MISION €]]</f>
        <v>0</v>
      </c>
      <c r="AI59" s="191"/>
      <c r="AJ59" s="188"/>
      <c r="AK59" s="188"/>
      <c r="AL59" s="194"/>
      <c r="AM59" s="194"/>
      <c r="AN59" s="194"/>
      <c r="AO59" s="194"/>
      <c r="AP59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Q59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R59" s="188" t="str">
        <f>IF(PORTEFEUILLE_AURELIE_T[[#This Row],[BONI AAC]]&lt;&gt;0,1,"")</f>
        <v/>
      </c>
      <c r="AS59" s="188" t="str">
        <f>IF(PORTEFEUILLE_AURELIE_T[[#This Row],[MALI AAC]]&lt;&gt;0,1,"")</f>
        <v/>
      </c>
      <c r="AT59" s="225">
        <f>IF(AN59&lt;&gt;"",IF((AN59*Paramètres!$H$4)-PORTEFEUILLE_AURELIE_T[[#This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€]]-(DELPHINE!AN59*Paramètres!$H$4),0),0)</f>
        <v>0</v>
      </c>
      <c r="AU59" s="225">
        <f>IF(AN59&lt;&gt;"",IF(((AN59*Paramètres!$H$4)-PORTEFEUILLE_AURELIE_T[[#This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€]])&gt;0,(AN59*Paramètres!$H$4)-PORTEFEUILLE_AURELIE_T[[#This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V59" s="190" t="str">
        <f>IF(PORTEFEUILLE_AURELIE_T[[#This Row],[BONI COMPTABLE]]&lt;&gt;0,1,"")</f>
        <v/>
      </c>
      <c r="AW59" s="190" t="str">
        <f>IF(PORTEFEUILLE_AURELIE_T[[#This Row],[MALI COMPTABLE]]&lt;&gt;0,1,"")</f>
        <v/>
      </c>
      <c r="AX59" s="194"/>
      <c r="AY59" s="188"/>
      <c r="AZ59" s="188"/>
      <c r="BA59" s="188"/>
      <c r="BB59" s="194"/>
      <c r="BC59" s="194"/>
      <c r="BD59" s="194"/>
      <c r="BE59" s="192"/>
      <c r="BF59" s="194"/>
      <c r="BG59" s="194"/>
      <c r="BH59" s="195"/>
      <c r="BI59" s="194"/>
    </row>
    <row r="60" spans="1:61" x14ac:dyDescent="0.25">
      <c r="A60" s="186"/>
      <c r="B60" s="187"/>
      <c r="C60" s="186"/>
      <c r="D60" s="186"/>
      <c r="E60" s="204"/>
      <c r="F60" s="205"/>
      <c r="G60" s="205"/>
      <c r="H60" s="189"/>
      <c r="I60" s="205"/>
      <c r="J60" s="205"/>
      <c r="K60" s="190" t="str">
        <f t="shared" si="0"/>
        <v/>
      </c>
      <c r="L60" s="190" t="str">
        <f t="shared" si="1"/>
        <v/>
      </c>
      <c r="M60" s="188"/>
      <c r="N60" s="188"/>
      <c r="O60" s="188"/>
      <c r="P60" s="188"/>
      <c r="Q60" s="188"/>
      <c r="R60" s="188"/>
      <c r="S60" s="218"/>
      <c r="T60" s="212"/>
      <c r="U60" s="224"/>
      <c r="V60" s="224"/>
      <c r="W60" s="224"/>
      <c r="X60" s="224"/>
      <c r="Y60" s="224"/>
      <c r="Z60" s="224"/>
      <c r="AA60" s="224"/>
      <c r="AB60" s="224"/>
      <c r="AC60" s="224"/>
      <c r="AD60" s="224"/>
      <c r="AE60" s="224"/>
      <c r="AF60" s="224"/>
      <c r="AG60" s="219"/>
      <c r="AH60" s="225">
        <f>SUM(PORTEFEUILLE_AURELIE_T[[#This Row],[PCR COMPTABLE €]:[MONTANT
RESPONSABLE RELATION CLIENT €]])-PORTEFEUILLE_AURELIE_T[[#This Row],[MONTANT TOTAL LETTRE DE MISION €]]</f>
        <v>0</v>
      </c>
      <c r="AI60" s="191"/>
      <c r="AJ60" s="188"/>
      <c r="AK60" s="201"/>
      <c r="AL60" s="205"/>
      <c r="AM60" s="205"/>
      <c r="AN60" s="205"/>
      <c r="AO60" s="205"/>
      <c r="AP60" s="225">
        <f>IF(PORTEFEUILLE_AURELIE_T[[#This Row],[TPS PASSE 
AAC H]]&lt;&gt;"",IF((PORTEFEUILLE_AURELIE_T[[#This Row],[TPS PASSE 
AAC H]]*Paramètres!$I$4)&lt;(PORTEFEUILLE_AURELIE_T[[#This Row],[SAISIE PAR UNE AAC €]]+PORTEFEUILLE_AURELIE_T[[#This Row],[DECLARATION TVA AAC €]]),PORTEFEUILLE_AURELIE_T[[#This Row],[SAISIE PAR UNE AAC €]]+PORTEFEUILLE_AURELIE_T[[#This Row],[DECLARATION TVA AAC €]]-(PORTEFEUILLE_AURELIE_T[[#This Row],[TPS PASSE 
AAC H]]*Paramètres!$I$4),0),0)</f>
        <v>0</v>
      </c>
      <c r="AQ60" s="225">
        <f>IF(PORTEFEUILLE_AURELIE_T[[#This Row],[TPS PASSE 
AAC H]]&lt;&gt;"",IF((Paramètres!$I$4*PORTEFEUILLE_AURELIE_T[[#This Row],[TPS PASSE 
AAC H]])&gt;(PORTEFEUILLE_AURELIE_T[[#This Row],[SAISIE PAR UNE AAC €]]+PORTEFEUILLE_AURELIE_T[[#This Row],[DECLARATION TVA AAC €]]),(PORTEFEUILLE_AURELIE_T[[#This Row],[TPS PASSE 
AAC H]]*Paramètres!$I$4)-(PORTEFEUILLE_AURELIE_T[[#This Row],[SAISIE PAR UNE AAC €]]+PORTEFEUILLE_AURELIE_T[[#This Row],[DECLARATION TVA AAC €]]),0),0)</f>
        <v>0</v>
      </c>
      <c r="AR60" s="188" t="str">
        <f>IF(PORTEFEUILLE_AURELIE_T[[#This Row],[BONI AAC]]&lt;&gt;0,1,"")</f>
        <v/>
      </c>
      <c r="AS60" s="188" t="str">
        <f>IF(PORTEFEUILLE_AURELIE_T[[#This Row],[MALI AAC]]&lt;&gt;0,1,"")</f>
        <v/>
      </c>
      <c r="AT60" s="225">
        <f>IF(AN60&lt;&gt;"",IF((AN60*Paramètres!$H$4)-PORTEFEUILLE_AURELIE_T[[#This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€]]&lt;0,PORTEFEUILLE_AURELIE_T[[#This Row],[PCR COMPTABLE €]]+PORTEFEUILLE_AURELIE_T[[#This Row],[RA FAIT PAR LE
COMPTABLE €]]+PORTEFEUILLE_AURELIE_T[[#This Row],[AGOA COMPTABLE €]]+PORTEFEUILLE_AURELIE_T[[#This Row],[SAISIE PAR LE COMPTABLE €]]+PORTEFEUILLE_AURELIE_T[[#This Row],[TRAVAUX 
DE REVISION €]]+PORTEFEUILLE_AURELIE_T[[#This Row],[DECLARATION TVA COMPTABLE €]]+PORTEFEUILLE_AURELIE_T[[#This Row],[MONTANT
RESPONSABLE RELATION CLIENT €]]-(DELPHINE!AN60*Paramètres!$H$4),0),0)</f>
        <v>0</v>
      </c>
      <c r="AU60" s="225">
        <f>IF(AN60&lt;&gt;"",IF(((AN60*Paramètres!$H$4)-PORTEFEUILLE_AURELIE_T[[#This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€]])&gt;0,(AN60*Paramètres!$H$4)-PORTEFEUILLE_AURELIE_T[[#This Row],[PCR COMPTABLE €]]-PORTEFEUILLE_AURELIE_T[[#This Row],[RA FAIT PAR LE
COMPTABLE €]]-PORTEFEUILLE_AURELIE_T[[#This Row],[AGOA COMPTABLE €]]-PORTEFEUILLE_AURELIE_T[[#This Row],[SAISIE PAR LE COMPTABLE €]]-PORTEFEUILLE_AURELIE_T[[#This Row],[TRAVAUX 
DE REVISION €]]-PORTEFEUILLE_AURELIE_T[[#This Row],[DECLARATION TVA COMPTABLE €]]-PORTEFEUILLE_AURELIE_T[[#This Row],[MONTANT
RESPONSABLE RELATION CLIENT €]],0),0)</f>
        <v>0</v>
      </c>
      <c r="AV60" s="190" t="str">
        <f>IF(PORTEFEUILLE_AURELIE_T[[#This Row],[BONI COMPTABLE]]&lt;&gt;0,1,"")</f>
        <v/>
      </c>
      <c r="AW60" s="190" t="str">
        <f>IF(PORTEFEUILLE_AURELIE_T[[#This Row],[MALI COMPTABLE]]&lt;&gt;0,1,"")</f>
        <v/>
      </c>
      <c r="AX60" s="205"/>
      <c r="AY60" s="188"/>
      <c r="AZ60" s="188"/>
      <c r="BA60" s="188"/>
      <c r="BB60" s="205"/>
      <c r="BC60" s="205"/>
      <c r="BD60" s="205"/>
      <c r="BE60" s="192"/>
      <c r="BF60" s="205"/>
      <c r="BG60" s="205"/>
      <c r="BH60" s="206"/>
      <c r="BI60" s="205"/>
    </row>
    <row r="63" spans="1:61" x14ac:dyDescent="0.25">
      <c r="B63" s="89" t="s">
        <v>120</v>
      </c>
    </row>
    <row r="65" spans="2:50" x14ac:dyDescent="0.25">
      <c r="B65" s="274" t="s">
        <v>120</v>
      </c>
      <c r="C65" s="122"/>
      <c r="D65" s="122"/>
      <c r="E65" s="125" t="s">
        <v>112</v>
      </c>
      <c r="F65" s="121" t="s">
        <v>115</v>
      </c>
      <c r="G65" s="126" t="s">
        <v>118</v>
      </c>
      <c r="H65" s="127" t="s">
        <v>116</v>
      </c>
      <c r="I65" s="127" t="s">
        <v>136</v>
      </c>
      <c r="J65" s="128" t="s">
        <v>125</v>
      </c>
      <c r="K65" s="128" t="s">
        <v>110</v>
      </c>
      <c r="L65" s="128" t="s">
        <v>119</v>
      </c>
      <c r="M65" s="128" t="s">
        <v>126</v>
      </c>
      <c r="N65" s="128" t="s">
        <v>127</v>
      </c>
      <c r="O65" s="128" t="s">
        <v>128</v>
      </c>
      <c r="P65" s="128" t="s">
        <v>129</v>
      </c>
      <c r="Q65" s="128" t="s">
        <v>130</v>
      </c>
      <c r="R65" s="128" t="s">
        <v>137</v>
      </c>
      <c r="S65" s="128"/>
      <c r="T65" s="121"/>
      <c r="U65" s="164"/>
      <c r="V65" s="164"/>
      <c r="W65" s="164"/>
      <c r="X65" s="164"/>
      <c r="Y65" s="164"/>
      <c r="Z65" s="164"/>
      <c r="AA65" s="164"/>
      <c r="AB65" s="164"/>
      <c r="AC65" s="164"/>
      <c r="AE65" s="164"/>
      <c r="AF65" s="164"/>
      <c r="AG65" s="164"/>
      <c r="AH65" s="164"/>
      <c r="AI65" s="164"/>
      <c r="AJ65" s="164"/>
      <c r="AK65" s="164"/>
      <c r="AL65" s="164"/>
      <c r="AM65" s="164"/>
      <c r="AN65" s="164"/>
      <c r="AO65" s="164"/>
      <c r="AP65" s="164"/>
      <c r="AQ65" s="164"/>
      <c r="AR65" s="164"/>
      <c r="AS65" s="164"/>
      <c r="AT65" s="164"/>
      <c r="AU65" s="164"/>
      <c r="AV65" s="164"/>
      <c r="AW65" s="164"/>
      <c r="AX65" s="164"/>
    </row>
    <row r="66" spans="2:50" x14ac:dyDescent="0.25">
      <c r="B66" s="275"/>
      <c r="C66" s="120" t="s">
        <v>109</v>
      </c>
      <c r="D66" s="122">
        <f>COUNTIF($D$3:$D$60,"ACS")</f>
        <v>3</v>
      </c>
      <c r="E66" s="129">
        <f>+COUNTIF($F$3:$F$60,"SARL")</f>
        <v>1</v>
      </c>
      <c r="F66" s="121">
        <f>+COUNTIF($F$3:$F$60,"EURL")</f>
        <v>1</v>
      </c>
      <c r="G66" s="124">
        <f>COUNTIFS($F$3:$F$60,"SAS",$D$3:$D$60,"ACS")</f>
        <v>0</v>
      </c>
      <c r="H66" s="122">
        <f>COUNTIFS($F$3:$F$60,"INDIVIDUEL",$D$3:$D$60,"ACS")</f>
        <v>0</v>
      </c>
      <c r="I66" s="122">
        <f>COUNTIF($F$3:$F$60,"ASSOCIATION")</f>
        <v>0</v>
      </c>
      <c r="J66" s="122"/>
      <c r="K66" s="122">
        <f>COUNTIF($F$3:$F$60,"SNC")</f>
        <v>0</v>
      </c>
      <c r="L66" s="122">
        <f>+COUNTIF($F$3:$F$60,"SCI")</f>
        <v>0</v>
      </c>
      <c r="M66" s="130"/>
      <c r="N66" s="131"/>
      <c r="O66" s="132"/>
      <c r="P66" s="122">
        <f>+COUNTIF($F$3:$F$60,"GROUPEMENT")</f>
        <v>0</v>
      </c>
      <c r="Q66" s="121">
        <f>COUNTIF($F$3:$F$60,"EIRL")</f>
        <v>1</v>
      </c>
      <c r="R66" s="121">
        <f>COUNTIF($F$3:$F$60,"AUTRE")</f>
        <v>0</v>
      </c>
      <c r="S66" s="121"/>
      <c r="T66" s="122">
        <f>+SUM(E66:P66)</f>
        <v>2</v>
      </c>
      <c r="U66" s="164"/>
      <c r="V66" s="164"/>
      <c r="W66" s="164"/>
      <c r="X66" s="164"/>
      <c r="Y66" s="164"/>
      <c r="Z66" s="164"/>
      <c r="AA66" s="164"/>
      <c r="AB66" s="164"/>
      <c r="AC66" s="164"/>
      <c r="AE66" s="164"/>
      <c r="AF66" s="164"/>
      <c r="AG66" s="164"/>
      <c r="AH66" s="164"/>
      <c r="AI66" s="164"/>
      <c r="AJ66" s="164"/>
      <c r="AK66" s="164"/>
      <c r="AL66" s="164"/>
      <c r="AM66" s="164"/>
      <c r="AN66" s="164"/>
      <c r="AO66" s="164"/>
      <c r="AP66" s="164"/>
      <c r="AQ66" s="164"/>
      <c r="AR66" s="164"/>
      <c r="AS66" s="164"/>
      <c r="AT66" s="164"/>
      <c r="AU66" s="164"/>
      <c r="AV66" s="164"/>
      <c r="AW66" s="164"/>
      <c r="AX66" s="164"/>
    </row>
    <row r="67" spans="2:50" x14ac:dyDescent="0.25">
      <c r="B67" s="275"/>
      <c r="C67" s="120" t="s">
        <v>121</v>
      </c>
      <c r="D67" s="122">
        <f>COUNTIF($D$3:$D$60,"BNC")</f>
        <v>0</v>
      </c>
      <c r="E67" s="133"/>
      <c r="F67" s="121"/>
      <c r="G67" s="134"/>
      <c r="H67" s="135"/>
      <c r="I67" s="132"/>
      <c r="J67" s="122">
        <f>+COUNTIF($F$3:$F$60,"PROFESSION LIBERALE")</f>
        <v>0</v>
      </c>
      <c r="K67" s="122"/>
      <c r="L67" s="122"/>
      <c r="M67" s="122"/>
      <c r="N67" s="122"/>
      <c r="O67" s="122"/>
      <c r="P67" s="122"/>
      <c r="Q67" s="121"/>
      <c r="R67" s="121"/>
      <c r="S67" s="121"/>
      <c r="T67" s="122">
        <f>+SUM(E67:P67)</f>
        <v>0</v>
      </c>
      <c r="U67" s="164"/>
      <c r="V67" s="164"/>
      <c r="W67" s="164"/>
      <c r="X67" s="164"/>
      <c r="Y67" s="164"/>
      <c r="Z67" s="164"/>
      <c r="AA67" s="164"/>
      <c r="AB67" s="164"/>
      <c r="AC67" s="164"/>
      <c r="AE67" s="164"/>
      <c r="AF67" s="164"/>
      <c r="AG67" s="164"/>
      <c r="AH67" s="164"/>
      <c r="AI67" s="164"/>
      <c r="AJ67" s="164"/>
      <c r="AK67" s="164"/>
      <c r="AL67" s="164"/>
      <c r="AM67" s="164"/>
      <c r="AN67" s="164"/>
      <c r="AO67" s="164"/>
      <c r="AP67" s="164"/>
      <c r="AQ67" s="164"/>
      <c r="AR67" s="164"/>
      <c r="AS67" s="164"/>
      <c r="AT67" s="164"/>
      <c r="AU67" s="164"/>
      <c r="AV67" s="164"/>
      <c r="AW67" s="164"/>
      <c r="AX67" s="164"/>
    </row>
    <row r="68" spans="2:50" x14ac:dyDescent="0.25">
      <c r="B68" s="276"/>
      <c r="C68" s="122" t="s">
        <v>122</v>
      </c>
      <c r="D68" s="122">
        <f>COUNTIF($D$3:$D$60,"AGRI")</f>
        <v>0</v>
      </c>
      <c r="E68" s="129"/>
      <c r="F68" s="121"/>
      <c r="G68" s="124">
        <f>COUNTIFS($F$3:$F$60,"SAS",$D$3:$D$60,"AGRI")</f>
        <v>0</v>
      </c>
      <c r="H68" s="122">
        <f>COUNTIFS($F$3:$F$60,"INDIVIDUEL",$D$3:$D$60,"AGRI")</f>
        <v>0</v>
      </c>
      <c r="I68" s="122"/>
      <c r="J68" s="122"/>
      <c r="K68" s="122"/>
      <c r="L68" s="122"/>
      <c r="M68" s="122">
        <f>COUNTIF($F$5:$F$62,"EARL")</f>
        <v>0</v>
      </c>
      <c r="N68" s="122">
        <f>COUNTIF($F$5:$F$62,"ETA")</f>
        <v>0</v>
      </c>
      <c r="O68" s="122">
        <f>COUNTIF($F$5:$F$62,"SCEA")</f>
        <v>0</v>
      </c>
      <c r="P68" s="122"/>
      <c r="Q68" s="121"/>
      <c r="R68" s="121"/>
      <c r="S68" s="121"/>
      <c r="T68" s="122">
        <f>+SUM(E68:P68)</f>
        <v>0</v>
      </c>
      <c r="U68" s="164"/>
      <c r="V68" s="164"/>
      <c r="W68" s="164"/>
      <c r="X68" s="164"/>
      <c r="Y68" s="164"/>
      <c r="Z68" s="164"/>
      <c r="AA68" s="164"/>
      <c r="AB68" s="164"/>
      <c r="AC68" s="164"/>
      <c r="AE68" s="164"/>
      <c r="AF68" s="164"/>
      <c r="AG68" s="164"/>
      <c r="AH68" s="164"/>
      <c r="AI68" s="164"/>
      <c r="AJ68" s="164"/>
      <c r="AK68" s="164"/>
      <c r="AL68" s="164"/>
      <c r="AM68" s="164"/>
      <c r="AN68" s="164"/>
      <c r="AO68" s="164"/>
      <c r="AP68" s="164"/>
      <c r="AQ68" s="164"/>
      <c r="AR68" s="164"/>
      <c r="AS68" s="164"/>
      <c r="AT68" s="164"/>
      <c r="AU68" s="164"/>
      <c r="AV68" s="164"/>
      <c r="AW68" s="164"/>
      <c r="AX68" s="164"/>
    </row>
    <row r="69" spans="2:50" x14ac:dyDescent="0.25">
      <c r="B69" s="277" t="s">
        <v>123</v>
      </c>
      <c r="C69" s="277"/>
      <c r="D69" s="122">
        <f>+SUM(D66:D68)</f>
        <v>3</v>
      </c>
      <c r="E69" s="129">
        <f>+SUM(E66:E68)</f>
        <v>1</v>
      </c>
      <c r="F69" s="129">
        <f t="shared" ref="F69:R69" si="2">+SUM(F66:F68)</f>
        <v>1</v>
      </c>
      <c r="G69" s="129">
        <f t="shared" si="2"/>
        <v>0</v>
      </c>
      <c r="H69" s="129">
        <f t="shared" si="2"/>
        <v>0</v>
      </c>
      <c r="I69" s="129">
        <f t="shared" si="2"/>
        <v>0</v>
      </c>
      <c r="J69" s="129">
        <f t="shared" si="2"/>
        <v>0</v>
      </c>
      <c r="K69" s="129">
        <f t="shared" si="2"/>
        <v>0</v>
      </c>
      <c r="L69" s="129">
        <f t="shared" si="2"/>
        <v>0</v>
      </c>
      <c r="M69" s="129">
        <f t="shared" si="2"/>
        <v>0</v>
      </c>
      <c r="N69" s="129">
        <f t="shared" si="2"/>
        <v>0</v>
      </c>
      <c r="O69" s="129">
        <f t="shared" si="2"/>
        <v>0</v>
      </c>
      <c r="P69" s="129">
        <f t="shared" si="2"/>
        <v>0</v>
      </c>
      <c r="Q69" s="129">
        <f t="shared" si="2"/>
        <v>1</v>
      </c>
      <c r="R69" s="129">
        <f t="shared" si="2"/>
        <v>0</v>
      </c>
      <c r="S69" s="129"/>
      <c r="T69" s="122">
        <f>+SUM(T66:T68)</f>
        <v>2</v>
      </c>
      <c r="U69" s="164"/>
      <c r="V69" s="164"/>
      <c r="W69" s="164"/>
      <c r="X69" s="164"/>
      <c r="Y69" s="164"/>
      <c r="Z69" s="164"/>
      <c r="AA69" s="164"/>
      <c r="AB69" s="164"/>
      <c r="AC69" s="164"/>
      <c r="AE69" s="164"/>
      <c r="AF69" s="164"/>
      <c r="AG69" s="164"/>
      <c r="AH69" s="164"/>
      <c r="AI69" s="164"/>
      <c r="AJ69" s="164"/>
      <c r="AK69" s="164"/>
      <c r="AL69" s="164"/>
      <c r="AM69" s="164"/>
      <c r="AN69" s="164"/>
      <c r="AO69" s="164"/>
      <c r="AP69" s="164"/>
      <c r="AQ69" s="164"/>
      <c r="AR69" s="164"/>
      <c r="AS69" s="164"/>
      <c r="AT69" s="164"/>
      <c r="AU69" s="164"/>
      <c r="AV69" s="164"/>
      <c r="AW69" s="164"/>
      <c r="AX69" s="164"/>
    </row>
    <row r="70" spans="2:50" x14ac:dyDescent="0.25">
      <c r="B70" s="90"/>
      <c r="C70" s="90"/>
      <c r="D70" s="90"/>
      <c r="E70" s="90"/>
      <c r="G70" s="90"/>
      <c r="H70" s="90"/>
      <c r="I70" s="90"/>
      <c r="J70" s="90"/>
      <c r="K70" s="90"/>
      <c r="L70" s="90"/>
      <c r="M70" s="90"/>
      <c r="N70" s="90"/>
      <c r="O70" s="90"/>
      <c r="P70" s="90"/>
      <c r="T70" s="90"/>
      <c r="U70" s="164"/>
      <c r="V70" s="164"/>
      <c r="W70" s="164"/>
      <c r="X70" s="164"/>
      <c r="Y70" s="164"/>
      <c r="Z70" s="164"/>
      <c r="AA70" s="164"/>
      <c r="AB70" s="164"/>
      <c r="AC70" s="164"/>
      <c r="AE70" s="164"/>
      <c r="AF70" s="164"/>
      <c r="AG70" s="164"/>
      <c r="AH70" s="164"/>
      <c r="AI70" s="164"/>
      <c r="AJ70" s="164"/>
      <c r="AK70" s="164"/>
      <c r="AL70" s="164"/>
      <c r="AM70" s="164"/>
      <c r="AN70" s="164"/>
      <c r="AO70" s="164"/>
      <c r="AP70" s="164"/>
      <c r="AQ70" s="164"/>
      <c r="AR70" s="164"/>
      <c r="AS70" s="164"/>
      <c r="AT70" s="164"/>
      <c r="AU70" s="164"/>
      <c r="AV70" s="164"/>
      <c r="AW70" s="164"/>
      <c r="AX70" s="164"/>
    </row>
    <row r="71" spans="2:50" x14ac:dyDescent="0.25">
      <c r="B71" s="278">
        <v>44196</v>
      </c>
      <c r="C71" s="122"/>
      <c r="D71" s="122"/>
      <c r="E71" s="125" t="str">
        <f t="shared" ref="E71:R71" si="3">E65</f>
        <v>SARL</v>
      </c>
      <c r="F71" s="122" t="str">
        <f t="shared" si="3"/>
        <v>EURL</v>
      </c>
      <c r="G71" s="126" t="str">
        <f t="shared" si="3"/>
        <v>SAS</v>
      </c>
      <c r="H71" s="127" t="str">
        <f t="shared" si="3"/>
        <v>INDIVIDUEL</v>
      </c>
      <c r="I71" s="127" t="str">
        <f t="shared" si="3"/>
        <v>ASSOCIATION</v>
      </c>
      <c r="J71" s="128" t="str">
        <f t="shared" si="3"/>
        <v>PROFESSION LIBERALE</v>
      </c>
      <c r="K71" s="128" t="str">
        <f t="shared" si="3"/>
        <v>SNC</v>
      </c>
      <c r="L71" s="128" t="str">
        <f t="shared" si="3"/>
        <v>SCI</v>
      </c>
      <c r="M71" s="128" t="str">
        <f t="shared" si="3"/>
        <v>EARL</v>
      </c>
      <c r="N71" s="128" t="str">
        <f t="shared" si="3"/>
        <v>ETA</v>
      </c>
      <c r="O71" s="128" t="str">
        <f t="shared" si="3"/>
        <v>SCEA</v>
      </c>
      <c r="P71" s="128" t="str">
        <f t="shared" si="3"/>
        <v>GROUPEMENT</v>
      </c>
      <c r="Q71" s="122" t="str">
        <f t="shared" si="3"/>
        <v>EIRL</v>
      </c>
      <c r="R71" s="122" t="str">
        <f t="shared" si="3"/>
        <v>AUTRES</v>
      </c>
      <c r="S71" s="122"/>
      <c r="T71" s="128" t="s">
        <v>86</v>
      </c>
      <c r="U71" s="164"/>
      <c r="V71" s="164"/>
      <c r="W71" s="164"/>
      <c r="X71" s="164"/>
      <c r="Y71" s="164"/>
      <c r="Z71" s="164"/>
      <c r="AA71" s="164"/>
      <c r="AB71" s="164"/>
      <c r="AC71" s="164"/>
      <c r="AE71" s="164"/>
      <c r="AF71" s="164"/>
      <c r="AG71" s="164"/>
      <c r="AH71" s="164"/>
      <c r="AI71" s="164"/>
      <c r="AJ71" s="164"/>
      <c r="AK71" s="164"/>
      <c r="AL71" s="164"/>
      <c r="AM71" s="164"/>
      <c r="AN71" s="164"/>
      <c r="AO71" s="164"/>
      <c r="AP71" s="164"/>
      <c r="AQ71" s="164"/>
      <c r="AR71" s="164"/>
      <c r="AS71" s="164"/>
      <c r="AT71" s="164"/>
      <c r="AU71" s="164"/>
      <c r="AV71" s="164"/>
      <c r="AW71" s="164"/>
      <c r="AX71" s="164"/>
    </row>
    <row r="72" spans="2:50" x14ac:dyDescent="0.25">
      <c r="B72" s="275"/>
      <c r="C72" s="120" t="s">
        <v>109</v>
      </c>
      <c r="D72" s="122">
        <f>COUNTIFS($E$3:$E$60,DATE(Paramètres!A4,Paramètres!D15,Paramètres!C15),$D$3:$D$60,"ACS")</f>
        <v>3</v>
      </c>
      <c r="E72" s="129">
        <f>COUNTIFS($E$3:$E$60,DATE(Paramètres!A4,Paramètres!D15,Paramètres!C15),$F$3:$F$60,"SARL")</f>
        <v>1</v>
      </c>
      <c r="F72" s="122">
        <f>+COUNTIFS($E$3:$E$60,DATE(Paramètres!A4,Paramètres!D15,Paramètres!C15),$F$3:$F$60,"EURL")</f>
        <v>1</v>
      </c>
      <c r="G72" s="124">
        <f>COUNTIFS($E$3:$E$60,DATE(Paramètres!A4,Paramètres!D15,Paramètres!C15),$F$3:$F$60,"SAS",$D$3:$D$60,"ACS")</f>
        <v>0</v>
      </c>
      <c r="H72" s="122">
        <f>COUNTIFS($E$3:$E$60,DATE(Paramètres!A4,Paramètres!D15,Paramètres!C15),$F$3:$F$60,"INDIVIDUEL",$D$3:$D$60,"ACS")</f>
        <v>0</v>
      </c>
      <c r="I72" s="122">
        <f>+COUNTIFS($E$3:$E$60,DATE(Paramètres!A4,Paramètres!D15,Paramètres!C15),$F$3:$F$60,"ASSOCIATION")</f>
        <v>0</v>
      </c>
      <c r="J72" s="122"/>
      <c r="K72" s="122">
        <f>COUNTIFS($E$3:$E$60,DATE(Paramètres!A4,Paramètres!D15,Paramètres!C15),$F$3:$F$60,"SNC")</f>
        <v>0</v>
      </c>
      <c r="L72" s="122">
        <f>COUNTIFS($E$3:$E$60,DATE(Paramètres!A4,Paramètres!D15,Paramètres!C15),$F$3:$F$60,"SCI")</f>
        <v>0</v>
      </c>
      <c r="M72" s="130"/>
      <c r="N72" s="131"/>
      <c r="O72" s="132"/>
      <c r="P72" s="122">
        <f>COUNTIFS($E$3:$E$60,DATE(Paramètres!A4,Paramètres!D15,Paramètres!C15),$F$3:$F$60,"GROUPEMENT")</f>
        <v>0</v>
      </c>
      <c r="Q72" s="122">
        <f>+COUNTIFS($E$3:$E$60,DATE(Paramètres!A4,Paramètres!D15,Paramètres!C15),$F$3:$F$60,"EIRL")</f>
        <v>1</v>
      </c>
      <c r="R72" s="122">
        <f>+COUNTIFS($E$3:$E$60,DATE(Paramètres!B4,Paramètres!E15,Paramètres!D15),$F$3:$F$60,"AUTRES")</f>
        <v>0</v>
      </c>
      <c r="S72" s="122"/>
      <c r="T72" s="122">
        <f>+SUM(E72:P72)</f>
        <v>2</v>
      </c>
      <c r="U72" s="164"/>
      <c r="V72" s="164"/>
      <c r="W72" s="164"/>
      <c r="X72" s="164"/>
      <c r="Y72" s="164"/>
      <c r="Z72" s="164"/>
      <c r="AA72" s="164"/>
      <c r="AB72" s="164"/>
      <c r="AC72" s="164"/>
      <c r="AE72" s="164"/>
      <c r="AF72" s="164"/>
      <c r="AG72" s="164"/>
      <c r="AH72" s="164"/>
      <c r="AI72" s="164"/>
      <c r="AJ72" s="164"/>
      <c r="AK72" s="164"/>
      <c r="AL72" s="164"/>
      <c r="AM72" s="164"/>
      <c r="AN72" s="164"/>
      <c r="AO72" s="164"/>
      <c r="AP72" s="164"/>
      <c r="AQ72" s="164"/>
      <c r="AR72" s="164"/>
      <c r="AS72" s="164"/>
      <c r="AT72" s="164"/>
      <c r="AU72" s="164"/>
      <c r="AV72" s="164"/>
      <c r="AW72" s="164"/>
      <c r="AX72" s="164"/>
    </row>
    <row r="73" spans="2:50" x14ac:dyDescent="0.25">
      <c r="B73" s="275"/>
      <c r="C73" s="120" t="s">
        <v>121</v>
      </c>
      <c r="D73" s="122">
        <f>COUNTIFS($E$3:$E$60,DATE(Paramètres!A4,Paramètres!D15,Paramètres!C15),$D$3:$D$60,"BNC")</f>
        <v>0</v>
      </c>
      <c r="E73" s="133"/>
      <c r="F73" s="122"/>
      <c r="G73" s="134"/>
      <c r="H73" s="135"/>
      <c r="I73" s="132"/>
      <c r="J73" s="122">
        <f>COUNTIFS($E$3:$E$60,DATE(Paramètres!A4,Paramètres!D15,Paramètres!C15),$D$3:$D$60,"BNC")</f>
        <v>0</v>
      </c>
      <c r="K73" s="130"/>
      <c r="L73" s="131"/>
      <c r="M73" s="131"/>
      <c r="N73" s="131"/>
      <c r="O73" s="131"/>
      <c r="P73" s="132"/>
      <c r="Q73" s="122"/>
      <c r="R73" s="122"/>
      <c r="S73" s="122"/>
      <c r="T73" s="122">
        <f>+SUM(E73:P73)</f>
        <v>0</v>
      </c>
      <c r="U73" s="164"/>
      <c r="V73" s="164"/>
      <c r="W73" s="164"/>
      <c r="X73" s="164"/>
      <c r="Y73" s="164"/>
      <c r="Z73" s="164"/>
      <c r="AA73" s="164"/>
      <c r="AB73" s="164"/>
      <c r="AC73" s="164"/>
      <c r="AE73" s="164"/>
      <c r="AF73" s="164"/>
      <c r="AG73" s="164"/>
      <c r="AH73" s="164"/>
      <c r="AI73" s="164"/>
      <c r="AJ73" s="164"/>
      <c r="AK73" s="164"/>
      <c r="AL73" s="164"/>
      <c r="AM73" s="164"/>
      <c r="AN73" s="164"/>
      <c r="AO73" s="164"/>
      <c r="AP73" s="164"/>
      <c r="AQ73" s="164"/>
      <c r="AR73" s="164"/>
      <c r="AS73" s="164"/>
      <c r="AT73" s="164"/>
      <c r="AU73" s="164"/>
      <c r="AV73" s="164"/>
      <c r="AW73" s="164"/>
      <c r="AX73" s="164"/>
    </row>
    <row r="74" spans="2:50" x14ac:dyDescent="0.25">
      <c r="B74" s="276"/>
      <c r="C74" s="122" t="s">
        <v>122</v>
      </c>
      <c r="D74" s="122">
        <f>COUNTIFS($E$3:$E$60,DATE(Paramètres!A4,Paramètres!D15,Paramètres!C15),$D$3:$D$60,"AGRI")</f>
        <v>0</v>
      </c>
      <c r="E74" s="133"/>
      <c r="F74" s="122"/>
      <c r="G74" s="134">
        <f>COUNTIFS($E$3:$E$60,DATE(Paramètres!A4,Paramètres!D15,Paramètres!C15),$F$3:$F$60,"SAS",$D$3:$D$60,"AGRI")</f>
        <v>0</v>
      </c>
      <c r="H74" s="122">
        <f>COUNTIFS($E$3:$E$60,DATE(Paramètres!A4,Paramètres!D15,Paramètres!C15),$F$3:$F$60,"INDIVIDUEL",$D$3:$D$60,"AGRI")</f>
        <v>0</v>
      </c>
      <c r="I74" s="136"/>
      <c r="J74" s="131"/>
      <c r="K74" s="131"/>
      <c r="L74" s="132"/>
      <c r="M74" s="122">
        <f>COUNTIFS($E$3:$E$60,DATE(Paramètres!A4,Paramètres!D15,Paramètres!C15),$F$3:$F$60,"EARL")</f>
        <v>0</v>
      </c>
      <c r="N74" s="122">
        <f>COUNTIFS($E$3:$E$60,DATE(Paramètres!A4,Paramètres!D15,Paramètres!C15),$F$3:$F$60,"ETA")</f>
        <v>0</v>
      </c>
      <c r="O74" s="122">
        <f>COUNTIFS($E$3:$E$60,DATE(Paramètres!A4,Paramètres!D15,Paramètres!C15),$F$3:$F$60,"SCEA")</f>
        <v>0</v>
      </c>
      <c r="P74" s="122"/>
      <c r="Q74" s="122"/>
      <c r="R74" s="122"/>
      <c r="S74" s="122"/>
      <c r="T74" s="122">
        <f>+SUM(E74:P74)</f>
        <v>0</v>
      </c>
      <c r="U74" s="164"/>
      <c r="V74" s="164"/>
      <c r="W74" s="164"/>
      <c r="X74" s="164"/>
      <c r="Y74" s="164"/>
      <c r="Z74" s="164"/>
      <c r="AA74" s="164"/>
      <c r="AB74" s="164"/>
      <c r="AC74" s="164"/>
      <c r="AE74" s="164"/>
      <c r="AF74" s="164"/>
      <c r="AG74" s="164"/>
      <c r="AH74" s="164"/>
      <c r="AI74" s="164"/>
      <c r="AJ74" s="164"/>
      <c r="AK74" s="164"/>
      <c r="AL74" s="164"/>
      <c r="AM74" s="164"/>
      <c r="AN74" s="164"/>
      <c r="AO74" s="164"/>
      <c r="AP74" s="164"/>
      <c r="AQ74" s="164"/>
      <c r="AR74" s="164"/>
      <c r="AS74" s="164"/>
      <c r="AT74" s="164"/>
      <c r="AU74" s="164"/>
      <c r="AV74" s="164"/>
      <c r="AW74" s="164"/>
      <c r="AX74" s="164"/>
    </row>
    <row r="75" spans="2:50" x14ac:dyDescent="0.25">
      <c r="B75" s="277" t="s">
        <v>123</v>
      </c>
      <c r="C75" s="277"/>
      <c r="D75" s="122">
        <f>+SUM(D72:D74)</f>
        <v>3</v>
      </c>
      <c r="E75" s="129">
        <f>+SUM(E72:E74)</f>
        <v>1</v>
      </c>
      <c r="F75" s="129">
        <f>+SUM(F72:F74)</f>
        <v>1</v>
      </c>
      <c r="G75" s="124">
        <f>+SUM(G72:G74)</f>
        <v>0</v>
      </c>
      <c r="H75" s="122">
        <f>+SUM(H72:H74)</f>
        <v>0</v>
      </c>
      <c r="I75" s="122">
        <f t="shared" ref="I75:R75" si="4">+SUM(I72:I74)</f>
        <v>0</v>
      </c>
      <c r="J75" s="122">
        <f t="shared" si="4"/>
        <v>0</v>
      </c>
      <c r="K75" s="122">
        <f t="shared" si="4"/>
        <v>0</v>
      </c>
      <c r="L75" s="122">
        <f t="shared" si="4"/>
        <v>0</v>
      </c>
      <c r="M75" s="122">
        <f t="shared" si="4"/>
        <v>0</v>
      </c>
      <c r="N75" s="122">
        <f t="shared" si="4"/>
        <v>0</v>
      </c>
      <c r="O75" s="122">
        <f t="shared" si="4"/>
        <v>0</v>
      </c>
      <c r="P75" s="122">
        <f t="shared" si="4"/>
        <v>0</v>
      </c>
      <c r="Q75" s="122">
        <f t="shared" si="4"/>
        <v>1</v>
      </c>
      <c r="R75" s="122">
        <f t="shared" si="4"/>
        <v>0</v>
      </c>
      <c r="S75" s="122"/>
      <c r="T75" s="122">
        <f>+SUM(E75:R75)</f>
        <v>3</v>
      </c>
      <c r="U75" s="164"/>
      <c r="V75" s="164"/>
      <c r="W75" s="164"/>
      <c r="X75" s="164"/>
      <c r="Y75" s="164"/>
      <c r="Z75" s="164"/>
      <c r="AA75" s="164"/>
      <c r="AB75" s="164"/>
      <c r="AC75" s="164"/>
      <c r="AE75" s="164"/>
      <c r="AF75" s="164"/>
      <c r="AG75" s="164"/>
      <c r="AH75" s="164"/>
      <c r="AI75" s="164"/>
      <c r="AJ75" s="164"/>
      <c r="AK75" s="164"/>
      <c r="AL75" s="164"/>
      <c r="AM75" s="164"/>
      <c r="AN75" s="164"/>
      <c r="AO75" s="164"/>
      <c r="AP75" s="164"/>
      <c r="AQ75" s="164"/>
      <c r="AR75" s="164"/>
      <c r="AS75" s="164"/>
      <c r="AT75" s="164"/>
      <c r="AU75" s="164"/>
      <c r="AV75" s="164"/>
      <c r="AW75" s="164"/>
      <c r="AX75" s="164"/>
    </row>
    <row r="76" spans="2:50" x14ac:dyDescent="0.25">
      <c r="B76" s="90"/>
      <c r="C76" s="90"/>
      <c r="D76" s="90"/>
      <c r="E76" s="90"/>
      <c r="G76" s="90"/>
      <c r="H76" s="90"/>
      <c r="I76" s="90"/>
      <c r="J76" s="90"/>
      <c r="K76" s="90"/>
      <c r="L76" s="90"/>
      <c r="M76" s="90"/>
      <c r="N76" s="90"/>
      <c r="O76" s="90"/>
      <c r="P76" s="90"/>
      <c r="T76" s="90"/>
      <c r="U76" s="164"/>
      <c r="V76" s="164"/>
      <c r="W76" s="164"/>
      <c r="X76" s="164"/>
      <c r="Y76" s="164"/>
      <c r="Z76" s="164"/>
      <c r="AA76" s="164"/>
      <c r="AB76" s="164"/>
      <c r="AC76" s="164"/>
      <c r="AE76" s="164"/>
      <c r="AF76" s="164"/>
      <c r="AG76" s="164"/>
      <c r="AH76" s="164"/>
      <c r="AI76" s="164"/>
      <c r="AJ76" s="164"/>
      <c r="AK76" s="164"/>
      <c r="AL76" s="164"/>
      <c r="AM76" s="164"/>
      <c r="AN76" s="164"/>
      <c r="AO76" s="164"/>
      <c r="AP76" s="164"/>
      <c r="AQ76" s="164"/>
      <c r="AR76" s="164"/>
      <c r="AS76" s="164"/>
      <c r="AT76" s="164"/>
      <c r="AU76" s="164"/>
      <c r="AV76" s="164"/>
      <c r="AW76" s="164"/>
      <c r="AX76" s="164"/>
    </row>
    <row r="77" spans="2:50" x14ac:dyDescent="0.25">
      <c r="B77" s="278" t="s">
        <v>40</v>
      </c>
      <c r="C77" s="122"/>
      <c r="D77" s="122"/>
      <c r="E77" s="125" t="s">
        <v>112</v>
      </c>
      <c r="F77" s="121" t="s">
        <v>115</v>
      </c>
      <c r="G77" s="126" t="s">
        <v>118</v>
      </c>
      <c r="H77" s="127" t="s">
        <v>116</v>
      </c>
      <c r="I77" s="127" t="s">
        <v>124</v>
      </c>
      <c r="J77" s="128" t="s">
        <v>125</v>
      </c>
      <c r="K77" s="128" t="s">
        <v>110</v>
      </c>
      <c r="L77" s="128" t="s">
        <v>119</v>
      </c>
      <c r="M77" s="128" t="s">
        <v>126</v>
      </c>
      <c r="N77" s="128" t="s">
        <v>127</v>
      </c>
      <c r="O77" s="128" t="s">
        <v>128</v>
      </c>
      <c r="P77" s="128" t="s">
        <v>129</v>
      </c>
      <c r="Q77" s="128" t="s">
        <v>130</v>
      </c>
      <c r="R77" s="128" t="s">
        <v>131</v>
      </c>
      <c r="S77" s="128"/>
      <c r="T77" s="128" t="s">
        <v>86</v>
      </c>
      <c r="U77" s="164"/>
      <c r="V77" s="164"/>
      <c r="W77" s="164"/>
      <c r="X77" s="164"/>
      <c r="Y77" s="164"/>
      <c r="Z77" s="164"/>
      <c r="AA77" s="164"/>
      <c r="AB77" s="164"/>
      <c r="AC77" s="164"/>
      <c r="AE77" s="164"/>
      <c r="AF77" s="164"/>
      <c r="AG77" s="164"/>
      <c r="AH77" s="164"/>
      <c r="AI77" s="164"/>
      <c r="AJ77" s="164"/>
      <c r="AK77" s="164"/>
      <c r="AL77" s="164"/>
      <c r="AM77" s="164"/>
      <c r="AN77" s="164"/>
      <c r="AO77" s="164"/>
      <c r="AP77" s="164"/>
      <c r="AQ77" s="164"/>
      <c r="AR77" s="164"/>
      <c r="AS77" s="164"/>
      <c r="AT77" s="164"/>
      <c r="AU77" s="164"/>
      <c r="AV77" s="164"/>
      <c r="AW77" s="164"/>
      <c r="AX77" s="164"/>
    </row>
    <row r="78" spans="2:50" x14ac:dyDescent="0.25">
      <c r="B78" s="275"/>
      <c r="C78" s="120" t="s">
        <v>109</v>
      </c>
      <c r="D78" s="122">
        <f>+D66-D72</f>
        <v>0</v>
      </c>
      <c r="E78" s="122">
        <f>+E66-E72</f>
        <v>0</v>
      </c>
      <c r="F78" s="122">
        <f t="shared" ref="F78:R78" si="5">+F66-F72</f>
        <v>0</v>
      </c>
      <c r="G78" s="122">
        <f t="shared" si="5"/>
        <v>0</v>
      </c>
      <c r="H78" s="122">
        <f t="shared" si="5"/>
        <v>0</v>
      </c>
      <c r="I78" s="122">
        <f t="shared" si="5"/>
        <v>0</v>
      </c>
      <c r="J78" s="122">
        <f t="shared" si="5"/>
        <v>0</v>
      </c>
      <c r="K78" s="122">
        <f t="shared" si="5"/>
        <v>0</v>
      </c>
      <c r="L78" s="122">
        <f t="shared" si="5"/>
        <v>0</v>
      </c>
      <c r="M78" s="122">
        <f t="shared" si="5"/>
        <v>0</v>
      </c>
      <c r="N78" s="122">
        <f t="shared" si="5"/>
        <v>0</v>
      </c>
      <c r="O78" s="122">
        <f t="shared" si="5"/>
        <v>0</v>
      </c>
      <c r="P78" s="122">
        <f t="shared" si="5"/>
        <v>0</v>
      </c>
      <c r="Q78" s="122">
        <f t="shared" si="5"/>
        <v>0</v>
      </c>
      <c r="R78" s="122">
        <f t="shared" si="5"/>
        <v>0</v>
      </c>
      <c r="S78" s="122"/>
      <c r="T78" s="122">
        <f>+SUM(E78:P78)</f>
        <v>0</v>
      </c>
      <c r="U78" s="164"/>
      <c r="V78" s="164"/>
      <c r="W78" s="164"/>
      <c r="X78" s="164"/>
      <c r="Y78" s="164"/>
      <c r="Z78" s="164"/>
      <c r="AA78" s="164"/>
      <c r="AB78" s="164"/>
      <c r="AC78" s="164"/>
      <c r="AE78" s="164"/>
      <c r="AF78" s="164"/>
      <c r="AG78" s="164"/>
      <c r="AH78" s="164"/>
      <c r="AI78" s="164"/>
      <c r="AJ78" s="164"/>
      <c r="AK78" s="164"/>
      <c r="AL78" s="164"/>
      <c r="AM78" s="164"/>
      <c r="AN78" s="164"/>
      <c r="AO78" s="164"/>
      <c r="AP78" s="164"/>
      <c r="AQ78" s="164"/>
      <c r="AR78" s="164"/>
      <c r="AS78" s="164"/>
      <c r="AT78" s="164"/>
      <c r="AU78" s="164"/>
      <c r="AV78" s="164"/>
      <c r="AW78" s="164"/>
      <c r="AX78" s="164"/>
    </row>
    <row r="79" spans="2:50" x14ac:dyDescent="0.25">
      <c r="B79" s="275"/>
      <c r="C79" s="120" t="s">
        <v>121</v>
      </c>
      <c r="D79" s="122">
        <f>+D67-D73</f>
        <v>0</v>
      </c>
      <c r="E79" s="122">
        <f t="shared" ref="E79:R81" si="6">+E67-E73</f>
        <v>0</v>
      </c>
      <c r="F79" s="122">
        <f t="shared" si="6"/>
        <v>0</v>
      </c>
      <c r="G79" s="122">
        <f t="shared" si="6"/>
        <v>0</v>
      </c>
      <c r="H79" s="122">
        <f t="shared" si="6"/>
        <v>0</v>
      </c>
      <c r="I79" s="122">
        <f t="shared" si="6"/>
        <v>0</v>
      </c>
      <c r="J79" s="122">
        <f t="shared" si="6"/>
        <v>0</v>
      </c>
      <c r="K79" s="122">
        <f t="shared" si="6"/>
        <v>0</v>
      </c>
      <c r="L79" s="122">
        <f t="shared" si="6"/>
        <v>0</v>
      </c>
      <c r="M79" s="122">
        <f t="shared" si="6"/>
        <v>0</v>
      </c>
      <c r="N79" s="122">
        <f t="shared" si="6"/>
        <v>0</v>
      </c>
      <c r="O79" s="122">
        <f t="shared" si="6"/>
        <v>0</v>
      </c>
      <c r="P79" s="122">
        <f t="shared" si="6"/>
        <v>0</v>
      </c>
      <c r="Q79" s="122">
        <f t="shared" si="6"/>
        <v>0</v>
      </c>
      <c r="R79" s="122">
        <f t="shared" si="6"/>
        <v>0</v>
      </c>
      <c r="S79" s="122"/>
      <c r="T79" s="122">
        <f>+SUM(E79:P79)</f>
        <v>0</v>
      </c>
      <c r="U79" s="164"/>
      <c r="V79" s="164"/>
      <c r="W79" s="164"/>
      <c r="X79" s="164"/>
      <c r="Y79" s="164"/>
      <c r="Z79" s="164"/>
      <c r="AA79" s="164"/>
      <c r="AB79" s="164"/>
      <c r="AC79" s="164"/>
      <c r="AE79" s="164"/>
      <c r="AF79" s="164"/>
      <c r="AG79" s="164"/>
      <c r="AH79" s="164"/>
      <c r="AI79" s="164"/>
      <c r="AJ79" s="164"/>
      <c r="AK79" s="164"/>
      <c r="AL79" s="164"/>
      <c r="AM79" s="164"/>
      <c r="AN79" s="164"/>
      <c r="AO79" s="164"/>
      <c r="AP79" s="164"/>
      <c r="AQ79" s="164"/>
      <c r="AR79" s="164"/>
      <c r="AS79" s="164"/>
      <c r="AT79" s="164"/>
      <c r="AU79" s="164"/>
      <c r="AV79" s="164"/>
      <c r="AW79" s="164"/>
      <c r="AX79" s="164"/>
    </row>
    <row r="80" spans="2:50" x14ac:dyDescent="0.25">
      <c r="B80" s="276"/>
      <c r="C80" s="122" t="s">
        <v>122</v>
      </c>
      <c r="D80" s="122">
        <f>+D68-D74</f>
        <v>0</v>
      </c>
      <c r="E80" s="122">
        <f t="shared" si="6"/>
        <v>0</v>
      </c>
      <c r="F80" s="122">
        <f t="shared" si="6"/>
        <v>0</v>
      </c>
      <c r="G80" s="122">
        <f t="shared" si="6"/>
        <v>0</v>
      </c>
      <c r="H80" s="122">
        <f t="shared" si="6"/>
        <v>0</v>
      </c>
      <c r="I80" s="122">
        <f t="shared" si="6"/>
        <v>0</v>
      </c>
      <c r="J80" s="122">
        <f t="shared" si="6"/>
        <v>0</v>
      </c>
      <c r="K80" s="122">
        <f t="shared" si="6"/>
        <v>0</v>
      </c>
      <c r="L80" s="122">
        <f t="shared" si="6"/>
        <v>0</v>
      </c>
      <c r="M80" s="122">
        <f t="shared" si="6"/>
        <v>0</v>
      </c>
      <c r="N80" s="122">
        <f t="shared" si="6"/>
        <v>0</v>
      </c>
      <c r="O80" s="122">
        <f t="shared" si="6"/>
        <v>0</v>
      </c>
      <c r="P80" s="122">
        <f t="shared" si="6"/>
        <v>0</v>
      </c>
      <c r="Q80" s="122">
        <f t="shared" si="6"/>
        <v>0</v>
      </c>
      <c r="R80" s="122">
        <f t="shared" si="6"/>
        <v>0</v>
      </c>
      <c r="S80" s="122"/>
      <c r="T80" s="122">
        <f>+SUM(E80:P80)</f>
        <v>0</v>
      </c>
      <c r="U80" s="164"/>
      <c r="V80" s="164"/>
      <c r="W80" s="164"/>
      <c r="X80" s="164"/>
      <c r="Y80" s="164"/>
      <c r="Z80" s="164"/>
      <c r="AA80" s="164"/>
      <c r="AB80" s="164"/>
      <c r="AC80" s="164"/>
      <c r="AE80" s="164"/>
      <c r="AF80" s="164"/>
      <c r="AG80" s="164"/>
      <c r="AH80" s="164"/>
      <c r="AI80" s="164"/>
      <c r="AJ80" s="164"/>
      <c r="AK80" s="164"/>
      <c r="AL80" s="164"/>
      <c r="AM80" s="164"/>
      <c r="AN80" s="164"/>
      <c r="AO80" s="164"/>
      <c r="AP80" s="164"/>
      <c r="AQ80" s="164"/>
      <c r="AR80" s="164"/>
      <c r="AS80" s="164"/>
      <c r="AT80" s="164"/>
      <c r="AU80" s="164"/>
      <c r="AV80" s="164"/>
      <c r="AW80" s="164"/>
      <c r="AX80" s="164"/>
    </row>
    <row r="81" spans="2:50" x14ac:dyDescent="0.25">
      <c r="B81" s="277" t="s">
        <v>123</v>
      </c>
      <c r="C81" s="277"/>
      <c r="D81" s="122">
        <f>+D69-D75</f>
        <v>0</v>
      </c>
      <c r="E81" s="122">
        <f t="shared" si="6"/>
        <v>0</v>
      </c>
      <c r="F81" s="122">
        <f t="shared" si="6"/>
        <v>0</v>
      </c>
      <c r="G81" s="122">
        <f t="shared" si="6"/>
        <v>0</v>
      </c>
      <c r="H81" s="122">
        <f t="shared" si="6"/>
        <v>0</v>
      </c>
      <c r="I81" s="122">
        <f t="shared" si="6"/>
        <v>0</v>
      </c>
      <c r="J81" s="122">
        <f t="shared" si="6"/>
        <v>0</v>
      </c>
      <c r="K81" s="122">
        <f t="shared" si="6"/>
        <v>0</v>
      </c>
      <c r="L81" s="122">
        <f t="shared" si="6"/>
        <v>0</v>
      </c>
      <c r="M81" s="122">
        <f t="shared" si="6"/>
        <v>0</v>
      </c>
      <c r="N81" s="122">
        <f t="shared" si="6"/>
        <v>0</v>
      </c>
      <c r="O81" s="122">
        <f t="shared" si="6"/>
        <v>0</v>
      </c>
      <c r="P81" s="122">
        <f t="shared" si="6"/>
        <v>0</v>
      </c>
      <c r="Q81" s="122">
        <f t="shared" si="6"/>
        <v>0</v>
      </c>
      <c r="R81" s="122">
        <f t="shared" si="6"/>
        <v>0</v>
      </c>
      <c r="S81" s="122"/>
      <c r="T81" s="122">
        <f>+SUM(T78:T80)</f>
        <v>0</v>
      </c>
      <c r="U81" s="164"/>
      <c r="V81" s="164"/>
      <c r="W81" s="164"/>
      <c r="X81" s="164"/>
      <c r="Y81" s="164"/>
      <c r="Z81" s="164"/>
      <c r="AA81" s="164"/>
      <c r="AB81" s="164"/>
      <c r="AC81" s="164"/>
      <c r="AE81" s="164"/>
      <c r="AF81" s="164"/>
      <c r="AG81" s="164"/>
      <c r="AH81" s="164"/>
      <c r="AI81" s="164"/>
      <c r="AJ81" s="164"/>
      <c r="AK81" s="164"/>
      <c r="AL81" s="164"/>
      <c r="AM81" s="164"/>
      <c r="AN81" s="164"/>
      <c r="AO81" s="164"/>
      <c r="AP81" s="164"/>
      <c r="AQ81" s="164"/>
      <c r="AR81" s="164"/>
      <c r="AS81" s="164"/>
      <c r="AT81" s="164"/>
      <c r="AU81" s="164"/>
      <c r="AV81" s="164"/>
      <c r="AW81" s="164"/>
      <c r="AX81" s="164"/>
    </row>
    <row r="82" spans="2:50" x14ac:dyDescent="0.25">
      <c r="U82" s="164"/>
      <c r="V82" s="164"/>
      <c r="W82" s="164"/>
      <c r="X82" s="164"/>
      <c r="Y82" s="164"/>
      <c r="Z82" s="164"/>
      <c r="AA82" s="164"/>
      <c r="AB82" s="164"/>
      <c r="AC82" s="164"/>
      <c r="AE82" s="164"/>
      <c r="AF82" s="164"/>
      <c r="AG82" s="164"/>
      <c r="AH82" s="164"/>
      <c r="AI82" s="164"/>
      <c r="AJ82" s="164"/>
      <c r="AK82" s="164"/>
      <c r="AL82" s="164"/>
      <c r="AM82" s="164"/>
      <c r="AN82" s="164"/>
      <c r="AO82" s="164"/>
      <c r="AP82" s="164"/>
      <c r="AQ82" s="164"/>
      <c r="AR82" s="164"/>
      <c r="AS82" s="164"/>
      <c r="AT82" s="164"/>
      <c r="AU82" s="164"/>
      <c r="AV82" s="164"/>
      <c r="AW82" s="164"/>
      <c r="AX82" s="164"/>
    </row>
    <row r="83" spans="2:50" x14ac:dyDescent="0.25">
      <c r="B83" s="137" t="s">
        <v>132</v>
      </c>
      <c r="C83" s="137"/>
      <c r="D83" s="137"/>
      <c r="E83" s="137"/>
      <c r="F83" s="137"/>
      <c r="G83" s="137"/>
      <c r="H83" s="137"/>
      <c r="I83" s="137"/>
      <c r="J83" s="137"/>
      <c r="K83" s="137"/>
      <c r="L83" s="137"/>
      <c r="M83" s="137"/>
      <c r="N83" s="137"/>
      <c r="O83" s="137"/>
      <c r="P83" s="137"/>
      <c r="Q83" s="137"/>
      <c r="R83" s="138"/>
      <c r="S83" s="139"/>
      <c r="T83" s="137"/>
      <c r="U83" s="164"/>
      <c r="V83" s="164"/>
      <c r="W83" s="164"/>
      <c r="X83" s="164"/>
      <c r="Y83" s="164"/>
      <c r="Z83" s="164"/>
      <c r="AA83" s="164"/>
      <c r="AB83" s="164"/>
      <c r="AC83" s="164"/>
      <c r="AE83" s="164"/>
      <c r="AF83" s="164"/>
      <c r="AG83" s="164"/>
      <c r="AH83" s="164"/>
      <c r="AI83" s="164"/>
      <c r="AJ83" s="164"/>
      <c r="AK83" s="164"/>
      <c r="AL83" s="164"/>
      <c r="AM83" s="164"/>
      <c r="AN83" s="164"/>
      <c r="AO83" s="164"/>
      <c r="AP83" s="164"/>
      <c r="AQ83" s="164"/>
      <c r="AR83" s="164"/>
      <c r="AS83" s="164"/>
      <c r="AT83" s="164"/>
      <c r="AU83" s="164"/>
      <c r="AV83" s="164"/>
      <c r="AW83" s="164"/>
      <c r="AX83" s="164"/>
    </row>
    <row r="84" spans="2:50" x14ac:dyDescent="0.25">
      <c r="B84" s="279" t="s">
        <v>120</v>
      </c>
      <c r="C84" s="138"/>
      <c r="D84" s="138"/>
      <c r="E84" s="140" t="str">
        <f t="shared" ref="E84:R84" si="7">E65</f>
        <v>SARL</v>
      </c>
      <c r="F84" s="138" t="str">
        <f t="shared" si="7"/>
        <v>EURL</v>
      </c>
      <c r="G84" s="141" t="str">
        <f t="shared" si="7"/>
        <v>SAS</v>
      </c>
      <c r="H84" s="142" t="str">
        <f t="shared" si="7"/>
        <v>INDIVIDUEL</v>
      </c>
      <c r="I84" s="142" t="str">
        <f t="shared" si="7"/>
        <v>ASSOCIATION</v>
      </c>
      <c r="J84" s="240" t="str">
        <f t="shared" si="7"/>
        <v>PROFESSION LIBERALE</v>
      </c>
      <c r="K84" s="240" t="str">
        <f t="shared" si="7"/>
        <v>SNC</v>
      </c>
      <c r="L84" s="240" t="str">
        <f t="shared" si="7"/>
        <v>SCI</v>
      </c>
      <c r="M84" s="240" t="str">
        <f t="shared" si="7"/>
        <v>EARL</v>
      </c>
      <c r="N84" s="240" t="str">
        <f t="shared" si="7"/>
        <v>ETA</v>
      </c>
      <c r="O84" s="240" t="str">
        <f t="shared" si="7"/>
        <v>SCEA</v>
      </c>
      <c r="P84" s="240" t="str">
        <f t="shared" si="7"/>
        <v>GROUPEMENT</v>
      </c>
      <c r="Q84" s="240" t="str">
        <f t="shared" si="7"/>
        <v>EIRL</v>
      </c>
      <c r="R84" s="240" t="str">
        <f t="shared" si="7"/>
        <v>AUTRES</v>
      </c>
      <c r="S84" s="144"/>
      <c r="T84" s="145" t="s">
        <v>86</v>
      </c>
      <c r="U84" s="164"/>
      <c r="V84" s="164"/>
      <c r="W84" s="164"/>
      <c r="X84" s="164"/>
      <c r="Y84" s="164"/>
      <c r="Z84" s="164"/>
      <c r="AA84" s="164"/>
      <c r="AB84" s="164"/>
      <c r="AC84" s="164"/>
      <c r="AE84" s="164"/>
      <c r="AF84" s="164"/>
      <c r="AG84" s="164"/>
      <c r="AH84" s="164"/>
      <c r="AI84" s="164"/>
      <c r="AJ84" s="164"/>
      <c r="AK84" s="164"/>
      <c r="AL84" s="164"/>
      <c r="AM84" s="164"/>
      <c r="AN84" s="164"/>
      <c r="AO84" s="164"/>
      <c r="AP84" s="164"/>
      <c r="AQ84" s="164"/>
      <c r="AR84" s="164"/>
      <c r="AS84" s="164"/>
      <c r="AT84" s="164"/>
      <c r="AU84" s="164"/>
      <c r="AV84" s="164"/>
      <c r="AW84" s="164"/>
      <c r="AX84" s="164"/>
    </row>
    <row r="85" spans="2:50" x14ac:dyDescent="0.25">
      <c r="B85" s="280"/>
      <c r="C85" s="146" t="s">
        <v>109</v>
      </c>
      <c r="D85" s="138">
        <f>COUNTIFS($I$3:$I$60,"&lt;&gt;",$D$3:$D$60,"ACS")</f>
        <v>2</v>
      </c>
      <c r="E85" s="147">
        <f>+COUNTIFS($I$3:$I$60,"&lt;&gt;",$F$3:$F$60,"SARL")</f>
        <v>1</v>
      </c>
      <c r="F85" s="138">
        <f>+COUNTIFS($I3:$I60,"&lt;&gt;",$F$3:$F$60,"EURL")</f>
        <v>1</v>
      </c>
      <c r="G85" s="148">
        <f>COUNTIFS($I$3:$I$60,"&lt;&gt;",$F$3:$F$60,"SAS",$D$3:$D$60,"ACS")</f>
        <v>0</v>
      </c>
      <c r="H85" s="138">
        <f>COUNTIFS($I$3:$I$60,"&lt;&gt;",$F$3:$F$60,"INDIVIDUEL",$D$3:$D$60,"ACS")</f>
        <v>0</v>
      </c>
      <c r="I85" s="138">
        <f>COUNTIFS($I$3:$I$60,"&lt;&gt;",$F$3:$F$60,"ASSOCIATION")</f>
        <v>0</v>
      </c>
      <c r="J85" s="138"/>
      <c r="K85" s="138">
        <f>COUNTIFS($I$3:$I$60,"&lt;&gt;",$F$3:$F$60,"SNC")</f>
        <v>0</v>
      </c>
      <c r="L85" s="138">
        <f>COUNTIFS($I$3:$I$60,"&lt;&gt;",$F$3:$F$60,"SCI")</f>
        <v>0</v>
      </c>
      <c r="M85" s="149"/>
      <c r="N85" s="150"/>
      <c r="O85" s="151"/>
      <c r="P85" s="138">
        <f>COUNTIFS($I$3:$I$60,"&lt;&gt;",$F$3:$F$60,"GROUPEMENT")</f>
        <v>0</v>
      </c>
      <c r="Q85" s="152">
        <f>COUNTIFS($I$3:$I$60,"&lt;&gt;",$F$3:$F$60,"EIRL")</f>
        <v>0</v>
      </c>
      <c r="R85" s="138">
        <f>COUNTIFS($I$3:$I$60,"&lt;&gt;",$F$3:$F$60,"AUTRES")</f>
        <v>0</v>
      </c>
      <c r="S85" s="148"/>
      <c r="T85" s="148">
        <f>+SUM(E85:P85)</f>
        <v>2</v>
      </c>
      <c r="U85" s="164"/>
      <c r="V85" s="164"/>
      <c r="W85" s="164"/>
      <c r="X85" s="164"/>
      <c r="Y85" s="164"/>
      <c r="Z85" s="164"/>
      <c r="AA85" s="164"/>
      <c r="AB85" s="164"/>
      <c r="AC85" s="164"/>
      <c r="AE85" s="164"/>
      <c r="AF85" s="164"/>
      <c r="AG85" s="164"/>
      <c r="AH85" s="164"/>
      <c r="AI85" s="164"/>
      <c r="AJ85" s="164"/>
      <c r="AK85" s="164"/>
      <c r="AL85" s="164"/>
      <c r="AM85" s="164"/>
      <c r="AN85" s="164"/>
      <c r="AO85" s="164"/>
      <c r="AP85" s="164"/>
      <c r="AQ85" s="164"/>
      <c r="AR85" s="164"/>
      <c r="AS85" s="164"/>
      <c r="AT85" s="164"/>
      <c r="AU85" s="164"/>
      <c r="AV85" s="164"/>
      <c r="AW85" s="164"/>
      <c r="AX85" s="164"/>
    </row>
    <row r="86" spans="2:50" x14ac:dyDescent="0.25">
      <c r="B86" s="280"/>
      <c r="C86" s="146" t="s">
        <v>121</v>
      </c>
      <c r="D86" s="138">
        <f>COUNTIFS($I$3:$I$60,"&lt;&gt;",$D$3:$D$60,"BNC")</f>
        <v>0</v>
      </c>
      <c r="E86" s="153"/>
      <c r="F86" s="138"/>
      <c r="G86" s="154"/>
      <c r="H86" s="155"/>
      <c r="I86" s="151"/>
      <c r="J86" s="138">
        <f>COUNTIFS($I$3:$I$60,"&lt;&gt;",$D$3:$D$60,"BNC")</f>
        <v>0</v>
      </c>
      <c r="K86" s="138"/>
      <c r="L86" s="138"/>
      <c r="M86" s="138"/>
      <c r="N86" s="138"/>
      <c r="O86" s="138"/>
      <c r="P86" s="138"/>
      <c r="Q86" s="152"/>
      <c r="R86" s="138"/>
      <c r="S86" s="148"/>
      <c r="T86" s="148">
        <f>+SUM(E86:P86)</f>
        <v>0</v>
      </c>
      <c r="U86" s="164"/>
      <c r="V86" s="164"/>
      <c r="W86" s="164"/>
      <c r="X86" s="164"/>
      <c r="Y86" s="164"/>
      <c r="Z86" s="164"/>
      <c r="AA86" s="164"/>
      <c r="AB86" s="164"/>
      <c r="AC86" s="164"/>
      <c r="AE86" s="164"/>
      <c r="AF86" s="164"/>
      <c r="AG86" s="164"/>
      <c r="AH86" s="164"/>
      <c r="AI86" s="164"/>
      <c r="AJ86" s="164"/>
      <c r="AK86" s="164"/>
      <c r="AL86" s="164"/>
      <c r="AM86" s="164"/>
      <c r="AN86" s="164"/>
      <c r="AO86" s="164"/>
      <c r="AP86" s="164"/>
      <c r="AQ86" s="164"/>
      <c r="AR86" s="164"/>
      <c r="AS86" s="164"/>
      <c r="AT86" s="164"/>
      <c r="AU86" s="164"/>
      <c r="AV86" s="164"/>
      <c r="AW86" s="164"/>
      <c r="AX86" s="164"/>
    </row>
    <row r="87" spans="2:50" x14ac:dyDescent="0.25">
      <c r="B87" s="280"/>
      <c r="C87" s="138" t="s">
        <v>122</v>
      </c>
      <c r="D87" s="138">
        <f>COUNTIFS($I$3:$I$60,"&lt;&gt;",$D$3:$D$60,"AGRI")</f>
        <v>0</v>
      </c>
      <c r="E87" s="152"/>
      <c r="F87" s="138"/>
      <c r="G87" s="148">
        <f>COUNTIFS($I$3:$I$60,"&lt;&gt;",$F$3:$F$60,"SAS",$D$3:$D$60,"AGRI")</f>
        <v>0</v>
      </c>
      <c r="H87" s="138">
        <f>COUNTIFS($F$3:$F$60,"INDIVIDUEL",$D$3:$D$60,"AGRI",$I3:$I$60,"&lt;&gt;")</f>
        <v>0</v>
      </c>
      <c r="I87" s="138"/>
      <c r="J87" s="138"/>
      <c r="K87" s="138"/>
      <c r="L87" s="138"/>
      <c r="M87" s="138">
        <f>COUNTIFS($I$3:$I$60,"&lt;&gt;",$F$5:$F$62,"EARL")</f>
        <v>0</v>
      </c>
      <c r="N87" s="138">
        <f>COUNTIFS($I$3:$I$60,"&lt;&gt;",$F$5:$F$62,"ETA")</f>
        <v>0</v>
      </c>
      <c r="O87" s="138">
        <f>COUNTIFS($I$3:$I$60,"&lt;&gt;",$F$5:$F$62,"SCEA")</f>
        <v>0</v>
      </c>
      <c r="P87" s="138"/>
      <c r="Q87" s="152"/>
      <c r="R87" s="138"/>
      <c r="S87" s="148"/>
      <c r="T87" s="148">
        <f>+SUM(E87:P87)</f>
        <v>0</v>
      </c>
      <c r="U87" s="164"/>
      <c r="V87" s="164"/>
      <c r="W87" s="164"/>
      <c r="X87" s="164"/>
      <c r="Y87" s="164"/>
      <c r="Z87" s="164"/>
      <c r="AA87" s="164"/>
      <c r="AB87" s="164"/>
      <c r="AC87" s="164"/>
      <c r="AE87" s="164"/>
      <c r="AF87" s="164"/>
      <c r="AG87" s="164"/>
      <c r="AH87" s="164"/>
      <c r="AI87" s="164"/>
      <c r="AJ87" s="164"/>
      <c r="AK87" s="164"/>
      <c r="AL87" s="164"/>
      <c r="AM87" s="164"/>
      <c r="AN87" s="164"/>
      <c r="AO87" s="164"/>
      <c r="AP87" s="164"/>
      <c r="AQ87" s="164"/>
      <c r="AR87" s="164"/>
      <c r="AS87" s="164"/>
      <c r="AT87" s="164"/>
      <c r="AU87" s="164"/>
      <c r="AV87" s="164"/>
      <c r="AW87" s="164"/>
      <c r="AX87" s="164"/>
    </row>
    <row r="88" spans="2:50" x14ac:dyDescent="0.25">
      <c r="B88" s="280" t="s">
        <v>123</v>
      </c>
      <c r="C88" s="280"/>
      <c r="D88" s="138">
        <f t="shared" ref="D88:R88" si="8">+SUM(D85:D87)</f>
        <v>2</v>
      </c>
      <c r="E88" s="152">
        <f t="shared" si="8"/>
        <v>1</v>
      </c>
      <c r="F88" s="152">
        <f t="shared" si="8"/>
        <v>1</v>
      </c>
      <c r="G88" s="152">
        <f t="shared" si="8"/>
        <v>0</v>
      </c>
      <c r="H88" s="152">
        <f t="shared" si="8"/>
        <v>0</v>
      </c>
      <c r="I88" s="152">
        <f t="shared" si="8"/>
        <v>0</v>
      </c>
      <c r="J88" s="152">
        <f t="shared" si="8"/>
        <v>0</v>
      </c>
      <c r="K88" s="152">
        <f t="shared" si="8"/>
        <v>0</v>
      </c>
      <c r="L88" s="152">
        <f t="shared" si="8"/>
        <v>0</v>
      </c>
      <c r="M88" s="152">
        <f t="shared" si="8"/>
        <v>0</v>
      </c>
      <c r="N88" s="152">
        <f t="shared" si="8"/>
        <v>0</v>
      </c>
      <c r="O88" s="152">
        <f t="shared" si="8"/>
        <v>0</v>
      </c>
      <c r="P88" s="152">
        <f t="shared" si="8"/>
        <v>0</v>
      </c>
      <c r="Q88" s="152">
        <f t="shared" si="8"/>
        <v>0</v>
      </c>
      <c r="R88" s="152">
        <f t="shared" si="8"/>
        <v>0</v>
      </c>
      <c r="S88" s="156"/>
      <c r="T88" s="148">
        <f>+SUM(T85:T87)</f>
        <v>2</v>
      </c>
      <c r="U88" s="164"/>
      <c r="V88" s="164"/>
      <c r="W88" s="164"/>
      <c r="X88" s="164"/>
      <c r="Y88" s="164"/>
      <c r="Z88" s="164"/>
      <c r="AA88" s="164"/>
      <c r="AB88" s="164"/>
      <c r="AC88" s="164"/>
      <c r="AE88" s="164"/>
      <c r="AF88" s="164"/>
      <c r="AG88" s="164"/>
      <c r="AH88" s="164"/>
      <c r="AI88" s="164"/>
      <c r="AJ88" s="164"/>
      <c r="AK88" s="164"/>
      <c r="AL88" s="164"/>
      <c r="AM88" s="164"/>
      <c r="AN88" s="164"/>
      <c r="AO88" s="164"/>
      <c r="AP88" s="164"/>
      <c r="AQ88" s="164"/>
      <c r="AR88" s="164"/>
      <c r="AS88" s="164"/>
      <c r="AT88" s="164"/>
      <c r="AU88" s="164"/>
      <c r="AV88" s="164"/>
      <c r="AW88" s="164"/>
      <c r="AX88" s="164"/>
    </row>
    <row r="89" spans="2:50" x14ac:dyDescent="0.25">
      <c r="B89" s="137"/>
      <c r="C89" s="137"/>
      <c r="D89" s="137"/>
      <c r="E89" s="137"/>
      <c r="F89" s="137"/>
      <c r="G89" s="137"/>
      <c r="H89" s="137"/>
      <c r="I89" s="137"/>
      <c r="J89" s="137"/>
      <c r="K89" s="137"/>
      <c r="L89" s="137"/>
      <c r="M89" s="137"/>
      <c r="N89" s="137"/>
      <c r="O89" s="137"/>
      <c r="P89" s="137"/>
      <c r="Q89" s="137"/>
      <c r="R89" s="137"/>
      <c r="S89" s="137"/>
      <c r="T89" s="137"/>
      <c r="U89" s="164"/>
      <c r="V89" s="164"/>
      <c r="W89" s="164"/>
      <c r="X89" s="164"/>
      <c r="Y89" s="164"/>
      <c r="Z89" s="164"/>
      <c r="AA89" s="164"/>
      <c r="AB89" s="164"/>
      <c r="AC89" s="164"/>
      <c r="AE89" s="164"/>
      <c r="AF89" s="164"/>
      <c r="AG89" s="164"/>
      <c r="AH89" s="164"/>
      <c r="AI89" s="164"/>
      <c r="AJ89" s="164"/>
      <c r="AK89" s="164"/>
      <c r="AL89" s="164"/>
      <c r="AM89" s="164"/>
      <c r="AN89" s="164"/>
      <c r="AO89" s="164"/>
      <c r="AP89" s="164"/>
      <c r="AQ89" s="164"/>
      <c r="AR89" s="164"/>
      <c r="AS89" s="164"/>
      <c r="AT89" s="164"/>
      <c r="AU89" s="164"/>
      <c r="AV89" s="164"/>
      <c r="AW89" s="164"/>
      <c r="AX89" s="164"/>
    </row>
    <row r="90" spans="2:50" x14ac:dyDescent="0.25">
      <c r="B90" s="281">
        <v>44196</v>
      </c>
      <c r="C90" s="138"/>
      <c r="D90" s="138"/>
      <c r="E90" s="140" t="str">
        <f t="shared" ref="E90:R90" si="9">E65</f>
        <v>SARL</v>
      </c>
      <c r="F90" s="138" t="str">
        <f t="shared" si="9"/>
        <v>EURL</v>
      </c>
      <c r="G90" s="141" t="str">
        <f t="shared" si="9"/>
        <v>SAS</v>
      </c>
      <c r="H90" s="142" t="str">
        <f t="shared" si="9"/>
        <v>INDIVIDUEL</v>
      </c>
      <c r="I90" s="142" t="str">
        <f t="shared" si="9"/>
        <v>ASSOCIATION</v>
      </c>
      <c r="J90" s="240" t="str">
        <f t="shared" si="9"/>
        <v>PROFESSION LIBERALE</v>
      </c>
      <c r="K90" s="240" t="str">
        <f t="shared" si="9"/>
        <v>SNC</v>
      </c>
      <c r="L90" s="240" t="str">
        <f t="shared" si="9"/>
        <v>SCI</v>
      </c>
      <c r="M90" s="240" t="str">
        <f t="shared" si="9"/>
        <v>EARL</v>
      </c>
      <c r="N90" s="240" t="str">
        <f t="shared" si="9"/>
        <v>ETA</v>
      </c>
      <c r="O90" s="240" t="str">
        <f t="shared" si="9"/>
        <v>SCEA</v>
      </c>
      <c r="P90" s="240" t="str">
        <f t="shared" si="9"/>
        <v>GROUPEMENT</v>
      </c>
      <c r="Q90" s="138" t="str">
        <f t="shared" si="9"/>
        <v>EIRL</v>
      </c>
      <c r="R90" s="138" t="str">
        <f t="shared" si="9"/>
        <v>AUTRES</v>
      </c>
      <c r="S90" s="138"/>
      <c r="T90" s="240" t="s">
        <v>86</v>
      </c>
      <c r="U90" s="164"/>
      <c r="V90" s="164"/>
      <c r="W90" s="164"/>
      <c r="X90" s="164"/>
      <c r="Y90" s="164"/>
      <c r="Z90" s="164"/>
      <c r="AA90" s="164"/>
      <c r="AB90" s="164"/>
      <c r="AC90" s="164"/>
      <c r="AE90" s="164"/>
      <c r="AF90" s="164"/>
      <c r="AG90" s="164"/>
      <c r="AH90" s="164"/>
      <c r="AI90" s="164"/>
      <c r="AJ90" s="164"/>
      <c r="AK90" s="164"/>
      <c r="AL90" s="164"/>
      <c r="AM90" s="164"/>
      <c r="AN90" s="164"/>
      <c r="AO90" s="164"/>
      <c r="AP90" s="164"/>
      <c r="AQ90" s="164"/>
      <c r="AR90" s="164"/>
      <c r="AS90" s="164"/>
      <c r="AT90" s="164"/>
      <c r="AU90" s="164"/>
      <c r="AV90" s="164"/>
      <c r="AW90" s="164"/>
      <c r="AX90" s="164"/>
    </row>
    <row r="91" spans="2:50" x14ac:dyDescent="0.25">
      <c r="B91" s="280"/>
      <c r="C91" s="146" t="s">
        <v>109</v>
      </c>
      <c r="D91" s="138">
        <f>COUNTIFS($I$3:$I$60,"&lt;&gt;",$E$3:$E$60,DATE(Paramètres!A4,Paramètres!D15,Paramètres!C15),$D$3:$D$60,"ACS")</f>
        <v>2</v>
      </c>
      <c r="E91" s="147">
        <f>COUNTIFS($I$3:$I$60,"&lt;&gt;",$E$3:$E$60,DATE(Paramètres!A4,Paramètres!D15,Paramètres!C15),$F$3:$F$60,"SARL")</f>
        <v>1</v>
      </c>
      <c r="F91" s="138">
        <f>+COUNTIFS($I$3:$I$60,"&lt;&gt;",$E$3:$E$60,DATE(Paramètres!A4,Paramètres!D15,Paramètres!C15),$F$3:$F$60,"EURL")</f>
        <v>1</v>
      </c>
      <c r="G91" s="148">
        <f>COUNTIFS($I$3:$I$60,"&lt;&gt;",$E$3:$E$60,DATE(Paramètres!A4,Paramètres!D15,Paramètres!C15),$F$3:$F$60,"SAS",$D$3:$D$60,"ACS")</f>
        <v>0</v>
      </c>
      <c r="H91" s="138">
        <f>COUNTIFS($I$3:$I$60,"&lt;&gt;",$E$3:$E$60,DATE(Paramètres!A4,Paramètres!D15,Paramètres!C15),$F$3:$F$60,"INDIVIDUEL",$D$3:$D$60,"ACS")</f>
        <v>0</v>
      </c>
      <c r="I91" s="138">
        <f>+COUNTIFS($I$3:$I$60,"&lt;&gt;",$E$3:$E$60,DATE(Paramètres!A4,Paramètres!D15,Paramètres!C15),$F$3:$F$60,"ASSOCIATION")</f>
        <v>0</v>
      </c>
      <c r="J91" s="138"/>
      <c r="K91" s="138">
        <f>COUNTIFS($I$3:$I$60,"&lt;&gt;",$E$3:$E$60,DATE(Paramètres!A4,Paramètres!D15,Paramètres!C15),$F$3:$F$60,"SNC")</f>
        <v>0</v>
      </c>
      <c r="L91" s="138">
        <f>COUNTIFS($I$3:$I$60,"&lt;&gt;",$E$3:$E$60,DATE(Paramètres!A4,Paramètres!D15,Paramètres!C15),$F$3:$F$60,"SCI")</f>
        <v>0</v>
      </c>
      <c r="M91" s="149"/>
      <c r="N91" s="150"/>
      <c r="O91" s="151"/>
      <c r="P91" s="138">
        <f>COUNTIFS($I$3:$I$60,"&lt;&gt;",$E$3:$E$60,DATE(Paramètres!A4,Paramètres!D15,Paramètres!C15),$F$3:$F$60,"GROUPEMENT")</f>
        <v>0</v>
      </c>
      <c r="Q91" s="138">
        <f>COUNTIFS($I$3:$I$60,"&lt;&gt;",$E$3:$E$60,DATE(Paramètres!A4,Paramètres!D15,Paramètres!C15),$F$3:$F$60,"EIRL")</f>
        <v>0</v>
      </c>
      <c r="R91" s="138">
        <f>COUNTIFS($I$3:$I$60,"&lt;&gt;",$E$3:$E$60,DATE(Paramètres!A4,Paramètres!D15,Paramètres!C15),$F$3:$F$60,"AUTRES")</f>
        <v>0</v>
      </c>
      <c r="S91" s="138"/>
      <c r="T91" s="138">
        <f>+SUM(E91:P91)</f>
        <v>2</v>
      </c>
      <c r="U91" s="164"/>
      <c r="V91" s="164"/>
      <c r="W91" s="164"/>
      <c r="X91" s="164"/>
      <c r="Y91" s="164"/>
      <c r="Z91" s="164"/>
      <c r="AA91" s="164"/>
      <c r="AB91" s="164"/>
      <c r="AC91" s="164"/>
      <c r="AE91" s="164"/>
      <c r="AF91" s="164"/>
      <c r="AG91" s="164"/>
      <c r="AH91" s="164"/>
      <c r="AI91" s="164"/>
      <c r="AJ91" s="164"/>
      <c r="AK91" s="164"/>
      <c r="AL91" s="164"/>
      <c r="AM91" s="164"/>
      <c r="AN91" s="164"/>
      <c r="AO91" s="164"/>
      <c r="AP91" s="164"/>
      <c r="AQ91" s="164"/>
      <c r="AR91" s="164"/>
      <c r="AS91" s="164"/>
      <c r="AT91" s="164"/>
      <c r="AU91" s="164"/>
      <c r="AV91" s="164"/>
      <c r="AW91" s="164"/>
      <c r="AX91" s="164"/>
    </row>
    <row r="92" spans="2:50" x14ac:dyDescent="0.25">
      <c r="B92" s="280"/>
      <c r="C92" s="146" t="s">
        <v>121</v>
      </c>
      <c r="D92" s="138">
        <f>COUNTIFS($I$3:$I$60,"&lt;&gt;",$E$3:$E$60,DATE(Paramètres!A4,Paramètres!D15,Paramètres!C15),$D$3:$D$60,"BNC")</f>
        <v>0</v>
      </c>
      <c r="E92" s="153"/>
      <c r="F92" s="138"/>
      <c r="G92" s="154"/>
      <c r="H92" s="155"/>
      <c r="I92" s="151"/>
      <c r="J92" s="138">
        <f>COUNTIFS($I$3:$I$60,"&lt;&gt;",$E$3:$E$60,DATE(Paramètres!A4,Paramètres!D15,Paramètres!C15),$D$3:$D$60,"BNC")</f>
        <v>0</v>
      </c>
      <c r="K92" s="149"/>
      <c r="L92" s="150"/>
      <c r="M92" s="150"/>
      <c r="N92" s="150"/>
      <c r="O92" s="150"/>
      <c r="P92" s="151"/>
      <c r="Q92" s="138"/>
      <c r="R92" s="138"/>
      <c r="S92" s="138"/>
      <c r="T92" s="138">
        <f>+SUM(E92:P92)</f>
        <v>0</v>
      </c>
      <c r="U92" s="164"/>
      <c r="V92" s="164"/>
      <c r="W92" s="164"/>
      <c r="X92" s="164"/>
      <c r="Y92" s="164"/>
      <c r="Z92" s="164"/>
      <c r="AA92" s="164"/>
      <c r="AB92" s="164"/>
      <c r="AC92" s="164"/>
      <c r="AE92" s="164"/>
      <c r="AF92" s="164"/>
      <c r="AG92" s="164"/>
      <c r="AH92" s="164"/>
      <c r="AI92" s="164"/>
      <c r="AJ92" s="164"/>
      <c r="AK92" s="164"/>
      <c r="AL92" s="164"/>
      <c r="AM92" s="164"/>
      <c r="AN92" s="164"/>
      <c r="AO92" s="164"/>
      <c r="AP92" s="164"/>
      <c r="AQ92" s="164"/>
      <c r="AR92" s="164"/>
      <c r="AS92" s="164"/>
      <c r="AT92" s="164"/>
      <c r="AU92" s="164"/>
      <c r="AV92" s="164"/>
      <c r="AW92" s="164"/>
      <c r="AX92" s="164"/>
    </row>
    <row r="93" spans="2:50" x14ac:dyDescent="0.25">
      <c r="B93" s="280"/>
      <c r="C93" s="138" t="s">
        <v>122</v>
      </c>
      <c r="D93" s="138">
        <f>COUNTIFS($I$3:$I$60,"&lt;&gt;",$E$3:$E$60,DATE(Paramètres!A4,Paramètres!D15,Paramètres!C15),$D$3:$D$60,"AGRI")</f>
        <v>0</v>
      </c>
      <c r="E93" s="153"/>
      <c r="F93" s="138"/>
      <c r="G93" s="154">
        <f>COUNTIFS($I$3:$I$60,"&lt;&gt;",$E$3:$E$60,DATE(Paramètres!A4,Paramètres!D15,Paramètres!C15),$F$3:$F$60,"SAS",$D$3:$D$60,"AGRI")</f>
        <v>0</v>
      </c>
      <c r="H93" s="138">
        <f>COUNTIFS($I$3:$I$60,"&lt;&gt;",$E$3:$E$60,DATE(Paramètres!A4,Paramètres!D15,Paramètres!C15),$F$3:$F$60,"INDIVIDUEL",$D$3:$D$60,"AGRI")</f>
        <v>0</v>
      </c>
      <c r="I93" s="152"/>
      <c r="J93" s="149"/>
      <c r="K93" s="150"/>
      <c r="L93" s="151"/>
      <c r="M93" s="138">
        <f>COUNTIFS($I$3:$I$60,"&lt;&gt;",$AZ$3:$AZ$60,"X",$E$3:$E$60,DATE(Paramètres!A4,Paramètres!D15,Paramètres!C15),$F$3:$F$60,"EARL")</f>
        <v>0</v>
      </c>
      <c r="N93" s="138">
        <f>COUNTIFS($I$3:$I$60,"&lt;&gt;",$E$3:$E$60,DATE(Paramètres!A4,Paramètres!D15,Paramètres!C15),$F$3:$F$60,"ETA")</f>
        <v>0</v>
      </c>
      <c r="O93" s="138">
        <f>COUNTIFS($I$3:$I$60,"&lt;&gt;",$E$3:$E$60,DATE(Paramètres!A4,Paramètres!D15,Paramètres!C15),$F$3:$F$60,"SCEA")</f>
        <v>0</v>
      </c>
      <c r="P93" s="138"/>
      <c r="Q93" s="138"/>
      <c r="R93" s="138"/>
      <c r="S93" s="138"/>
      <c r="T93" s="138">
        <f>+SUM(E93:P93)</f>
        <v>0</v>
      </c>
      <c r="U93" s="164"/>
      <c r="V93" s="164"/>
      <c r="W93" s="164"/>
      <c r="X93" s="164"/>
      <c r="Y93" s="164"/>
      <c r="Z93" s="164"/>
      <c r="AA93" s="164"/>
      <c r="AB93" s="164"/>
      <c r="AC93" s="164"/>
      <c r="AE93" s="164"/>
      <c r="AF93" s="164"/>
      <c r="AG93" s="164"/>
      <c r="AH93" s="164"/>
      <c r="AI93" s="164"/>
      <c r="AJ93" s="164"/>
      <c r="AK93" s="164"/>
      <c r="AL93" s="164"/>
      <c r="AM93" s="164"/>
      <c r="AN93" s="164"/>
      <c r="AO93" s="164"/>
      <c r="AP93" s="164"/>
      <c r="AQ93" s="164"/>
      <c r="AR93" s="164"/>
      <c r="AS93" s="164"/>
      <c r="AT93" s="164"/>
      <c r="AU93" s="164"/>
      <c r="AV93" s="164"/>
      <c r="AW93" s="164"/>
      <c r="AX93" s="164"/>
    </row>
    <row r="94" spans="2:50" x14ac:dyDescent="0.25">
      <c r="B94" s="280" t="s">
        <v>123</v>
      </c>
      <c r="C94" s="280"/>
      <c r="D94" s="138">
        <f t="shared" ref="D94:R94" si="10">+SUM(D91:D93)</f>
        <v>2</v>
      </c>
      <c r="E94" s="152">
        <f t="shared" si="10"/>
        <v>1</v>
      </c>
      <c r="F94" s="152">
        <f t="shared" si="10"/>
        <v>1</v>
      </c>
      <c r="G94" s="152">
        <f t="shared" si="10"/>
        <v>0</v>
      </c>
      <c r="H94" s="152">
        <f t="shared" si="10"/>
        <v>0</v>
      </c>
      <c r="I94" s="152">
        <f t="shared" si="10"/>
        <v>0</v>
      </c>
      <c r="J94" s="152">
        <f t="shared" si="10"/>
        <v>0</v>
      </c>
      <c r="K94" s="152">
        <f t="shared" si="10"/>
        <v>0</v>
      </c>
      <c r="L94" s="152">
        <f t="shared" si="10"/>
        <v>0</v>
      </c>
      <c r="M94" s="152">
        <f t="shared" si="10"/>
        <v>0</v>
      </c>
      <c r="N94" s="152">
        <f t="shared" si="10"/>
        <v>0</v>
      </c>
      <c r="O94" s="152">
        <f t="shared" si="10"/>
        <v>0</v>
      </c>
      <c r="P94" s="152">
        <f t="shared" si="10"/>
        <v>0</v>
      </c>
      <c r="Q94" s="152">
        <f t="shared" si="10"/>
        <v>0</v>
      </c>
      <c r="R94" s="152">
        <f t="shared" si="10"/>
        <v>0</v>
      </c>
      <c r="S94" s="152"/>
      <c r="T94" s="138">
        <f>+SUM(T91:T93)</f>
        <v>2</v>
      </c>
      <c r="U94" s="164"/>
      <c r="V94" s="164"/>
      <c r="W94" s="164"/>
      <c r="X94" s="164"/>
      <c r="Y94" s="164"/>
      <c r="Z94" s="164"/>
      <c r="AA94" s="164"/>
      <c r="AB94" s="164"/>
      <c r="AC94" s="164"/>
      <c r="AE94" s="164"/>
      <c r="AF94" s="164"/>
      <c r="AG94" s="164"/>
      <c r="AH94" s="164"/>
      <c r="AI94" s="164"/>
      <c r="AJ94" s="164"/>
      <c r="AK94" s="164"/>
      <c r="AL94" s="164"/>
      <c r="AM94" s="164"/>
      <c r="AN94" s="164"/>
      <c r="AO94" s="164"/>
      <c r="AP94" s="164"/>
      <c r="AQ94" s="164"/>
      <c r="AR94" s="164"/>
      <c r="AS94" s="164"/>
      <c r="AT94" s="164"/>
      <c r="AU94" s="164"/>
      <c r="AV94" s="164"/>
      <c r="AW94" s="164"/>
      <c r="AX94" s="164"/>
    </row>
    <row r="95" spans="2:50" x14ac:dyDescent="0.25">
      <c r="B95" s="137"/>
      <c r="C95" s="137"/>
      <c r="D95" s="137"/>
      <c r="E95" s="137"/>
      <c r="F95" s="137"/>
      <c r="G95" s="137"/>
      <c r="H95" s="137"/>
      <c r="I95" s="137"/>
      <c r="J95" s="137"/>
      <c r="K95" s="137"/>
      <c r="L95" s="137"/>
      <c r="M95" s="137"/>
      <c r="N95" s="137"/>
      <c r="O95" s="137"/>
      <c r="P95" s="137"/>
      <c r="Q95" s="137"/>
      <c r="R95" s="137"/>
      <c r="S95" s="137"/>
      <c r="T95" s="137"/>
      <c r="U95" s="164"/>
      <c r="V95" s="164"/>
      <c r="W95" s="164"/>
      <c r="X95" s="164"/>
      <c r="Y95" s="164"/>
      <c r="Z95" s="164"/>
      <c r="AA95" s="164"/>
      <c r="AB95" s="164"/>
      <c r="AC95" s="164"/>
      <c r="AE95" s="164"/>
      <c r="AF95" s="164"/>
      <c r="AG95" s="164"/>
      <c r="AH95" s="164"/>
      <c r="AI95" s="164"/>
      <c r="AJ95" s="164"/>
      <c r="AK95" s="164"/>
      <c r="AL95" s="164"/>
      <c r="AM95" s="164"/>
      <c r="AN95" s="164"/>
      <c r="AO95" s="164"/>
      <c r="AP95" s="164"/>
      <c r="AQ95" s="164"/>
      <c r="AR95" s="164"/>
      <c r="AS95" s="164"/>
      <c r="AT95" s="164"/>
      <c r="AU95" s="164"/>
      <c r="AV95" s="164"/>
      <c r="AW95" s="164"/>
      <c r="AX95" s="164"/>
    </row>
    <row r="96" spans="2:50" x14ac:dyDescent="0.25">
      <c r="B96" s="280" t="s">
        <v>40</v>
      </c>
      <c r="C96" s="138"/>
      <c r="D96" s="138"/>
      <c r="E96" s="140" t="str">
        <f t="shared" ref="E96:R96" si="11">E65</f>
        <v>SARL</v>
      </c>
      <c r="F96" s="138" t="str">
        <f t="shared" si="11"/>
        <v>EURL</v>
      </c>
      <c r="G96" s="141" t="str">
        <f t="shared" si="11"/>
        <v>SAS</v>
      </c>
      <c r="H96" s="142" t="str">
        <f t="shared" si="11"/>
        <v>INDIVIDUEL</v>
      </c>
      <c r="I96" s="142" t="str">
        <f t="shared" si="11"/>
        <v>ASSOCIATION</v>
      </c>
      <c r="J96" s="240" t="str">
        <f t="shared" si="11"/>
        <v>PROFESSION LIBERALE</v>
      </c>
      <c r="K96" s="240" t="str">
        <f t="shared" si="11"/>
        <v>SNC</v>
      </c>
      <c r="L96" s="240" t="str">
        <f t="shared" si="11"/>
        <v>SCI</v>
      </c>
      <c r="M96" s="240" t="str">
        <f t="shared" si="11"/>
        <v>EARL</v>
      </c>
      <c r="N96" s="240" t="str">
        <f t="shared" si="11"/>
        <v>ETA</v>
      </c>
      <c r="O96" s="240" t="str">
        <f t="shared" si="11"/>
        <v>SCEA</v>
      </c>
      <c r="P96" s="240" t="str">
        <f t="shared" si="11"/>
        <v>GROUPEMENT</v>
      </c>
      <c r="Q96" s="138" t="str">
        <f t="shared" si="11"/>
        <v>EIRL</v>
      </c>
      <c r="R96" s="138" t="str">
        <f t="shared" si="11"/>
        <v>AUTRES</v>
      </c>
      <c r="S96" s="138"/>
      <c r="T96" s="240" t="s">
        <v>86</v>
      </c>
      <c r="U96" s="164"/>
      <c r="V96" s="164"/>
      <c r="W96" s="164"/>
      <c r="X96" s="164"/>
      <c r="Y96" s="164"/>
      <c r="Z96" s="164"/>
      <c r="AA96" s="164"/>
      <c r="AB96" s="164"/>
      <c r="AC96" s="164"/>
      <c r="AE96" s="164"/>
      <c r="AF96" s="164"/>
      <c r="AG96" s="164"/>
      <c r="AH96" s="164"/>
      <c r="AI96" s="164"/>
      <c r="AJ96" s="164"/>
      <c r="AK96" s="164"/>
      <c r="AL96" s="164"/>
      <c r="AM96" s="164"/>
      <c r="AN96" s="164"/>
      <c r="AO96" s="164"/>
      <c r="AP96" s="164"/>
      <c r="AQ96" s="164"/>
      <c r="AR96" s="164"/>
      <c r="AS96" s="164"/>
      <c r="AT96" s="164"/>
      <c r="AU96" s="164"/>
      <c r="AV96" s="164"/>
      <c r="AW96" s="164"/>
      <c r="AX96" s="164"/>
    </row>
    <row r="97" spans="2:50" x14ac:dyDescent="0.25">
      <c r="B97" s="280"/>
      <c r="C97" s="146" t="s">
        <v>109</v>
      </c>
      <c r="D97" s="138">
        <f>+D85-D91</f>
        <v>0</v>
      </c>
      <c r="E97" s="152">
        <f>+E85-E91</f>
        <v>0</v>
      </c>
      <c r="F97" s="152">
        <f t="shared" ref="F97:R97" si="12">+F85-F91</f>
        <v>0</v>
      </c>
      <c r="G97" s="152">
        <f t="shared" si="12"/>
        <v>0</v>
      </c>
      <c r="H97" s="152">
        <f t="shared" si="12"/>
        <v>0</v>
      </c>
      <c r="I97" s="152">
        <f t="shared" si="12"/>
        <v>0</v>
      </c>
      <c r="J97" s="152">
        <f t="shared" si="12"/>
        <v>0</v>
      </c>
      <c r="K97" s="152">
        <f t="shared" si="12"/>
        <v>0</v>
      </c>
      <c r="L97" s="152">
        <f t="shared" si="12"/>
        <v>0</v>
      </c>
      <c r="M97" s="152">
        <f t="shared" si="12"/>
        <v>0</v>
      </c>
      <c r="N97" s="152">
        <f t="shared" si="12"/>
        <v>0</v>
      </c>
      <c r="O97" s="152">
        <f t="shared" si="12"/>
        <v>0</v>
      </c>
      <c r="P97" s="152">
        <f t="shared" si="12"/>
        <v>0</v>
      </c>
      <c r="Q97" s="152">
        <f t="shared" si="12"/>
        <v>0</v>
      </c>
      <c r="R97" s="152">
        <f t="shared" si="12"/>
        <v>0</v>
      </c>
      <c r="S97" s="152"/>
      <c r="T97" s="138">
        <f>+SUM(E97:P97)</f>
        <v>0</v>
      </c>
      <c r="U97" s="164"/>
      <c r="V97" s="164"/>
      <c r="W97" s="164"/>
      <c r="X97" s="164"/>
      <c r="Y97" s="164"/>
      <c r="Z97" s="164"/>
      <c r="AA97" s="164"/>
      <c r="AB97" s="164"/>
      <c r="AC97" s="164"/>
      <c r="AE97" s="164"/>
      <c r="AF97" s="164"/>
      <c r="AG97" s="164"/>
      <c r="AH97" s="164"/>
      <c r="AI97" s="164"/>
      <c r="AJ97" s="164"/>
      <c r="AK97" s="164"/>
      <c r="AL97" s="164"/>
      <c r="AM97" s="164"/>
      <c r="AN97" s="164"/>
      <c r="AO97" s="164"/>
      <c r="AP97" s="164"/>
      <c r="AQ97" s="164"/>
      <c r="AR97" s="164"/>
      <c r="AS97" s="164"/>
      <c r="AT97" s="164"/>
      <c r="AU97" s="164"/>
      <c r="AV97" s="164"/>
      <c r="AW97" s="164"/>
      <c r="AX97" s="164"/>
    </row>
    <row r="98" spans="2:50" x14ac:dyDescent="0.25">
      <c r="B98" s="280"/>
      <c r="C98" s="146" t="s">
        <v>121</v>
      </c>
      <c r="D98" s="138">
        <f>+D86-D92</f>
        <v>0</v>
      </c>
      <c r="E98" s="138">
        <f t="shared" ref="E98:R100" si="13">+E86-E92</f>
        <v>0</v>
      </c>
      <c r="F98" s="138">
        <f t="shared" si="13"/>
        <v>0</v>
      </c>
      <c r="G98" s="138">
        <f t="shared" si="13"/>
        <v>0</v>
      </c>
      <c r="H98" s="138">
        <f t="shared" si="13"/>
        <v>0</v>
      </c>
      <c r="I98" s="138">
        <f t="shared" si="13"/>
        <v>0</v>
      </c>
      <c r="J98" s="138">
        <f t="shared" si="13"/>
        <v>0</v>
      </c>
      <c r="K98" s="138">
        <f t="shared" si="13"/>
        <v>0</v>
      </c>
      <c r="L98" s="138">
        <f t="shared" si="13"/>
        <v>0</v>
      </c>
      <c r="M98" s="138">
        <f t="shared" si="13"/>
        <v>0</v>
      </c>
      <c r="N98" s="138">
        <f t="shared" si="13"/>
        <v>0</v>
      </c>
      <c r="O98" s="138">
        <f t="shared" si="13"/>
        <v>0</v>
      </c>
      <c r="P98" s="138">
        <f t="shared" si="13"/>
        <v>0</v>
      </c>
      <c r="Q98" s="138">
        <f t="shared" si="13"/>
        <v>0</v>
      </c>
      <c r="R98" s="138">
        <f t="shared" si="13"/>
        <v>0</v>
      </c>
      <c r="S98" s="138"/>
      <c r="T98" s="138">
        <f>+SUM(E98:P98)</f>
        <v>0</v>
      </c>
      <c r="U98" s="164"/>
      <c r="V98" s="164"/>
      <c r="W98" s="164"/>
      <c r="X98" s="164"/>
      <c r="Y98" s="164"/>
      <c r="Z98" s="164"/>
      <c r="AA98" s="164"/>
      <c r="AB98" s="164"/>
      <c r="AC98" s="164"/>
      <c r="AE98" s="164"/>
      <c r="AF98" s="164"/>
      <c r="AG98" s="164"/>
      <c r="AH98" s="164"/>
      <c r="AI98" s="164"/>
      <c r="AJ98" s="164"/>
      <c r="AK98" s="164"/>
      <c r="AL98" s="164"/>
      <c r="AM98" s="164"/>
      <c r="AN98" s="164"/>
      <c r="AO98" s="164"/>
      <c r="AP98" s="164"/>
      <c r="AQ98" s="164"/>
      <c r="AR98" s="164"/>
      <c r="AS98" s="164"/>
      <c r="AT98" s="164"/>
      <c r="AU98" s="164"/>
      <c r="AV98" s="164"/>
      <c r="AW98" s="164"/>
      <c r="AX98" s="164"/>
    </row>
    <row r="99" spans="2:50" x14ac:dyDescent="0.25">
      <c r="B99" s="280"/>
      <c r="C99" s="138" t="s">
        <v>122</v>
      </c>
      <c r="D99" s="138">
        <f>+D87-D93</f>
        <v>0</v>
      </c>
      <c r="E99" s="138">
        <f t="shared" si="13"/>
        <v>0</v>
      </c>
      <c r="F99" s="138">
        <f t="shared" si="13"/>
        <v>0</v>
      </c>
      <c r="G99" s="138">
        <f t="shared" si="13"/>
        <v>0</v>
      </c>
      <c r="H99" s="138">
        <f t="shared" si="13"/>
        <v>0</v>
      </c>
      <c r="I99" s="138">
        <f t="shared" si="13"/>
        <v>0</v>
      </c>
      <c r="J99" s="138">
        <f t="shared" si="13"/>
        <v>0</v>
      </c>
      <c r="K99" s="138">
        <f t="shared" si="13"/>
        <v>0</v>
      </c>
      <c r="L99" s="138">
        <f t="shared" si="13"/>
        <v>0</v>
      </c>
      <c r="M99" s="138">
        <f t="shared" si="13"/>
        <v>0</v>
      </c>
      <c r="N99" s="138">
        <f t="shared" si="13"/>
        <v>0</v>
      </c>
      <c r="O99" s="138">
        <f t="shared" si="13"/>
        <v>0</v>
      </c>
      <c r="P99" s="138">
        <f t="shared" si="13"/>
        <v>0</v>
      </c>
      <c r="Q99" s="138">
        <f t="shared" si="13"/>
        <v>0</v>
      </c>
      <c r="R99" s="138">
        <f t="shared" si="13"/>
        <v>0</v>
      </c>
      <c r="S99" s="138"/>
      <c r="T99" s="138">
        <f>+SUM(E99:P99)</f>
        <v>0</v>
      </c>
      <c r="U99" s="164"/>
      <c r="V99" s="164"/>
      <c r="W99" s="164"/>
      <c r="X99" s="164"/>
      <c r="Y99" s="164"/>
      <c r="Z99" s="164"/>
      <c r="AA99" s="164"/>
      <c r="AB99" s="164"/>
      <c r="AC99" s="164"/>
      <c r="AE99" s="164"/>
      <c r="AF99" s="164"/>
      <c r="AG99" s="164"/>
      <c r="AH99" s="164"/>
      <c r="AI99" s="164"/>
      <c r="AJ99" s="164"/>
      <c r="AK99" s="164"/>
      <c r="AL99" s="164"/>
      <c r="AM99" s="164"/>
      <c r="AN99" s="164"/>
      <c r="AO99" s="164"/>
      <c r="AP99" s="164"/>
      <c r="AQ99" s="164"/>
      <c r="AR99" s="164"/>
      <c r="AS99" s="164"/>
      <c r="AT99" s="164"/>
      <c r="AU99" s="164"/>
      <c r="AV99" s="164"/>
      <c r="AW99" s="164"/>
      <c r="AX99" s="164"/>
    </row>
    <row r="100" spans="2:50" x14ac:dyDescent="0.25">
      <c r="B100" s="280" t="s">
        <v>123</v>
      </c>
      <c r="C100" s="280"/>
      <c r="D100" s="138">
        <f>+D88-D94</f>
        <v>0</v>
      </c>
      <c r="E100" s="138">
        <f t="shared" si="13"/>
        <v>0</v>
      </c>
      <c r="F100" s="138">
        <f t="shared" si="13"/>
        <v>0</v>
      </c>
      <c r="G100" s="138">
        <f t="shared" si="13"/>
        <v>0</v>
      </c>
      <c r="H100" s="138">
        <f t="shared" si="13"/>
        <v>0</v>
      </c>
      <c r="I100" s="138">
        <f t="shared" si="13"/>
        <v>0</v>
      </c>
      <c r="J100" s="138">
        <f t="shared" si="13"/>
        <v>0</v>
      </c>
      <c r="K100" s="138">
        <f t="shared" si="13"/>
        <v>0</v>
      </c>
      <c r="L100" s="138">
        <f t="shared" si="13"/>
        <v>0</v>
      </c>
      <c r="M100" s="138">
        <f t="shared" si="13"/>
        <v>0</v>
      </c>
      <c r="N100" s="138">
        <f t="shared" si="13"/>
        <v>0</v>
      </c>
      <c r="O100" s="138">
        <f t="shared" si="13"/>
        <v>0</v>
      </c>
      <c r="P100" s="138">
        <f t="shared" si="13"/>
        <v>0</v>
      </c>
      <c r="Q100" s="138">
        <f t="shared" si="13"/>
        <v>0</v>
      </c>
      <c r="R100" s="138">
        <f t="shared" si="13"/>
        <v>0</v>
      </c>
      <c r="S100" s="138"/>
      <c r="T100" s="138">
        <f>+SUM(T97:T99)</f>
        <v>0</v>
      </c>
      <c r="U100" s="164"/>
      <c r="V100" s="164"/>
      <c r="W100" s="164"/>
      <c r="X100" s="164"/>
      <c r="Y100" s="164"/>
      <c r="Z100" s="164"/>
      <c r="AA100" s="164"/>
      <c r="AB100" s="164"/>
      <c r="AC100" s="164"/>
      <c r="AE100" s="164"/>
      <c r="AF100" s="164"/>
      <c r="AG100" s="164"/>
      <c r="AH100" s="164"/>
      <c r="AI100" s="164"/>
      <c r="AJ100" s="164"/>
      <c r="AK100" s="164"/>
      <c r="AL100" s="164"/>
      <c r="AM100" s="164"/>
      <c r="AN100" s="164"/>
      <c r="AO100" s="164"/>
      <c r="AP100" s="164"/>
      <c r="AQ100" s="164"/>
      <c r="AR100" s="164"/>
      <c r="AS100" s="164"/>
      <c r="AT100" s="164"/>
      <c r="AU100" s="164"/>
      <c r="AV100" s="164"/>
      <c r="AW100" s="164"/>
      <c r="AX100" s="164"/>
    </row>
    <row r="101" spans="2:50" x14ac:dyDescent="0.25">
      <c r="U101" s="164"/>
      <c r="V101" s="164"/>
      <c r="W101" s="164"/>
      <c r="X101" s="164"/>
      <c r="Y101" s="164"/>
      <c r="Z101" s="164"/>
      <c r="AA101" s="164"/>
      <c r="AB101" s="164"/>
      <c r="AC101" s="164"/>
      <c r="AE101" s="164"/>
      <c r="AF101" s="164"/>
      <c r="AG101" s="164"/>
      <c r="AH101" s="164"/>
      <c r="AI101" s="164"/>
      <c r="AJ101" s="164"/>
      <c r="AK101" s="164"/>
      <c r="AL101" s="164"/>
      <c r="AM101" s="164"/>
      <c r="AN101" s="164"/>
      <c r="AO101" s="164"/>
      <c r="AP101" s="164"/>
      <c r="AQ101" s="164"/>
      <c r="AR101" s="164"/>
      <c r="AS101" s="164"/>
      <c r="AT101" s="164"/>
      <c r="AU101" s="164"/>
      <c r="AV101" s="164"/>
      <c r="AW101" s="164"/>
      <c r="AX101" s="164"/>
    </row>
    <row r="102" spans="2:50" x14ac:dyDescent="0.25">
      <c r="B102" s="89" t="s">
        <v>133</v>
      </c>
      <c r="U102" s="164"/>
      <c r="V102" s="164"/>
      <c r="W102" s="164"/>
      <c r="X102" s="164"/>
      <c r="Y102" s="164"/>
      <c r="Z102" s="164"/>
      <c r="AA102" s="164"/>
      <c r="AB102" s="164"/>
      <c r="AC102" s="164"/>
      <c r="AE102" s="164"/>
      <c r="AF102" s="164"/>
      <c r="AG102" s="164"/>
      <c r="AH102" s="164"/>
      <c r="AI102" s="164"/>
      <c r="AJ102" s="164"/>
      <c r="AK102" s="164"/>
      <c r="AL102" s="164"/>
      <c r="AM102" s="164"/>
      <c r="AN102" s="164"/>
      <c r="AO102" s="164"/>
      <c r="AP102" s="164"/>
      <c r="AQ102" s="164"/>
      <c r="AR102" s="164"/>
      <c r="AS102" s="164"/>
      <c r="AT102" s="164"/>
      <c r="AU102" s="164"/>
      <c r="AV102" s="164"/>
      <c r="AW102" s="164"/>
      <c r="AX102" s="164"/>
    </row>
    <row r="103" spans="2:50" x14ac:dyDescent="0.25">
      <c r="U103" s="164"/>
      <c r="V103" s="164"/>
      <c r="W103" s="164"/>
      <c r="X103" s="164"/>
      <c r="Y103" s="164"/>
      <c r="Z103" s="164"/>
      <c r="AA103" s="164"/>
      <c r="AB103" s="164"/>
      <c r="AC103" s="164"/>
      <c r="AE103" s="164"/>
      <c r="AF103" s="164"/>
      <c r="AG103" s="164"/>
      <c r="AH103" s="164"/>
      <c r="AI103" s="164"/>
      <c r="AJ103" s="164"/>
      <c r="AK103" s="164"/>
      <c r="AL103" s="164"/>
      <c r="AM103" s="164"/>
      <c r="AN103" s="164"/>
      <c r="AO103" s="164"/>
      <c r="AP103" s="164"/>
      <c r="AQ103" s="164"/>
      <c r="AR103" s="164"/>
      <c r="AS103" s="164"/>
      <c r="AT103" s="164"/>
      <c r="AU103" s="164"/>
      <c r="AV103" s="164"/>
      <c r="AW103" s="164"/>
      <c r="AX103" s="164"/>
    </row>
    <row r="104" spans="2:50" x14ac:dyDescent="0.25">
      <c r="B104" s="274" t="s">
        <v>120</v>
      </c>
      <c r="C104" s="122"/>
      <c r="D104" s="122"/>
      <c r="E104" s="157" t="str">
        <f t="shared" ref="E104:R104" si="14">E65</f>
        <v>SARL</v>
      </c>
      <c r="F104" s="121" t="str">
        <f t="shared" si="14"/>
        <v>EURL</v>
      </c>
      <c r="G104" s="158" t="str">
        <f t="shared" si="14"/>
        <v>SAS</v>
      </c>
      <c r="H104" s="158" t="str">
        <f t="shared" si="14"/>
        <v>INDIVIDUEL</v>
      </c>
      <c r="I104" s="158" t="str">
        <f t="shared" si="14"/>
        <v>ASSOCIATION</v>
      </c>
      <c r="J104" s="157" t="str">
        <f t="shared" si="14"/>
        <v>PROFESSION LIBERALE</v>
      </c>
      <c r="K104" s="157" t="str">
        <f t="shared" si="14"/>
        <v>SNC</v>
      </c>
      <c r="L104" s="157" t="str">
        <f t="shared" si="14"/>
        <v>SCI</v>
      </c>
      <c r="M104" s="157" t="str">
        <f t="shared" si="14"/>
        <v>EARL</v>
      </c>
      <c r="N104" s="157" t="str">
        <f t="shared" si="14"/>
        <v>ETA</v>
      </c>
      <c r="O104" s="157" t="str">
        <f t="shared" si="14"/>
        <v>SCEA</v>
      </c>
      <c r="P104" s="157" t="str">
        <f t="shared" si="14"/>
        <v>GROUPEMENT</v>
      </c>
      <c r="Q104" s="121" t="str">
        <f t="shared" si="14"/>
        <v>EIRL</v>
      </c>
      <c r="R104" s="121" t="str">
        <f t="shared" si="14"/>
        <v>AUTRES</v>
      </c>
      <c r="S104" s="121"/>
      <c r="T104" s="157" t="s">
        <v>86</v>
      </c>
      <c r="U104" s="164"/>
      <c r="V104" s="164"/>
      <c r="W104" s="164"/>
      <c r="X104" s="164"/>
      <c r="Y104" s="164"/>
      <c r="Z104" s="164"/>
      <c r="AA104" s="164"/>
      <c r="AB104" s="164"/>
      <c r="AC104" s="164"/>
      <c r="AE104" s="164"/>
      <c r="AF104" s="164"/>
      <c r="AG104" s="164"/>
      <c r="AH104" s="164"/>
      <c r="AI104" s="164"/>
      <c r="AJ104" s="164"/>
      <c r="AK104" s="164"/>
      <c r="AL104" s="164"/>
      <c r="AM104" s="164"/>
      <c r="AN104" s="164"/>
      <c r="AO104" s="164"/>
      <c r="AP104" s="164"/>
      <c r="AQ104" s="164"/>
      <c r="AR104" s="164"/>
      <c r="AS104" s="164"/>
      <c r="AT104" s="164"/>
      <c r="AU104" s="164"/>
      <c r="AV104" s="164"/>
      <c r="AW104" s="164"/>
      <c r="AX104" s="164"/>
    </row>
    <row r="105" spans="2:50" x14ac:dyDescent="0.25">
      <c r="B105" s="275"/>
      <c r="C105" s="120" t="s">
        <v>109</v>
      </c>
      <c r="D105" s="122">
        <f>+D66-D85</f>
        <v>1</v>
      </c>
      <c r="E105" s="122">
        <f t="shared" ref="E105:R107" si="15">+E66-E85</f>
        <v>0</v>
      </c>
      <c r="F105" s="122">
        <f t="shared" si="15"/>
        <v>0</v>
      </c>
      <c r="G105" s="122">
        <f t="shared" si="15"/>
        <v>0</v>
      </c>
      <c r="H105" s="122">
        <f t="shared" si="15"/>
        <v>0</v>
      </c>
      <c r="I105" s="122">
        <f t="shared" si="15"/>
        <v>0</v>
      </c>
      <c r="J105" s="122">
        <f t="shared" si="15"/>
        <v>0</v>
      </c>
      <c r="K105" s="122">
        <f t="shared" si="15"/>
        <v>0</v>
      </c>
      <c r="L105" s="122">
        <f t="shared" si="15"/>
        <v>0</v>
      </c>
      <c r="M105" s="122">
        <f t="shared" si="15"/>
        <v>0</v>
      </c>
      <c r="N105" s="122">
        <f t="shared" si="15"/>
        <v>0</v>
      </c>
      <c r="O105" s="122">
        <f t="shared" si="15"/>
        <v>0</v>
      </c>
      <c r="P105" s="122">
        <f t="shared" si="15"/>
        <v>0</v>
      </c>
      <c r="Q105" s="122">
        <f t="shared" si="15"/>
        <v>1</v>
      </c>
      <c r="R105" s="122">
        <f t="shared" si="15"/>
        <v>0</v>
      </c>
      <c r="S105" s="122"/>
      <c r="T105" s="122">
        <f>+SUM(E105:P105)</f>
        <v>0</v>
      </c>
      <c r="U105" s="164"/>
      <c r="V105" s="164"/>
      <c r="W105" s="164"/>
      <c r="X105" s="164"/>
      <c r="Y105" s="164"/>
      <c r="Z105" s="164"/>
      <c r="AA105" s="164"/>
      <c r="AB105" s="164"/>
      <c r="AC105" s="164"/>
      <c r="AE105" s="164"/>
      <c r="AF105" s="164"/>
      <c r="AG105" s="164"/>
      <c r="AH105" s="164"/>
      <c r="AI105" s="164"/>
      <c r="AJ105" s="164"/>
      <c r="AK105" s="164"/>
      <c r="AL105" s="164"/>
      <c r="AM105" s="164"/>
      <c r="AN105" s="164"/>
      <c r="AO105" s="164"/>
      <c r="AP105" s="164"/>
      <c r="AQ105" s="164"/>
      <c r="AR105" s="164"/>
      <c r="AS105" s="164"/>
      <c r="AT105" s="164"/>
      <c r="AU105" s="164"/>
      <c r="AV105" s="164"/>
      <c r="AW105" s="164"/>
      <c r="AX105" s="164"/>
    </row>
    <row r="106" spans="2:50" x14ac:dyDescent="0.25">
      <c r="B106" s="275"/>
      <c r="C106" s="120" t="s">
        <v>121</v>
      </c>
      <c r="D106" s="122">
        <f>+D67-D86</f>
        <v>0</v>
      </c>
      <c r="E106" s="122">
        <f t="shared" si="15"/>
        <v>0</v>
      </c>
      <c r="F106" s="122">
        <f t="shared" si="15"/>
        <v>0</v>
      </c>
      <c r="G106" s="122">
        <f t="shared" si="15"/>
        <v>0</v>
      </c>
      <c r="H106" s="122">
        <f t="shared" si="15"/>
        <v>0</v>
      </c>
      <c r="I106" s="122">
        <f t="shared" si="15"/>
        <v>0</v>
      </c>
      <c r="J106" s="122">
        <f t="shared" si="15"/>
        <v>0</v>
      </c>
      <c r="K106" s="122">
        <f t="shared" si="15"/>
        <v>0</v>
      </c>
      <c r="L106" s="122">
        <f t="shared" si="15"/>
        <v>0</v>
      </c>
      <c r="M106" s="122">
        <f t="shared" si="15"/>
        <v>0</v>
      </c>
      <c r="N106" s="122">
        <f t="shared" si="15"/>
        <v>0</v>
      </c>
      <c r="O106" s="122">
        <f t="shared" si="15"/>
        <v>0</v>
      </c>
      <c r="P106" s="122">
        <f t="shared" si="15"/>
        <v>0</v>
      </c>
      <c r="Q106" s="122">
        <f t="shared" si="15"/>
        <v>0</v>
      </c>
      <c r="R106" s="122">
        <f t="shared" si="15"/>
        <v>0</v>
      </c>
      <c r="S106" s="122"/>
      <c r="T106" s="122">
        <f>+SUM(E106:P106)</f>
        <v>0</v>
      </c>
      <c r="U106" s="164"/>
      <c r="V106" s="164"/>
      <c r="W106" s="164"/>
      <c r="X106" s="164"/>
      <c r="Y106" s="164"/>
      <c r="Z106" s="164"/>
      <c r="AA106" s="164"/>
      <c r="AB106" s="164"/>
      <c r="AC106" s="164"/>
      <c r="AE106" s="164"/>
      <c r="AF106" s="164"/>
      <c r="AG106" s="164"/>
      <c r="AH106" s="164"/>
      <c r="AI106" s="164"/>
      <c r="AJ106" s="164"/>
      <c r="AK106" s="164"/>
      <c r="AL106" s="164"/>
      <c r="AM106" s="164"/>
      <c r="AN106" s="164"/>
      <c r="AO106" s="164"/>
      <c r="AP106" s="164"/>
      <c r="AQ106" s="164"/>
      <c r="AR106" s="164"/>
      <c r="AS106" s="164"/>
      <c r="AT106" s="164"/>
      <c r="AU106" s="164"/>
      <c r="AV106" s="164"/>
      <c r="AW106" s="164"/>
      <c r="AX106" s="164"/>
    </row>
    <row r="107" spans="2:50" x14ac:dyDescent="0.25">
      <c r="B107" s="276"/>
      <c r="C107" s="122" t="s">
        <v>122</v>
      </c>
      <c r="D107" s="122">
        <f>+D68-D87</f>
        <v>0</v>
      </c>
      <c r="E107" s="122">
        <f t="shared" si="15"/>
        <v>0</v>
      </c>
      <c r="F107" s="122">
        <f t="shared" si="15"/>
        <v>0</v>
      </c>
      <c r="G107" s="122">
        <f t="shared" si="15"/>
        <v>0</v>
      </c>
      <c r="H107" s="122">
        <f t="shared" si="15"/>
        <v>0</v>
      </c>
      <c r="I107" s="122">
        <f t="shared" si="15"/>
        <v>0</v>
      </c>
      <c r="J107" s="122">
        <f t="shared" si="15"/>
        <v>0</v>
      </c>
      <c r="K107" s="122">
        <f t="shared" si="15"/>
        <v>0</v>
      </c>
      <c r="L107" s="122">
        <f t="shared" si="15"/>
        <v>0</v>
      </c>
      <c r="M107" s="122">
        <f t="shared" si="15"/>
        <v>0</v>
      </c>
      <c r="N107" s="122">
        <f t="shared" si="15"/>
        <v>0</v>
      </c>
      <c r="O107" s="122">
        <f t="shared" si="15"/>
        <v>0</v>
      </c>
      <c r="P107" s="122">
        <f t="shared" si="15"/>
        <v>0</v>
      </c>
      <c r="Q107" s="122">
        <f t="shared" si="15"/>
        <v>0</v>
      </c>
      <c r="R107" s="122">
        <f t="shared" si="15"/>
        <v>0</v>
      </c>
      <c r="S107" s="122"/>
      <c r="T107" s="122">
        <f>+SUM(E107:P107)</f>
        <v>0</v>
      </c>
      <c r="U107" s="164"/>
      <c r="V107" s="164"/>
      <c r="W107" s="164"/>
      <c r="X107" s="164"/>
      <c r="Y107" s="164"/>
      <c r="Z107" s="164"/>
      <c r="AA107" s="164"/>
      <c r="AB107" s="164"/>
      <c r="AC107" s="164"/>
      <c r="AE107" s="164"/>
      <c r="AF107" s="164"/>
      <c r="AG107" s="164"/>
      <c r="AH107" s="164"/>
      <c r="AI107" s="164"/>
      <c r="AJ107" s="164"/>
      <c r="AK107" s="164"/>
      <c r="AL107" s="164"/>
      <c r="AM107" s="164"/>
      <c r="AN107" s="164"/>
      <c r="AO107" s="164"/>
      <c r="AP107" s="164"/>
      <c r="AQ107" s="164"/>
      <c r="AR107" s="164"/>
      <c r="AS107" s="164"/>
      <c r="AT107" s="164"/>
      <c r="AU107" s="164"/>
      <c r="AV107" s="164"/>
      <c r="AW107" s="164"/>
      <c r="AX107" s="164"/>
    </row>
    <row r="108" spans="2:50" x14ac:dyDescent="0.25">
      <c r="B108" s="277" t="s">
        <v>123</v>
      </c>
      <c r="C108" s="277"/>
      <c r="D108" s="122">
        <f t="shared" ref="D108:R108" si="16">+SUM(D105:D107)</f>
        <v>1</v>
      </c>
      <c r="E108" s="122">
        <f t="shared" si="16"/>
        <v>0</v>
      </c>
      <c r="F108" s="122">
        <f t="shared" si="16"/>
        <v>0</v>
      </c>
      <c r="G108" s="122">
        <f t="shared" si="16"/>
        <v>0</v>
      </c>
      <c r="H108" s="122">
        <f t="shared" si="16"/>
        <v>0</v>
      </c>
      <c r="I108" s="122">
        <f t="shared" si="16"/>
        <v>0</v>
      </c>
      <c r="J108" s="122">
        <f t="shared" si="16"/>
        <v>0</v>
      </c>
      <c r="K108" s="122">
        <f t="shared" si="16"/>
        <v>0</v>
      </c>
      <c r="L108" s="122">
        <f t="shared" si="16"/>
        <v>0</v>
      </c>
      <c r="M108" s="122">
        <f t="shared" si="16"/>
        <v>0</v>
      </c>
      <c r="N108" s="122">
        <f t="shared" si="16"/>
        <v>0</v>
      </c>
      <c r="O108" s="122">
        <f t="shared" si="16"/>
        <v>0</v>
      </c>
      <c r="P108" s="122">
        <f t="shared" si="16"/>
        <v>0</v>
      </c>
      <c r="Q108" s="122">
        <f t="shared" si="16"/>
        <v>1</v>
      </c>
      <c r="R108" s="122">
        <f t="shared" si="16"/>
        <v>0</v>
      </c>
      <c r="S108" s="122"/>
      <c r="T108" s="122">
        <f>+SUM(T105:T107)</f>
        <v>0</v>
      </c>
      <c r="U108" s="164"/>
      <c r="V108" s="164"/>
      <c r="W108" s="164"/>
      <c r="X108" s="164"/>
      <c r="Y108" s="164"/>
      <c r="Z108" s="164"/>
      <c r="AA108" s="164"/>
      <c r="AB108" s="164"/>
      <c r="AC108" s="164"/>
      <c r="AE108" s="164"/>
      <c r="AF108" s="164"/>
      <c r="AG108" s="164"/>
      <c r="AH108" s="164"/>
      <c r="AI108" s="164"/>
      <c r="AJ108" s="164"/>
      <c r="AK108" s="164"/>
      <c r="AL108" s="164"/>
      <c r="AM108" s="164"/>
      <c r="AN108" s="164"/>
      <c r="AO108" s="164"/>
      <c r="AP108" s="164"/>
      <c r="AQ108" s="164"/>
      <c r="AR108" s="164"/>
      <c r="AS108" s="164"/>
      <c r="AT108" s="164"/>
      <c r="AU108" s="164"/>
      <c r="AV108" s="164"/>
      <c r="AW108" s="164"/>
      <c r="AX108" s="164"/>
    </row>
    <row r="109" spans="2:50" x14ac:dyDescent="0.25">
      <c r="B109" s="90"/>
      <c r="C109" s="90"/>
      <c r="D109" s="90"/>
      <c r="E109" s="90"/>
      <c r="G109" s="90"/>
      <c r="H109" s="90"/>
      <c r="I109" s="90"/>
      <c r="J109" s="90"/>
      <c r="K109" s="90"/>
      <c r="L109" s="90"/>
      <c r="M109" s="90"/>
      <c r="N109" s="90"/>
      <c r="O109" s="90"/>
      <c r="P109" s="90"/>
      <c r="T109" s="90"/>
      <c r="U109" s="164"/>
      <c r="V109" s="164"/>
      <c r="W109" s="164"/>
      <c r="X109" s="164"/>
      <c r="Y109" s="164"/>
      <c r="Z109" s="164"/>
      <c r="AA109" s="164"/>
      <c r="AB109" s="164"/>
      <c r="AC109" s="164"/>
      <c r="AE109" s="164"/>
      <c r="AF109" s="164"/>
      <c r="AG109" s="164"/>
      <c r="AH109" s="164"/>
      <c r="AI109" s="164"/>
      <c r="AJ109" s="164"/>
      <c r="AK109" s="164"/>
      <c r="AL109" s="164"/>
      <c r="AM109" s="164"/>
      <c r="AN109" s="164"/>
      <c r="AO109" s="164"/>
      <c r="AP109" s="164"/>
      <c r="AQ109" s="164"/>
      <c r="AR109" s="164"/>
      <c r="AS109" s="164"/>
      <c r="AT109" s="164"/>
      <c r="AU109" s="164"/>
      <c r="AV109" s="164"/>
      <c r="AW109" s="164"/>
      <c r="AX109" s="164"/>
    </row>
    <row r="110" spans="2:50" x14ac:dyDescent="0.25">
      <c r="B110" s="278">
        <v>44196</v>
      </c>
      <c r="C110" s="122"/>
      <c r="D110" s="122"/>
      <c r="E110" s="128" t="str">
        <f t="shared" ref="E110:R110" si="17">E65</f>
        <v>SARL</v>
      </c>
      <c r="F110" s="121" t="str">
        <f t="shared" si="17"/>
        <v>EURL</v>
      </c>
      <c r="G110" s="127" t="str">
        <f t="shared" si="17"/>
        <v>SAS</v>
      </c>
      <c r="H110" s="127" t="str">
        <f t="shared" si="17"/>
        <v>INDIVIDUEL</v>
      </c>
      <c r="I110" s="127" t="str">
        <f t="shared" si="17"/>
        <v>ASSOCIATION</v>
      </c>
      <c r="J110" s="128" t="str">
        <f t="shared" si="17"/>
        <v>PROFESSION LIBERALE</v>
      </c>
      <c r="K110" s="128" t="str">
        <f t="shared" si="17"/>
        <v>SNC</v>
      </c>
      <c r="L110" s="128" t="str">
        <f t="shared" si="17"/>
        <v>SCI</v>
      </c>
      <c r="M110" s="128" t="str">
        <f t="shared" si="17"/>
        <v>EARL</v>
      </c>
      <c r="N110" s="128" t="str">
        <f t="shared" si="17"/>
        <v>ETA</v>
      </c>
      <c r="O110" s="128" t="str">
        <f t="shared" si="17"/>
        <v>SCEA</v>
      </c>
      <c r="P110" s="128" t="str">
        <f t="shared" si="17"/>
        <v>GROUPEMENT</v>
      </c>
      <c r="Q110" s="128" t="str">
        <f t="shared" si="17"/>
        <v>EIRL</v>
      </c>
      <c r="R110" s="121" t="str">
        <f t="shared" si="17"/>
        <v>AUTRES</v>
      </c>
      <c r="S110" s="121"/>
      <c r="T110" s="128" t="s">
        <v>86</v>
      </c>
      <c r="U110" s="164"/>
      <c r="V110" s="164"/>
      <c r="W110" s="164"/>
      <c r="X110" s="164"/>
      <c r="Y110" s="164"/>
      <c r="Z110" s="164"/>
      <c r="AA110" s="164"/>
      <c r="AB110" s="164"/>
      <c r="AC110" s="164"/>
      <c r="AE110" s="164"/>
      <c r="AF110" s="164"/>
      <c r="AG110" s="164"/>
      <c r="AH110" s="164"/>
      <c r="AI110" s="164"/>
      <c r="AJ110" s="164"/>
      <c r="AK110" s="164"/>
      <c r="AL110" s="164"/>
      <c r="AM110" s="164"/>
      <c r="AN110" s="164"/>
      <c r="AO110" s="164"/>
      <c r="AP110" s="164"/>
      <c r="AQ110" s="164"/>
      <c r="AR110" s="164"/>
      <c r="AS110" s="164"/>
      <c r="AT110" s="164"/>
      <c r="AU110" s="164"/>
      <c r="AV110" s="164"/>
      <c r="AW110" s="164"/>
      <c r="AX110" s="164"/>
    </row>
    <row r="111" spans="2:50" x14ac:dyDescent="0.25">
      <c r="B111" s="275"/>
      <c r="C111" s="120" t="s">
        <v>109</v>
      </c>
      <c r="D111" s="122">
        <f>+D72-D91</f>
        <v>1</v>
      </c>
      <c r="E111" s="122">
        <f t="shared" ref="E111:R113" si="18">+E72-E91</f>
        <v>0</v>
      </c>
      <c r="F111" s="122">
        <f t="shared" si="18"/>
        <v>0</v>
      </c>
      <c r="G111" s="122">
        <f t="shared" si="18"/>
        <v>0</v>
      </c>
      <c r="H111" s="122">
        <f t="shared" si="18"/>
        <v>0</v>
      </c>
      <c r="I111" s="122">
        <f t="shared" si="18"/>
        <v>0</v>
      </c>
      <c r="J111" s="122">
        <f t="shared" si="18"/>
        <v>0</v>
      </c>
      <c r="K111" s="122">
        <f t="shared" si="18"/>
        <v>0</v>
      </c>
      <c r="L111" s="122">
        <f t="shared" si="18"/>
        <v>0</v>
      </c>
      <c r="M111" s="122">
        <f t="shared" si="18"/>
        <v>0</v>
      </c>
      <c r="N111" s="122">
        <f t="shared" si="18"/>
        <v>0</v>
      </c>
      <c r="O111" s="122">
        <f t="shared" si="18"/>
        <v>0</v>
      </c>
      <c r="P111" s="122">
        <f t="shared" si="18"/>
        <v>0</v>
      </c>
      <c r="Q111" s="122">
        <f t="shared" si="18"/>
        <v>1</v>
      </c>
      <c r="R111" s="122">
        <f t="shared" si="18"/>
        <v>0</v>
      </c>
      <c r="S111" s="122"/>
      <c r="T111" s="122">
        <f>+SUM(E111:P111)</f>
        <v>0</v>
      </c>
      <c r="U111" s="164"/>
      <c r="V111" s="164"/>
      <c r="W111" s="164"/>
      <c r="X111" s="164"/>
      <c r="Y111" s="164"/>
      <c r="Z111" s="164"/>
      <c r="AA111" s="164"/>
      <c r="AB111" s="164"/>
      <c r="AC111" s="164"/>
      <c r="AE111" s="164"/>
      <c r="AF111" s="164"/>
      <c r="AG111" s="164"/>
      <c r="AH111" s="164"/>
      <c r="AI111" s="164"/>
      <c r="AJ111" s="164"/>
      <c r="AK111" s="164"/>
      <c r="AL111" s="164"/>
      <c r="AM111" s="164"/>
      <c r="AN111" s="164"/>
      <c r="AO111" s="164"/>
      <c r="AP111" s="164"/>
      <c r="AQ111" s="164"/>
      <c r="AR111" s="164"/>
      <c r="AS111" s="164"/>
      <c r="AT111" s="164"/>
      <c r="AU111" s="164"/>
      <c r="AV111" s="164"/>
      <c r="AW111" s="164"/>
      <c r="AX111" s="164"/>
    </row>
    <row r="112" spans="2:50" x14ac:dyDescent="0.25">
      <c r="B112" s="275"/>
      <c r="C112" s="120" t="s">
        <v>121</v>
      </c>
      <c r="D112" s="122">
        <f>+D73-D92</f>
        <v>0</v>
      </c>
      <c r="E112" s="122">
        <f t="shared" si="18"/>
        <v>0</v>
      </c>
      <c r="F112" s="122">
        <f t="shared" si="18"/>
        <v>0</v>
      </c>
      <c r="G112" s="122">
        <f t="shared" si="18"/>
        <v>0</v>
      </c>
      <c r="H112" s="122">
        <f t="shared" si="18"/>
        <v>0</v>
      </c>
      <c r="I112" s="122">
        <f t="shared" si="18"/>
        <v>0</v>
      </c>
      <c r="J112" s="122">
        <f t="shared" si="18"/>
        <v>0</v>
      </c>
      <c r="K112" s="122">
        <f t="shared" si="18"/>
        <v>0</v>
      </c>
      <c r="L112" s="122">
        <f t="shared" si="18"/>
        <v>0</v>
      </c>
      <c r="M112" s="122">
        <f t="shared" si="18"/>
        <v>0</v>
      </c>
      <c r="N112" s="122">
        <f t="shared" si="18"/>
        <v>0</v>
      </c>
      <c r="O112" s="122">
        <f t="shared" si="18"/>
        <v>0</v>
      </c>
      <c r="P112" s="122">
        <f t="shared" si="18"/>
        <v>0</v>
      </c>
      <c r="Q112" s="122">
        <f t="shared" si="18"/>
        <v>0</v>
      </c>
      <c r="R112" s="122">
        <f t="shared" si="18"/>
        <v>0</v>
      </c>
      <c r="S112" s="122"/>
      <c r="T112" s="122">
        <f>+SUM(E112:P112)</f>
        <v>0</v>
      </c>
      <c r="U112" s="164"/>
      <c r="V112" s="164"/>
      <c r="W112" s="164"/>
      <c r="X112" s="164"/>
      <c r="Y112" s="164"/>
      <c r="Z112" s="164"/>
      <c r="AA112" s="164"/>
      <c r="AB112" s="164"/>
      <c r="AC112" s="164"/>
      <c r="AE112" s="164"/>
      <c r="AF112" s="164"/>
      <c r="AG112" s="164"/>
      <c r="AH112" s="164"/>
      <c r="AI112" s="164"/>
      <c r="AJ112" s="164"/>
      <c r="AK112" s="164"/>
      <c r="AL112" s="164"/>
      <c r="AM112" s="164"/>
      <c r="AN112" s="164"/>
      <c r="AO112" s="164"/>
      <c r="AP112" s="164"/>
      <c r="AQ112" s="164"/>
      <c r="AR112" s="164"/>
      <c r="AS112" s="164"/>
      <c r="AT112" s="164"/>
      <c r="AU112" s="164"/>
      <c r="AV112" s="164"/>
      <c r="AW112" s="164"/>
      <c r="AX112" s="164"/>
    </row>
    <row r="113" spans="2:50" x14ac:dyDescent="0.25">
      <c r="B113" s="276"/>
      <c r="C113" s="122" t="s">
        <v>122</v>
      </c>
      <c r="D113" s="122">
        <f>+D74-D93</f>
        <v>0</v>
      </c>
      <c r="E113" s="122">
        <f t="shared" si="18"/>
        <v>0</v>
      </c>
      <c r="F113" s="122">
        <f t="shared" si="18"/>
        <v>0</v>
      </c>
      <c r="G113" s="122">
        <f t="shared" si="18"/>
        <v>0</v>
      </c>
      <c r="H113" s="122">
        <f t="shared" si="18"/>
        <v>0</v>
      </c>
      <c r="I113" s="122">
        <f t="shared" si="18"/>
        <v>0</v>
      </c>
      <c r="J113" s="122">
        <f t="shared" si="18"/>
        <v>0</v>
      </c>
      <c r="K113" s="122">
        <f t="shared" si="18"/>
        <v>0</v>
      </c>
      <c r="L113" s="122">
        <f t="shared" si="18"/>
        <v>0</v>
      </c>
      <c r="M113" s="122">
        <f t="shared" si="18"/>
        <v>0</v>
      </c>
      <c r="N113" s="122">
        <f t="shared" si="18"/>
        <v>0</v>
      </c>
      <c r="O113" s="122">
        <f t="shared" si="18"/>
        <v>0</v>
      </c>
      <c r="P113" s="122">
        <f t="shared" si="18"/>
        <v>0</v>
      </c>
      <c r="Q113" s="122">
        <f t="shared" si="18"/>
        <v>0</v>
      </c>
      <c r="R113" s="122">
        <f t="shared" si="18"/>
        <v>0</v>
      </c>
      <c r="S113" s="122"/>
      <c r="T113" s="122">
        <f>+SUM(E113:P113)</f>
        <v>0</v>
      </c>
      <c r="U113" s="164"/>
      <c r="V113" s="164"/>
      <c r="W113" s="164"/>
      <c r="X113" s="164"/>
      <c r="Y113" s="164"/>
      <c r="Z113" s="164"/>
      <c r="AA113" s="164"/>
      <c r="AB113" s="164"/>
      <c r="AC113" s="164"/>
      <c r="AE113" s="164"/>
      <c r="AF113" s="164"/>
      <c r="AG113" s="164"/>
      <c r="AH113" s="164"/>
      <c r="AI113" s="164"/>
      <c r="AJ113" s="164"/>
      <c r="AK113" s="164"/>
      <c r="AL113" s="164"/>
      <c r="AM113" s="164"/>
      <c r="AN113" s="164"/>
      <c r="AO113" s="164"/>
      <c r="AP113" s="164"/>
      <c r="AQ113" s="164"/>
      <c r="AR113" s="164"/>
      <c r="AS113" s="164"/>
      <c r="AT113" s="164"/>
      <c r="AU113" s="164"/>
      <c r="AV113" s="164"/>
      <c r="AW113" s="164"/>
      <c r="AX113" s="164"/>
    </row>
    <row r="114" spans="2:50" x14ac:dyDescent="0.25">
      <c r="B114" s="277" t="s">
        <v>123</v>
      </c>
      <c r="C114" s="277"/>
      <c r="D114" s="122">
        <f t="shared" ref="D114:R114" si="19">+SUM(D111:D113)</f>
        <v>1</v>
      </c>
      <c r="E114" s="122">
        <f t="shared" si="19"/>
        <v>0</v>
      </c>
      <c r="F114" s="122">
        <f t="shared" si="19"/>
        <v>0</v>
      </c>
      <c r="G114" s="122">
        <f t="shared" si="19"/>
        <v>0</v>
      </c>
      <c r="H114" s="122">
        <f t="shared" si="19"/>
        <v>0</v>
      </c>
      <c r="I114" s="122">
        <f t="shared" si="19"/>
        <v>0</v>
      </c>
      <c r="J114" s="122">
        <f t="shared" si="19"/>
        <v>0</v>
      </c>
      <c r="K114" s="122">
        <f t="shared" si="19"/>
        <v>0</v>
      </c>
      <c r="L114" s="122">
        <f t="shared" si="19"/>
        <v>0</v>
      </c>
      <c r="M114" s="122">
        <f t="shared" si="19"/>
        <v>0</v>
      </c>
      <c r="N114" s="122">
        <f t="shared" si="19"/>
        <v>0</v>
      </c>
      <c r="O114" s="122">
        <f t="shared" si="19"/>
        <v>0</v>
      </c>
      <c r="P114" s="122">
        <f t="shared" si="19"/>
        <v>0</v>
      </c>
      <c r="Q114" s="122">
        <f t="shared" si="19"/>
        <v>1</v>
      </c>
      <c r="R114" s="122">
        <f t="shared" si="19"/>
        <v>0</v>
      </c>
      <c r="S114" s="122"/>
      <c r="T114" s="122">
        <f>+SUM(T111:T113)</f>
        <v>0</v>
      </c>
      <c r="U114" s="164"/>
      <c r="V114" s="164"/>
      <c r="W114" s="164"/>
      <c r="X114" s="164"/>
      <c r="Y114" s="164"/>
      <c r="Z114" s="164"/>
      <c r="AA114" s="164"/>
      <c r="AB114" s="164"/>
      <c r="AC114" s="164"/>
      <c r="AE114" s="164"/>
      <c r="AF114" s="164"/>
      <c r="AG114" s="164"/>
      <c r="AH114" s="164"/>
      <c r="AI114" s="164"/>
      <c r="AJ114" s="164"/>
      <c r="AK114" s="164"/>
      <c r="AL114" s="164"/>
      <c r="AM114" s="164"/>
      <c r="AN114" s="164"/>
      <c r="AO114" s="164"/>
      <c r="AP114" s="164"/>
      <c r="AQ114" s="164"/>
      <c r="AR114" s="164"/>
      <c r="AS114" s="164"/>
      <c r="AT114" s="164"/>
      <c r="AU114" s="164"/>
      <c r="AV114" s="164"/>
      <c r="AW114" s="164"/>
      <c r="AX114" s="164"/>
    </row>
    <row r="115" spans="2:50" x14ac:dyDescent="0.25">
      <c r="B115" s="90"/>
      <c r="C115" s="90"/>
      <c r="D115" s="90"/>
      <c r="E115" s="90"/>
      <c r="G115" s="90"/>
      <c r="H115" s="90"/>
      <c r="I115" s="90"/>
      <c r="J115" s="90"/>
      <c r="K115" s="90"/>
      <c r="L115" s="90"/>
      <c r="M115" s="90"/>
      <c r="N115" s="90"/>
      <c r="O115" s="90"/>
      <c r="P115" s="90"/>
      <c r="T115" s="90"/>
      <c r="U115" s="164"/>
      <c r="V115" s="164"/>
      <c r="W115" s="164"/>
      <c r="X115" s="164"/>
      <c r="Y115" s="164"/>
      <c r="Z115" s="164"/>
      <c r="AA115" s="164"/>
      <c r="AB115" s="164"/>
      <c r="AC115" s="164"/>
      <c r="AE115" s="164"/>
      <c r="AF115" s="164"/>
      <c r="AG115" s="164"/>
      <c r="AH115" s="164"/>
      <c r="AI115" s="164"/>
      <c r="AJ115" s="164"/>
      <c r="AK115" s="164"/>
      <c r="AL115" s="164"/>
      <c r="AM115" s="164"/>
      <c r="AN115" s="164"/>
      <c r="AO115" s="164"/>
      <c r="AP115" s="164"/>
      <c r="AQ115" s="164"/>
      <c r="AR115" s="164"/>
      <c r="AS115" s="164"/>
      <c r="AT115" s="164"/>
      <c r="AU115" s="164"/>
      <c r="AV115" s="164"/>
      <c r="AW115" s="164"/>
      <c r="AX115" s="164"/>
    </row>
    <row r="116" spans="2:50" x14ac:dyDescent="0.25">
      <c r="B116" s="278" t="s">
        <v>40</v>
      </c>
      <c r="C116" s="122"/>
      <c r="D116" s="122"/>
      <c r="E116" s="125" t="str">
        <f t="shared" ref="E116:R116" si="20">E65</f>
        <v>SARL</v>
      </c>
      <c r="F116" s="121" t="str">
        <f t="shared" si="20"/>
        <v>EURL</v>
      </c>
      <c r="G116" s="126" t="str">
        <f t="shared" si="20"/>
        <v>SAS</v>
      </c>
      <c r="H116" s="127" t="str">
        <f t="shared" si="20"/>
        <v>INDIVIDUEL</v>
      </c>
      <c r="I116" s="127" t="str">
        <f t="shared" si="20"/>
        <v>ASSOCIATION</v>
      </c>
      <c r="J116" s="128" t="str">
        <f t="shared" si="20"/>
        <v>PROFESSION LIBERALE</v>
      </c>
      <c r="K116" s="128" t="str">
        <f t="shared" si="20"/>
        <v>SNC</v>
      </c>
      <c r="L116" s="128" t="str">
        <f t="shared" si="20"/>
        <v>SCI</v>
      </c>
      <c r="M116" s="128" t="str">
        <f t="shared" si="20"/>
        <v>EARL</v>
      </c>
      <c r="N116" s="128" t="str">
        <f t="shared" si="20"/>
        <v>ETA</v>
      </c>
      <c r="O116" s="128" t="str">
        <f t="shared" si="20"/>
        <v>SCEA</v>
      </c>
      <c r="P116" s="128" t="str">
        <f t="shared" si="20"/>
        <v>GROUPEMENT</v>
      </c>
      <c r="Q116" s="128" t="str">
        <f t="shared" si="20"/>
        <v>EIRL</v>
      </c>
      <c r="R116" s="121" t="str">
        <f t="shared" si="20"/>
        <v>AUTRES</v>
      </c>
      <c r="S116" s="121"/>
      <c r="T116" s="128" t="s">
        <v>86</v>
      </c>
      <c r="U116" s="164"/>
      <c r="V116" s="164"/>
      <c r="W116" s="164"/>
      <c r="X116" s="164"/>
      <c r="Y116" s="164"/>
      <c r="Z116" s="164"/>
      <c r="AA116" s="164"/>
      <c r="AB116" s="164"/>
      <c r="AC116" s="164"/>
      <c r="AE116" s="164"/>
      <c r="AF116" s="164"/>
      <c r="AG116" s="164"/>
      <c r="AH116" s="164"/>
      <c r="AI116" s="164"/>
      <c r="AJ116" s="164"/>
      <c r="AK116" s="164"/>
      <c r="AL116" s="164"/>
      <c r="AM116" s="164"/>
      <c r="AN116" s="164"/>
      <c r="AO116" s="164"/>
      <c r="AP116" s="164"/>
      <c r="AQ116" s="164"/>
      <c r="AR116" s="164"/>
      <c r="AS116" s="164"/>
      <c r="AT116" s="164"/>
      <c r="AU116" s="164"/>
      <c r="AV116" s="164"/>
      <c r="AW116" s="164"/>
      <c r="AX116" s="164"/>
    </row>
    <row r="117" spans="2:50" x14ac:dyDescent="0.25">
      <c r="B117" s="275"/>
      <c r="C117" s="120" t="s">
        <v>109</v>
      </c>
      <c r="D117" s="122">
        <f>+D105-D111</f>
        <v>0</v>
      </c>
      <c r="E117" s="122">
        <f t="shared" ref="E117:R120" si="21">+E105-E111</f>
        <v>0</v>
      </c>
      <c r="F117" s="122">
        <f t="shared" si="21"/>
        <v>0</v>
      </c>
      <c r="G117" s="122">
        <f t="shared" si="21"/>
        <v>0</v>
      </c>
      <c r="H117" s="122">
        <f t="shared" si="21"/>
        <v>0</v>
      </c>
      <c r="I117" s="122">
        <f t="shared" si="21"/>
        <v>0</v>
      </c>
      <c r="J117" s="122">
        <f t="shared" si="21"/>
        <v>0</v>
      </c>
      <c r="K117" s="122">
        <f t="shared" si="21"/>
        <v>0</v>
      </c>
      <c r="L117" s="122">
        <f t="shared" si="21"/>
        <v>0</v>
      </c>
      <c r="M117" s="122">
        <f t="shared" si="21"/>
        <v>0</v>
      </c>
      <c r="N117" s="122">
        <f t="shared" si="21"/>
        <v>0</v>
      </c>
      <c r="O117" s="122">
        <f t="shared" si="21"/>
        <v>0</v>
      </c>
      <c r="P117" s="122">
        <f t="shared" si="21"/>
        <v>0</v>
      </c>
      <c r="Q117" s="122">
        <f t="shared" si="21"/>
        <v>0</v>
      </c>
      <c r="R117" s="122">
        <f t="shared" si="21"/>
        <v>0</v>
      </c>
      <c r="S117" s="122"/>
      <c r="T117" s="122">
        <f>+SUM(E117:P117)</f>
        <v>0</v>
      </c>
      <c r="U117" s="164"/>
      <c r="V117" s="164"/>
      <c r="W117" s="164"/>
      <c r="X117" s="164"/>
      <c r="Y117" s="164"/>
      <c r="Z117" s="164"/>
      <c r="AA117" s="164"/>
      <c r="AB117" s="164"/>
      <c r="AC117" s="164"/>
      <c r="AE117" s="164"/>
      <c r="AF117" s="164"/>
      <c r="AG117" s="164"/>
      <c r="AH117" s="164"/>
      <c r="AI117" s="164"/>
      <c r="AJ117" s="164"/>
      <c r="AK117" s="164"/>
      <c r="AL117" s="164"/>
      <c r="AM117" s="164"/>
      <c r="AN117" s="164"/>
      <c r="AO117" s="164"/>
      <c r="AP117" s="164"/>
      <c r="AQ117" s="164"/>
      <c r="AR117" s="164"/>
      <c r="AS117" s="164"/>
      <c r="AT117" s="164"/>
      <c r="AU117" s="164"/>
      <c r="AV117" s="164"/>
      <c r="AW117" s="164"/>
      <c r="AX117" s="164"/>
    </row>
    <row r="118" spans="2:50" x14ac:dyDescent="0.25">
      <c r="B118" s="275"/>
      <c r="C118" s="120" t="s">
        <v>121</v>
      </c>
      <c r="D118" s="122">
        <f>+D106-D112</f>
        <v>0</v>
      </c>
      <c r="E118" s="122">
        <f t="shared" si="21"/>
        <v>0</v>
      </c>
      <c r="F118" s="122">
        <f t="shared" si="21"/>
        <v>0</v>
      </c>
      <c r="G118" s="122">
        <f t="shared" si="21"/>
        <v>0</v>
      </c>
      <c r="H118" s="122">
        <f t="shared" si="21"/>
        <v>0</v>
      </c>
      <c r="I118" s="122">
        <f t="shared" si="21"/>
        <v>0</v>
      </c>
      <c r="J118" s="122">
        <f t="shared" si="21"/>
        <v>0</v>
      </c>
      <c r="K118" s="122">
        <f t="shared" si="21"/>
        <v>0</v>
      </c>
      <c r="L118" s="122">
        <f t="shared" si="21"/>
        <v>0</v>
      </c>
      <c r="M118" s="122">
        <f t="shared" si="21"/>
        <v>0</v>
      </c>
      <c r="N118" s="122">
        <f t="shared" si="21"/>
        <v>0</v>
      </c>
      <c r="O118" s="122">
        <f t="shared" si="21"/>
        <v>0</v>
      </c>
      <c r="P118" s="122">
        <f t="shared" si="21"/>
        <v>0</v>
      </c>
      <c r="Q118" s="122">
        <f t="shared" si="21"/>
        <v>0</v>
      </c>
      <c r="R118" s="122">
        <f t="shared" si="21"/>
        <v>0</v>
      </c>
      <c r="S118" s="122"/>
      <c r="T118" s="122">
        <f>+SUM(E118:P118)</f>
        <v>0</v>
      </c>
      <c r="U118" s="164"/>
      <c r="V118" s="164"/>
      <c r="W118" s="164"/>
      <c r="X118" s="164"/>
      <c r="Y118" s="164"/>
      <c r="Z118" s="164"/>
      <c r="AA118" s="164"/>
      <c r="AB118" s="164"/>
      <c r="AC118" s="164"/>
      <c r="AE118" s="164"/>
      <c r="AF118" s="164"/>
      <c r="AG118" s="164"/>
      <c r="AH118" s="164"/>
      <c r="AI118" s="164"/>
      <c r="AJ118" s="164"/>
      <c r="AK118" s="164"/>
      <c r="AL118" s="164"/>
      <c r="AM118" s="164"/>
      <c r="AN118" s="164"/>
      <c r="AO118" s="164"/>
      <c r="AP118" s="164"/>
      <c r="AQ118" s="164"/>
      <c r="AR118" s="164"/>
      <c r="AS118" s="164"/>
      <c r="AT118" s="164"/>
      <c r="AU118" s="164"/>
      <c r="AV118" s="164"/>
      <c r="AW118" s="164"/>
      <c r="AX118" s="164"/>
    </row>
    <row r="119" spans="2:50" x14ac:dyDescent="0.25">
      <c r="B119" s="276"/>
      <c r="C119" s="122" t="s">
        <v>122</v>
      </c>
      <c r="D119" s="122">
        <f>+D107-D113</f>
        <v>0</v>
      </c>
      <c r="E119" s="122">
        <f t="shared" si="21"/>
        <v>0</v>
      </c>
      <c r="F119" s="122">
        <f t="shared" si="21"/>
        <v>0</v>
      </c>
      <c r="G119" s="122">
        <f t="shared" si="21"/>
        <v>0</v>
      </c>
      <c r="H119" s="122">
        <f t="shared" si="21"/>
        <v>0</v>
      </c>
      <c r="I119" s="122">
        <f t="shared" si="21"/>
        <v>0</v>
      </c>
      <c r="J119" s="122">
        <f t="shared" si="21"/>
        <v>0</v>
      </c>
      <c r="K119" s="122">
        <f t="shared" si="21"/>
        <v>0</v>
      </c>
      <c r="L119" s="122">
        <f t="shared" si="21"/>
        <v>0</v>
      </c>
      <c r="M119" s="122">
        <f t="shared" si="21"/>
        <v>0</v>
      </c>
      <c r="N119" s="122">
        <f t="shared" si="21"/>
        <v>0</v>
      </c>
      <c r="O119" s="122">
        <f t="shared" si="21"/>
        <v>0</v>
      </c>
      <c r="P119" s="122">
        <f t="shared" si="21"/>
        <v>0</v>
      </c>
      <c r="Q119" s="122">
        <f t="shared" si="21"/>
        <v>0</v>
      </c>
      <c r="R119" s="122">
        <f t="shared" si="21"/>
        <v>0</v>
      </c>
      <c r="S119" s="122"/>
      <c r="T119" s="122">
        <f>+SUM(E119:P119)</f>
        <v>0</v>
      </c>
      <c r="U119" s="164"/>
      <c r="V119" s="164"/>
      <c r="W119" s="164"/>
      <c r="X119" s="164"/>
      <c r="Y119" s="164"/>
      <c r="Z119" s="164"/>
      <c r="AA119" s="164"/>
      <c r="AB119" s="164"/>
      <c r="AC119" s="164"/>
      <c r="AE119" s="164"/>
      <c r="AF119" s="164"/>
      <c r="AG119" s="164"/>
      <c r="AH119" s="164"/>
      <c r="AI119" s="164"/>
      <c r="AJ119" s="164"/>
      <c r="AK119" s="164"/>
      <c r="AL119" s="164"/>
      <c r="AM119" s="164"/>
      <c r="AN119" s="164"/>
      <c r="AO119" s="164"/>
      <c r="AP119" s="164"/>
      <c r="AQ119" s="164"/>
      <c r="AR119" s="164"/>
      <c r="AS119" s="164"/>
      <c r="AT119" s="164"/>
      <c r="AU119" s="164"/>
      <c r="AV119" s="164"/>
      <c r="AW119" s="164"/>
      <c r="AX119" s="164"/>
    </row>
    <row r="120" spans="2:50" x14ac:dyDescent="0.25">
      <c r="B120" s="277" t="s">
        <v>123</v>
      </c>
      <c r="C120" s="277"/>
      <c r="D120" s="122">
        <f>+D108-D114</f>
        <v>0</v>
      </c>
      <c r="E120" s="122">
        <f t="shared" si="21"/>
        <v>0</v>
      </c>
      <c r="F120" s="122">
        <f t="shared" si="21"/>
        <v>0</v>
      </c>
      <c r="G120" s="122">
        <f t="shared" si="21"/>
        <v>0</v>
      </c>
      <c r="H120" s="122">
        <f t="shared" si="21"/>
        <v>0</v>
      </c>
      <c r="I120" s="122">
        <f t="shared" si="21"/>
        <v>0</v>
      </c>
      <c r="J120" s="122">
        <f t="shared" si="21"/>
        <v>0</v>
      </c>
      <c r="K120" s="122">
        <f t="shared" si="21"/>
        <v>0</v>
      </c>
      <c r="L120" s="122">
        <f t="shared" si="21"/>
        <v>0</v>
      </c>
      <c r="M120" s="122">
        <f t="shared" si="21"/>
        <v>0</v>
      </c>
      <c r="N120" s="122">
        <f t="shared" si="21"/>
        <v>0</v>
      </c>
      <c r="O120" s="122">
        <f t="shared" si="21"/>
        <v>0</v>
      </c>
      <c r="P120" s="122">
        <f t="shared" si="21"/>
        <v>0</v>
      </c>
      <c r="Q120" s="122">
        <f t="shared" si="21"/>
        <v>0</v>
      </c>
      <c r="R120" s="122">
        <f t="shared" si="21"/>
        <v>0</v>
      </c>
      <c r="S120" s="122"/>
      <c r="T120" s="122">
        <f>+SUM(T117:T119)</f>
        <v>0</v>
      </c>
      <c r="U120" s="164"/>
      <c r="V120" s="164"/>
      <c r="W120" s="164"/>
      <c r="X120" s="164"/>
      <c r="Y120" s="164"/>
      <c r="Z120" s="164"/>
      <c r="AA120" s="164"/>
      <c r="AB120" s="164"/>
      <c r="AC120" s="164"/>
      <c r="AE120" s="164"/>
      <c r="AF120" s="164"/>
      <c r="AG120" s="164"/>
      <c r="AH120" s="164"/>
      <c r="AI120" s="164"/>
      <c r="AJ120" s="164"/>
      <c r="AK120" s="164"/>
      <c r="AL120" s="164"/>
      <c r="AM120" s="164"/>
      <c r="AN120" s="164"/>
      <c r="AO120" s="164"/>
      <c r="AP120" s="164"/>
      <c r="AQ120" s="164"/>
      <c r="AR120" s="164"/>
      <c r="AS120" s="164"/>
      <c r="AT120" s="164"/>
      <c r="AU120" s="164"/>
      <c r="AV120" s="164"/>
      <c r="AW120" s="164"/>
      <c r="AX120" s="164"/>
    </row>
    <row r="121" spans="2:50" x14ac:dyDescent="0.25">
      <c r="U121" s="164"/>
      <c r="V121" s="164"/>
      <c r="W121" s="164"/>
      <c r="X121" s="164"/>
      <c r="Y121" s="164"/>
      <c r="Z121" s="164"/>
      <c r="AA121" s="164"/>
      <c r="AB121" s="164"/>
      <c r="AC121" s="164"/>
      <c r="AE121" s="164"/>
      <c r="AF121" s="164"/>
      <c r="AG121" s="164"/>
      <c r="AH121" s="164"/>
      <c r="AI121" s="164"/>
      <c r="AJ121" s="164"/>
      <c r="AK121" s="164"/>
      <c r="AL121" s="164"/>
      <c r="AM121" s="164"/>
      <c r="AN121" s="164"/>
      <c r="AO121" s="164"/>
      <c r="AP121" s="164"/>
      <c r="AQ121" s="164"/>
      <c r="AR121" s="164"/>
      <c r="AS121" s="164"/>
      <c r="AT121" s="164"/>
      <c r="AU121" s="164"/>
      <c r="AV121" s="164"/>
      <c r="AW121" s="164"/>
      <c r="AX121" s="164"/>
    </row>
    <row r="122" spans="2:50" x14ac:dyDescent="0.25">
      <c r="U122" s="164"/>
      <c r="V122" s="164"/>
      <c r="W122" s="164"/>
      <c r="X122" s="164"/>
      <c r="Y122" s="164"/>
      <c r="Z122" s="164"/>
      <c r="AA122" s="164"/>
      <c r="AB122" s="164"/>
      <c r="AC122" s="164"/>
      <c r="AE122" s="164"/>
      <c r="AF122" s="164"/>
      <c r="AG122" s="164"/>
      <c r="AH122" s="164"/>
      <c r="AI122" s="164"/>
      <c r="AJ122" s="164"/>
      <c r="AK122" s="164"/>
      <c r="AL122" s="164"/>
      <c r="AM122" s="164"/>
      <c r="AN122" s="164"/>
      <c r="AO122" s="164"/>
      <c r="AP122" s="164"/>
      <c r="AQ122" s="164"/>
      <c r="AR122" s="164"/>
      <c r="AS122" s="164"/>
      <c r="AT122" s="164"/>
      <c r="AU122" s="164"/>
      <c r="AV122" s="164"/>
      <c r="AW122" s="164"/>
      <c r="AX122" s="164"/>
    </row>
    <row r="123" spans="2:50" x14ac:dyDescent="0.25">
      <c r="U123" s="164"/>
      <c r="V123" s="164"/>
      <c r="W123" s="164"/>
      <c r="X123" s="164"/>
      <c r="Y123" s="164"/>
      <c r="Z123" s="164"/>
      <c r="AA123" s="164"/>
      <c r="AB123" s="164"/>
      <c r="AC123" s="164"/>
      <c r="AE123" s="164"/>
      <c r="AF123" s="164"/>
      <c r="AG123" s="164"/>
      <c r="AH123" s="164"/>
      <c r="AI123" s="164"/>
      <c r="AJ123" s="164"/>
      <c r="AK123" s="164"/>
      <c r="AL123" s="164"/>
      <c r="AM123" s="164"/>
      <c r="AN123" s="164"/>
      <c r="AO123" s="164"/>
      <c r="AP123" s="164"/>
      <c r="AQ123" s="164"/>
      <c r="AR123" s="164"/>
      <c r="AS123" s="164"/>
      <c r="AT123" s="164"/>
      <c r="AU123" s="164"/>
      <c r="AV123" s="164"/>
      <c r="AW123" s="164"/>
      <c r="AX123" s="164"/>
    </row>
    <row r="124" spans="2:50" x14ac:dyDescent="0.25">
      <c r="U124" s="164"/>
      <c r="V124" s="164"/>
      <c r="W124" s="164"/>
      <c r="X124" s="164"/>
      <c r="Y124" s="164"/>
      <c r="Z124" s="164"/>
      <c r="AA124" s="164"/>
      <c r="AB124" s="164"/>
      <c r="AC124" s="164"/>
      <c r="AE124" s="164"/>
      <c r="AF124" s="164"/>
      <c r="AG124" s="164"/>
      <c r="AH124" s="164"/>
      <c r="AI124" s="164"/>
      <c r="AJ124" s="164"/>
      <c r="AK124" s="164"/>
      <c r="AL124" s="164"/>
      <c r="AM124" s="164"/>
      <c r="AN124" s="164"/>
      <c r="AO124" s="164"/>
      <c r="AP124" s="164"/>
      <c r="AQ124" s="164"/>
      <c r="AR124" s="164"/>
      <c r="AS124" s="164"/>
      <c r="AT124" s="164"/>
      <c r="AU124" s="164"/>
      <c r="AV124" s="164"/>
      <c r="AW124" s="164"/>
      <c r="AX124" s="164"/>
    </row>
    <row r="125" spans="2:50" x14ac:dyDescent="0.25">
      <c r="U125" s="164"/>
      <c r="V125" s="164"/>
      <c r="W125" s="164"/>
      <c r="X125" s="164"/>
      <c r="Y125" s="164"/>
      <c r="Z125" s="164"/>
      <c r="AA125" s="164"/>
      <c r="AB125" s="164"/>
      <c r="AC125" s="164"/>
      <c r="AE125" s="164"/>
      <c r="AF125" s="164"/>
      <c r="AG125" s="164"/>
      <c r="AH125" s="164"/>
      <c r="AI125" s="164"/>
      <c r="AJ125" s="164"/>
      <c r="AK125" s="164"/>
      <c r="AL125" s="164"/>
      <c r="AM125" s="164"/>
      <c r="AN125" s="164"/>
      <c r="AO125" s="164"/>
      <c r="AP125" s="164"/>
      <c r="AQ125" s="164"/>
      <c r="AR125" s="164"/>
      <c r="AS125" s="164"/>
      <c r="AT125" s="164"/>
      <c r="AU125" s="164"/>
      <c r="AV125" s="164"/>
      <c r="AW125" s="164"/>
      <c r="AX125" s="164"/>
    </row>
    <row r="126" spans="2:50" x14ac:dyDescent="0.25">
      <c r="U126" s="164"/>
      <c r="V126" s="164"/>
      <c r="W126" s="164"/>
      <c r="X126" s="164"/>
      <c r="Y126" s="164"/>
      <c r="Z126" s="164"/>
      <c r="AA126" s="164"/>
      <c r="AB126" s="164"/>
      <c r="AC126" s="164"/>
      <c r="AE126" s="164"/>
      <c r="AF126" s="164"/>
      <c r="AG126" s="164"/>
      <c r="AH126" s="164"/>
      <c r="AI126" s="164"/>
      <c r="AJ126" s="164"/>
      <c r="AK126" s="164"/>
      <c r="AL126" s="164"/>
      <c r="AM126" s="164"/>
      <c r="AN126" s="164"/>
      <c r="AO126" s="164"/>
      <c r="AP126" s="164"/>
      <c r="AQ126" s="164"/>
      <c r="AR126" s="164"/>
      <c r="AS126" s="164"/>
      <c r="AT126" s="164"/>
      <c r="AU126" s="164"/>
      <c r="AV126" s="164"/>
      <c r="AW126" s="164"/>
      <c r="AX126" s="164"/>
    </row>
    <row r="127" spans="2:50" x14ac:dyDescent="0.25">
      <c r="U127" s="164"/>
      <c r="V127" s="164"/>
      <c r="W127" s="164"/>
      <c r="X127" s="164"/>
      <c r="Y127" s="164"/>
      <c r="Z127" s="164"/>
      <c r="AA127" s="164"/>
      <c r="AB127" s="164"/>
      <c r="AC127" s="164"/>
      <c r="AE127" s="164"/>
      <c r="AF127" s="164"/>
      <c r="AG127" s="164"/>
      <c r="AH127" s="164"/>
      <c r="AI127" s="164"/>
      <c r="AJ127" s="164"/>
      <c r="AK127" s="164"/>
      <c r="AL127" s="164"/>
      <c r="AM127" s="164"/>
      <c r="AN127" s="164"/>
      <c r="AO127" s="164"/>
      <c r="AP127" s="164"/>
      <c r="AQ127" s="164"/>
      <c r="AR127" s="164"/>
      <c r="AS127" s="164"/>
      <c r="AT127" s="164"/>
      <c r="AU127" s="164"/>
      <c r="AV127" s="164"/>
      <c r="AW127" s="164"/>
      <c r="AX127" s="164"/>
    </row>
    <row r="128" spans="2:50" x14ac:dyDescent="0.25">
      <c r="U128" s="164"/>
      <c r="V128" s="164"/>
      <c r="W128" s="164"/>
      <c r="X128" s="164"/>
      <c r="Y128" s="164"/>
      <c r="Z128" s="164"/>
      <c r="AA128" s="164"/>
      <c r="AB128" s="164"/>
      <c r="AC128" s="164"/>
      <c r="AE128" s="164"/>
      <c r="AF128" s="164"/>
      <c r="AG128" s="164"/>
      <c r="AH128" s="164"/>
      <c r="AI128" s="164"/>
      <c r="AJ128" s="164"/>
      <c r="AK128" s="164"/>
      <c r="AL128" s="164"/>
      <c r="AM128" s="164"/>
      <c r="AN128" s="164"/>
      <c r="AO128" s="164"/>
      <c r="AP128" s="164"/>
      <c r="AQ128" s="164"/>
      <c r="AR128" s="164"/>
      <c r="AS128" s="164"/>
      <c r="AT128" s="164"/>
      <c r="AU128" s="164"/>
      <c r="AV128" s="164"/>
      <c r="AW128" s="164"/>
      <c r="AX128" s="164"/>
    </row>
    <row r="129" spans="21:50" x14ac:dyDescent="0.25">
      <c r="U129" s="164"/>
      <c r="V129" s="164"/>
      <c r="W129" s="164"/>
      <c r="X129" s="164"/>
      <c r="Y129" s="164"/>
      <c r="Z129" s="164"/>
      <c r="AA129" s="164"/>
      <c r="AB129" s="164"/>
      <c r="AC129" s="164"/>
      <c r="AE129" s="164"/>
      <c r="AF129" s="164"/>
      <c r="AG129" s="164"/>
      <c r="AH129" s="164"/>
      <c r="AI129" s="164"/>
      <c r="AJ129" s="164"/>
      <c r="AK129" s="164"/>
      <c r="AL129" s="164"/>
      <c r="AM129" s="164"/>
      <c r="AN129" s="164"/>
      <c r="AO129" s="164"/>
      <c r="AP129" s="164"/>
      <c r="AQ129" s="164"/>
      <c r="AR129" s="164"/>
      <c r="AS129" s="164"/>
      <c r="AT129" s="164"/>
      <c r="AU129" s="164"/>
      <c r="AV129" s="164"/>
      <c r="AW129" s="164"/>
      <c r="AX129" s="164"/>
    </row>
    <row r="130" spans="21:50" x14ac:dyDescent="0.25">
      <c r="U130" s="164"/>
      <c r="V130" s="164"/>
      <c r="W130" s="164"/>
      <c r="X130" s="164"/>
      <c r="Y130" s="164"/>
      <c r="Z130" s="164"/>
      <c r="AA130" s="164"/>
      <c r="AB130" s="164"/>
      <c r="AC130" s="164"/>
      <c r="AE130" s="164"/>
      <c r="AF130" s="164"/>
      <c r="AG130" s="164"/>
      <c r="AH130" s="164"/>
      <c r="AI130" s="164"/>
      <c r="AJ130" s="164"/>
      <c r="AK130" s="164"/>
      <c r="AL130" s="164"/>
      <c r="AM130" s="164"/>
      <c r="AN130" s="164"/>
      <c r="AO130" s="164"/>
      <c r="AP130" s="164"/>
      <c r="AQ130" s="164"/>
      <c r="AR130" s="164"/>
      <c r="AS130" s="164"/>
      <c r="AT130" s="164"/>
      <c r="AU130" s="164"/>
      <c r="AV130" s="164"/>
      <c r="AW130" s="164"/>
      <c r="AX130" s="164"/>
    </row>
    <row r="131" spans="21:50" x14ac:dyDescent="0.25">
      <c r="U131" s="164"/>
      <c r="V131" s="164"/>
      <c r="W131" s="164"/>
      <c r="X131" s="164"/>
      <c r="Y131" s="164"/>
      <c r="Z131" s="164"/>
      <c r="AA131" s="164"/>
      <c r="AB131" s="164"/>
      <c r="AC131" s="164"/>
      <c r="AE131" s="164"/>
      <c r="AF131" s="164"/>
      <c r="AG131" s="164"/>
      <c r="AH131" s="164"/>
      <c r="AI131" s="164"/>
      <c r="AJ131" s="164"/>
      <c r="AK131" s="164"/>
      <c r="AL131" s="164"/>
      <c r="AM131" s="164"/>
      <c r="AN131" s="164"/>
      <c r="AO131" s="164"/>
      <c r="AP131" s="164"/>
      <c r="AQ131" s="164"/>
      <c r="AR131" s="164"/>
      <c r="AS131" s="164"/>
      <c r="AT131" s="164"/>
      <c r="AU131" s="164"/>
      <c r="AV131" s="164"/>
      <c r="AW131" s="164"/>
      <c r="AX131" s="164"/>
    </row>
    <row r="132" spans="21:50" x14ac:dyDescent="0.25">
      <c r="U132" s="164"/>
      <c r="V132" s="164"/>
      <c r="W132" s="164"/>
      <c r="X132" s="164"/>
      <c r="Y132" s="164"/>
      <c r="Z132" s="164"/>
      <c r="AA132" s="164"/>
      <c r="AB132" s="164"/>
      <c r="AC132" s="164"/>
      <c r="AE132" s="164"/>
      <c r="AF132" s="164"/>
      <c r="AG132" s="164"/>
      <c r="AH132" s="164"/>
      <c r="AI132" s="164"/>
      <c r="AJ132" s="164"/>
      <c r="AK132" s="164"/>
      <c r="AL132" s="164"/>
      <c r="AM132" s="164"/>
      <c r="AN132" s="164"/>
      <c r="AO132" s="164"/>
      <c r="AP132" s="164"/>
      <c r="AQ132" s="164"/>
      <c r="AR132" s="164"/>
      <c r="AS132" s="164"/>
      <c r="AT132" s="164"/>
      <c r="AU132" s="164"/>
      <c r="AV132" s="164"/>
      <c r="AW132" s="164"/>
      <c r="AX132" s="164"/>
    </row>
    <row r="133" spans="21:50" x14ac:dyDescent="0.25">
      <c r="U133" s="164"/>
      <c r="V133" s="164"/>
      <c r="W133" s="164"/>
      <c r="X133" s="164"/>
      <c r="Y133" s="164"/>
      <c r="Z133" s="164"/>
      <c r="AA133" s="164"/>
      <c r="AB133" s="164"/>
      <c r="AC133" s="164"/>
      <c r="AE133" s="164"/>
      <c r="AF133" s="164"/>
      <c r="AG133" s="164"/>
      <c r="AH133" s="164"/>
      <c r="AI133" s="164"/>
      <c r="AJ133" s="164"/>
      <c r="AK133" s="164"/>
      <c r="AL133" s="164"/>
      <c r="AM133" s="164"/>
      <c r="AN133" s="164"/>
      <c r="AO133" s="164"/>
      <c r="AP133" s="164"/>
      <c r="AQ133" s="164"/>
      <c r="AR133" s="164"/>
      <c r="AS133" s="164"/>
      <c r="AT133" s="164"/>
      <c r="AU133" s="164"/>
      <c r="AV133" s="164"/>
      <c r="AW133" s="164"/>
      <c r="AX133" s="164"/>
    </row>
    <row r="134" spans="21:50" x14ac:dyDescent="0.25">
      <c r="U134" s="164"/>
      <c r="V134" s="164"/>
      <c r="W134" s="164"/>
      <c r="X134" s="164"/>
      <c r="Y134" s="164"/>
      <c r="Z134" s="164"/>
      <c r="AA134" s="164"/>
      <c r="AB134" s="164"/>
      <c r="AC134" s="164"/>
      <c r="AE134" s="164"/>
      <c r="AF134" s="164"/>
      <c r="AG134" s="164"/>
      <c r="AH134" s="164"/>
      <c r="AI134" s="164"/>
      <c r="AJ134" s="164"/>
      <c r="AK134" s="164"/>
      <c r="AL134" s="164"/>
      <c r="AM134" s="164"/>
      <c r="AN134" s="164"/>
      <c r="AO134" s="164"/>
      <c r="AP134" s="164"/>
      <c r="AQ134" s="164"/>
      <c r="AR134" s="164"/>
      <c r="AS134" s="164"/>
      <c r="AT134" s="164"/>
      <c r="AU134" s="164"/>
      <c r="AV134" s="164"/>
      <c r="AW134" s="164"/>
      <c r="AX134" s="164"/>
    </row>
    <row r="135" spans="21:50" x14ac:dyDescent="0.25">
      <c r="U135" s="164"/>
      <c r="V135" s="164"/>
      <c r="W135" s="164"/>
      <c r="X135" s="164"/>
      <c r="Y135" s="164"/>
      <c r="Z135" s="164"/>
      <c r="AA135" s="164"/>
      <c r="AB135" s="164"/>
      <c r="AC135" s="164"/>
      <c r="AE135" s="164"/>
      <c r="AF135" s="164"/>
      <c r="AG135" s="164"/>
      <c r="AH135" s="164"/>
      <c r="AI135" s="164"/>
      <c r="AJ135" s="164"/>
      <c r="AK135" s="164"/>
      <c r="AL135" s="164"/>
      <c r="AM135" s="164"/>
      <c r="AN135" s="164"/>
      <c r="AO135" s="164"/>
      <c r="AP135" s="164"/>
      <c r="AQ135" s="164"/>
      <c r="AR135" s="164"/>
      <c r="AS135" s="164"/>
      <c r="AT135" s="164"/>
      <c r="AU135" s="164"/>
      <c r="AV135" s="164"/>
      <c r="AW135" s="164"/>
      <c r="AX135" s="164"/>
    </row>
    <row r="136" spans="21:50" x14ac:dyDescent="0.25">
      <c r="U136" s="164"/>
      <c r="V136" s="164"/>
      <c r="W136" s="164"/>
      <c r="X136" s="164"/>
      <c r="Y136" s="164"/>
      <c r="Z136" s="164"/>
      <c r="AA136" s="164"/>
      <c r="AB136" s="164"/>
      <c r="AC136" s="164"/>
      <c r="AE136" s="164"/>
      <c r="AF136" s="164"/>
      <c r="AG136" s="164"/>
      <c r="AH136" s="164"/>
      <c r="AI136" s="164"/>
      <c r="AJ136" s="164"/>
      <c r="AK136" s="164"/>
      <c r="AL136" s="164"/>
      <c r="AM136" s="164"/>
      <c r="AN136" s="164"/>
      <c r="AO136" s="164"/>
      <c r="AP136" s="164"/>
      <c r="AQ136" s="164"/>
      <c r="AR136" s="164"/>
      <c r="AS136" s="164"/>
      <c r="AT136" s="164"/>
      <c r="AU136" s="164"/>
      <c r="AV136" s="164"/>
      <c r="AW136" s="164"/>
      <c r="AX136" s="164"/>
    </row>
    <row r="137" spans="21:50" x14ac:dyDescent="0.25">
      <c r="U137" s="164"/>
      <c r="V137" s="164"/>
      <c r="W137" s="164"/>
      <c r="X137" s="164"/>
      <c r="Y137" s="164"/>
      <c r="Z137" s="164"/>
      <c r="AA137" s="164"/>
      <c r="AB137" s="164"/>
      <c r="AC137" s="164"/>
      <c r="AE137" s="164"/>
      <c r="AF137" s="164"/>
      <c r="AG137" s="164"/>
      <c r="AH137" s="164"/>
      <c r="AI137" s="164"/>
      <c r="AJ137" s="164"/>
      <c r="AK137" s="164"/>
      <c r="AL137" s="164"/>
      <c r="AM137" s="164"/>
      <c r="AN137" s="164"/>
      <c r="AO137" s="164"/>
      <c r="AP137" s="164"/>
      <c r="AQ137" s="164"/>
      <c r="AR137" s="164"/>
      <c r="AS137" s="164"/>
      <c r="AT137" s="164"/>
      <c r="AU137" s="164"/>
      <c r="AV137" s="164"/>
      <c r="AW137" s="164"/>
      <c r="AX137" s="164"/>
    </row>
    <row r="138" spans="21:50" x14ac:dyDescent="0.25">
      <c r="U138" s="164"/>
      <c r="V138" s="164"/>
      <c r="W138" s="164"/>
      <c r="X138" s="164"/>
      <c r="Y138" s="164"/>
      <c r="Z138" s="164"/>
      <c r="AA138" s="164"/>
      <c r="AB138" s="164"/>
      <c r="AC138" s="164"/>
      <c r="AE138" s="164"/>
      <c r="AF138" s="164"/>
      <c r="AG138" s="164"/>
      <c r="AH138" s="164"/>
      <c r="AI138" s="164"/>
      <c r="AJ138" s="164"/>
      <c r="AK138" s="164"/>
      <c r="AL138" s="164"/>
      <c r="AM138" s="164"/>
      <c r="AN138" s="164"/>
      <c r="AO138" s="164"/>
      <c r="AP138" s="164"/>
      <c r="AQ138" s="164"/>
      <c r="AR138" s="164"/>
      <c r="AS138" s="164"/>
      <c r="AT138" s="164"/>
      <c r="AU138" s="164"/>
      <c r="AV138" s="164"/>
      <c r="AW138" s="164"/>
      <c r="AX138" s="164"/>
    </row>
    <row r="139" spans="21:50" x14ac:dyDescent="0.25">
      <c r="U139" s="164"/>
      <c r="V139" s="164"/>
      <c r="W139" s="164"/>
      <c r="X139" s="164"/>
      <c r="Y139" s="164"/>
      <c r="Z139" s="164"/>
      <c r="AA139" s="164"/>
      <c r="AB139" s="164"/>
      <c r="AC139" s="164"/>
      <c r="AE139" s="164"/>
      <c r="AF139" s="164"/>
      <c r="AG139" s="164"/>
      <c r="AH139" s="164"/>
      <c r="AI139" s="164"/>
      <c r="AJ139" s="164"/>
      <c r="AK139" s="164"/>
      <c r="AL139" s="164"/>
      <c r="AM139" s="164"/>
      <c r="AN139" s="164"/>
      <c r="AO139" s="164"/>
      <c r="AP139" s="164"/>
      <c r="AQ139" s="164"/>
      <c r="AR139" s="164"/>
      <c r="AS139" s="164"/>
      <c r="AT139" s="164"/>
      <c r="AU139" s="164"/>
      <c r="AV139" s="164"/>
      <c r="AW139" s="164"/>
      <c r="AX139" s="164"/>
    </row>
    <row r="140" spans="21:50" x14ac:dyDescent="0.25">
      <c r="U140" s="164"/>
      <c r="V140" s="164"/>
      <c r="W140" s="164"/>
      <c r="X140" s="164"/>
      <c r="Y140" s="164"/>
      <c r="Z140" s="164"/>
      <c r="AA140" s="164"/>
      <c r="AB140" s="164"/>
      <c r="AC140" s="164"/>
      <c r="AE140" s="164"/>
      <c r="AF140" s="164"/>
      <c r="AG140" s="164"/>
      <c r="AH140" s="164"/>
      <c r="AI140" s="164"/>
      <c r="AJ140" s="164"/>
      <c r="AK140" s="164"/>
      <c r="AL140" s="164"/>
      <c r="AM140" s="164"/>
      <c r="AN140" s="164"/>
      <c r="AO140" s="164"/>
      <c r="AP140" s="164"/>
      <c r="AQ140" s="164"/>
      <c r="AR140" s="164"/>
      <c r="AS140" s="164"/>
      <c r="AT140" s="164"/>
      <c r="AU140" s="164"/>
      <c r="AV140" s="164"/>
      <c r="AW140" s="164"/>
      <c r="AX140" s="164"/>
    </row>
    <row r="141" spans="21:50" x14ac:dyDescent="0.25">
      <c r="U141" s="164"/>
      <c r="V141" s="164"/>
      <c r="W141" s="164"/>
      <c r="X141" s="164"/>
      <c r="Y141" s="164"/>
      <c r="Z141" s="164"/>
      <c r="AA141" s="164"/>
      <c r="AB141" s="164"/>
      <c r="AC141" s="164"/>
      <c r="AE141" s="164"/>
      <c r="AF141" s="164"/>
      <c r="AG141" s="164"/>
      <c r="AH141" s="164"/>
      <c r="AI141" s="164"/>
      <c r="AJ141" s="164"/>
      <c r="AK141" s="164"/>
      <c r="AL141" s="164"/>
      <c r="AM141" s="164"/>
      <c r="AN141" s="164"/>
      <c r="AO141" s="164"/>
      <c r="AP141" s="164"/>
      <c r="AQ141" s="164"/>
      <c r="AR141" s="164"/>
      <c r="AS141" s="164"/>
      <c r="AT141" s="164"/>
      <c r="AU141" s="164"/>
      <c r="AV141" s="164"/>
      <c r="AW141" s="164"/>
      <c r="AX141" s="164"/>
    </row>
    <row r="142" spans="21:50" x14ac:dyDescent="0.25">
      <c r="U142" s="164"/>
      <c r="V142" s="164"/>
      <c r="W142" s="164"/>
      <c r="X142" s="164"/>
      <c r="Y142" s="164"/>
      <c r="Z142" s="164"/>
      <c r="AA142" s="164"/>
      <c r="AB142" s="164"/>
      <c r="AC142" s="164"/>
      <c r="AE142" s="164"/>
      <c r="AF142" s="164"/>
      <c r="AG142" s="164"/>
      <c r="AH142" s="164"/>
      <c r="AI142" s="164"/>
      <c r="AJ142" s="164"/>
      <c r="AK142" s="164"/>
      <c r="AL142" s="164"/>
      <c r="AM142" s="164"/>
      <c r="AN142" s="164"/>
      <c r="AO142" s="164"/>
      <c r="AP142" s="164"/>
      <c r="AQ142" s="164"/>
      <c r="AR142" s="164"/>
      <c r="AS142" s="164"/>
      <c r="AT142" s="164"/>
      <c r="AU142" s="164"/>
      <c r="AV142" s="164"/>
      <c r="AW142" s="164"/>
      <c r="AX142" s="164"/>
    </row>
    <row r="143" spans="21:50" x14ac:dyDescent="0.25">
      <c r="U143" s="164"/>
      <c r="V143" s="164"/>
      <c r="W143" s="164"/>
      <c r="X143" s="164"/>
      <c r="Y143" s="164"/>
      <c r="Z143" s="164"/>
      <c r="AA143" s="164"/>
      <c r="AB143" s="164"/>
      <c r="AC143" s="164"/>
      <c r="AE143" s="164"/>
      <c r="AF143" s="164"/>
      <c r="AG143" s="164"/>
      <c r="AH143" s="164"/>
      <c r="AI143" s="164"/>
      <c r="AJ143" s="164"/>
      <c r="AK143" s="164"/>
      <c r="AL143" s="164"/>
      <c r="AM143" s="164"/>
      <c r="AN143" s="164"/>
      <c r="AO143" s="164"/>
      <c r="AP143" s="164"/>
      <c r="AQ143" s="164"/>
      <c r="AR143" s="164"/>
      <c r="AS143" s="164"/>
      <c r="AT143" s="164"/>
      <c r="AU143" s="164"/>
      <c r="AV143" s="164"/>
      <c r="AW143" s="164"/>
      <c r="AX143" s="164"/>
    </row>
    <row r="144" spans="21:50" x14ac:dyDescent="0.25">
      <c r="U144" s="164"/>
      <c r="V144" s="164"/>
      <c r="W144" s="164"/>
      <c r="X144" s="164"/>
      <c r="Y144" s="164"/>
      <c r="Z144" s="164"/>
      <c r="AA144" s="164"/>
      <c r="AB144" s="164"/>
      <c r="AC144" s="164"/>
      <c r="AE144" s="164"/>
      <c r="AF144" s="164"/>
      <c r="AG144" s="164"/>
      <c r="AH144" s="164"/>
      <c r="AI144" s="164"/>
      <c r="AJ144" s="164"/>
      <c r="AK144" s="164"/>
      <c r="AL144" s="164"/>
      <c r="AM144" s="164"/>
      <c r="AN144" s="164"/>
      <c r="AO144" s="164"/>
      <c r="AP144" s="164"/>
      <c r="AQ144" s="164"/>
      <c r="AR144" s="164"/>
      <c r="AS144" s="164"/>
      <c r="AT144" s="164"/>
      <c r="AU144" s="164"/>
      <c r="AV144" s="164"/>
      <c r="AW144" s="164"/>
      <c r="AX144" s="164"/>
    </row>
    <row r="145" spans="21:50" x14ac:dyDescent="0.25">
      <c r="U145" s="164"/>
      <c r="V145" s="164"/>
      <c r="W145" s="164"/>
      <c r="X145" s="164"/>
      <c r="Y145" s="164"/>
      <c r="Z145" s="164"/>
      <c r="AA145" s="164"/>
      <c r="AB145" s="164"/>
      <c r="AC145" s="164"/>
      <c r="AE145" s="164"/>
      <c r="AF145" s="164"/>
      <c r="AG145" s="164"/>
      <c r="AH145" s="164"/>
      <c r="AI145" s="164"/>
      <c r="AJ145" s="164"/>
      <c r="AK145" s="164"/>
      <c r="AL145" s="164"/>
      <c r="AM145" s="164"/>
      <c r="AN145" s="164"/>
      <c r="AO145" s="164"/>
      <c r="AP145" s="164"/>
      <c r="AQ145" s="164"/>
      <c r="AR145" s="164"/>
      <c r="AS145" s="164"/>
      <c r="AT145" s="164"/>
      <c r="AU145" s="164"/>
      <c r="AV145" s="164"/>
      <c r="AW145" s="164"/>
      <c r="AX145" s="164"/>
    </row>
    <row r="146" spans="21:50" x14ac:dyDescent="0.25">
      <c r="U146" s="164"/>
      <c r="V146" s="164"/>
      <c r="W146" s="164"/>
      <c r="X146" s="164"/>
      <c r="Y146" s="164"/>
      <c r="Z146" s="164"/>
      <c r="AA146" s="164"/>
      <c r="AB146" s="164"/>
      <c r="AC146" s="164"/>
      <c r="AE146" s="164"/>
      <c r="AF146" s="164"/>
      <c r="AG146" s="164"/>
      <c r="AH146" s="164"/>
      <c r="AI146" s="164"/>
      <c r="AJ146" s="164"/>
      <c r="AK146" s="164"/>
      <c r="AL146" s="164"/>
      <c r="AM146" s="164"/>
      <c r="AN146" s="164"/>
      <c r="AO146" s="164"/>
      <c r="AP146" s="164"/>
      <c r="AQ146" s="164"/>
      <c r="AR146" s="164"/>
      <c r="AS146" s="164"/>
      <c r="AT146" s="164"/>
      <c r="AU146" s="164"/>
      <c r="AV146" s="164"/>
      <c r="AW146" s="164"/>
      <c r="AX146" s="164"/>
    </row>
    <row r="147" spans="21:50" x14ac:dyDescent="0.25">
      <c r="U147" s="164"/>
      <c r="V147" s="164"/>
      <c r="W147" s="164"/>
      <c r="X147" s="164"/>
      <c r="Y147" s="164"/>
      <c r="Z147" s="164"/>
      <c r="AA147" s="164"/>
      <c r="AB147" s="164"/>
      <c r="AC147" s="164"/>
      <c r="AE147" s="164"/>
      <c r="AF147" s="164"/>
      <c r="AG147" s="164"/>
      <c r="AH147" s="164"/>
      <c r="AI147" s="164"/>
      <c r="AJ147" s="164"/>
      <c r="AK147" s="164"/>
      <c r="AL147" s="164"/>
      <c r="AM147" s="164"/>
      <c r="AN147" s="164"/>
      <c r="AO147" s="164"/>
      <c r="AP147" s="164"/>
      <c r="AQ147" s="164"/>
      <c r="AR147" s="164"/>
      <c r="AS147" s="164"/>
      <c r="AT147" s="164"/>
      <c r="AU147" s="164"/>
      <c r="AV147" s="164"/>
      <c r="AW147" s="164"/>
      <c r="AX147" s="164"/>
    </row>
    <row r="148" spans="21:50" x14ac:dyDescent="0.25">
      <c r="U148" s="164"/>
      <c r="V148" s="164"/>
      <c r="W148" s="164"/>
      <c r="X148" s="164"/>
      <c r="Y148" s="164"/>
      <c r="Z148" s="164"/>
      <c r="AA148" s="164"/>
      <c r="AB148" s="164"/>
      <c r="AC148" s="164"/>
      <c r="AE148" s="164"/>
      <c r="AF148" s="164"/>
      <c r="AG148" s="164"/>
      <c r="AH148" s="164"/>
      <c r="AI148" s="164"/>
      <c r="AJ148" s="164"/>
      <c r="AK148" s="164"/>
      <c r="AL148" s="164"/>
      <c r="AM148" s="164"/>
      <c r="AN148" s="164"/>
      <c r="AO148" s="164"/>
      <c r="AP148" s="164"/>
      <c r="AQ148" s="164"/>
      <c r="AR148" s="164"/>
      <c r="AS148" s="164"/>
      <c r="AT148" s="164"/>
      <c r="AU148" s="164"/>
      <c r="AV148" s="164"/>
      <c r="AW148" s="164"/>
      <c r="AX148" s="164"/>
    </row>
    <row r="149" spans="21:50" x14ac:dyDescent="0.25">
      <c r="U149" s="164"/>
      <c r="V149" s="164"/>
      <c r="W149" s="164"/>
      <c r="X149" s="164"/>
      <c r="Y149" s="164"/>
      <c r="Z149" s="164"/>
      <c r="AA149" s="164"/>
      <c r="AB149" s="164"/>
      <c r="AC149" s="164"/>
      <c r="AE149" s="164"/>
      <c r="AF149" s="164"/>
      <c r="AG149" s="164"/>
      <c r="AH149" s="164"/>
      <c r="AI149" s="164"/>
      <c r="AJ149" s="164"/>
      <c r="AK149" s="164"/>
      <c r="AL149" s="164"/>
      <c r="AM149" s="164"/>
      <c r="AN149" s="164"/>
      <c r="AO149" s="164"/>
      <c r="AP149" s="164"/>
      <c r="AQ149" s="164"/>
      <c r="AR149" s="164"/>
      <c r="AS149" s="164"/>
      <c r="AT149" s="164"/>
      <c r="AU149" s="164"/>
      <c r="AV149" s="164"/>
      <c r="AW149" s="164"/>
      <c r="AX149" s="164"/>
    </row>
    <row r="150" spans="21:50" x14ac:dyDescent="0.25">
      <c r="U150" s="164"/>
      <c r="V150" s="164"/>
      <c r="W150" s="164"/>
      <c r="X150" s="164"/>
      <c r="Y150" s="164"/>
      <c r="Z150" s="164"/>
      <c r="AA150" s="164"/>
      <c r="AB150" s="164"/>
      <c r="AC150" s="164"/>
      <c r="AE150" s="164"/>
      <c r="AF150" s="164"/>
      <c r="AG150" s="164"/>
      <c r="AH150" s="164"/>
      <c r="AI150" s="164"/>
      <c r="AJ150" s="164"/>
      <c r="AK150" s="164"/>
      <c r="AL150" s="164"/>
      <c r="AM150" s="164"/>
      <c r="AN150" s="164"/>
      <c r="AO150" s="164"/>
      <c r="AP150" s="164"/>
      <c r="AQ150" s="164"/>
      <c r="AR150" s="164"/>
      <c r="AS150" s="164"/>
      <c r="AT150" s="164"/>
      <c r="AU150" s="164"/>
      <c r="AV150" s="164"/>
      <c r="AW150" s="164"/>
      <c r="AX150" s="164"/>
    </row>
    <row r="151" spans="21:50" x14ac:dyDescent="0.25">
      <c r="U151" s="164"/>
      <c r="V151" s="164"/>
      <c r="W151" s="164"/>
      <c r="X151" s="164"/>
      <c r="Y151" s="164"/>
      <c r="Z151" s="164"/>
      <c r="AA151" s="164"/>
      <c r="AB151" s="164"/>
      <c r="AC151" s="164"/>
      <c r="AE151" s="164"/>
      <c r="AF151" s="164"/>
      <c r="AG151" s="164"/>
      <c r="AH151" s="164"/>
      <c r="AI151" s="164"/>
      <c r="AJ151" s="164"/>
      <c r="AK151" s="164"/>
      <c r="AL151" s="164"/>
      <c r="AM151" s="164"/>
      <c r="AN151" s="164"/>
      <c r="AO151" s="164"/>
      <c r="AP151" s="164"/>
      <c r="AQ151" s="164"/>
      <c r="AR151" s="164"/>
      <c r="AS151" s="164"/>
      <c r="AT151" s="164"/>
      <c r="AU151" s="164"/>
      <c r="AV151" s="164"/>
      <c r="AW151" s="164"/>
      <c r="AX151" s="164"/>
    </row>
    <row r="152" spans="21:50" x14ac:dyDescent="0.25">
      <c r="U152" s="164"/>
      <c r="V152" s="164"/>
      <c r="W152" s="164"/>
      <c r="X152" s="164"/>
      <c r="Y152" s="164"/>
      <c r="Z152" s="164"/>
      <c r="AA152" s="164"/>
      <c r="AB152" s="164"/>
      <c r="AC152" s="164"/>
      <c r="AE152" s="164"/>
      <c r="AF152" s="164"/>
      <c r="AG152" s="164"/>
      <c r="AH152" s="164"/>
      <c r="AI152" s="164"/>
      <c r="AJ152" s="164"/>
      <c r="AK152" s="164"/>
      <c r="AL152" s="164"/>
      <c r="AM152" s="164"/>
      <c r="AN152" s="164"/>
      <c r="AO152" s="164"/>
      <c r="AP152" s="164"/>
      <c r="AQ152" s="164"/>
      <c r="AR152" s="164"/>
      <c r="AS152" s="164"/>
      <c r="AT152" s="164"/>
      <c r="AU152" s="164"/>
      <c r="AV152" s="164"/>
      <c r="AW152" s="164"/>
      <c r="AX152" s="164"/>
    </row>
    <row r="153" spans="21:50" x14ac:dyDescent="0.25">
      <c r="U153" s="164"/>
      <c r="V153" s="164"/>
      <c r="W153" s="164"/>
      <c r="X153" s="164"/>
      <c r="Y153" s="164"/>
      <c r="Z153" s="164"/>
      <c r="AA153" s="164"/>
      <c r="AB153" s="164"/>
      <c r="AC153" s="164"/>
      <c r="AE153" s="164"/>
      <c r="AF153" s="164"/>
      <c r="AG153" s="164"/>
      <c r="AH153" s="164"/>
      <c r="AI153" s="164"/>
      <c r="AJ153" s="164"/>
      <c r="AK153" s="164"/>
      <c r="AL153" s="164"/>
      <c r="AM153" s="164"/>
      <c r="AN153" s="164"/>
      <c r="AO153" s="164"/>
      <c r="AP153" s="164"/>
      <c r="AQ153" s="164"/>
      <c r="AR153" s="164"/>
      <c r="AS153" s="164"/>
      <c r="AT153" s="164"/>
      <c r="AU153" s="164"/>
      <c r="AV153" s="164"/>
      <c r="AW153" s="164"/>
      <c r="AX153" s="164"/>
    </row>
    <row r="154" spans="21:50" x14ac:dyDescent="0.25">
      <c r="U154" s="164"/>
      <c r="V154" s="164"/>
      <c r="W154" s="164"/>
      <c r="X154" s="164"/>
      <c r="Y154" s="164"/>
      <c r="Z154" s="164"/>
      <c r="AA154" s="164"/>
      <c r="AB154" s="164"/>
      <c r="AC154" s="164"/>
      <c r="AE154" s="164"/>
      <c r="AF154" s="164"/>
      <c r="AG154" s="164"/>
      <c r="AH154" s="164"/>
      <c r="AI154" s="164"/>
      <c r="AJ154" s="164"/>
      <c r="AK154" s="164"/>
      <c r="AL154" s="164"/>
      <c r="AM154" s="164"/>
      <c r="AN154" s="164"/>
      <c r="AO154" s="164"/>
      <c r="AP154" s="164"/>
      <c r="AQ154" s="164"/>
      <c r="AR154" s="164"/>
      <c r="AS154" s="164"/>
      <c r="AT154" s="164"/>
      <c r="AU154" s="164"/>
      <c r="AV154" s="164"/>
      <c r="AW154" s="164"/>
      <c r="AX154" s="164"/>
    </row>
    <row r="155" spans="21:50" x14ac:dyDescent="0.25">
      <c r="U155" s="164"/>
      <c r="V155" s="164"/>
      <c r="W155" s="164"/>
      <c r="X155" s="164"/>
      <c r="Y155" s="164"/>
      <c r="Z155" s="164"/>
      <c r="AA155" s="164"/>
      <c r="AB155" s="164"/>
      <c r="AC155" s="164"/>
      <c r="AE155" s="164"/>
      <c r="AF155" s="164"/>
      <c r="AG155" s="164"/>
      <c r="AH155" s="164"/>
      <c r="AI155" s="164"/>
      <c r="AJ155" s="164"/>
      <c r="AK155" s="164"/>
      <c r="AL155" s="164"/>
      <c r="AM155" s="164"/>
      <c r="AN155" s="164"/>
      <c r="AO155" s="164"/>
      <c r="AP155" s="164"/>
      <c r="AQ155" s="164"/>
      <c r="AR155" s="164"/>
      <c r="AS155" s="164"/>
      <c r="AT155" s="164"/>
      <c r="AU155" s="164"/>
      <c r="AV155" s="164"/>
      <c r="AW155" s="164"/>
      <c r="AX155" s="164"/>
    </row>
    <row r="156" spans="21:50" x14ac:dyDescent="0.25">
      <c r="U156" s="164"/>
      <c r="V156" s="164"/>
      <c r="W156" s="164"/>
      <c r="X156" s="164"/>
      <c r="Y156" s="164"/>
      <c r="Z156" s="164"/>
      <c r="AA156" s="164"/>
      <c r="AB156" s="164"/>
      <c r="AC156" s="164"/>
      <c r="AE156" s="164"/>
      <c r="AF156" s="164"/>
      <c r="AG156" s="164"/>
      <c r="AH156" s="164"/>
      <c r="AI156" s="164"/>
      <c r="AJ156" s="164"/>
      <c r="AK156" s="164"/>
      <c r="AL156" s="164"/>
      <c r="AM156" s="164"/>
      <c r="AN156" s="164"/>
      <c r="AO156" s="164"/>
      <c r="AP156" s="164"/>
      <c r="AQ156" s="164"/>
      <c r="AR156" s="164"/>
      <c r="AS156" s="164"/>
      <c r="AT156" s="164"/>
      <c r="AU156" s="164"/>
      <c r="AV156" s="164"/>
      <c r="AW156" s="164"/>
      <c r="AX156" s="164"/>
    </row>
    <row r="157" spans="21:50" x14ac:dyDescent="0.25">
      <c r="U157" s="164"/>
      <c r="V157" s="164"/>
      <c r="W157" s="164"/>
      <c r="X157" s="164"/>
      <c r="Y157" s="164"/>
      <c r="Z157" s="164"/>
      <c r="AA157" s="164"/>
      <c r="AB157" s="164"/>
      <c r="AC157" s="164"/>
      <c r="AE157" s="164"/>
      <c r="AF157" s="164"/>
      <c r="AG157" s="164"/>
      <c r="AH157" s="164"/>
      <c r="AI157" s="164"/>
      <c r="AJ157" s="164"/>
      <c r="AK157" s="164"/>
      <c r="AL157" s="164"/>
      <c r="AM157" s="164"/>
      <c r="AN157" s="164"/>
      <c r="AO157" s="164"/>
      <c r="AP157" s="164"/>
      <c r="AQ157" s="164"/>
      <c r="AR157" s="164"/>
      <c r="AS157" s="164"/>
      <c r="AT157" s="164"/>
      <c r="AU157" s="164"/>
      <c r="AV157" s="164"/>
      <c r="AW157" s="164"/>
      <c r="AX157" s="164"/>
    </row>
    <row r="158" spans="21:50" x14ac:dyDescent="0.25">
      <c r="U158" s="164"/>
      <c r="V158" s="164"/>
      <c r="W158" s="164"/>
      <c r="X158" s="164"/>
      <c r="Y158" s="164"/>
      <c r="Z158" s="164"/>
      <c r="AA158" s="164"/>
      <c r="AB158" s="164"/>
      <c r="AC158" s="164"/>
      <c r="AE158" s="164"/>
      <c r="AF158" s="164"/>
      <c r="AG158" s="164"/>
      <c r="AH158" s="164"/>
      <c r="AI158" s="164"/>
      <c r="AJ158" s="164"/>
      <c r="AK158" s="164"/>
      <c r="AL158" s="164"/>
      <c r="AM158" s="164"/>
      <c r="AN158" s="164"/>
      <c r="AO158" s="164"/>
      <c r="AP158" s="164"/>
      <c r="AQ158" s="164"/>
      <c r="AR158" s="164"/>
      <c r="AS158" s="164"/>
      <c r="AT158" s="164"/>
      <c r="AU158" s="164"/>
      <c r="AV158" s="164"/>
      <c r="AW158" s="164"/>
      <c r="AX158" s="164"/>
    </row>
    <row r="159" spans="21:50" x14ac:dyDescent="0.25">
      <c r="U159" s="164"/>
      <c r="V159" s="164"/>
      <c r="W159" s="164"/>
      <c r="X159" s="164"/>
      <c r="Y159" s="164"/>
      <c r="Z159" s="164"/>
      <c r="AA159" s="164"/>
      <c r="AB159" s="164"/>
      <c r="AC159" s="164"/>
      <c r="AE159" s="164"/>
      <c r="AF159" s="164"/>
      <c r="AG159" s="164"/>
      <c r="AH159" s="164"/>
      <c r="AI159" s="164"/>
      <c r="AJ159" s="164"/>
      <c r="AK159" s="164"/>
      <c r="AL159" s="164"/>
      <c r="AM159" s="164"/>
      <c r="AN159" s="164"/>
      <c r="AO159" s="164"/>
      <c r="AP159" s="164"/>
      <c r="AQ159" s="164"/>
      <c r="AR159" s="164"/>
      <c r="AS159" s="164"/>
      <c r="AT159" s="164"/>
      <c r="AU159" s="164"/>
      <c r="AV159" s="164"/>
      <c r="AW159" s="164"/>
      <c r="AX159" s="164"/>
    </row>
    <row r="160" spans="21:50" x14ac:dyDescent="0.25">
      <c r="U160" s="164"/>
      <c r="V160" s="164"/>
      <c r="W160" s="164"/>
      <c r="X160" s="164"/>
      <c r="Y160" s="164"/>
      <c r="Z160" s="164"/>
      <c r="AA160" s="164"/>
      <c r="AB160" s="164"/>
      <c r="AC160" s="164"/>
      <c r="AE160" s="164"/>
      <c r="AF160" s="164"/>
      <c r="AG160" s="164"/>
      <c r="AH160" s="164"/>
      <c r="AI160" s="164"/>
      <c r="AJ160" s="164"/>
      <c r="AK160" s="164"/>
      <c r="AL160" s="164"/>
      <c r="AM160" s="164"/>
      <c r="AN160" s="164"/>
      <c r="AO160" s="164"/>
      <c r="AP160" s="164"/>
      <c r="AQ160" s="164"/>
      <c r="AR160" s="164"/>
      <c r="AS160" s="164"/>
      <c r="AT160" s="164"/>
      <c r="AU160" s="164"/>
      <c r="AV160" s="164"/>
      <c r="AW160" s="164"/>
      <c r="AX160" s="164"/>
    </row>
    <row r="161" spans="21:50" x14ac:dyDescent="0.25">
      <c r="U161" s="164"/>
      <c r="V161" s="164"/>
      <c r="W161" s="164"/>
      <c r="X161" s="164"/>
      <c r="Y161" s="164"/>
      <c r="Z161" s="164"/>
      <c r="AA161" s="164"/>
      <c r="AB161" s="164"/>
      <c r="AC161" s="164"/>
      <c r="AE161" s="164"/>
      <c r="AF161" s="164"/>
      <c r="AG161" s="164"/>
      <c r="AH161" s="164"/>
      <c r="AI161" s="164"/>
      <c r="AJ161" s="164"/>
      <c r="AK161" s="164"/>
      <c r="AL161" s="164"/>
      <c r="AM161" s="164"/>
      <c r="AN161" s="164"/>
      <c r="AO161" s="164"/>
      <c r="AP161" s="164"/>
      <c r="AQ161" s="164"/>
      <c r="AR161" s="164"/>
      <c r="AS161" s="164"/>
      <c r="AT161" s="164"/>
      <c r="AU161" s="164"/>
      <c r="AV161" s="164"/>
      <c r="AW161" s="164"/>
      <c r="AX161" s="164"/>
    </row>
    <row r="162" spans="21:50" x14ac:dyDescent="0.25">
      <c r="U162" s="164"/>
      <c r="V162" s="164"/>
      <c r="W162" s="164"/>
      <c r="X162" s="164"/>
      <c r="Y162" s="164"/>
      <c r="Z162" s="164"/>
      <c r="AA162" s="164"/>
      <c r="AB162" s="164"/>
      <c r="AC162" s="164"/>
      <c r="AE162" s="164"/>
      <c r="AF162" s="164"/>
      <c r="AG162" s="164"/>
      <c r="AH162" s="164"/>
      <c r="AI162" s="164"/>
      <c r="AJ162" s="164"/>
      <c r="AK162" s="164"/>
      <c r="AL162" s="164"/>
      <c r="AM162" s="164"/>
      <c r="AN162" s="164"/>
      <c r="AO162" s="164"/>
      <c r="AP162" s="164"/>
      <c r="AQ162" s="164"/>
      <c r="AR162" s="164"/>
      <c r="AS162" s="164"/>
      <c r="AT162" s="164"/>
      <c r="AU162" s="164"/>
      <c r="AV162" s="164"/>
      <c r="AW162" s="164"/>
      <c r="AX162" s="164"/>
    </row>
    <row r="163" spans="21:50" x14ac:dyDescent="0.25">
      <c r="U163" s="164"/>
      <c r="V163" s="164"/>
      <c r="W163" s="164"/>
      <c r="X163" s="164"/>
      <c r="Y163" s="164"/>
      <c r="Z163" s="164"/>
      <c r="AA163" s="164"/>
      <c r="AB163" s="164"/>
      <c r="AC163" s="164"/>
      <c r="AE163" s="164"/>
      <c r="AF163" s="164"/>
      <c r="AG163" s="164"/>
      <c r="AH163" s="164"/>
      <c r="AI163" s="164"/>
      <c r="AJ163" s="164"/>
      <c r="AK163" s="164"/>
      <c r="AL163" s="164"/>
      <c r="AM163" s="164"/>
      <c r="AN163" s="164"/>
      <c r="AO163" s="164"/>
      <c r="AP163" s="164"/>
      <c r="AQ163" s="164"/>
      <c r="AR163" s="164"/>
      <c r="AS163" s="164"/>
      <c r="AT163" s="164"/>
      <c r="AU163" s="164"/>
      <c r="AV163" s="164"/>
      <c r="AW163" s="164"/>
      <c r="AX163" s="164"/>
    </row>
    <row r="164" spans="21:50" x14ac:dyDescent="0.25">
      <c r="U164" s="164"/>
      <c r="V164" s="164"/>
      <c r="W164" s="164"/>
      <c r="X164" s="164"/>
      <c r="Y164" s="164"/>
      <c r="Z164" s="164"/>
      <c r="AA164" s="164"/>
      <c r="AB164" s="164"/>
      <c r="AC164" s="164"/>
      <c r="AE164" s="164"/>
      <c r="AF164" s="164"/>
      <c r="AG164" s="164"/>
      <c r="AH164" s="164"/>
      <c r="AI164" s="164"/>
      <c r="AJ164" s="164"/>
      <c r="AK164" s="164"/>
      <c r="AL164" s="164"/>
      <c r="AM164" s="164"/>
      <c r="AN164" s="164"/>
      <c r="AO164" s="164"/>
      <c r="AP164" s="164"/>
      <c r="AQ164" s="164"/>
      <c r="AR164" s="164"/>
      <c r="AS164" s="164"/>
      <c r="AT164" s="164"/>
      <c r="AU164" s="164"/>
      <c r="AV164" s="164"/>
      <c r="AW164" s="164"/>
      <c r="AX164" s="164"/>
    </row>
    <row r="165" spans="21:50" x14ac:dyDescent="0.25">
      <c r="U165" s="164"/>
      <c r="V165" s="164"/>
      <c r="W165" s="164"/>
      <c r="X165" s="164"/>
      <c r="Y165" s="164"/>
      <c r="Z165" s="164"/>
      <c r="AA165" s="164"/>
      <c r="AB165" s="164"/>
      <c r="AC165" s="164"/>
      <c r="AE165" s="164"/>
      <c r="AF165" s="164"/>
      <c r="AG165" s="164"/>
      <c r="AH165" s="164"/>
      <c r="AI165" s="164"/>
      <c r="AJ165" s="164"/>
      <c r="AK165" s="164"/>
      <c r="AL165" s="164"/>
      <c r="AM165" s="164"/>
      <c r="AN165" s="164"/>
      <c r="AO165" s="164"/>
      <c r="AP165" s="164"/>
      <c r="AQ165" s="164"/>
      <c r="AR165" s="164"/>
      <c r="AS165" s="164"/>
      <c r="AT165" s="164"/>
      <c r="AU165" s="164"/>
      <c r="AV165" s="164"/>
      <c r="AW165" s="164"/>
      <c r="AX165" s="164"/>
    </row>
    <row r="166" spans="21:50" x14ac:dyDescent="0.25">
      <c r="U166" s="164"/>
      <c r="V166" s="164"/>
      <c r="W166" s="164"/>
      <c r="X166" s="164"/>
      <c r="Y166" s="164"/>
      <c r="Z166" s="164"/>
      <c r="AA166" s="164"/>
      <c r="AB166" s="164"/>
      <c r="AC166" s="164"/>
      <c r="AE166" s="164"/>
      <c r="AF166" s="164"/>
      <c r="AG166" s="164"/>
      <c r="AH166" s="164"/>
      <c r="AI166" s="164"/>
      <c r="AJ166" s="164"/>
      <c r="AK166" s="164"/>
      <c r="AL166" s="164"/>
      <c r="AM166" s="164"/>
      <c r="AN166" s="164"/>
      <c r="AO166" s="164"/>
      <c r="AP166" s="164"/>
      <c r="AQ166" s="164"/>
      <c r="AR166" s="164"/>
      <c r="AS166" s="164"/>
      <c r="AT166" s="164"/>
      <c r="AU166" s="164"/>
      <c r="AV166" s="164"/>
      <c r="AW166" s="164"/>
      <c r="AX166" s="164"/>
    </row>
    <row r="167" spans="21:50" x14ac:dyDescent="0.25">
      <c r="U167" s="164"/>
      <c r="V167" s="164"/>
      <c r="W167" s="164"/>
      <c r="X167" s="164"/>
      <c r="Y167" s="164"/>
      <c r="Z167" s="164"/>
      <c r="AA167" s="164"/>
      <c r="AB167" s="164"/>
      <c r="AC167" s="164"/>
      <c r="AE167" s="164"/>
      <c r="AF167" s="164"/>
      <c r="AG167" s="164"/>
      <c r="AH167" s="164"/>
      <c r="AI167" s="164"/>
      <c r="AJ167" s="164"/>
      <c r="AK167" s="164"/>
      <c r="AL167" s="164"/>
      <c r="AM167" s="164"/>
      <c r="AN167" s="164"/>
      <c r="AO167" s="164"/>
      <c r="AP167" s="164"/>
      <c r="AQ167" s="164"/>
      <c r="AR167" s="164"/>
      <c r="AS167" s="164"/>
      <c r="AT167" s="164"/>
      <c r="AU167" s="164"/>
      <c r="AV167" s="164"/>
      <c r="AW167" s="164"/>
      <c r="AX167" s="164"/>
    </row>
    <row r="168" spans="21:50" x14ac:dyDescent="0.25">
      <c r="U168" s="164"/>
      <c r="V168" s="164"/>
      <c r="W168" s="164"/>
      <c r="X168" s="164"/>
      <c r="Y168" s="164"/>
      <c r="Z168" s="164"/>
      <c r="AA168" s="164"/>
      <c r="AB168" s="164"/>
      <c r="AC168" s="164"/>
      <c r="AE168" s="164"/>
      <c r="AF168" s="164"/>
      <c r="AG168" s="164"/>
      <c r="AH168" s="164"/>
      <c r="AI168" s="164"/>
      <c r="AJ168" s="164"/>
      <c r="AK168" s="164"/>
      <c r="AL168" s="164"/>
      <c r="AM168" s="164"/>
      <c r="AN168" s="164"/>
      <c r="AO168" s="164"/>
      <c r="AP168" s="164"/>
      <c r="AQ168" s="164"/>
      <c r="AR168" s="164"/>
      <c r="AS168" s="164"/>
      <c r="AT168" s="164"/>
      <c r="AU168" s="164"/>
      <c r="AV168" s="164"/>
      <c r="AW168" s="164"/>
      <c r="AX168" s="164"/>
    </row>
    <row r="169" spans="21:50" x14ac:dyDescent="0.25">
      <c r="U169" s="164"/>
      <c r="V169" s="164"/>
      <c r="W169" s="164"/>
      <c r="X169" s="164"/>
      <c r="Y169" s="164"/>
      <c r="Z169" s="164"/>
      <c r="AA169" s="164"/>
      <c r="AB169" s="164"/>
      <c r="AC169" s="164"/>
      <c r="AE169" s="164"/>
      <c r="AF169" s="164"/>
      <c r="AG169" s="164"/>
      <c r="AH169" s="164"/>
      <c r="AI169" s="164"/>
      <c r="AJ169" s="164"/>
      <c r="AK169" s="164"/>
      <c r="AL169" s="164"/>
      <c r="AM169" s="164"/>
      <c r="AN169" s="164"/>
      <c r="AO169" s="164"/>
      <c r="AP169" s="164"/>
      <c r="AQ169" s="164"/>
      <c r="AR169" s="164"/>
      <c r="AS169" s="164"/>
      <c r="AT169" s="164"/>
      <c r="AU169" s="164"/>
      <c r="AV169" s="164"/>
      <c r="AW169" s="164"/>
      <c r="AX169" s="164"/>
    </row>
    <row r="170" spans="21:50" x14ac:dyDescent="0.25">
      <c r="U170" s="164"/>
      <c r="V170" s="164"/>
      <c r="W170" s="164"/>
      <c r="X170" s="164"/>
      <c r="Y170" s="164"/>
      <c r="Z170" s="164"/>
      <c r="AA170" s="164"/>
      <c r="AB170" s="164"/>
      <c r="AC170" s="164"/>
      <c r="AE170" s="164"/>
      <c r="AF170" s="164"/>
      <c r="AG170" s="164"/>
      <c r="AH170" s="164"/>
      <c r="AI170" s="164"/>
      <c r="AJ170" s="164"/>
      <c r="AK170" s="164"/>
      <c r="AL170" s="164"/>
      <c r="AM170" s="164"/>
      <c r="AN170" s="164"/>
      <c r="AO170" s="164"/>
      <c r="AP170" s="164"/>
      <c r="AQ170" s="164"/>
      <c r="AR170" s="164"/>
      <c r="AS170" s="164"/>
      <c r="AT170" s="164"/>
      <c r="AU170" s="164"/>
      <c r="AV170" s="164"/>
      <c r="AW170" s="164"/>
      <c r="AX170" s="164"/>
    </row>
    <row r="171" spans="21:50" x14ac:dyDescent="0.25">
      <c r="U171" s="164"/>
      <c r="V171" s="164"/>
      <c r="W171" s="164"/>
      <c r="X171" s="164"/>
      <c r="Y171" s="164"/>
      <c r="Z171" s="164"/>
      <c r="AA171" s="164"/>
      <c r="AB171" s="164"/>
      <c r="AC171" s="164"/>
      <c r="AE171" s="164"/>
      <c r="AF171" s="164"/>
      <c r="AG171" s="164"/>
      <c r="AH171" s="164"/>
      <c r="AI171" s="164"/>
      <c r="AJ171" s="164"/>
      <c r="AK171" s="164"/>
      <c r="AL171" s="164"/>
      <c r="AM171" s="164"/>
      <c r="AN171" s="164"/>
      <c r="AO171" s="164"/>
      <c r="AP171" s="164"/>
      <c r="AQ171" s="164"/>
      <c r="AR171" s="164"/>
      <c r="AS171" s="164"/>
      <c r="AT171" s="164"/>
      <c r="AU171" s="164"/>
      <c r="AV171" s="164"/>
      <c r="AW171" s="164"/>
      <c r="AX171" s="164"/>
    </row>
    <row r="172" spans="21:50" x14ac:dyDescent="0.25">
      <c r="U172" s="164"/>
      <c r="V172" s="164"/>
      <c r="W172" s="164"/>
      <c r="X172" s="164"/>
      <c r="Y172" s="164"/>
      <c r="Z172" s="164"/>
      <c r="AA172" s="164"/>
      <c r="AB172" s="164"/>
      <c r="AC172" s="164"/>
      <c r="AE172" s="164"/>
      <c r="AF172" s="164"/>
      <c r="AG172" s="164"/>
      <c r="AH172" s="164"/>
      <c r="AI172" s="164"/>
      <c r="AJ172" s="164"/>
      <c r="AK172" s="164"/>
      <c r="AL172" s="164"/>
      <c r="AM172" s="164"/>
      <c r="AN172" s="164"/>
      <c r="AO172" s="164"/>
      <c r="AP172" s="164"/>
      <c r="AQ172" s="164"/>
      <c r="AR172" s="164"/>
      <c r="AS172" s="164"/>
      <c r="AT172" s="164"/>
      <c r="AU172" s="164"/>
      <c r="AV172" s="164"/>
      <c r="AW172" s="164"/>
      <c r="AX172" s="164"/>
    </row>
    <row r="173" spans="21:50" x14ac:dyDescent="0.25">
      <c r="U173" s="164"/>
      <c r="V173" s="164"/>
      <c r="W173" s="164"/>
      <c r="X173" s="164"/>
      <c r="Y173" s="164"/>
      <c r="Z173" s="164"/>
      <c r="AA173" s="164"/>
      <c r="AB173" s="164"/>
      <c r="AC173" s="164"/>
      <c r="AE173" s="164"/>
      <c r="AF173" s="164"/>
      <c r="AG173" s="164"/>
      <c r="AH173" s="164"/>
      <c r="AI173" s="164"/>
      <c r="AJ173" s="164"/>
      <c r="AK173" s="164"/>
      <c r="AL173" s="164"/>
      <c r="AM173" s="164"/>
      <c r="AN173" s="164"/>
      <c r="AO173" s="164"/>
      <c r="AP173" s="164"/>
      <c r="AQ173" s="164"/>
      <c r="AR173" s="164"/>
      <c r="AS173" s="164"/>
      <c r="AT173" s="164"/>
      <c r="AU173" s="164"/>
      <c r="AV173" s="164"/>
      <c r="AW173" s="164"/>
      <c r="AX173" s="164"/>
    </row>
    <row r="174" spans="21:50" x14ac:dyDescent="0.25">
      <c r="U174" s="164"/>
      <c r="V174" s="164"/>
      <c r="W174" s="164"/>
      <c r="X174" s="164"/>
      <c r="Y174" s="164"/>
      <c r="Z174" s="164"/>
      <c r="AA174" s="164"/>
      <c r="AB174" s="164"/>
      <c r="AC174" s="164"/>
      <c r="AE174" s="164"/>
      <c r="AF174" s="164"/>
      <c r="AG174" s="164"/>
      <c r="AH174" s="164"/>
      <c r="AI174" s="164"/>
      <c r="AJ174" s="164"/>
      <c r="AK174" s="164"/>
      <c r="AL174" s="164"/>
      <c r="AM174" s="164"/>
      <c r="AN174" s="164"/>
      <c r="AO174" s="164"/>
      <c r="AP174" s="164"/>
      <c r="AQ174" s="164"/>
      <c r="AR174" s="164"/>
      <c r="AS174" s="164"/>
      <c r="AT174" s="164"/>
      <c r="AU174" s="164"/>
      <c r="AV174" s="164"/>
      <c r="AW174" s="164"/>
      <c r="AX174" s="164"/>
    </row>
    <row r="175" spans="21:50" x14ac:dyDescent="0.25">
      <c r="U175" s="164"/>
      <c r="V175" s="164"/>
      <c r="W175" s="164"/>
      <c r="X175" s="164"/>
      <c r="Y175" s="164"/>
      <c r="Z175" s="164"/>
      <c r="AA175" s="164"/>
      <c r="AB175" s="164"/>
      <c r="AC175" s="164"/>
      <c r="AE175" s="164"/>
      <c r="AF175" s="164"/>
      <c r="AG175" s="164"/>
      <c r="AH175" s="164"/>
      <c r="AI175" s="164"/>
      <c r="AJ175" s="164"/>
      <c r="AK175" s="164"/>
      <c r="AL175" s="164"/>
      <c r="AM175" s="164"/>
      <c r="AN175" s="164"/>
      <c r="AO175" s="164"/>
      <c r="AP175" s="164"/>
      <c r="AQ175" s="164"/>
      <c r="AR175" s="164"/>
      <c r="AS175" s="164"/>
      <c r="AT175" s="164"/>
      <c r="AU175" s="164"/>
      <c r="AV175" s="164"/>
      <c r="AW175" s="164"/>
      <c r="AX175" s="164"/>
    </row>
    <row r="176" spans="21:50" x14ac:dyDescent="0.25">
      <c r="U176" s="164"/>
      <c r="V176" s="164"/>
      <c r="W176" s="164"/>
      <c r="X176" s="164"/>
      <c r="Y176" s="164"/>
      <c r="Z176" s="164"/>
      <c r="AA176" s="164"/>
      <c r="AB176" s="164"/>
      <c r="AC176" s="164"/>
      <c r="AE176" s="164"/>
      <c r="AF176" s="164"/>
      <c r="AG176" s="164"/>
      <c r="AH176" s="164"/>
      <c r="AI176" s="164"/>
      <c r="AJ176" s="164"/>
      <c r="AK176" s="164"/>
      <c r="AL176" s="164"/>
      <c r="AM176" s="164"/>
      <c r="AN176" s="164"/>
      <c r="AO176" s="164"/>
      <c r="AP176" s="164"/>
      <c r="AQ176" s="164"/>
      <c r="AR176" s="164"/>
      <c r="AS176" s="164"/>
      <c r="AT176" s="164"/>
      <c r="AU176" s="164"/>
      <c r="AV176" s="164"/>
      <c r="AW176" s="164"/>
      <c r="AX176" s="164"/>
    </row>
    <row r="177" spans="21:50" x14ac:dyDescent="0.25">
      <c r="U177" s="164"/>
      <c r="V177" s="164"/>
      <c r="W177" s="164"/>
      <c r="X177" s="164"/>
      <c r="Y177" s="164"/>
      <c r="Z177" s="164"/>
      <c r="AA177" s="164"/>
      <c r="AB177" s="164"/>
      <c r="AC177" s="164"/>
      <c r="AE177" s="164"/>
      <c r="AF177" s="164"/>
      <c r="AG177" s="164"/>
      <c r="AH177" s="164"/>
      <c r="AI177" s="164"/>
      <c r="AJ177" s="164"/>
      <c r="AK177" s="164"/>
      <c r="AL177" s="164"/>
      <c r="AM177" s="164"/>
      <c r="AN177" s="164"/>
      <c r="AO177" s="164"/>
      <c r="AP177" s="164"/>
      <c r="AQ177" s="164"/>
      <c r="AR177" s="164"/>
      <c r="AS177" s="164"/>
      <c r="AT177" s="164"/>
      <c r="AU177" s="164"/>
      <c r="AV177" s="164"/>
      <c r="AW177" s="164"/>
      <c r="AX177" s="164"/>
    </row>
    <row r="178" spans="21:50" x14ac:dyDescent="0.25">
      <c r="U178" s="164"/>
      <c r="V178" s="164"/>
      <c r="W178" s="164"/>
      <c r="X178" s="164"/>
      <c r="Y178" s="164"/>
      <c r="Z178" s="164"/>
      <c r="AA178" s="164"/>
      <c r="AB178" s="164"/>
      <c r="AC178" s="164"/>
      <c r="AE178" s="164"/>
      <c r="AF178" s="164"/>
      <c r="AG178" s="164"/>
      <c r="AH178" s="164"/>
      <c r="AI178" s="164"/>
      <c r="AJ178" s="164"/>
      <c r="AK178" s="164"/>
      <c r="AL178" s="164"/>
      <c r="AM178" s="164"/>
      <c r="AN178" s="164"/>
      <c r="AO178" s="164"/>
      <c r="AP178" s="164"/>
      <c r="AQ178" s="164"/>
      <c r="AR178" s="164"/>
      <c r="AS178" s="164"/>
      <c r="AT178" s="164"/>
      <c r="AU178" s="164"/>
      <c r="AV178" s="164"/>
      <c r="AW178" s="164"/>
      <c r="AX178" s="164"/>
    </row>
    <row r="179" spans="21:50" x14ac:dyDescent="0.25">
      <c r="U179" s="164"/>
      <c r="V179" s="164"/>
      <c r="W179" s="164"/>
      <c r="X179" s="164"/>
      <c r="Y179" s="164"/>
      <c r="Z179" s="164"/>
      <c r="AA179" s="164"/>
      <c r="AB179" s="164"/>
      <c r="AC179" s="164"/>
      <c r="AE179" s="164"/>
      <c r="AF179" s="164"/>
      <c r="AG179" s="164"/>
      <c r="AH179" s="164"/>
      <c r="AI179" s="164"/>
      <c r="AJ179" s="164"/>
      <c r="AK179" s="164"/>
      <c r="AL179" s="164"/>
      <c r="AM179" s="164"/>
      <c r="AN179" s="164"/>
      <c r="AO179" s="164"/>
      <c r="AP179" s="164"/>
      <c r="AQ179" s="164"/>
      <c r="AR179" s="164"/>
      <c r="AS179" s="164"/>
      <c r="AT179" s="164"/>
      <c r="AU179" s="164"/>
      <c r="AV179" s="164"/>
      <c r="AW179" s="164"/>
      <c r="AX179" s="164"/>
    </row>
    <row r="180" spans="21:50" x14ac:dyDescent="0.25">
      <c r="U180" s="164"/>
      <c r="V180" s="164"/>
      <c r="W180" s="164"/>
      <c r="X180" s="164"/>
      <c r="Y180" s="164"/>
      <c r="Z180" s="164"/>
      <c r="AA180" s="164"/>
      <c r="AB180" s="164"/>
      <c r="AC180" s="164"/>
      <c r="AE180" s="164"/>
      <c r="AF180" s="164"/>
      <c r="AG180" s="164"/>
      <c r="AH180" s="164"/>
      <c r="AI180" s="164"/>
      <c r="AJ180" s="164"/>
      <c r="AK180" s="164"/>
      <c r="AL180" s="164"/>
      <c r="AM180" s="164"/>
      <c r="AN180" s="164"/>
      <c r="AO180" s="164"/>
      <c r="AP180" s="164"/>
      <c r="AQ180" s="164"/>
      <c r="AR180" s="164"/>
      <c r="AS180" s="164"/>
      <c r="AT180" s="164"/>
      <c r="AU180" s="164"/>
      <c r="AV180" s="164"/>
      <c r="AW180" s="164"/>
      <c r="AX180" s="164"/>
    </row>
    <row r="181" spans="21:50" x14ac:dyDescent="0.25">
      <c r="U181" s="164"/>
      <c r="V181" s="164"/>
      <c r="W181" s="164"/>
      <c r="X181" s="164"/>
      <c r="Y181" s="164"/>
      <c r="Z181" s="164"/>
      <c r="AA181" s="164"/>
      <c r="AB181" s="164"/>
      <c r="AC181" s="164"/>
      <c r="AE181" s="164"/>
      <c r="AF181" s="164"/>
      <c r="AG181" s="164"/>
      <c r="AH181" s="164"/>
      <c r="AI181" s="164"/>
      <c r="AJ181" s="164"/>
      <c r="AK181" s="164"/>
      <c r="AL181" s="164"/>
      <c r="AM181" s="164"/>
      <c r="AN181" s="164"/>
      <c r="AO181" s="164"/>
      <c r="AP181" s="164"/>
      <c r="AQ181" s="164"/>
      <c r="AR181" s="164"/>
      <c r="AS181" s="164"/>
      <c r="AT181" s="164"/>
      <c r="AU181" s="164"/>
      <c r="AV181" s="164"/>
      <c r="AW181" s="164"/>
      <c r="AX181" s="164"/>
    </row>
    <row r="182" spans="21:50" x14ac:dyDescent="0.25">
      <c r="U182" s="164"/>
      <c r="V182" s="164"/>
      <c r="W182" s="164"/>
      <c r="X182" s="164"/>
      <c r="Y182" s="164"/>
      <c r="Z182" s="164"/>
      <c r="AA182" s="164"/>
      <c r="AB182" s="164"/>
      <c r="AC182" s="164"/>
      <c r="AE182" s="164"/>
      <c r="AF182" s="164"/>
      <c r="AG182" s="164"/>
      <c r="AH182" s="164"/>
      <c r="AI182" s="164"/>
      <c r="AJ182" s="164"/>
      <c r="AK182" s="164"/>
      <c r="AL182" s="164"/>
      <c r="AM182" s="164"/>
      <c r="AN182" s="164"/>
      <c r="AO182" s="164"/>
      <c r="AP182" s="164"/>
      <c r="AQ182" s="164"/>
      <c r="AR182" s="164"/>
      <c r="AS182" s="164"/>
      <c r="AT182" s="164"/>
      <c r="AU182" s="164"/>
      <c r="AV182" s="164"/>
      <c r="AW182" s="164"/>
      <c r="AX182" s="164"/>
    </row>
    <row r="183" spans="21:50" x14ac:dyDescent="0.25">
      <c r="U183" s="164"/>
      <c r="V183" s="164"/>
      <c r="W183" s="164"/>
      <c r="X183" s="164"/>
      <c r="Y183" s="164"/>
      <c r="Z183" s="164"/>
      <c r="AA183" s="164"/>
      <c r="AB183" s="164"/>
      <c r="AC183" s="164"/>
      <c r="AE183" s="164"/>
      <c r="AF183" s="164"/>
      <c r="AG183" s="164"/>
      <c r="AH183" s="164"/>
      <c r="AI183" s="164"/>
      <c r="AJ183" s="164"/>
      <c r="AK183" s="164"/>
      <c r="AL183" s="164"/>
      <c r="AM183" s="164"/>
      <c r="AN183" s="164"/>
      <c r="AO183" s="164"/>
      <c r="AP183" s="164"/>
      <c r="AQ183" s="164"/>
      <c r="AR183" s="164"/>
      <c r="AS183" s="164"/>
      <c r="AT183" s="164"/>
      <c r="AU183" s="164"/>
      <c r="AV183" s="164"/>
      <c r="AW183" s="164"/>
      <c r="AX183" s="164"/>
    </row>
  </sheetData>
  <sheetProtection formatColumns="0" deleteColumns="0" deleteRows="0" selectLockedCells="1"/>
  <mergeCells count="18">
    <mergeCell ref="B81:C81"/>
    <mergeCell ref="B65:B68"/>
    <mergeCell ref="B69:C69"/>
    <mergeCell ref="B71:B74"/>
    <mergeCell ref="B75:C75"/>
    <mergeCell ref="B77:B80"/>
    <mergeCell ref="B120:C120"/>
    <mergeCell ref="B84:B87"/>
    <mergeCell ref="B88:C88"/>
    <mergeCell ref="B90:B93"/>
    <mergeCell ref="B94:C94"/>
    <mergeCell ref="B96:B99"/>
    <mergeCell ref="B100:C100"/>
    <mergeCell ref="B104:B107"/>
    <mergeCell ref="B108:C108"/>
    <mergeCell ref="B110:B113"/>
    <mergeCell ref="B114:C114"/>
    <mergeCell ref="B116:B119"/>
  </mergeCells>
  <conditionalFormatting sqref="P3:P60">
    <cfRule type="expression" dxfId="435" priority="6">
      <formula>AND(P3&lt;&gt;"",P3&lt;&gt;"OUI")</formula>
    </cfRule>
  </conditionalFormatting>
  <conditionalFormatting sqref="AL3:AM60 S3:AH60">
    <cfRule type="expression" dxfId="434" priority="5" stopIfTrue="1">
      <formula>$AH3&lt;&gt;0</formula>
    </cfRule>
  </conditionalFormatting>
  <conditionalFormatting sqref="A6:E60 C3:E5 A3:A5">
    <cfRule type="expression" dxfId="433" priority="7" stopIfTrue="1">
      <formula>AND($I3&lt;&gt;"",AND($J3="",AND($AY3="",$AZ3="")))</formula>
    </cfRule>
    <cfRule type="expression" dxfId="432" priority="8" stopIfTrue="1">
      <formula>AND($J3&lt;&gt;"",AND($AY3="",$AZ3=""))</formula>
    </cfRule>
    <cfRule type="expression" dxfId="431" priority="9" stopIfTrue="1">
      <formula>AND($AY3&lt;&gt;"",$AZ3="")</formula>
    </cfRule>
    <cfRule type="expression" dxfId="430" priority="10" stopIfTrue="1">
      <formula>$AZ3="X"</formula>
    </cfRule>
  </conditionalFormatting>
  <conditionalFormatting sqref="B3:B5">
    <cfRule type="expression" dxfId="11" priority="1" stopIfTrue="1">
      <formula>AND($I3&lt;&gt;"",AND($J3="",AND($AY3="",$AZ3="")))</formula>
    </cfRule>
    <cfRule type="expression" dxfId="10" priority="2" stopIfTrue="1">
      <formula>AND($J3&lt;&gt;"",AND($AY3="",$AZ3=""))</formula>
    </cfRule>
    <cfRule type="expression" dxfId="9" priority="3" stopIfTrue="1">
      <formula>AND($AY3&lt;&gt;"",$AZ3="")</formula>
    </cfRule>
    <cfRule type="expression" dxfId="8" priority="4" stopIfTrue="1">
      <formula>$AZ3="X"</formula>
    </cfRule>
  </conditionalFormatting>
  <dataValidations count="11">
    <dataValidation type="list" allowBlank="1" showInputMessage="1" showErrorMessage="1" sqref="H3:H60">
      <formula1>"MENSUELLE,TRIMESTRIELLE,EXERCICE,ANNUELLE"</formula1>
    </dataValidation>
    <dataValidation type="list" allowBlank="1" showInputMessage="1" showErrorMessage="1" sqref="BG3:BI60">
      <formula1>"OUI,NON,N/C"</formula1>
    </dataValidation>
    <dataValidation type="list" allowBlank="1" showInputMessage="1" showErrorMessage="1" sqref="AL3:AL60">
      <formula1>"ABONNE COURT,ABONNE LONG"</formula1>
    </dataValidation>
    <dataValidation type="list" allowBlank="1" showInputMessage="1" showErrorMessage="1" sqref="P3:P60">
      <formula1>"OUI,NON,A TERMINER,A FAIRE"</formula1>
    </dataValidation>
    <dataValidation type="list" allowBlank="1" showInputMessage="1" showErrorMessage="1" sqref="AY3:BA60">
      <formula1>"X"</formula1>
    </dataValidation>
    <dataValidation type="list" allowBlank="1" showInputMessage="1" showErrorMessage="1" sqref="R3:R60">
      <formula1>"OUI,NON,A FAIRE,N/A"</formula1>
    </dataValidation>
    <dataValidation type="list" allowBlank="1" showInputMessage="1" showErrorMessage="1" sqref="Q3:Q60 AM3:AM60">
      <formula1>"OUI,NON"</formula1>
    </dataValidation>
    <dataValidation type="list" allowBlank="1" showInputMessage="1" showErrorMessage="1" sqref="O3:O60">
      <formula1>"COMPTABLE,CONSEILLER"</formula1>
    </dataValidation>
    <dataValidation type="list" allowBlank="1" showInputMessage="1" showErrorMessage="1" sqref="M3:N60">
      <formula1>"OUI,NON,A FAIRE"</formula1>
    </dataValidation>
    <dataValidation type="list" allowBlank="1" showInputMessage="1" showErrorMessage="1" sqref="JW3:JW60 TS3:TS60 ADO3:ADO60 ANK3:ANK60 AXG3:AXG60 BHC3:BHC60 BQY3:BQY60 CAU3:CAU60 CKQ3:CKQ60 CUM3:CUM60 DEI3:DEI60 DOE3:DOE60 DYA3:DYA60 EHW3:EHW60 ERS3:ERS60 FBO3:FBO60 FLK3:FLK60 FVG3:FVG60 GFC3:GFC60 GOY3:GOY60 GYU3:GYU60 HIQ3:HIQ60 HSM3:HSM60 ICI3:ICI60 IME3:IME60 IWA3:IWA60 JFW3:JFW60 JPS3:JPS60 JZO3:JZO60 KJK3:KJK60 KTG3:KTG60 LDC3:LDC60 LMY3:LMY60 LWU3:LWU60 MGQ3:MGQ60 MQM3:MQM60 NAI3:NAI60 NKE3:NKE60 NUA3:NUA60 ODW3:ODW60 ONS3:ONS60 OXO3:OXO60 PHK3:PHK60 PRG3:PRG60 QBC3:QBC60 QKY3:QKY60 QUU3:QUU60 REQ3:REQ60 ROM3:ROM60 RYI3:RYI60 SIE3:SIE60 SSA3:SSA60 TBW3:TBW60 TLS3:TLS60 TVO3:TVO60 UFK3:UFK60 UPG3:UPG60 UZC3:UZC60 VIY3:VIY60 VSU3:VSU60 WCQ3:WCQ60 WMM3:WMM60 WWI3:WWI60 G65539:G65596 JV65539:JV65596 TR65539:TR65596 ADN65539:ADN65596 ANJ65539:ANJ65596 AXF65539:AXF65596 BHB65539:BHB65596 BQX65539:BQX65596 CAT65539:CAT65596 CKP65539:CKP65596 CUL65539:CUL65596 DEH65539:DEH65596 DOD65539:DOD65596 DXZ65539:DXZ65596 EHV65539:EHV65596 ERR65539:ERR65596 FBN65539:FBN65596 FLJ65539:FLJ65596 FVF65539:FVF65596 GFB65539:GFB65596 GOX65539:GOX65596 GYT65539:GYT65596 HIP65539:HIP65596 HSL65539:HSL65596 ICH65539:ICH65596 IMD65539:IMD65596 IVZ65539:IVZ65596 JFV65539:JFV65596 JPR65539:JPR65596 JZN65539:JZN65596 KJJ65539:KJJ65596 KTF65539:KTF65596 LDB65539:LDB65596 LMX65539:LMX65596 LWT65539:LWT65596 MGP65539:MGP65596 MQL65539:MQL65596 NAH65539:NAH65596 NKD65539:NKD65596 NTZ65539:NTZ65596 ODV65539:ODV65596 ONR65539:ONR65596 OXN65539:OXN65596 PHJ65539:PHJ65596 PRF65539:PRF65596 QBB65539:QBB65596 QKX65539:QKX65596 QUT65539:QUT65596 REP65539:REP65596 ROL65539:ROL65596 RYH65539:RYH65596 SID65539:SID65596 SRZ65539:SRZ65596 TBV65539:TBV65596 TLR65539:TLR65596 TVN65539:TVN65596 UFJ65539:UFJ65596 UPF65539:UPF65596 UZB65539:UZB65596 VIX65539:VIX65596 VST65539:VST65596 WCP65539:WCP65596 WML65539:WML65596 WWH65539:WWH65596 G131075:G131132 JV131075:JV131132 TR131075:TR131132 ADN131075:ADN131132 ANJ131075:ANJ131132 AXF131075:AXF131132 BHB131075:BHB131132 BQX131075:BQX131132 CAT131075:CAT131132 CKP131075:CKP131132 CUL131075:CUL131132 DEH131075:DEH131132 DOD131075:DOD131132 DXZ131075:DXZ131132 EHV131075:EHV131132 ERR131075:ERR131132 FBN131075:FBN131132 FLJ131075:FLJ131132 FVF131075:FVF131132 GFB131075:GFB131132 GOX131075:GOX131132 GYT131075:GYT131132 HIP131075:HIP131132 HSL131075:HSL131132 ICH131075:ICH131132 IMD131075:IMD131132 IVZ131075:IVZ131132 JFV131075:JFV131132 JPR131075:JPR131132 JZN131075:JZN131132 KJJ131075:KJJ131132 KTF131075:KTF131132 LDB131075:LDB131132 LMX131075:LMX131132 LWT131075:LWT131132 MGP131075:MGP131132 MQL131075:MQL131132 NAH131075:NAH131132 NKD131075:NKD131132 NTZ131075:NTZ131132 ODV131075:ODV131132 ONR131075:ONR131132 OXN131075:OXN131132 PHJ131075:PHJ131132 PRF131075:PRF131132 QBB131075:QBB131132 QKX131075:QKX131132 QUT131075:QUT131132 REP131075:REP131132 ROL131075:ROL131132 RYH131075:RYH131132 SID131075:SID131132 SRZ131075:SRZ131132 TBV131075:TBV131132 TLR131075:TLR131132 TVN131075:TVN131132 UFJ131075:UFJ131132 UPF131075:UPF131132 UZB131075:UZB131132 VIX131075:VIX131132 VST131075:VST131132 WCP131075:WCP131132 WML131075:WML131132 WWH131075:WWH131132 G196611:G196668 JV196611:JV196668 TR196611:TR196668 ADN196611:ADN196668 ANJ196611:ANJ196668 AXF196611:AXF196668 BHB196611:BHB196668 BQX196611:BQX196668 CAT196611:CAT196668 CKP196611:CKP196668 CUL196611:CUL196668 DEH196611:DEH196668 DOD196611:DOD196668 DXZ196611:DXZ196668 EHV196611:EHV196668 ERR196611:ERR196668 FBN196611:FBN196668 FLJ196611:FLJ196668 FVF196611:FVF196668 GFB196611:GFB196668 GOX196611:GOX196668 GYT196611:GYT196668 HIP196611:HIP196668 HSL196611:HSL196668 ICH196611:ICH196668 IMD196611:IMD196668 IVZ196611:IVZ196668 JFV196611:JFV196668 JPR196611:JPR196668 JZN196611:JZN196668 KJJ196611:KJJ196668 KTF196611:KTF196668 LDB196611:LDB196668 LMX196611:LMX196668 LWT196611:LWT196668 MGP196611:MGP196668 MQL196611:MQL196668 NAH196611:NAH196668 NKD196611:NKD196668 NTZ196611:NTZ196668 ODV196611:ODV196668 ONR196611:ONR196668 OXN196611:OXN196668 PHJ196611:PHJ196668 PRF196611:PRF196668 QBB196611:QBB196668 QKX196611:QKX196668 QUT196611:QUT196668 REP196611:REP196668 ROL196611:ROL196668 RYH196611:RYH196668 SID196611:SID196668 SRZ196611:SRZ196668 TBV196611:TBV196668 TLR196611:TLR196668 TVN196611:TVN196668 UFJ196611:UFJ196668 UPF196611:UPF196668 UZB196611:UZB196668 VIX196611:VIX196668 VST196611:VST196668 WCP196611:WCP196668 WML196611:WML196668 WWH196611:WWH196668 G262147:G262204 JV262147:JV262204 TR262147:TR262204 ADN262147:ADN262204 ANJ262147:ANJ262204 AXF262147:AXF262204 BHB262147:BHB262204 BQX262147:BQX262204 CAT262147:CAT262204 CKP262147:CKP262204 CUL262147:CUL262204 DEH262147:DEH262204 DOD262147:DOD262204 DXZ262147:DXZ262204 EHV262147:EHV262204 ERR262147:ERR262204 FBN262147:FBN262204 FLJ262147:FLJ262204 FVF262147:FVF262204 GFB262147:GFB262204 GOX262147:GOX262204 GYT262147:GYT262204 HIP262147:HIP262204 HSL262147:HSL262204 ICH262147:ICH262204 IMD262147:IMD262204 IVZ262147:IVZ262204 JFV262147:JFV262204 JPR262147:JPR262204 JZN262147:JZN262204 KJJ262147:KJJ262204 KTF262147:KTF262204 LDB262147:LDB262204 LMX262147:LMX262204 LWT262147:LWT262204 MGP262147:MGP262204 MQL262147:MQL262204 NAH262147:NAH262204 NKD262147:NKD262204 NTZ262147:NTZ262204 ODV262147:ODV262204 ONR262147:ONR262204 OXN262147:OXN262204 PHJ262147:PHJ262204 PRF262147:PRF262204 QBB262147:QBB262204 QKX262147:QKX262204 QUT262147:QUT262204 REP262147:REP262204 ROL262147:ROL262204 RYH262147:RYH262204 SID262147:SID262204 SRZ262147:SRZ262204 TBV262147:TBV262204 TLR262147:TLR262204 TVN262147:TVN262204 UFJ262147:UFJ262204 UPF262147:UPF262204 UZB262147:UZB262204 VIX262147:VIX262204 VST262147:VST262204 WCP262147:WCP262204 WML262147:WML262204 WWH262147:WWH262204 G327683:G327740 JV327683:JV327740 TR327683:TR327740 ADN327683:ADN327740 ANJ327683:ANJ327740 AXF327683:AXF327740 BHB327683:BHB327740 BQX327683:BQX327740 CAT327683:CAT327740 CKP327683:CKP327740 CUL327683:CUL327740 DEH327683:DEH327740 DOD327683:DOD327740 DXZ327683:DXZ327740 EHV327683:EHV327740 ERR327683:ERR327740 FBN327683:FBN327740 FLJ327683:FLJ327740 FVF327683:FVF327740 GFB327683:GFB327740 GOX327683:GOX327740 GYT327683:GYT327740 HIP327683:HIP327740 HSL327683:HSL327740 ICH327683:ICH327740 IMD327683:IMD327740 IVZ327683:IVZ327740 JFV327683:JFV327740 JPR327683:JPR327740 JZN327683:JZN327740 KJJ327683:KJJ327740 KTF327683:KTF327740 LDB327683:LDB327740 LMX327683:LMX327740 LWT327683:LWT327740 MGP327683:MGP327740 MQL327683:MQL327740 NAH327683:NAH327740 NKD327683:NKD327740 NTZ327683:NTZ327740 ODV327683:ODV327740 ONR327683:ONR327740 OXN327683:OXN327740 PHJ327683:PHJ327740 PRF327683:PRF327740 QBB327683:QBB327740 QKX327683:QKX327740 QUT327683:QUT327740 REP327683:REP327740 ROL327683:ROL327740 RYH327683:RYH327740 SID327683:SID327740 SRZ327683:SRZ327740 TBV327683:TBV327740 TLR327683:TLR327740 TVN327683:TVN327740 UFJ327683:UFJ327740 UPF327683:UPF327740 UZB327683:UZB327740 VIX327683:VIX327740 VST327683:VST327740 WCP327683:WCP327740 WML327683:WML327740 WWH327683:WWH327740 G393219:G393276 JV393219:JV393276 TR393219:TR393276 ADN393219:ADN393276 ANJ393219:ANJ393276 AXF393219:AXF393276 BHB393219:BHB393276 BQX393219:BQX393276 CAT393219:CAT393276 CKP393219:CKP393276 CUL393219:CUL393276 DEH393219:DEH393276 DOD393219:DOD393276 DXZ393219:DXZ393276 EHV393219:EHV393276 ERR393219:ERR393276 FBN393219:FBN393276 FLJ393219:FLJ393276 FVF393219:FVF393276 GFB393219:GFB393276 GOX393219:GOX393276 GYT393219:GYT393276 HIP393219:HIP393276 HSL393219:HSL393276 ICH393219:ICH393276 IMD393219:IMD393276 IVZ393219:IVZ393276 JFV393219:JFV393276 JPR393219:JPR393276 JZN393219:JZN393276 KJJ393219:KJJ393276 KTF393219:KTF393276 LDB393219:LDB393276 LMX393219:LMX393276 LWT393219:LWT393276 MGP393219:MGP393276 MQL393219:MQL393276 NAH393219:NAH393276 NKD393219:NKD393276 NTZ393219:NTZ393276 ODV393219:ODV393276 ONR393219:ONR393276 OXN393219:OXN393276 PHJ393219:PHJ393276 PRF393219:PRF393276 QBB393219:QBB393276 QKX393219:QKX393276 QUT393219:QUT393276 REP393219:REP393276 ROL393219:ROL393276 RYH393219:RYH393276 SID393219:SID393276 SRZ393219:SRZ393276 TBV393219:TBV393276 TLR393219:TLR393276 TVN393219:TVN393276 UFJ393219:UFJ393276 UPF393219:UPF393276 UZB393219:UZB393276 VIX393219:VIX393276 VST393219:VST393276 WCP393219:WCP393276 WML393219:WML393276 WWH393219:WWH393276 G458755:G458812 JV458755:JV458812 TR458755:TR458812 ADN458755:ADN458812 ANJ458755:ANJ458812 AXF458755:AXF458812 BHB458755:BHB458812 BQX458755:BQX458812 CAT458755:CAT458812 CKP458755:CKP458812 CUL458755:CUL458812 DEH458755:DEH458812 DOD458755:DOD458812 DXZ458755:DXZ458812 EHV458755:EHV458812 ERR458755:ERR458812 FBN458755:FBN458812 FLJ458755:FLJ458812 FVF458755:FVF458812 GFB458755:GFB458812 GOX458755:GOX458812 GYT458755:GYT458812 HIP458755:HIP458812 HSL458755:HSL458812 ICH458755:ICH458812 IMD458755:IMD458812 IVZ458755:IVZ458812 JFV458755:JFV458812 JPR458755:JPR458812 JZN458755:JZN458812 KJJ458755:KJJ458812 KTF458755:KTF458812 LDB458755:LDB458812 LMX458755:LMX458812 LWT458755:LWT458812 MGP458755:MGP458812 MQL458755:MQL458812 NAH458755:NAH458812 NKD458755:NKD458812 NTZ458755:NTZ458812 ODV458755:ODV458812 ONR458755:ONR458812 OXN458755:OXN458812 PHJ458755:PHJ458812 PRF458755:PRF458812 QBB458755:QBB458812 QKX458755:QKX458812 QUT458755:QUT458812 REP458755:REP458812 ROL458755:ROL458812 RYH458755:RYH458812 SID458755:SID458812 SRZ458755:SRZ458812 TBV458755:TBV458812 TLR458755:TLR458812 TVN458755:TVN458812 UFJ458755:UFJ458812 UPF458755:UPF458812 UZB458755:UZB458812 VIX458755:VIX458812 VST458755:VST458812 WCP458755:WCP458812 WML458755:WML458812 WWH458755:WWH458812 G524291:G524348 JV524291:JV524348 TR524291:TR524348 ADN524291:ADN524348 ANJ524291:ANJ524348 AXF524291:AXF524348 BHB524291:BHB524348 BQX524291:BQX524348 CAT524291:CAT524348 CKP524291:CKP524348 CUL524291:CUL524348 DEH524291:DEH524348 DOD524291:DOD524348 DXZ524291:DXZ524348 EHV524291:EHV524348 ERR524291:ERR524348 FBN524291:FBN524348 FLJ524291:FLJ524348 FVF524291:FVF524348 GFB524291:GFB524348 GOX524291:GOX524348 GYT524291:GYT524348 HIP524291:HIP524348 HSL524291:HSL524348 ICH524291:ICH524348 IMD524291:IMD524348 IVZ524291:IVZ524348 JFV524291:JFV524348 JPR524291:JPR524348 JZN524291:JZN524348 KJJ524291:KJJ524348 KTF524291:KTF524348 LDB524291:LDB524348 LMX524291:LMX524348 LWT524291:LWT524348 MGP524291:MGP524348 MQL524291:MQL524348 NAH524291:NAH524348 NKD524291:NKD524348 NTZ524291:NTZ524348 ODV524291:ODV524348 ONR524291:ONR524348 OXN524291:OXN524348 PHJ524291:PHJ524348 PRF524291:PRF524348 QBB524291:QBB524348 QKX524291:QKX524348 QUT524291:QUT524348 REP524291:REP524348 ROL524291:ROL524348 RYH524291:RYH524348 SID524291:SID524348 SRZ524291:SRZ524348 TBV524291:TBV524348 TLR524291:TLR524348 TVN524291:TVN524348 UFJ524291:UFJ524348 UPF524291:UPF524348 UZB524291:UZB524348 VIX524291:VIX524348 VST524291:VST524348 WCP524291:WCP524348 WML524291:WML524348 WWH524291:WWH524348 G589827:G589884 JV589827:JV589884 TR589827:TR589884 ADN589827:ADN589884 ANJ589827:ANJ589884 AXF589827:AXF589884 BHB589827:BHB589884 BQX589827:BQX589884 CAT589827:CAT589884 CKP589827:CKP589884 CUL589827:CUL589884 DEH589827:DEH589884 DOD589827:DOD589884 DXZ589827:DXZ589884 EHV589827:EHV589884 ERR589827:ERR589884 FBN589827:FBN589884 FLJ589827:FLJ589884 FVF589827:FVF589884 GFB589827:GFB589884 GOX589827:GOX589884 GYT589827:GYT589884 HIP589827:HIP589884 HSL589827:HSL589884 ICH589827:ICH589884 IMD589827:IMD589884 IVZ589827:IVZ589884 JFV589827:JFV589884 JPR589827:JPR589884 JZN589827:JZN589884 KJJ589827:KJJ589884 KTF589827:KTF589884 LDB589827:LDB589884 LMX589827:LMX589884 LWT589827:LWT589884 MGP589827:MGP589884 MQL589827:MQL589884 NAH589827:NAH589884 NKD589827:NKD589884 NTZ589827:NTZ589884 ODV589827:ODV589884 ONR589827:ONR589884 OXN589827:OXN589884 PHJ589827:PHJ589884 PRF589827:PRF589884 QBB589827:QBB589884 QKX589827:QKX589884 QUT589827:QUT589884 REP589827:REP589884 ROL589827:ROL589884 RYH589827:RYH589884 SID589827:SID589884 SRZ589827:SRZ589884 TBV589827:TBV589884 TLR589827:TLR589884 TVN589827:TVN589884 UFJ589827:UFJ589884 UPF589827:UPF589884 UZB589827:UZB589884 VIX589827:VIX589884 VST589827:VST589884 WCP589827:WCP589884 WML589827:WML589884 WWH589827:WWH589884 G655363:G655420 JV655363:JV655420 TR655363:TR655420 ADN655363:ADN655420 ANJ655363:ANJ655420 AXF655363:AXF655420 BHB655363:BHB655420 BQX655363:BQX655420 CAT655363:CAT655420 CKP655363:CKP655420 CUL655363:CUL655420 DEH655363:DEH655420 DOD655363:DOD655420 DXZ655363:DXZ655420 EHV655363:EHV655420 ERR655363:ERR655420 FBN655363:FBN655420 FLJ655363:FLJ655420 FVF655363:FVF655420 GFB655363:GFB655420 GOX655363:GOX655420 GYT655363:GYT655420 HIP655363:HIP655420 HSL655363:HSL655420 ICH655363:ICH655420 IMD655363:IMD655420 IVZ655363:IVZ655420 JFV655363:JFV655420 JPR655363:JPR655420 JZN655363:JZN655420 KJJ655363:KJJ655420 KTF655363:KTF655420 LDB655363:LDB655420 LMX655363:LMX655420 LWT655363:LWT655420 MGP655363:MGP655420 MQL655363:MQL655420 NAH655363:NAH655420 NKD655363:NKD655420 NTZ655363:NTZ655420 ODV655363:ODV655420 ONR655363:ONR655420 OXN655363:OXN655420 PHJ655363:PHJ655420 PRF655363:PRF655420 QBB655363:QBB655420 QKX655363:QKX655420 QUT655363:QUT655420 REP655363:REP655420 ROL655363:ROL655420 RYH655363:RYH655420 SID655363:SID655420 SRZ655363:SRZ655420 TBV655363:TBV655420 TLR655363:TLR655420 TVN655363:TVN655420 UFJ655363:UFJ655420 UPF655363:UPF655420 UZB655363:UZB655420 VIX655363:VIX655420 VST655363:VST655420 WCP655363:WCP655420 WML655363:WML655420 WWH655363:WWH655420 G720899:G720956 JV720899:JV720956 TR720899:TR720956 ADN720899:ADN720956 ANJ720899:ANJ720956 AXF720899:AXF720956 BHB720899:BHB720956 BQX720899:BQX720956 CAT720899:CAT720956 CKP720899:CKP720956 CUL720899:CUL720956 DEH720899:DEH720956 DOD720899:DOD720956 DXZ720899:DXZ720956 EHV720899:EHV720956 ERR720899:ERR720956 FBN720899:FBN720956 FLJ720899:FLJ720956 FVF720899:FVF720956 GFB720899:GFB720956 GOX720899:GOX720956 GYT720899:GYT720956 HIP720899:HIP720956 HSL720899:HSL720956 ICH720899:ICH720956 IMD720899:IMD720956 IVZ720899:IVZ720956 JFV720899:JFV720956 JPR720899:JPR720956 JZN720899:JZN720956 KJJ720899:KJJ720956 KTF720899:KTF720956 LDB720899:LDB720956 LMX720899:LMX720956 LWT720899:LWT720956 MGP720899:MGP720956 MQL720899:MQL720956 NAH720899:NAH720956 NKD720899:NKD720956 NTZ720899:NTZ720956 ODV720899:ODV720956 ONR720899:ONR720956 OXN720899:OXN720956 PHJ720899:PHJ720956 PRF720899:PRF720956 QBB720899:QBB720956 QKX720899:QKX720956 QUT720899:QUT720956 REP720899:REP720956 ROL720899:ROL720956 RYH720899:RYH720956 SID720899:SID720956 SRZ720899:SRZ720956 TBV720899:TBV720956 TLR720899:TLR720956 TVN720899:TVN720956 UFJ720899:UFJ720956 UPF720899:UPF720956 UZB720899:UZB720956 VIX720899:VIX720956 VST720899:VST720956 WCP720899:WCP720956 WML720899:WML720956 WWH720899:WWH720956 G786435:G786492 JV786435:JV786492 TR786435:TR786492 ADN786435:ADN786492 ANJ786435:ANJ786492 AXF786435:AXF786492 BHB786435:BHB786492 BQX786435:BQX786492 CAT786435:CAT786492 CKP786435:CKP786492 CUL786435:CUL786492 DEH786435:DEH786492 DOD786435:DOD786492 DXZ786435:DXZ786492 EHV786435:EHV786492 ERR786435:ERR786492 FBN786435:FBN786492 FLJ786435:FLJ786492 FVF786435:FVF786492 GFB786435:GFB786492 GOX786435:GOX786492 GYT786435:GYT786492 HIP786435:HIP786492 HSL786435:HSL786492 ICH786435:ICH786492 IMD786435:IMD786492 IVZ786435:IVZ786492 JFV786435:JFV786492 JPR786435:JPR786492 JZN786435:JZN786492 KJJ786435:KJJ786492 KTF786435:KTF786492 LDB786435:LDB786492 LMX786435:LMX786492 LWT786435:LWT786492 MGP786435:MGP786492 MQL786435:MQL786492 NAH786435:NAH786492 NKD786435:NKD786492 NTZ786435:NTZ786492 ODV786435:ODV786492 ONR786435:ONR786492 OXN786435:OXN786492 PHJ786435:PHJ786492 PRF786435:PRF786492 QBB786435:QBB786492 QKX786435:QKX786492 QUT786435:QUT786492 REP786435:REP786492 ROL786435:ROL786492 RYH786435:RYH786492 SID786435:SID786492 SRZ786435:SRZ786492 TBV786435:TBV786492 TLR786435:TLR786492 TVN786435:TVN786492 UFJ786435:UFJ786492 UPF786435:UPF786492 UZB786435:UZB786492 VIX786435:VIX786492 VST786435:VST786492 WCP786435:WCP786492 WML786435:WML786492 WWH786435:WWH786492 G851971:G852028 JV851971:JV852028 TR851971:TR852028 ADN851971:ADN852028 ANJ851971:ANJ852028 AXF851971:AXF852028 BHB851971:BHB852028 BQX851971:BQX852028 CAT851971:CAT852028 CKP851971:CKP852028 CUL851971:CUL852028 DEH851971:DEH852028 DOD851971:DOD852028 DXZ851971:DXZ852028 EHV851971:EHV852028 ERR851971:ERR852028 FBN851971:FBN852028 FLJ851971:FLJ852028 FVF851971:FVF852028 GFB851971:GFB852028 GOX851971:GOX852028 GYT851971:GYT852028 HIP851971:HIP852028 HSL851971:HSL852028 ICH851971:ICH852028 IMD851971:IMD852028 IVZ851971:IVZ852028 JFV851971:JFV852028 JPR851971:JPR852028 JZN851971:JZN852028 KJJ851971:KJJ852028 KTF851971:KTF852028 LDB851971:LDB852028 LMX851971:LMX852028 LWT851971:LWT852028 MGP851971:MGP852028 MQL851971:MQL852028 NAH851971:NAH852028 NKD851971:NKD852028 NTZ851971:NTZ852028 ODV851971:ODV852028 ONR851971:ONR852028 OXN851971:OXN852028 PHJ851971:PHJ852028 PRF851971:PRF852028 QBB851971:QBB852028 QKX851971:QKX852028 QUT851971:QUT852028 REP851971:REP852028 ROL851971:ROL852028 RYH851971:RYH852028 SID851971:SID852028 SRZ851971:SRZ852028 TBV851971:TBV852028 TLR851971:TLR852028 TVN851971:TVN852028 UFJ851971:UFJ852028 UPF851971:UPF852028 UZB851971:UZB852028 VIX851971:VIX852028 VST851971:VST852028 WCP851971:WCP852028 WML851971:WML852028 WWH851971:WWH852028 G917507:G917564 JV917507:JV917564 TR917507:TR917564 ADN917507:ADN917564 ANJ917507:ANJ917564 AXF917507:AXF917564 BHB917507:BHB917564 BQX917507:BQX917564 CAT917507:CAT917564 CKP917507:CKP917564 CUL917507:CUL917564 DEH917507:DEH917564 DOD917507:DOD917564 DXZ917507:DXZ917564 EHV917507:EHV917564 ERR917507:ERR917564 FBN917507:FBN917564 FLJ917507:FLJ917564 FVF917507:FVF917564 GFB917507:GFB917564 GOX917507:GOX917564 GYT917507:GYT917564 HIP917507:HIP917564 HSL917507:HSL917564 ICH917507:ICH917564 IMD917507:IMD917564 IVZ917507:IVZ917564 JFV917507:JFV917564 JPR917507:JPR917564 JZN917507:JZN917564 KJJ917507:KJJ917564 KTF917507:KTF917564 LDB917507:LDB917564 LMX917507:LMX917564 LWT917507:LWT917564 MGP917507:MGP917564 MQL917507:MQL917564 NAH917507:NAH917564 NKD917507:NKD917564 NTZ917507:NTZ917564 ODV917507:ODV917564 ONR917507:ONR917564 OXN917507:OXN917564 PHJ917507:PHJ917564 PRF917507:PRF917564 QBB917507:QBB917564 QKX917507:QKX917564 QUT917507:QUT917564 REP917507:REP917564 ROL917507:ROL917564 RYH917507:RYH917564 SID917507:SID917564 SRZ917507:SRZ917564 TBV917507:TBV917564 TLR917507:TLR917564 TVN917507:TVN917564 UFJ917507:UFJ917564 UPF917507:UPF917564 UZB917507:UZB917564 VIX917507:VIX917564 VST917507:VST917564 WCP917507:WCP917564 WML917507:WML917564 WWH917507:WWH917564 G983043:G983100 JV983043:JV983100 TR983043:TR983100 ADN983043:ADN983100 ANJ983043:ANJ983100 AXF983043:AXF983100 BHB983043:BHB983100 BQX983043:BQX983100 CAT983043:CAT983100 CKP983043:CKP983100 CUL983043:CUL983100 DEH983043:DEH983100 DOD983043:DOD983100 DXZ983043:DXZ983100 EHV983043:EHV983100 ERR983043:ERR983100 FBN983043:FBN983100 FLJ983043:FLJ983100 FVF983043:FVF983100 GFB983043:GFB983100 GOX983043:GOX983100 GYT983043:GYT983100 HIP983043:HIP983100 HSL983043:HSL983100 ICH983043:ICH983100 IMD983043:IMD983100 IVZ983043:IVZ983100 JFV983043:JFV983100 JPR983043:JPR983100 JZN983043:JZN983100 KJJ983043:KJJ983100 KTF983043:KTF983100 LDB983043:LDB983100 LMX983043:LMX983100 LWT983043:LWT983100 MGP983043:MGP983100 MQL983043:MQL983100 NAH983043:NAH983100 NKD983043:NKD983100 NTZ983043:NTZ983100 ODV983043:ODV983100 ONR983043:ONR983100 OXN983043:OXN983100 PHJ983043:PHJ983100 PRF983043:PRF983100 QBB983043:QBB983100 QKX983043:QKX983100 QUT983043:QUT983100 REP983043:REP983100 ROL983043:ROL983100 RYH983043:RYH983100 SID983043:SID983100 SRZ983043:SRZ983100 TBV983043:TBV983100 TLR983043:TLR983100 TVN983043:TVN983100 UFJ983043:UFJ983100 UPF983043:UPF983100 UZB983043:UZB983100 VIX983043:VIX983100 VST983043:VST983100 WCP983043:WCP983100 WML983043:WML983100 WWH983043:WWH983100 G3:G60">
      <formula1>"IS,IR,"</formula1>
    </dataValidation>
    <dataValidation type="list" allowBlank="1" showInputMessage="1" showErrorMessage="1" sqref="D3:D60 JT3:JT60 TP3:TP60 ADL3:ADL60 ANH3:ANH60 AXD3:AXD60 BGZ3:BGZ60 BQV3:BQV60 CAR3:CAR60 CKN3:CKN60 CUJ3:CUJ60 DEF3:DEF60 DOB3:DOB60 DXX3:DXX60 EHT3:EHT60 ERP3:ERP60 FBL3:FBL60 FLH3:FLH60 FVD3:FVD60 GEZ3:GEZ60 GOV3:GOV60 GYR3:GYR60 HIN3:HIN60 HSJ3:HSJ60 ICF3:ICF60 IMB3:IMB60 IVX3:IVX60 JFT3:JFT60 JPP3:JPP60 JZL3:JZL60 KJH3:KJH60 KTD3:KTD60 LCZ3:LCZ60 LMV3:LMV60 LWR3:LWR60 MGN3:MGN60 MQJ3:MQJ60 NAF3:NAF60 NKB3:NKB60 NTX3:NTX60 ODT3:ODT60 ONP3:ONP60 OXL3:OXL60 PHH3:PHH60 PRD3:PRD60 QAZ3:QAZ60 QKV3:QKV60 QUR3:QUR60 REN3:REN60 ROJ3:ROJ60 RYF3:RYF60 SIB3:SIB60 SRX3:SRX60 TBT3:TBT60 TLP3:TLP60 TVL3:TVL60 UFH3:UFH60 UPD3:UPD60 UYZ3:UYZ60 VIV3:VIV60 VSR3:VSR60 WCN3:WCN60 WMJ3:WMJ60 WWF3:WWF60 D65539:D65596 JS65539:JS65596 TO65539:TO65596 ADK65539:ADK65596 ANG65539:ANG65596 AXC65539:AXC65596 BGY65539:BGY65596 BQU65539:BQU65596 CAQ65539:CAQ65596 CKM65539:CKM65596 CUI65539:CUI65596 DEE65539:DEE65596 DOA65539:DOA65596 DXW65539:DXW65596 EHS65539:EHS65596 ERO65539:ERO65596 FBK65539:FBK65596 FLG65539:FLG65596 FVC65539:FVC65596 GEY65539:GEY65596 GOU65539:GOU65596 GYQ65539:GYQ65596 HIM65539:HIM65596 HSI65539:HSI65596 ICE65539:ICE65596 IMA65539:IMA65596 IVW65539:IVW65596 JFS65539:JFS65596 JPO65539:JPO65596 JZK65539:JZK65596 KJG65539:KJG65596 KTC65539:KTC65596 LCY65539:LCY65596 LMU65539:LMU65596 LWQ65539:LWQ65596 MGM65539:MGM65596 MQI65539:MQI65596 NAE65539:NAE65596 NKA65539:NKA65596 NTW65539:NTW65596 ODS65539:ODS65596 ONO65539:ONO65596 OXK65539:OXK65596 PHG65539:PHG65596 PRC65539:PRC65596 QAY65539:QAY65596 QKU65539:QKU65596 QUQ65539:QUQ65596 REM65539:REM65596 ROI65539:ROI65596 RYE65539:RYE65596 SIA65539:SIA65596 SRW65539:SRW65596 TBS65539:TBS65596 TLO65539:TLO65596 TVK65539:TVK65596 UFG65539:UFG65596 UPC65539:UPC65596 UYY65539:UYY65596 VIU65539:VIU65596 VSQ65539:VSQ65596 WCM65539:WCM65596 WMI65539:WMI65596 WWE65539:WWE65596 D131075:D131132 JS131075:JS131132 TO131075:TO131132 ADK131075:ADK131132 ANG131075:ANG131132 AXC131075:AXC131132 BGY131075:BGY131132 BQU131075:BQU131132 CAQ131075:CAQ131132 CKM131075:CKM131132 CUI131075:CUI131132 DEE131075:DEE131132 DOA131075:DOA131132 DXW131075:DXW131132 EHS131075:EHS131132 ERO131075:ERO131132 FBK131075:FBK131132 FLG131075:FLG131132 FVC131075:FVC131132 GEY131075:GEY131132 GOU131075:GOU131132 GYQ131075:GYQ131132 HIM131075:HIM131132 HSI131075:HSI131132 ICE131075:ICE131132 IMA131075:IMA131132 IVW131075:IVW131132 JFS131075:JFS131132 JPO131075:JPO131132 JZK131075:JZK131132 KJG131075:KJG131132 KTC131075:KTC131132 LCY131075:LCY131132 LMU131075:LMU131132 LWQ131075:LWQ131132 MGM131075:MGM131132 MQI131075:MQI131132 NAE131075:NAE131132 NKA131075:NKA131132 NTW131075:NTW131132 ODS131075:ODS131132 ONO131075:ONO131132 OXK131075:OXK131132 PHG131075:PHG131132 PRC131075:PRC131132 QAY131075:QAY131132 QKU131075:QKU131132 QUQ131075:QUQ131132 REM131075:REM131132 ROI131075:ROI131132 RYE131075:RYE131132 SIA131075:SIA131132 SRW131075:SRW131132 TBS131075:TBS131132 TLO131075:TLO131132 TVK131075:TVK131132 UFG131075:UFG131132 UPC131075:UPC131132 UYY131075:UYY131132 VIU131075:VIU131132 VSQ131075:VSQ131132 WCM131075:WCM131132 WMI131075:WMI131132 WWE131075:WWE131132 D196611:D196668 JS196611:JS196668 TO196611:TO196668 ADK196611:ADK196668 ANG196611:ANG196668 AXC196611:AXC196668 BGY196611:BGY196668 BQU196611:BQU196668 CAQ196611:CAQ196668 CKM196611:CKM196668 CUI196611:CUI196668 DEE196611:DEE196668 DOA196611:DOA196668 DXW196611:DXW196668 EHS196611:EHS196668 ERO196611:ERO196668 FBK196611:FBK196668 FLG196611:FLG196668 FVC196611:FVC196668 GEY196611:GEY196668 GOU196611:GOU196668 GYQ196611:GYQ196668 HIM196611:HIM196668 HSI196611:HSI196668 ICE196611:ICE196668 IMA196611:IMA196668 IVW196611:IVW196668 JFS196611:JFS196668 JPO196611:JPO196668 JZK196611:JZK196668 KJG196611:KJG196668 KTC196611:KTC196668 LCY196611:LCY196668 LMU196611:LMU196668 LWQ196611:LWQ196668 MGM196611:MGM196668 MQI196611:MQI196668 NAE196611:NAE196668 NKA196611:NKA196668 NTW196611:NTW196668 ODS196611:ODS196668 ONO196611:ONO196668 OXK196611:OXK196668 PHG196611:PHG196668 PRC196611:PRC196668 QAY196611:QAY196668 QKU196611:QKU196668 QUQ196611:QUQ196668 REM196611:REM196668 ROI196611:ROI196668 RYE196611:RYE196668 SIA196611:SIA196668 SRW196611:SRW196668 TBS196611:TBS196668 TLO196611:TLO196668 TVK196611:TVK196668 UFG196611:UFG196668 UPC196611:UPC196668 UYY196611:UYY196668 VIU196611:VIU196668 VSQ196611:VSQ196668 WCM196611:WCM196668 WMI196611:WMI196668 WWE196611:WWE196668 D262147:D262204 JS262147:JS262204 TO262147:TO262204 ADK262147:ADK262204 ANG262147:ANG262204 AXC262147:AXC262204 BGY262147:BGY262204 BQU262147:BQU262204 CAQ262147:CAQ262204 CKM262147:CKM262204 CUI262147:CUI262204 DEE262147:DEE262204 DOA262147:DOA262204 DXW262147:DXW262204 EHS262147:EHS262204 ERO262147:ERO262204 FBK262147:FBK262204 FLG262147:FLG262204 FVC262147:FVC262204 GEY262147:GEY262204 GOU262147:GOU262204 GYQ262147:GYQ262204 HIM262147:HIM262204 HSI262147:HSI262204 ICE262147:ICE262204 IMA262147:IMA262204 IVW262147:IVW262204 JFS262147:JFS262204 JPO262147:JPO262204 JZK262147:JZK262204 KJG262147:KJG262204 KTC262147:KTC262204 LCY262147:LCY262204 LMU262147:LMU262204 LWQ262147:LWQ262204 MGM262147:MGM262204 MQI262147:MQI262204 NAE262147:NAE262204 NKA262147:NKA262204 NTW262147:NTW262204 ODS262147:ODS262204 ONO262147:ONO262204 OXK262147:OXK262204 PHG262147:PHG262204 PRC262147:PRC262204 QAY262147:QAY262204 QKU262147:QKU262204 QUQ262147:QUQ262204 REM262147:REM262204 ROI262147:ROI262204 RYE262147:RYE262204 SIA262147:SIA262204 SRW262147:SRW262204 TBS262147:TBS262204 TLO262147:TLO262204 TVK262147:TVK262204 UFG262147:UFG262204 UPC262147:UPC262204 UYY262147:UYY262204 VIU262147:VIU262204 VSQ262147:VSQ262204 WCM262147:WCM262204 WMI262147:WMI262204 WWE262147:WWE262204 D327683:D327740 JS327683:JS327740 TO327683:TO327740 ADK327683:ADK327740 ANG327683:ANG327740 AXC327683:AXC327740 BGY327683:BGY327740 BQU327683:BQU327740 CAQ327683:CAQ327740 CKM327683:CKM327740 CUI327683:CUI327740 DEE327683:DEE327740 DOA327683:DOA327740 DXW327683:DXW327740 EHS327683:EHS327740 ERO327683:ERO327740 FBK327683:FBK327740 FLG327683:FLG327740 FVC327683:FVC327740 GEY327683:GEY327740 GOU327683:GOU327740 GYQ327683:GYQ327740 HIM327683:HIM327740 HSI327683:HSI327740 ICE327683:ICE327740 IMA327683:IMA327740 IVW327683:IVW327740 JFS327683:JFS327740 JPO327683:JPO327740 JZK327683:JZK327740 KJG327683:KJG327740 KTC327683:KTC327740 LCY327683:LCY327740 LMU327683:LMU327740 LWQ327683:LWQ327740 MGM327683:MGM327740 MQI327683:MQI327740 NAE327683:NAE327740 NKA327683:NKA327740 NTW327683:NTW327740 ODS327683:ODS327740 ONO327683:ONO327740 OXK327683:OXK327740 PHG327683:PHG327740 PRC327683:PRC327740 QAY327683:QAY327740 QKU327683:QKU327740 QUQ327683:QUQ327740 REM327683:REM327740 ROI327683:ROI327740 RYE327683:RYE327740 SIA327683:SIA327740 SRW327683:SRW327740 TBS327683:TBS327740 TLO327683:TLO327740 TVK327683:TVK327740 UFG327683:UFG327740 UPC327683:UPC327740 UYY327683:UYY327740 VIU327683:VIU327740 VSQ327683:VSQ327740 WCM327683:WCM327740 WMI327683:WMI327740 WWE327683:WWE327740 D393219:D393276 JS393219:JS393276 TO393219:TO393276 ADK393219:ADK393276 ANG393219:ANG393276 AXC393219:AXC393276 BGY393219:BGY393276 BQU393219:BQU393276 CAQ393219:CAQ393276 CKM393219:CKM393276 CUI393219:CUI393276 DEE393219:DEE393276 DOA393219:DOA393276 DXW393219:DXW393276 EHS393219:EHS393276 ERO393219:ERO393276 FBK393219:FBK393276 FLG393219:FLG393276 FVC393219:FVC393276 GEY393219:GEY393276 GOU393219:GOU393276 GYQ393219:GYQ393276 HIM393219:HIM393276 HSI393219:HSI393276 ICE393219:ICE393276 IMA393219:IMA393276 IVW393219:IVW393276 JFS393219:JFS393276 JPO393219:JPO393276 JZK393219:JZK393276 KJG393219:KJG393276 KTC393219:KTC393276 LCY393219:LCY393276 LMU393219:LMU393276 LWQ393219:LWQ393276 MGM393219:MGM393276 MQI393219:MQI393276 NAE393219:NAE393276 NKA393219:NKA393276 NTW393219:NTW393276 ODS393219:ODS393276 ONO393219:ONO393276 OXK393219:OXK393276 PHG393219:PHG393276 PRC393219:PRC393276 QAY393219:QAY393276 QKU393219:QKU393276 QUQ393219:QUQ393276 REM393219:REM393276 ROI393219:ROI393276 RYE393219:RYE393276 SIA393219:SIA393276 SRW393219:SRW393276 TBS393219:TBS393276 TLO393219:TLO393276 TVK393219:TVK393276 UFG393219:UFG393276 UPC393219:UPC393276 UYY393219:UYY393276 VIU393219:VIU393276 VSQ393219:VSQ393276 WCM393219:WCM393276 WMI393219:WMI393276 WWE393219:WWE393276 D458755:D458812 JS458755:JS458812 TO458755:TO458812 ADK458755:ADK458812 ANG458755:ANG458812 AXC458755:AXC458812 BGY458755:BGY458812 BQU458755:BQU458812 CAQ458755:CAQ458812 CKM458755:CKM458812 CUI458755:CUI458812 DEE458755:DEE458812 DOA458755:DOA458812 DXW458755:DXW458812 EHS458755:EHS458812 ERO458755:ERO458812 FBK458755:FBK458812 FLG458755:FLG458812 FVC458755:FVC458812 GEY458755:GEY458812 GOU458755:GOU458812 GYQ458755:GYQ458812 HIM458755:HIM458812 HSI458755:HSI458812 ICE458755:ICE458812 IMA458755:IMA458812 IVW458755:IVW458812 JFS458755:JFS458812 JPO458755:JPO458812 JZK458755:JZK458812 KJG458755:KJG458812 KTC458755:KTC458812 LCY458755:LCY458812 LMU458755:LMU458812 LWQ458755:LWQ458812 MGM458755:MGM458812 MQI458755:MQI458812 NAE458755:NAE458812 NKA458755:NKA458812 NTW458755:NTW458812 ODS458755:ODS458812 ONO458755:ONO458812 OXK458755:OXK458812 PHG458755:PHG458812 PRC458755:PRC458812 QAY458755:QAY458812 QKU458755:QKU458812 QUQ458755:QUQ458812 REM458755:REM458812 ROI458755:ROI458812 RYE458755:RYE458812 SIA458755:SIA458812 SRW458755:SRW458812 TBS458755:TBS458812 TLO458755:TLO458812 TVK458755:TVK458812 UFG458755:UFG458812 UPC458755:UPC458812 UYY458755:UYY458812 VIU458755:VIU458812 VSQ458755:VSQ458812 WCM458755:WCM458812 WMI458755:WMI458812 WWE458755:WWE458812 D524291:D524348 JS524291:JS524348 TO524291:TO524348 ADK524291:ADK524348 ANG524291:ANG524348 AXC524291:AXC524348 BGY524291:BGY524348 BQU524291:BQU524348 CAQ524291:CAQ524348 CKM524291:CKM524348 CUI524291:CUI524348 DEE524291:DEE524348 DOA524291:DOA524348 DXW524291:DXW524348 EHS524291:EHS524348 ERO524291:ERO524348 FBK524291:FBK524348 FLG524291:FLG524348 FVC524291:FVC524348 GEY524291:GEY524348 GOU524291:GOU524348 GYQ524291:GYQ524348 HIM524291:HIM524348 HSI524291:HSI524348 ICE524291:ICE524348 IMA524291:IMA524348 IVW524291:IVW524348 JFS524291:JFS524348 JPO524291:JPO524348 JZK524291:JZK524348 KJG524291:KJG524348 KTC524291:KTC524348 LCY524291:LCY524348 LMU524291:LMU524348 LWQ524291:LWQ524348 MGM524291:MGM524348 MQI524291:MQI524348 NAE524291:NAE524348 NKA524291:NKA524348 NTW524291:NTW524348 ODS524291:ODS524348 ONO524291:ONO524348 OXK524291:OXK524348 PHG524291:PHG524348 PRC524291:PRC524348 QAY524291:QAY524348 QKU524291:QKU524348 QUQ524291:QUQ524348 REM524291:REM524348 ROI524291:ROI524348 RYE524291:RYE524348 SIA524291:SIA524348 SRW524291:SRW524348 TBS524291:TBS524348 TLO524291:TLO524348 TVK524291:TVK524348 UFG524291:UFG524348 UPC524291:UPC524348 UYY524291:UYY524348 VIU524291:VIU524348 VSQ524291:VSQ524348 WCM524291:WCM524348 WMI524291:WMI524348 WWE524291:WWE524348 D589827:D589884 JS589827:JS589884 TO589827:TO589884 ADK589827:ADK589884 ANG589827:ANG589884 AXC589827:AXC589884 BGY589827:BGY589884 BQU589827:BQU589884 CAQ589827:CAQ589884 CKM589827:CKM589884 CUI589827:CUI589884 DEE589827:DEE589884 DOA589827:DOA589884 DXW589827:DXW589884 EHS589827:EHS589884 ERO589827:ERO589884 FBK589827:FBK589884 FLG589827:FLG589884 FVC589827:FVC589884 GEY589827:GEY589884 GOU589827:GOU589884 GYQ589827:GYQ589884 HIM589827:HIM589884 HSI589827:HSI589884 ICE589827:ICE589884 IMA589827:IMA589884 IVW589827:IVW589884 JFS589827:JFS589884 JPO589827:JPO589884 JZK589827:JZK589884 KJG589827:KJG589884 KTC589827:KTC589884 LCY589827:LCY589884 LMU589827:LMU589884 LWQ589827:LWQ589884 MGM589827:MGM589884 MQI589827:MQI589884 NAE589827:NAE589884 NKA589827:NKA589884 NTW589827:NTW589884 ODS589827:ODS589884 ONO589827:ONO589884 OXK589827:OXK589884 PHG589827:PHG589884 PRC589827:PRC589884 QAY589827:QAY589884 QKU589827:QKU589884 QUQ589827:QUQ589884 REM589827:REM589884 ROI589827:ROI589884 RYE589827:RYE589884 SIA589827:SIA589884 SRW589827:SRW589884 TBS589827:TBS589884 TLO589827:TLO589884 TVK589827:TVK589884 UFG589827:UFG589884 UPC589827:UPC589884 UYY589827:UYY589884 VIU589827:VIU589884 VSQ589827:VSQ589884 WCM589827:WCM589884 WMI589827:WMI589884 WWE589827:WWE589884 D655363:D655420 JS655363:JS655420 TO655363:TO655420 ADK655363:ADK655420 ANG655363:ANG655420 AXC655363:AXC655420 BGY655363:BGY655420 BQU655363:BQU655420 CAQ655363:CAQ655420 CKM655363:CKM655420 CUI655363:CUI655420 DEE655363:DEE655420 DOA655363:DOA655420 DXW655363:DXW655420 EHS655363:EHS655420 ERO655363:ERO655420 FBK655363:FBK655420 FLG655363:FLG655420 FVC655363:FVC655420 GEY655363:GEY655420 GOU655363:GOU655420 GYQ655363:GYQ655420 HIM655363:HIM655420 HSI655363:HSI655420 ICE655363:ICE655420 IMA655363:IMA655420 IVW655363:IVW655420 JFS655363:JFS655420 JPO655363:JPO655420 JZK655363:JZK655420 KJG655363:KJG655420 KTC655363:KTC655420 LCY655363:LCY655420 LMU655363:LMU655420 LWQ655363:LWQ655420 MGM655363:MGM655420 MQI655363:MQI655420 NAE655363:NAE655420 NKA655363:NKA655420 NTW655363:NTW655420 ODS655363:ODS655420 ONO655363:ONO655420 OXK655363:OXK655420 PHG655363:PHG655420 PRC655363:PRC655420 QAY655363:QAY655420 QKU655363:QKU655420 QUQ655363:QUQ655420 REM655363:REM655420 ROI655363:ROI655420 RYE655363:RYE655420 SIA655363:SIA655420 SRW655363:SRW655420 TBS655363:TBS655420 TLO655363:TLO655420 TVK655363:TVK655420 UFG655363:UFG655420 UPC655363:UPC655420 UYY655363:UYY655420 VIU655363:VIU655420 VSQ655363:VSQ655420 WCM655363:WCM655420 WMI655363:WMI655420 WWE655363:WWE655420 D720899:D720956 JS720899:JS720956 TO720899:TO720956 ADK720899:ADK720956 ANG720899:ANG720956 AXC720899:AXC720956 BGY720899:BGY720956 BQU720899:BQU720956 CAQ720899:CAQ720956 CKM720899:CKM720956 CUI720899:CUI720956 DEE720899:DEE720956 DOA720899:DOA720956 DXW720899:DXW720956 EHS720899:EHS720956 ERO720899:ERO720956 FBK720899:FBK720956 FLG720899:FLG720956 FVC720899:FVC720956 GEY720899:GEY720956 GOU720899:GOU720956 GYQ720899:GYQ720956 HIM720899:HIM720956 HSI720899:HSI720956 ICE720899:ICE720956 IMA720899:IMA720956 IVW720899:IVW720956 JFS720899:JFS720956 JPO720899:JPO720956 JZK720899:JZK720956 KJG720899:KJG720956 KTC720899:KTC720956 LCY720899:LCY720956 LMU720899:LMU720956 LWQ720899:LWQ720956 MGM720899:MGM720956 MQI720899:MQI720956 NAE720899:NAE720956 NKA720899:NKA720956 NTW720899:NTW720956 ODS720899:ODS720956 ONO720899:ONO720956 OXK720899:OXK720956 PHG720899:PHG720956 PRC720899:PRC720956 QAY720899:QAY720956 QKU720899:QKU720956 QUQ720899:QUQ720956 REM720899:REM720956 ROI720899:ROI720956 RYE720899:RYE720956 SIA720899:SIA720956 SRW720899:SRW720956 TBS720899:TBS720956 TLO720899:TLO720956 TVK720899:TVK720956 UFG720899:UFG720956 UPC720899:UPC720956 UYY720899:UYY720956 VIU720899:VIU720956 VSQ720899:VSQ720956 WCM720899:WCM720956 WMI720899:WMI720956 WWE720899:WWE720956 D786435:D786492 JS786435:JS786492 TO786435:TO786492 ADK786435:ADK786492 ANG786435:ANG786492 AXC786435:AXC786492 BGY786435:BGY786492 BQU786435:BQU786492 CAQ786435:CAQ786492 CKM786435:CKM786492 CUI786435:CUI786492 DEE786435:DEE786492 DOA786435:DOA786492 DXW786435:DXW786492 EHS786435:EHS786492 ERO786435:ERO786492 FBK786435:FBK786492 FLG786435:FLG786492 FVC786435:FVC786492 GEY786435:GEY786492 GOU786435:GOU786492 GYQ786435:GYQ786492 HIM786435:HIM786492 HSI786435:HSI786492 ICE786435:ICE786492 IMA786435:IMA786492 IVW786435:IVW786492 JFS786435:JFS786492 JPO786435:JPO786492 JZK786435:JZK786492 KJG786435:KJG786492 KTC786435:KTC786492 LCY786435:LCY786492 LMU786435:LMU786492 LWQ786435:LWQ786492 MGM786435:MGM786492 MQI786435:MQI786492 NAE786435:NAE786492 NKA786435:NKA786492 NTW786435:NTW786492 ODS786435:ODS786492 ONO786435:ONO786492 OXK786435:OXK786492 PHG786435:PHG786492 PRC786435:PRC786492 QAY786435:QAY786492 QKU786435:QKU786492 QUQ786435:QUQ786492 REM786435:REM786492 ROI786435:ROI786492 RYE786435:RYE786492 SIA786435:SIA786492 SRW786435:SRW786492 TBS786435:TBS786492 TLO786435:TLO786492 TVK786435:TVK786492 UFG786435:UFG786492 UPC786435:UPC786492 UYY786435:UYY786492 VIU786435:VIU786492 VSQ786435:VSQ786492 WCM786435:WCM786492 WMI786435:WMI786492 WWE786435:WWE786492 D851971:D852028 JS851971:JS852028 TO851971:TO852028 ADK851971:ADK852028 ANG851971:ANG852028 AXC851971:AXC852028 BGY851971:BGY852028 BQU851971:BQU852028 CAQ851971:CAQ852028 CKM851971:CKM852028 CUI851971:CUI852028 DEE851971:DEE852028 DOA851971:DOA852028 DXW851971:DXW852028 EHS851971:EHS852028 ERO851971:ERO852028 FBK851971:FBK852028 FLG851971:FLG852028 FVC851971:FVC852028 GEY851971:GEY852028 GOU851971:GOU852028 GYQ851971:GYQ852028 HIM851971:HIM852028 HSI851971:HSI852028 ICE851971:ICE852028 IMA851971:IMA852028 IVW851971:IVW852028 JFS851971:JFS852028 JPO851971:JPO852028 JZK851971:JZK852028 KJG851971:KJG852028 KTC851971:KTC852028 LCY851971:LCY852028 LMU851971:LMU852028 LWQ851971:LWQ852028 MGM851971:MGM852028 MQI851971:MQI852028 NAE851971:NAE852028 NKA851971:NKA852028 NTW851971:NTW852028 ODS851971:ODS852028 ONO851971:ONO852028 OXK851971:OXK852028 PHG851971:PHG852028 PRC851971:PRC852028 QAY851971:QAY852028 QKU851971:QKU852028 QUQ851971:QUQ852028 REM851971:REM852028 ROI851971:ROI852028 RYE851971:RYE852028 SIA851971:SIA852028 SRW851971:SRW852028 TBS851971:TBS852028 TLO851971:TLO852028 TVK851971:TVK852028 UFG851971:UFG852028 UPC851971:UPC852028 UYY851971:UYY852028 VIU851971:VIU852028 VSQ851971:VSQ852028 WCM851971:WCM852028 WMI851971:WMI852028 WWE851971:WWE852028 D917507:D917564 JS917507:JS917564 TO917507:TO917564 ADK917507:ADK917564 ANG917507:ANG917564 AXC917507:AXC917564 BGY917507:BGY917564 BQU917507:BQU917564 CAQ917507:CAQ917564 CKM917507:CKM917564 CUI917507:CUI917564 DEE917507:DEE917564 DOA917507:DOA917564 DXW917507:DXW917564 EHS917507:EHS917564 ERO917507:ERO917564 FBK917507:FBK917564 FLG917507:FLG917564 FVC917507:FVC917564 GEY917507:GEY917564 GOU917507:GOU917564 GYQ917507:GYQ917564 HIM917507:HIM917564 HSI917507:HSI917564 ICE917507:ICE917564 IMA917507:IMA917564 IVW917507:IVW917564 JFS917507:JFS917564 JPO917507:JPO917564 JZK917507:JZK917564 KJG917507:KJG917564 KTC917507:KTC917564 LCY917507:LCY917564 LMU917507:LMU917564 LWQ917507:LWQ917564 MGM917507:MGM917564 MQI917507:MQI917564 NAE917507:NAE917564 NKA917507:NKA917564 NTW917507:NTW917564 ODS917507:ODS917564 ONO917507:ONO917564 OXK917507:OXK917564 PHG917507:PHG917564 PRC917507:PRC917564 QAY917507:QAY917564 QKU917507:QKU917564 QUQ917507:QUQ917564 REM917507:REM917564 ROI917507:ROI917564 RYE917507:RYE917564 SIA917507:SIA917564 SRW917507:SRW917564 TBS917507:TBS917564 TLO917507:TLO917564 TVK917507:TVK917564 UFG917507:UFG917564 UPC917507:UPC917564 UYY917507:UYY917564 VIU917507:VIU917564 VSQ917507:VSQ917564 WCM917507:WCM917564 WMI917507:WMI917564 WWE917507:WWE917564 D983043:D983100 JS983043:JS983100 TO983043:TO983100 ADK983043:ADK983100 ANG983043:ANG983100 AXC983043:AXC983100 BGY983043:BGY983100 BQU983043:BQU983100 CAQ983043:CAQ983100 CKM983043:CKM983100 CUI983043:CUI983100 DEE983043:DEE983100 DOA983043:DOA983100 DXW983043:DXW983100 EHS983043:EHS983100 ERO983043:ERO983100 FBK983043:FBK983100 FLG983043:FLG983100 FVC983043:FVC983100 GEY983043:GEY983100 GOU983043:GOU983100 GYQ983043:GYQ983100 HIM983043:HIM983100 HSI983043:HSI983100 ICE983043:ICE983100 IMA983043:IMA983100 IVW983043:IVW983100 JFS983043:JFS983100 JPO983043:JPO983100 JZK983043:JZK983100 KJG983043:KJG983100 KTC983043:KTC983100 LCY983043:LCY983100 LMU983043:LMU983100 LWQ983043:LWQ983100 MGM983043:MGM983100 MQI983043:MQI983100 NAE983043:NAE983100 NKA983043:NKA983100 NTW983043:NTW983100 ODS983043:ODS983100 ONO983043:ONO983100 OXK983043:OXK983100 PHG983043:PHG983100 PRC983043:PRC983100 QAY983043:QAY983100 QKU983043:QKU983100 QUQ983043:QUQ983100 REM983043:REM983100 ROI983043:ROI983100 RYE983043:RYE983100 SIA983043:SIA983100 SRW983043:SRW983100 TBS983043:TBS983100 TLO983043:TLO983100 TVK983043:TVK983100 UFG983043:UFG983100 UPC983043:UPC983100 UYY983043:UYY983100 VIU983043:VIU983100 VSQ983043:VSQ983100 WCM983043:WCM983100 WMI983043:WMI983100 WWE983043:WWE983100">
      <formula1>"ACS,AGRI,BNC,"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Paramètres!$O$6:$O$16</xm:f>
          </x14:formula1>
          <xm:sqref>AK3:AK60</xm:sqref>
        </x14:dataValidation>
        <x14:dataValidation type="list" allowBlank="1" showInputMessage="1" showErrorMessage="1">
          <x14:formula1>
            <xm:f>Paramètres!$O$4:$O$16</xm:f>
          </x14:formula1>
          <xm:sqref>BF3:BF60</xm:sqref>
        </x14:dataValidation>
        <x14:dataValidation type="list" allowBlank="1" showInputMessage="1" showErrorMessage="1">
          <x14:formula1>
            <xm:f>Paramètres!$N$4:$N$13</xm:f>
          </x14:formula1>
          <xm:sqref>BE3:BE60</xm:sqref>
        </x14:dataValidation>
        <x14:dataValidation type="list" allowBlank="1" showInputMessage="1" showErrorMessage="1">
          <x14:formula1>
            <xm:f>Paramètres!$K$4:$K$9</xm:f>
          </x14:formula1>
          <xm:sqref>AJ3</xm:sqref>
        </x14:dataValidation>
        <x14:dataValidation type="list" allowBlank="1" showInputMessage="1" showErrorMessage="1">
          <x14:formula1>
            <xm:f>Paramètres!$L$4:$L$11</xm:f>
          </x14:formula1>
          <xm:sqref>A3:A60</xm:sqref>
        </x14:dataValidation>
        <x14:dataValidation type="list" allowBlank="1" showInputMessage="1" showErrorMessage="1">
          <x14:formula1>
            <xm:f>Paramètres!$K$4:$K$8</xm:f>
          </x14:formula1>
          <xm:sqref>AJ4:AJ60</xm:sqref>
        </x14:dataValidation>
        <x14:dataValidation type="list" allowBlank="1" showInputMessage="1" showErrorMessage="1">
          <x14:formula1>
            <xm:f>Paramètres!$J$4:$J$7</xm:f>
          </x14:formula1>
          <xm:sqref>AI3:AI60</xm:sqref>
        </x14:dataValidation>
        <x14:dataValidation type="list" allowBlank="1" showInputMessage="1" showErrorMessage="1">
          <x14:formula1>
            <xm:f>Paramètres!$F$4:$F$17</xm:f>
          </x14:formula1>
          <xm:sqref>F3:F52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DL183"/>
  <sheetViews>
    <sheetView zoomScale="85" zoomScaleNormal="85" workbookViewId="0">
      <pane xSplit="5" ySplit="2" topLeftCell="F3" activePane="bottomRight" state="frozen"/>
      <selection pane="topRight" activeCell="F1" sqref="F1"/>
      <selection pane="bottomLeft" activeCell="A3" sqref="A3"/>
      <selection pane="bottomRight" activeCell="A3" sqref="A3:A5"/>
    </sheetView>
  </sheetViews>
  <sheetFormatPr baseColWidth="10" defaultRowHeight="15" x14ac:dyDescent="0.25"/>
  <cols>
    <col min="1" max="1" width="24.42578125" style="89" bestFit="1" customWidth="1"/>
    <col min="2" max="2" width="15.42578125" style="89" customWidth="1"/>
    <col min="3" max="3" width="33.7109375" style="89" customWidth="1"/>
    <col min="4" max="4" width="19" style="89" customWidth="1"/>
    <col min="5" max="5" width="19.85546875" style="89" customWidth="1"/>
    <col min="6" max="6" width="18.5703125" style="89" customWidth="1"/>
    <col min="7" max="7" width="19.7109375" style="89" customWidth="1"/>
    <col min="8" max="8" width="14.85546875" style="89" customWidth="1"/>
    <col min="9" max="9" width="16.85546875" style="89" customWidth="1"/>
    <col min="10" max="12" width="11.42578125" style="89" customWidth="1"/>
    <col min="13" max="13" width="18.140625" style="89" customWidth="1"/>
    <col min="14" max="14" width="11.42578125" style="89" customWidth="1"/>
    <col min="15" max="15" width="12.5703125" style="89" customWidth="1"/>
    <col min="16" max="16" width="25" style="89" customWidth="1"/>
    <col min="17" max="17" width="16.5703125" style="89" customWidth="1"/>
    <col min="18" max="18" width="24" style="89" customWidth="1"/>
    <col min="19" max="19" width="16.5703125" style="89" customWidth="1"/>
    <col min="20" max="21" width="20" style="89" customWidth="1"/>
    <col min="22" max="22" width="20.85546875" style="89" customWidth="1"/>
    <col min="23" max="23" width="11.42578125" style="89" customWidth="1"/>
    <col min="24" max="24" width="23.7109375" style="89" customWidth="1"/>
    <col min="25" max="25" width="14" style="89" customWidth="1"/>
    <col min="26" max="26" width="13.28515625" style="89" customWidth="1"/>
    <col min="27" max="28" width="18.5703125" style="89" customWidth="1"/>
    <col min="29" max="29" width="18" style="89" customWidth="1"/>
    <col min="30" max="30" width="11.42578125" style="241" customWidth="1"/>
    <col min="31" max="32" width="18" style="89" customWidth="1"/>
    <col min="33" max="33" width="11.42578125" style="89" customWidth="1"/>
    <col min="34" max="35" width="18.7109375" style="241" customWidth="1"/>
    <col min="36" max="36" width="20" style="241" customWidth="1"/>
    <col min="37" max="37" width="18" style="89" customWidth="1"/>
    <col min="38" max="43" width="19" style="89" customWidth="1"/>
    <col min="44" max="44" width="11.42578125" style="241" customWidth="1"/>
    <col min="45" max="49" width="11.42578125" style="89" customWidth="1"/>
    <col min="50" max="50" width="15.140625" style="89" customWidth="1"/>
    <col min="51" max="51" width="14" style="89" customWidth="1"/>
    <col min="52" max="52" width="15.140625" style="89" customWidth="1"/>
    <col min="53" max="53" width="11.42578125" style="89" customWidth="1"/>
    <col min="54" max="54" width="22.28515625" style="89" customWidth="1"/>
    <col min="55" max="56" width="29.5703125" style="89" customWidth="1"/>
    <col min="57" max="57" width="30.85546875" style="89" customWidth="1"/>
    <col min="58" max="62" width="11.42578125" style="89" customWidth="1"/>
    <col min="63" max="76" width="30.7109375" style="89" customWidth="1"/>
    <col min="77" max="112" width="11.42578125" style="89" customWidth="1"/>
    <col min="113" max="116" width="11.42578125" style="89" hidden="1" customWidth="1"/>
    <col min="117" max="276" width="11.42578125" style="89"/>
    <col min="277" max="277" width="15.5703125" style="89" bestFit="1" customWidth="1"/>
    <col min="278" max="278" width="33.7109375" style="89" customWidth="1"/>
    <col min="279" max="279" width="19" style="89" customWidth="1"/>
    <col min="280" max="280" width="19.85546875" style="89" customWidth="1"/>
    <col min="281" max="281" width="18.5703125" style="89" customWidth="1"/>
    <col min="282" max="282" width="19.7109375" style="89" customWidth="1"/>
    <col min="283" max="283" width="14.85546875" style="89" customWidth="1"/>
    <col min="284" max="284" width="16.85546875" style="89" customWidth="1"/>
    <col min="285" max="287" width="11.42578125" style="89" customWidth="1"/>
    <col min="288" max="288" width="18.140625" style="89" customWidth="1"/>
    <col min="289" max="289" width="11.42578125" style="89" customWidth="1"/>
    <col min="290" max="290" width="12.5703125" style="89" customWidth="1"/>
    <col min="291" max="291" width="25" style="89" customWidth="1"/>
    <col min="292" max="292" width="16.5703125" style="89" bestFit="1" customWidth="1"/>
    <col min="293" max="293" width="24" style="89" customWidth="1"/>
    <col min="294" max="294" width="11.42578125" style="89" customWidth="1"/>
    <col min="295" max="295" width="20" style="89" customWidth="1"/>
    <col min="296" max="296" width="11.42578125" style="89" customWidth="1"/>
    <col min="297" max="297" width="19" style="89" customWidth="1"/>
    <col min="298" max="301" width="11.42578125" style="89" customWidth="1"/>
    <col min="302" max="302" width="15.140625" style="89" customWidth="1"/>
    <col min="303" max="303" width="14" style="89" customWidth="1"/>
    <col min="304" max="304" width="15.140625" style="89" customWidth="1"/>
    <col min="305" max="305" width="11.42578125" style="89" customWidth="1"/>
    <col min="306" max="306" width="51.7109375" style="89" customWidth="1"/>
    <col min="307" max="308" width="29.5703125" style="89" customWidth="1"/>
    <col min="309" max="309" width="44.42578125" style="89" customWidth="1"/>
    <col min="310" max="310" width="36.28515625" style="89" customWidth="1"/>
    <col min="311" max="311" width="27.42578125" style="89" bestFit="1" customWidth="1"/>
    <col min="312" max="532" width="11.42578125" style="89"/>
    <col min="533" max="533" width="15.5703125" style="89" bestFit="1" customWidth="1"/>
    <col min="534" max="534" width="33.7109375" style="89" customWidth="1"/>
    <col min="535" max="535" width="19" style="89" customWidth="1"/>
    <col min="536" max="536" width="19.85546875" style="89" customWidth="1"/>
    <col min="537" max="537" width="18.5703125" style="89" customWidth="1"/>
    <col min="538" max="538" width="19.7109375" style="89" customWidth="1"/>
    <col min="539" max="539" width="14.85546875" style="89" customWidth="1"/>
    <col min="540" max="540" width="16.85546875" style="89" customWidth="1"/>
    <col min="541" max="543" width="11.42578125" style="89" customWidth="1"/>
    <col min="544" max="544" width="18.140625" style="89" customWidth="1"/>
    <col min="545" max="545" width="11.42578125" style="89" customWidth="1"/>
    <col min="546" max="546" width="12.5703125" style="89" customWidth="1"/>
    <col min="547" max="547" width="25" style="89" customWidth="1"/>
    <col min="548" max="548" width="16.5703125" style="89" bestFit="1" customWidth="1"/>
    <col min="549" max="549" width="24" style="89" customWidth="1"/>
    <col min="550" max="550" width="11.42578125" style="89" customWidth="1"/>
    <col min="551" max="551" width="20" style="89" customWidth="1"/>
    <col min="552" max="552" width="11.42578125" style="89" customWidth="1"/>
    <col min="553" max="553" width="19" style="89" customWidth="1"/>
    <col min="554" max="557" width="11.42578125" style="89" customWidth="1"/>
    <col min="558" max="558" width="15.140625" style="89" customWidth="1"/>
    <col min="559" max="559" width="14" style="89" customWidth="1"/>
    <col min="560" max="560" width="15.140625" style="89" customWidth="1"/>
    <col min="561" max="561" width="11.42578125" style="89" customWidth="1"/>
    <col min="562" max="562" width="51.7109375" style="89" customWidth="1"/>
    <col min="563" max="564" width="29.5703125" style="89" customWidth="1"/>
    <col min="565" max="565" width="44.42578125" style="89" customWidth="1"/>
    <col min="566" max="566" width="36.28515625" style="89" customWidth="1"/>
    <col min="567" max="567" width="27.42578125" style="89" bestFit="1" customWidth="1"/>
    <col min="568" max="788" width="11.42578125" style="89"/>
    <col min="789" max="789" width="15.5703125" style="89" bestFit="1" customWidth="1"/>
    <col min="790" max="790" width="33.7109375" style="89" customWidth="1"/>
    <col min="791" max="791" width="19" style="89" customWidth="1"/>
    <col min="792" max="792" width="19.85546875" style="89" customWidth="1"/>
    <col min="793" max="793" width="18.5703125" style="89" customWidth="1"/>
    <col min="794" max="794" width="19.7109375" style="89" customWidth="1"/>
    <col min="795" max="795" width="14.85546875" style="89" customWidth="1"/>
    <col min="796" max="796" width="16.85546875" style="89" customWidth="1"/>
    <col min="797" max="799" width="11.42578125" style="89" customWidth="1"/>
    <col min="800" max="800" width="18.140625" style="89" customWidth="1"/>
    <col min="801" max="801" width="11.42578125" style="89" customWidth="1"/>
    <col min="802" max="802" width="12.5703125" style="89" customWidth="1"/>
    <col min="803" max="803" width="25" style="89" customWidth="1"/>
    <col min="804" max="804" width="16.5703125" style="89" bestFit="1" customWidth="1"/>
    <col min="805" max="805" width="24" style="89" customWidth="1"/>
    <col min="806" max="806" width="11.42578125" style="89" customWidth="1"/>
    <col min="807" max="807" width="20" style="89" customWidth="1"/>
    <col min="808" max="808" width="11.42578125" style="89" customWidth="1"/>
    <col min="809" max="809" width="19" style="89" customWidth="1"/>
    <col min="810" max="813" width="11.42578125" style="89" customWidth="1"/>
    <col min="814" max="814" width="15.140625" style="89" customWidth="1"/>
    <col min="815" max="815" width="14" style="89" customWidth="1"/>
    <col min="816" max="816" width="15.140625" style="89" customWidth="1"/>
    <col min="817" max="817" width="11.42578125" style="89" customWidth="1"/>
    <col min="818" max="818" width="51.7109375" style="89" customWidth="1"/>
    <col min="819" max="820" width="29.5703125" style="89" customWidth="1"/>
    <col min="821" max="821" width="44.42578125" style="89" customWidth="1"/>
    <col min="822" max="822" width="36.28515625" style="89" customWidth="1"/>
    <col min="823" max="823" width="27.42578125" style="89" bestFit="1" customWidth="1"/>
    <col min="824" max="1044" width="11.42578125" style="89"/>
    <col min="1045" max="1045" width="15.5703125" style="89" bestFit="1" customWidth="1"/>
    <col min="1046" max="1046" width="33.7109375" style="89" customWidth="1"/>
    <col min="1047" max="1047" width="19" style="89" customWidth="1"/>
    <col min="1048" max="1048" width="19.85546875" style="89" customWidth="1"/>
    <col min="1049" max="1049" width="18.5703125" style="89" customWidth="1"/>
    <col min="1050" max="1050" width="19.7109375" style="89" customWidth="1"/>
    <col min="1051" max="1051" width="14.85546875" style="89" customWidth="1"/>
    <col min="1052" max="1052" width="16.85546875" style="89" customWidth="1"/>
    <col min="1053" max="1055" width="11.42578125" style="89" customWidth="1"/>
    <col min="1056" max="1056" width="18.140625" style="89" customWidth="1"/>
    <col min="1057" max="1057" width="11.42578125" style="89" customWidth="1"/>
    <col min="1058" max="1058" width="12.5703125" style="89" customWidth="1"/>
    <col min="1059" max="1059" width="25" style="89" customWidth="1"/>
    <col min="1060" max="1060" width="16.5703125" style="89" bestFit="1" customWidth="1"/>
    <col min="1061" max="1061" width="24" style="89" customWidth="1"/>
    <col min="1062" max="1062" width="11.42578125" style="89" customWidth="1"/>
    <col min="1063" max="1063" width="20" style="89" customWidth="1"/>
    <col min="1064" max="1064" width="11.42578125" style="89" customWidth="1"/>
    <col min="1065" max="1065" width="19" style="89" customWidth="1"/>
    <col min="1066" max="1069" width="11.42578125" style="89" customWidth="1"/>
    <col min="1070" max="1070" width="15.140625" style="89" customWidth="1"/>
    <col min="1071" max="1071" width="14" style="89" customWidth="1"/>
    <col min="1072" max="1072" width="15.140625" style="89" customWidth="1"/>
    <col min="1073" max="1073" width="11.42578125" style="89" customWidth="1"/>
    <col min="1074" max="1074" width="51.7109375" style="89" customWidth="1"/>
    <col min="1075" max="1076" width="29.5703125" style="89" customWidth="1"/>
    <col min="1077" max="1077" width="44.42578125" style="89" customWidth="1"/>
    <col min="1078" max="1078" width="36.28515625" style="89" customWidth="1"/>
    <col min="1079" max="1079" width="27.42578125" style="89" bestFit="1" customWidth="1"/>
    <col min="1080" max="1300" width="11.42578125" style="89"/>
    <col min="1301" max="1301" width="15.5703125" style="89" bestFit="1" customWidth="1"/>
    <col min="1302" max="1302" width="33.7109375" style="89" customWidth="1"/>
    <col min="1303" max="1303" width="19" style="89" customWidth="1"/>
    <col min="1304" max="1304" width="19.85546875" style="89" customWidth="1"/>
    <col min="1305" max="1305" width="18.5703125" style="89" customWidth="1"/>
    <col min="1306" max="1306" width="19.7109375" style="89" customWidth="1"/>
    <col min="1307" max="1307" width="14.85546875" style="89" customWidth="1"/>
    <col min="1308" max="1308" width="16.85546875" style="89" customWidth="1"/>
    <col min="1309" max="1311" width="11.42578125" style="89" customWidth="1"/>
    <col min="1312" max="1312" width="18.140625" style="89" customWidth="1"/>
    <col min="1313" max="1313" width="11.42578125" style="89" customWidth="1"/>
    <col min="1314" max="1314" width="12.5703125" style="89" customWidth="1"/>
    <col min="1315" max="1315" width="25" style="89" customWidth="1"/>
    <col min="1316" max="1316" width="16.5703125" style="89" bestFit="1" customWidth="1"/>
    <col min="1317" max="1317" width="24" style="89" customWidth="1"/>
    <col min="1318" max="1318" width="11.42578125" style="89" customWidth="1"/>
    <col min="1319" max="1319" width="20" style="89" customWidth="1"/>
    <col min="1320" max="1320" width="11.42578125" style="89" customWidth="1"/>
    <col min="1321" max="1321" width="19" style="89" customWidth="1"/>
    <col min="1322" max="1325" width="11.42578125" style="89" customWidth="1"/>
    <col min="1326" max="1326" width="15.140625" style="89" customWidth="1"/>
    <col min="1327" max="1327" width="14" style="89" customWidth="1"/>
    <col min="1328" max="1328" width="15.140625" style="89" customWidth="1"/>
    <col min="1329" max="1329" width="11.42578125" style="89" customWidth="1"/>
    <col min="1330" max="1330" width="51.7109375" style="89" customWidth="1"/>
    <col min="1331" max="1332" width="29.5703125" style="89" customWidth="1"/>
    <col min="1333" max="1333" width="44.42578125" style="89" customWidth="1"/>
    <col min="1334" max="1334" width="36.28515625" style="89" customWidth="1"/>
    <col min="1335" max="1335" width="27.42578125" style="89" bestFit="1" customWidth="1"/>
    <col min="1336" max="1556" width="11.42578125" style="89"/>
    <col min="1557" max="1557" width="15.5703125" style="89" bestFit="1" customWidth="1"/>
    <col min="1558" max="1558" width="33.7109375" style="89" customWidth="1"/>
    <col min="1559" max="1559" width="19" style="89" customWidth="1"/>
    <col min="1560" max="1560" width="19.85546875" style="89" customWidth="1"/>
    <col min="1561" max="1561" width="18.5703125" style="89" customWidth="1"/>
    <col min="1562" max="1562" width="19.7109375" style="89" customWidth="1"/>
    <col min="1563" max="1563" width="14.85546875" style="89" customWidth="1"/>
    <col min="1564" max="1564" width="16.85546875" style="89" customWidth="1"/>
    <col min="1565" max="1567" width="11.42578125" style="89" customWidth="1"/>
    <col min="1568" max="1568" width="18.140625" style="89" customWidth="1"/>
    <col min="1569" max="1569" width="11.42578125" style="89" customWidth="1"/>
    <col min="1570" max="1570" width="12.5703125" style="89" customWidth="1"/>
    <col min="1571" max="1571" width="25" style="89" customWidth="1"/>
    <col min="1572" max="1572" width="16.5703125" style="89" bestFit="1" customWidth="1"/>
    <col min="1573" max="1573" width="24" style="89" customWidth="1"/>
    <col min="1574" max="1574" width="11.42578125" style="89" customWidth="1"/>
    <col min="1575" max="1575" width="20" style="89" customWidth="1"/>
    <col min="1576" max="1576" width="11.42578125" style="89" customWidth="1"/>
    <col min="1577" max="1577" width="19" style="89" customWidth="1"/>
    <col min="1578" max="1581" width="11.42578125" style="89" customWidth="1"/>
    <col min="1582" max="1582" width="15.140625" style="89" customWidth="1"/>
    <col min="1583" max="1583" width="14" style="89" customWidth="1"/>
    <col min="1584" max="1584" width="15.140625" style="89" customWidth="1"/>
    <col min="1585" max="1585" width="11.42578125" style="89" customWidth="1"/>
    <col min="1586" max="1586" width="51.7109375" style="89" customWidth="1"/>
    <col min="1587" max="1588" width="29.5703125" style="89" customWidth="1"/>
    <col min="1589" max="1589" width="44.42578125" style="89" customWidth="1"/>
    <col min="1590" max="1590" width="36.28515625" style="89" customWidth="1"/>
    <col min="1591" max="1591" width="27.42578125" style="89" bestFit="1" customWidth="1"/>
    <col min="1592" max="1812" width="11.42578125" style="89"/>
    <col min="1813" max="1813" width="15.5703125" style="89" bestFit="1" customWidth="1"/>
    <col min="1814" max="1814" width="33.7109375" style="89" customWidth="1"/>
    <col min="1815" max="1815" width="19" style="89" customWidth="1"/>
    <col min="1816" max="1816" width="19.85546875" style="89" customWidth="1"/>
    <col min="1817" max="1817" width="18.5703125" style="89" customWidth="1"/>
    <col min="1818" max="1818" width="19.7109375" style="89" customWidth="1"/>
    <col min="1819" max="1819" width="14.85546875" style="89" customWidth="1"/>
    <col min="1820" max="1820" width="16.85546875" style="89" customWidth="1"/>
    <col min="1821" max="1823" width="11.42578125" style="89" customWidth="1"/>
    <col min="1824" max="1824" width="18.140625" style="89" customWidth="1"/>
    <col min="1825" max="1825" width="11.42578125" style="89" customWidth="1"/>
    <col min="1826" max="1826" width="12.5703125" style="89" customWidth="1"/>
    <col min="1827" max="1827" width="25" style="89" customWidth="1"/>
    <col min="1828" max="1828" width="16.5703125" style="89" bestFit="1" customWidth="1"/>
    <col min="1829" max="1829" width="24" style="89" customWidth="1"/>
    <col min="1830" max="1830" width="11.42578125" style="89" customWidth="1"/>
    <col min="1831" max="1831" width="20" style="89" customWidth="1"/>
    <col min="1832" max="1832" width="11.42578125" style="89" customWidth="1"/>
    <col min="1833" max="1833" width="19" style="89" customWidth="1"/>
    <col min="1834" max="1837" width="11.42578125" style="89" customWidth="1"/>
    <col min="1838" max="1838" width="15.140625" style="89" customWidth="1"/>
    <col min="1839" max="1839" width="14" style="89" customWidth="1"/>
    <col min="1840" max="1840" width="15.140625" style="89" customWidth="1"/>
    <col min="1841" max="1841" width="11.42578125" style="89" customWidth="1"/>
    <col min="1842" max="1842" width="51.7109375" style="89" customWidth="1"/>
    <col min="1843" max="1844" width="29.5703125" style="89" customWidth="1"/>
    <col min="1845" max="1845" width="44.42578125" style="89" customWidth="1"/>
    <col min="1846" max="1846" width="36.28515625" style="89" customWidth="1"/>
    <col min="1847" max="1847" width="27.42578125" style="89" bestFit="1" customWidth="1"/>
    <col min="1848" max="2068" width="11.42578125" style="89"/>
    <col min="2069" max="2069" width="15.5703125" style="89" bestFit="1" customWidth="1"/>
    <col min="2070" max="2070" width="33.7109375" style="89" customWidth="1"/>
    <col min="2071" max="2071" width="19" style="89" customWidth="1"/>
    <col min="2072" max="2072" width="19.85546875" style="89" customWidth="1"/>
    <col min="2073" max="2073" width="18.5703125" style="89" customWidth="1"/>
    <col min="2074" max="2074" width="19.7109375" style="89" customWidth="1"/>
    <col min="2075" max="2075" width="14.85546875" style="89" customWidth="1"/>
    <col min="2076" max="2076" width="16.85546875" style="89" customWidth="1"/>
    <col min="2077" max="2079" width="11.42578125" style="89" customWidth="1"/>
    <col min="2080" max="2080" width="18.140625" style="89" customWidth="1"/>
    <col min="2081" max="2081" width="11.42578125" style="89" customWidth="1"/>
    <col min="2082" max="2082" width="12.5703125" style="89" customWidth="1"/>
    <col min="2083" max="2083" width="25" style="89" customWidth="1"/>
    <col min="2084" max="2084" width="16.5703125" style="89" bestFit="1" customWidth="1"/>
    <col min="2085" max="2085" width="24" style="89" customWidth="1"/>
    <col min="2086" max="2086" width="11.42578125" style="89" customWidth="1"/>
    <col min="2087" max="2087" width="20" style="89" customWidth="1"/>
    <col min="2088" max="2088" width="11.42578125" style="89" customWidth="1"/>
    <col min="2089" max="2089" width="19" style="89" customWidth="1"/>
    <col min="2090" max="2093" width="11.42578125" style="89" customWidth="1"/>
    <col min="2094" max="2094" width="15.140625" style="89" customWidth="1"/>
    <col min="2095" max="2095" width="14" style="89" customWidth="1"/>
    <col min="2096" max="2096" width="15.140625" style="89" customWidth="1"/>
    <col min="2097" max="2097" width="11.42578125" style="89" customWidth="1"/>
    <col min="2098" max="2098" width="51.7109375" style="89" customWidth="1"/>
    <col min="2099" max="2100" width="29.5703125" style="89" customWidth="1"/>
    <col min="2101" max="2101" width="44.42578125" style="89" customWidth="1"/>
    <col min="2102" max="2102" width="36.28515625" style="89" customWidth="1"/>
    <col min="2103" max="2103" width="27.42578125" style="89" bestFit="1" customWidth="1"/>
    <col min="2104" max="2324" width="11.42578125" style="89"/>
    <col min="2325" max="2325" width="15.5703125" style="89" bestFit="1" customWidth="1"/>
    <col min="2326" max="2326" width="33.7109375" style="89" customWidth="1"/>
    <col min="2327" max="2327" width="19" style="89" customWidth="1"/>
    <col min="2328" max="2328" width="19.85546875" style="89" customWidth="1"/>
    <col min="2329" max="2329" width="18.5703125" style="89" customWidth="1"/>
    <col min="2330" max="2330" width="19.7109375" style="89" customWidth="1"/>
    <col min="2331" max="2331" width="14.85546875" style="89" customWidth="1"/>
    <col min="2332" max="2332" width="16.85546875" style="89" customWidth="1"/>
    <col min="2333" max="2335" width="11.42578125" style="89" customWidth="1"/>
    <col min="2336" max="2336" width="18.140625" style="89" customWidth="1"/>
    <col min="2337" max="2337" width="11.42578125" style="89" customWidth="1"/>
    <col min="2338" max="2338" width="12.5703125" style="89" customWidth="1"/>
    <col min="2339" max="2339" width="25" style="89" customWidth="1"/>
    <col min="2340" max="2340" width="16.5703125" style="89" bestFit="1" customWidth="1"/>
    <col min="2341" max="2341" width="24" style="89" customWidth="1"/>
    <col min="2342" max="2342" width="11.42578125" style="89" customWidth="1"/>
    <col min="2343" max="2343" width="20" style="89" customWidth="1"/>
    <col min="2344" max="2344" width="11.42578125" style="89" customWidth="1"/>
    <col min="2345" max="2345" width="19" style="89" customWidth="1"/>
    <col min="2346" max="2349" width="11.42578125" style="89" customWidth="1"/>
    <col min="2350" max="2350" width="15.140625" style="89" customWidth="1"/>
    <col min="2351" max="2351" width="14" style="89" customWidth="1"/>
    <col min="2352" max="2352" width="15.140625" style="89" customWidth="1"/>
    <col min="2353" max="2353" width="11.42578125" style="89" customWidth="1"/>
    <col min="2354" max="2354" width="51.7109375" style="89" customWidth="1"/>
    <col min="2355" max="2356" width="29.5703125" style="89" customWidth="1"/>
    <col min="2357" max="2357" width="44.42578125" style="89" customWidth="1"/>
    <col min="2358" max="2358" width="36.28515625" style="89" customWidth="1"/>
    <col min="2359" max="2359" width="27.42578125" style="89" bestFit="1" customWidth="1"/>
    <col min="2360" max="2580" width="11.42578125" style="89"/>
    <col min="2581" max="2581" width="15.5703125" style="89" bestFit="1" customWidth="1"/>
    <col min="2582" max="2582" width="33.7109375" style="89" customWidth="1"/>
    <col min="2583" max="2583" width="19" style="89" customWidth="1"/>
    <col min="2584" max="2584" width="19.85546875" style="89" customWidth="1"/>
    <col min="2585" max="2585" width="18.5703125" style="89" customWidth="1"/>
    <col min="2586" max="2586" width="19.7109375" style="89" customWidth="1"/>
    <col min="2587" max="2587" width="14.85546875" style="89" customWidth="1"/>
    <col min="2588" max="2588" width="16.85546875" style="89" customWidth="1"/>
    <col min="2589" max="2591" width="11.42578125" style="89" customWidth="1"/>
    <col min="2592" max="2592" width="18.140625" style="89" customWidth="1"/>
    <col min="2593" max="2593" width="11.42578125" style="89" customWidth="1"/>
    <col min="2594" max="2594" width="12.5703125" style="89" customWidth="1"/>
    <col min="2595" max="2595" width="25" style="89" customWidth="1"/>
    <col min="2596" max="2596" width="16.5703125" style="89" bestFit="1" customWidth="1"/>
    <col min="2597" max="2597" width="24" style="89" customWidth="1"/>
    <col min="2598" max="2598" width="11.42578125" style="89" customWidth="1"/>
    <col min="2599" max="2599" width="20" style="89" customWidth="1"/>
    <col min="2600" max="2600" width="11.42578125" style="89" customWidth="1"/>
    <col min="2601" max="2601" width="19" style="89" customWidth="1"/>
    <col min="2602" max="2605" width="11.42578125" style="89" customWidth="1"/>
    <col min="2606" max="2606" width="15.140625" style="89" customWidth="1"/>
    <col min="2607" max="2607" width="14" style="89" customWidth="1"/>
    <col min="2608" max="2608" width="15.140625" style="89" customWidth="1"/>
    <col min="2609" max="2609" width="11.42578125" style="89" customWidth="1"/>
    <col min="2610" max="2610" width="51.7109375" style="89" customWidth="1"/>
    <col min="2611" max="2612" width="29.5703125" style="89" customWidth="1"/>
    <col min="2613" max="2613" width="44.42578125" style="89" customWidth="1"/>
    <col min="2614" max="2614" width="36.28515625" style="89" customWidth="1"/>
    <col min="2615" max="2615" width="27.42578125" style="89" bestFit="1" customWidth="1"/>
    <col min="2616" max="2836" width="11.42578125" style="89"/>
    <col min="2837" max="2837" width="15.5703125" style="89" bestFit="1" customWidth="1"/>
    <col min="2838" max="2838" width="33.7109375" style="89" customWidth="1"/>
    <col min="2839" max="2839" width="19" style="89" customWidth="1"/>
    <col min="2840" max="2840" width="19.85546875" style="89" customWidth="1"/>
    <col min="2841" max="2841" width="18.5703125" style="89" customWidth="1"/>
    <col min="2842" max="2842" width="19.7109375" style="89" customWidth="1"/>
    <col min="2843" max="2843" width="14.85546875" style="89" customWidth="1"/>
    <col min="2844" max="2844" width="16.85546875" style="89" customWidth="1"/>
    <col min="2845" max="2847" width="11.42578125" style="89" customWidth="1"/>
    <col min="2848" max="2848" width="18.140625" style="89" customWidth="1"/>
    <col min="2849" max="2849" width="11.42578125" style="89" customWidth="1"/>
    <col min="2850" max="2850" width="12.5703125" style="89" customWidth="1"/>
    <col min="2851" max="2851" width="25" style="89" customWidth="1"/>
    <col min="2852" max="2852" width="16.5703125" style="89" bestFit="1" customWidth="1"/>
    <col min="2853" max="2853" width="24" style="89" customWidth="1"/>
    <col min="2854" max="2854" width="11.42578125" style="89" customWidth="1"/>
    <col min="2855" max="2855" width="20" style="89" customWidth="1"/>
    <col min="2856" max="2856" width="11.42578125" style="89" customWidth="1"/>
    <col min="2857" max="2857" width="19" style="89" customWidth="1"/>
    <col min="2858" max="2861" width="11.42578125" style="89" customWidth="1"/>
    <col min="2862" max="2862" width="15.140625" style="89" customWidth="1"/>
    <col min="2863" max="2863" width="14" style="89" customWidth="1"/>
    <col min="2864" max="2864" width="15.140625" style="89" customWidth="1"/>
    <col min="2865" max="2865" width="11.42578125" style="89" customWidth="1"/>
    <col min="2866" max="2866" width="51.7109375" style="89" customWidth="1"/>
    <col min="2867" max="2868" width="29.5703125" style="89" customWidth="1"/>
    <col min="2869" max="2869" width="44.42578125" style="89" customWidth="1"/>
    <col min="2870" max="2870" width="36.28515625" style="89" customWidth="1"/>
    <col min="2871" max="2871" width="27.42578125" style="89" bestFit="1" customWidth="1"/>
    <col min="2872" max="3092" width="11.42578125" style="89"/>
    <col min="3093" max="3093" width="15.5703125" style="89" bestFit="1" customWidth="1"/>
    <col min="3094" max="3094" width="33.7109375" style="89" customWidth="1"/>
    <col min="3095" max="3095" width="19" style="89" customWidth="1"/>
    <col min="3096" max="3096" width="19.85546875" style="89" customWidth="1"/>
    <col min="3097" max="3097" width="18.5703125" style="89" customWidth="1"/>
    <col min="3098" max="3098" width="19.7109375" style="89" customWidth="1"/>
    <col min="3099" max="3099" width="14.85546875" style="89" customWidth="1"/>
    <col min="3100" max="3100" width="16.85546875" style="89" customWidth="1"/>
    <col min="3101" max="3103" width="11.42578125" style="89" customWidth="1"/>
    <col min="3104" max="3104" width="18.140625" style="89" customWidth="1"/>
    <col min="3105" max="3105" width="11.42578125" style="89" customWidth="1"/>
    <col min="3106" max="3106" width="12.5703125" style="89" customWidth="1"/>
    <col min="3107" max="3107" width="25" style="89" customWidth="1"/>
    <col min="3108" max="3108" width="16.5703125" style="89" bestFit="1" customWidth="1"/>
    <col min="3109" max="3109" width="24" style="89" customWidth="1"/>
    <col min="3110" max="3110" width="11.42578125" style="89" customWidth="1"/>
    <col min="3111" max="3111" width="20" style="89" customWidth="1"/>
    <col min="3112" max="3112" width="11.42578125" style="89" customWidth="1"/>
    <col min="3113" max="3113" width="19" style="89" customWidth="1"/>
    <col min="3114" max="3117" width="11.42578125" style="89" customWidth="1"/>
    <col min="3118" max="3118" width="15.140625" style="89" customWidth="1"/>
    <col min="3119" max="3119" width="14" style="89" customWidth="1"/>
    <col min="3120" max="3120" width="15.140625" style="89" customWidth="1"/>
    <col min="3121" max="3121" width="11.42578125" style="89" customWidth="1"/>
    <col min="3122" max="3122" width="51.7109375" style="89" customWidth="1"/>
    <col min="3123" max="3124" width="29.5703125" style="89" customWidth="1"/>
    <col min="3125" max="3125" width="44.42578125" style="89" customWidth="1"/>
    <col min="3126" max="3126" width="36.28515625" style="89" customWidth="1"/>
    <col min="3127" max="3127" width="27.42578125" style="89" bestFit="1" customWidth="1"/>
    <col min="3128" max="3348" width="11.42578125" style="89"/>
    <col min="3349" max="3349" width="15.5703125" style="89" bestFit="1" customWidth="1"/>
    <col min="3350" max="3350" width="33.7109375" style="89" customWidth="1"/>
    <col min="3351" max="3351" width="19" style="89" customWidth="1"/>
    <col min="3352" max="3352" width="19.85546875" style="89" customWidth="1"/>
    <col min="3353" max="3353" width="18.5703125" style="89" customWidth="1"/>
    <col min="3354" max="3354" width="19.7109375" style="89" customWidth="1"/>
    <col min="3355" max="3355" width="14.85546875" style="89" customWidth="1"/>
    <col min="3356" max="3356" width="16.85546875" style="89" customWidth="1"/>
    <col min="3357" max="3359" width="11.42578125" style="89" customWidth="1"/>
    <col min="3360" max="3360" width="18.140625" style="89" customWidth="1"/>
    <col min="3361" max="3361" width="11.42578125" style="89" customWidth="1"/>
    <col min="3362" max="3362" width="12.5703125" style="89" customWidth="1"/>
    <col min="3363" max="3363" width="25" style="89" customWidth="1"/>
    <col min="3364" max="3364" width="16.5703125" style="89" bestFit="1" customWidth="1"/>
    <col min="3365" max="3365" width="24" style="89" customWidth="1"/>
    <col min="3366" max="3366" width="11.42578125" style="89" customWidth="1"/>
    <col min="3367" max="3367" width="20" style="89" customWidth="1"/>
    <col min="3368" max="3368" width="11.42578125" style="89" customWidth="1"/>
    <col min="3369" max="3369" width="19" style="89" customWidth="1"/>
    <col min="3370" max="3373" width="11.42578125" style="89" customWidth="1"/>
    <col min="3374" max="3374" width="15.140625" style="89" customWidth="1"/>
    <col min="3375" max="3375" width="14" style="89" customWidth="1"/>
    <col min="3376" max="3376" width="15.140625" style="89" customWidth="1"/>
    <col min="3377" max="3377" width="11.42578125" style="89" customWidth="1"/>
    <col min="3378" max="3378" width="51.7109375" style="89" customWidth="1"/>
    <col min="3379" max="3380" width="29.5703125" style="89" customWidth="1"/>
    <col min="3381" max="3381" width="44.42578125" style="89" customWidth="1"/>
    <col min="3382" max="3382" width="36.28515625" style="89" customWidth="1"/>
    <col min="3383" max="3383" width="27.42578125" style="89" bestFit="1" customWidth="1"/>
    <col min="3384" max="3604" width="11.42578125" style="89"/>
    <col min="3605" max="3605" width="15.5703125" style="89" bestFit="1" customWidth="1"/>
    <col min="3606" max="3606" width="33.7109375" style="89" customWidth="1"/>
    <col min="3607" max="3607" width="19" style="89" customWidth="1"/>
    <col min="3608" max="3608" width="19.85546875" style="89" customWidth="1"/>
    <col min="3609" max="3609" width="18.5703125" style="89" customWidth="1"/>
    <col min="3610" max="3610" width="19.7109375" style="89" customWidth="1"/>
    <col min="3611" max="3611" width="14.85546875" style="89" customWidth="1"/>
    <col min="3612" max="3612" width="16.85546875" style="89" customWidth="1"/>
    <col min="3613" max="3615" width="11.42578125" style="89" customWidth="1"/>
    <col min="3616" max="3616" width="18.140625" style="89" customWidth="1"/>
    <col min="3617" max="3617" width="11.42578125" style="89" customWidth="1"/>
    <col min="3618" max="3618" width="12.5703125" style="89" customWidth="1"/>
    <col min="3619" max="3619" width="25" style="89" customWidth="1"/>
    <col min="3620" max="3620" width="16.5703125" style="89" bestFit="1" customWidth="1"/>
    <col min="3621" max="3621" width="24" style="89" customWidth="1"/>
    <col min="3622" max="3622" width="11.42578125" style="89" customWidth="1"/>
    <col min="3623" max="3623" width="20" style="89" customWidth="1"/>
    <col min="3624" max="3624" width="11.42578125" style="89" customWidth="1"/>
    <col min="3625" max="3625" width="19" style="89" customWidth="1"/>
    <col min="3626" max="3629" width="11.42578125" style="89" customWidth="1"/>
    <col min="3630" max="3630" width="15.140625" style="89" customWidth="1"/>
    <col min="3631" max="3631" width="14" style="89" customWidth="1"/>
    <col min="3632" max="3632" width="15.140625" style="89" customWidth="1"/>
    <col min="3633" max="3633" width="11.42578125" style="89" customWidth="1"/>
    <col min="3634" max="3634" width="51.7109375" style="89" customWidth="1"/>
    <col min="3635" max="3636" width="29.5703125" style="89" customWidth="1"/>
    <col min="3637" max="3637" width="44.42578125" style="89" customWidth="1"/>
    <col min="3638" max="3638" width="36.28515625" style="89" customWidth="1"/>
    <col min="3639" max="3639" width="27.42578125" style="89" bestFit="1" customWidth="1"/>
    <col min="3640" max="3860" width="11.42578125" style="89"/>
    <col min="3861" max="3861" width="15.5703125" style="89" bestFit="1" customWidth="1"/>
    <col min="3862" max="3862" width="33.7109375" style="89" customWidth="1"/>
    <col min="3863" max="3863" width="19" style="89" customWidth="1"/>
    <col min="3864" max="3864" width="19.85546875" style="89" customWidth="1"/>
    <col min="3865" max="3865" width="18.5703125" style="89" customWidth="1"/>
    <col min="3866" max="3866" width="19.7109375" style="89" customWidth="1"/>
    <col min="3867" max="3867" width="14.85546875" style="89" customWidth="1"/>
    <col min="3868" max="3868" width="16.85546875" style="89" customWidth="1"/>
    <col min="3869" max="3871" width="11.42578125" style="89" customWidth="1"/>
    <col min="3872" max="3872" width="18.140625" style="89" customWidth="1"/>
    <col min="3873" max="3873" width="11.42578125" style="89" customWidth="1"/>
    <col min="3874" max="3874" width="12.5703125" style="89" customWidth="1"/>
    <col min="3875" max="3875" width="25" style="89" customWidth="1"/>
    <col min="3876" max="3876" width="16.5703125" style="89" bestFit="1" customWidth="1"/>
    <col min="3877" max="3877" width="24" style="89" customWidth="1"/>
    <col min="3878" max="3878" width="11.42578125" style="89" customWidth="1"/>
    <col min="3879" max="3879" width="20" style="89" customWidth="1"/>
    <col min="3880" max="3880" width="11.42578125" style="89" customWidth="1"/>
    <col min="3881" max="3881" width="19" style="89" customWidth="1"/>
    <col min="3882" max="3885" width="11.42578125" style="89" customWidth="1"/>
    <col min="3886" max="3886" width="15.140625" style="89" customWidth="1"/>
    <col min="3887" max="3887" width="14" style="89" customWidth="1"/>
    <col min="3888" max="3888" width="15.140625" style="89" customWidth="1"/>
    <col min="3889" max="3889" width="11.42578125" style="89" customWidth="1"/>
    <col min="3890" max="3890" width="51.7109375" style="89" customWidth="1"/>
    <col min="3891" max="3892" width="29.5703125" style="89" customWidth="1"/>
    <col min="3893" max="3893" width="44.42578125" style="89" customWidth="1"/>
    <col min="3894" max="3894" width="36.28515625" style="89" customWidth="1"/>
    <col min="3895" max="3895" width="27.42578125" style="89" bestFit="1" customWidth="1"/>
    <col min="3896" max="4116" width="11.42578125" style="89"/>
    <col min="4117" max="4117" width="15.5703125" style="89" bestFit="1" customWidth="1"/>
    <col min="4118" max="4118" width="33.7109375" style="89" customWidth="1"/>
    <col min="4119" max="4119" width="19" style="89" customWidth="1"/>
    <col min="4120" max="4120" width="19.85546875" style="89" customWidth="1"/>
    <col min="4121" max="4121" width="18.5703125" style="89" customWidth="1"/>
    <col min="4122" max="4122" width="19.7109375" style="89" customWidth="1"/>
    <col min="4123" max="4123" width="14.85546875" style="89" customWidth="1"/>
    <col min="4124" max="4124" width="16.85546875" style="89" customWidth="1"/>
    <col min="4125" max="4127" width="11.42578125" style="89" customWidth="1"/>
    <col min="4128" max="4128" width="18.140625" style="89" customWidth="1"/>
    <col min="4129" max="4129" width="11.42578125" style="89" customWidth="1"/>
    <col min="4130" max="4130" width="12.5703125" style="89" customWidth="1"/>
    <col min="4131" max="4131" width="25" style="89" customWidth="1"/>
    <col min="4132" max="4132" width="16.5703125" style="89" bestFit="1" customWidth="1"/>
    <col min="4133" max="4133" width="24" style="89" customWidth="1"/>
    <col min="4134" max="4134" width="11.42578125" style="89" customWidth="1"/>
    <col min="4135" max="4135" width="20" style="89" customWidth="1"/>
    <col min="4136" max="4136" width="11.42578125" style="89" customWidth="1"/>
    <col min="4137" max="4137" width="19" style="89" customWidth="1"/>
    <col min="4138" max="4141" width="11.42578125" style="89" customWidth="1"/>
    <col min="4142" max="4142" width="15.140625" style="89" customWidth="1"/>
    <col min="4143" max="4143" width="14" style="89" customWidth="1"/>
    <col min="4144" max="4144" width="15.140625" style="89" customWidth="1"/>
    <col min="4145" max="4145" width="11.42578125" style="89" customWidth="1"/>
    <col min="4146" max="4146" width="51.7109375" style="89" customWidth="1"/>
    <col min="4147" max="4148" width="29.5703125" style="89" customWidth="1"/>
    <col min="4149" max="4149" width="44.42578125" style="89" customWidth="1"/>
    <col min="4150" max="4150" width="36.28515625" style="89" customWidth="1"/>
    <col min="4151" max="4151" width="27.42578125" style="89" bestFit="1" customWidth="1"/>
    <col min="4152" max="4372" width="11.42578125" style="89"/>
    <col min="4373" max="4373" width="15.5703125" style="89" bestFit="1" customWidth="1"/>
    <col min="4374" max="4374" width="33.7109375" style="89" customWidth="1"/>
    <col min="4375" max="4375" width="19" style="89" customWidth="1"/>
    <col min="4376" max="4376" width="19.85546875" style="89" customWidth="1"/>
    <col min="4377" max="4377" width="18.5703125" style="89" customWidth="1"/>
    <col min="4378" max="4378" width="19.7109375" style="89" customWidth="1"/>
    <col min="4379" max="4379" width="14.85546875" style="89" customWidth="1"/>
    <col min="4380" max="4380" width="16.85546875" style="89" customWidth="1"/>
    <col min="4381" max="4383" width="11.42578125" style="89" customWidth="1"/>
    <col min="4384" max="4384" width="18.140625" style="89" customWidth="1"/>
    <col min="4385" max="4385" width="11.42578125" style="89" customWidth="1"/>
    <col min="4386" max="4386" width="12.5703125" style="89" customWidth="1"/>
    <col min="4387" max="4387" width="25" style="89" customWidth="1"/>
    <col min="4388" max="4388" width="16.5703125" style="89" bestFit="1" customWidth="1"/>
    <col min="4389" max="4389" width="24" style="89" customWidth="1"/>
    <col min="4390" max="4390" width="11.42578125" style="89" customWidth="1"/>
    <col min="4391" max="4391" width="20" style="89" customWidth="1"/>
    <col min="4392" max="4392" width="11.42578125" style="89" customWidth="1"/>
    <col min="4393" max="4393" width="19" style="89" customWidth="1"/>
    <col min="4394" max="4397" width="11.42578125" style="89" customWidth="1"/>
    <col min="4398" max="4398" width="15.140625" style="89" customWidth="1"/>
    <col min="4399" max="4399" width="14" style="89" customWidth="1"/>
    <col min="4400" max="4400" width="15.140625" style="89" customWidth="1"/>
    <col min="4401" max="4401" width="11.42578125" style="89" customWidth="1"/>
    <col min="4402" max="4402" width="51.7109375" style="89" customWidth="1"/>
    <col min="4403" max="4404" width="29.5703125" style="89" customWidth="1"/>
    <col min="4405" max="4405" width="44.42578125" style="89" customWidth="1"/>
    <col min="4406" max="4406" width="36.28515625" style="89" customWidth="1"/>
    <col min="4407" max="4407" width="27.42578125" style="89" bestFit="1" customWidth="1"/>
    <col min="4408" max="4628" width="11.42578125" style="89"/>
    <col min="4629" max="4629" width="15.5703125" style="89" bestFit="1" customWidth="1"/>
    <col min="4630" max="4630" width="33.7109375" style="89" customWidth="1"/>
    <col min="4631" max="4631" width="19" style="89" customWidth="1"/>
    <col min="4632" max="4632" width="19.85546875" style="89" customWidth="1"/>
    <col min="4633" max="4633" width="18.5703125" style="89" customWidth="1"/>
    <col min="4634" max="4634" width="19.7109375" style="89" customWidth="1"/>
    <col min="4635" max="4635" width="14.85546875" style="89" customWidth="1"/>
    <col min="4636" max="4636" width="16.85546875" style="89" customWidth="1"/>
    <col min="4637" max="4639" width="11.42578125" style="89" customWidth="1"/>
    <col min="4640" max="4640" width="18.140625" style="89" customWidth="1"/>
    <col min="4641" max="4641" width="11.42578125" style="89" customWidth="1"/>
    <col min="4642" max="4642" width="12.5703125" style="89" customWidth="1"/>
    <col min="4643" max="4643" width="25" style="89" customWidth="1"/>
    <col min="4644" max="4644" width="16.5703125" style="89" bestFit="1" customWidth="1"/>
    <col min="4645" max="4645" width="24" style="89" customWidth="1"/>
    <col min="4646" max="4646" width="11.42578125" style="89" customWidth="1"/>
    <col min="4647" max="4647" width="20" style="89" customWidth="1"/>
    <col min="4648" max="4648" width="11.42578125" style="89" customWidth="1"/>
    <col min="4649" max="4649" width="19" style="89" customWidth="1"/>
    <col min="4650" max="4653" width="11.42578125" style="89" customWidth="1"/>
    <col min="4654" max="4654" width="15.140625" style="89" customWidth="1"/>
    <col min="4655" max="4655" width="14" style="89" customWidth="1"/>
    <col min="4656" max="4656" width="15.140625" style="89" customWidth="1"/>
    <col min="4657" max="4657" width="11.42578125" style="89" customWidth="1"/>
    <col min="4658" max="4658" width="51.7109375" style="89" customWidth="1"/>
    <col min="4659" max="4660" width="29.5703125" style="89" customWidth="1"/>
    <col min="4661" max="4661" width="44.42578125" style="89" customWidth="1"/>
    <col min="4662" max="4662" width="36.28515625" style="89" customWidth="1"/>
    <col min="4663" max="4663" width="27.42578125" style="89" bestFit="1" customWidth="1"/>
    <col min="4664" max="4884" width="11.42578125" style="89"/>
    <col min="4885" max="4885" width="15.5703125" style="89" bestFit="1" customWidth="1"/>
    <col min="4886" max="4886" width="33.7109375" style="89" customWidth="1"/>
    <col min="4887" max="4887" width="19" style="89" customWidth="1"/>
    <col min="4888" max="4888" width="19.85546875" style="89" customWidth="1"/>
    <col min="4889" max="4889" width="18.5703125" style="89" customWidth="1"/>
    <col min="4890" max="4890" width="19.7109375" style="89" customWidth="1"/>
    <col min="4891" max="4891" width="14.85546875" style="89" customWidth="1"/>
    <col min="4892" max="4892" width="16.85546875" style="89" customWidth="1"/>
    <col min="4893" max="4895" width="11.42578125" style="89" customWidth="1"/>
    <col min="4896" max="4896" width="18.140625" style="89" customWidth="1"/>
    <col min="4897" max="4897" width="11.42578125" style="89" customWidth="1"/>
    <col min="4898" max="4898" width="12.5703125" style="89" customWidth="1"/>
    <col min="4899" max="4899" width="25" style="89" customWidth="1"/>
    <col min="4900" max="4900" width="16.5703125" style="89" bestFit="1" customWidth="1"/>
    <col min="4901" max="4901" width="24" style="89" customWidth="1"/>
    <col min="4902" max="4902" width="11.42578125" style="89" customWidth="1"/>
    <col min="4903" max="4903" width="20" style="89" customWidth="1"/>
    <col min="4904" max="4904" width="11.42578125" style="89" customWidth="1"/>
    <col min="4905" max="4905" width="19" style="89" customWidth="1"/>
    <col min="4906" max="4909" width="11.42578125" style="89" customWidth="1"/>
    <col min="4910" max="4910" width="15.140625" style="89" customWidth="1"/>
    <col min="4911" max="4911" width="14" style="89" customWidth="1"/>
    <col min="4912" max="4912" width="15.140625" style="89" customWidth="1"/>
    <col min="4913" max="4913" width="11.42578125" style="89" customWidth="1"/>
    <col min="4914" max="4914" width="51.7109375" style="89" customWidth="1"/>
    <col min="4915" max="4916" width="29.5703125" style="89" customWidth="1"/>
    <col min="4917" max="4917" width="44.42578125" style="89" customWidth="1"/>
    <col min="4918" max="4918" width="36.28515625" style="89" customWidth="1"/>
    <col min="4919" max="4919" width="27.42578125" style="89" bestFit="1" customWidth="1"/>
    <col min="4920" max="5140" width="11.42578125" style="89"/>
    <col min="5141" max="5141" width="15.5703125" style="89" bestFit="1" customWidth="1"/>
    <col min="5142" max="5142" width="33.7109375" style="89" customWidth="1"/>
    <col min="5143" max="5143" width="19" style="89" customWidth="1"/>
    <col min="5144" max="5144" width="19.85546875" style="89" customWidth="1"/>
    <col min="5145" max="5145" width="18.5703125" style="89" customWidth="1"/>
    <col min="5146" max="5146" width="19.7109375" style="89" customWidth="1"/>
    <col min="5147" max="5147" width="14.85546875" style="89" customWidth="1"/>
    <col min="5148" max="5148" width="16.85546875" style="89" customWidth="1"/>
    <col min="5149" max="5151" width="11.42578125" style="89" customWidth="1"/>
    <col min="5152" max="5152" width="18.140625" style="89" customWidth="1"/>
    <col min="5153" max="5153" width="11.42578125" style="89" customWidth="1"/>
    <col min="5154" max="5154" width="12.5703125" style="89" customWidth="1"/>
    <col min="5155" max="5155" width="25" style="89" customWidth="1"/>
    <col min="5156" max="5156" width="16.5703125" style="89" bestFit="1" customWidth="1"/>
    <col min="5157" max="5157" width="24" style="89" customWidth="1"/>
    <col min="5158" max="5158" width="11.42578125" style="89" customWidth="1"/>
    <col min="5159" max="5159" width="20" style="89" customWidth="1"/>
    <col min="5160" max="5160" width="11.42578125" style="89" customWidth="1"/>
    <col min="5161" max="5161" width="19" style="89" customWidth="1"/>
    <col min="5162" max="5165" width="11.42578125" style="89" customWidth="1"/>
    <col min="5166" max="5166" width="15.140625" style="89" customWidth="1"/>
    <col min="5167" max="5167" width="14" style="89" customWidth="1"/>
    <col min="5168" max="5168" width="15.140625" style="89" customWidth="1"/>
    <col min="5169" max="5169" width="11.42578125" style="89" customWidth="1"/>
    <col min="5170" max="5170" width="51.7109375" style="89" customWidth="1"/>
    <col min="5171" max="5172" width="29.5703125" style="89" customWidth="1"/>
    <col min="5173" max="5173" width="44.42578125" style="89" customWidth="1"/>
    <col min="5174" max="5174" width="36.28515625" style="89" customWidth="1"/>
    <col min="5175" max="5175" width="27.42578125" style="89" bestFit="1" customWidth="1"/>
    <col min="5176" max="5396" width="11.42578125" style="89"/>
    <col min="5397" max="5397" width="15.5703125" style="89" bestFit="1" customWidth="1"/>
    <col min="5398" max="5398" width="33.7109375" style="89" customWidth="1"/>
    <col min="5399" max="5399" width="19" style="89" customWidth="1"/>
    <col min="5400" max="5400" width="19.85546875" style="89" customWidth="1"/>
    <col min="5401" max="5401" width="18.5703125" style="89" customWidth="1"/>
    <col min="5402" max="5402" width="19.7109375" style="89" customWidth="1"/>
    <col min="5403" max="5403" width="14.85546875" style="89" customWidth="1"/>
    <col min="5404" max="5404" width="16.85546875" style="89" customWidth="1"/>
    <col min="5405" max="5407" width="11.42578125" style="89" customWidth="1"/>
    <col min="5408" max="5408" width="18.140625" style="89" customWidth="1"/>
    <col min="5409" max="5409" width="11.42578125" style="89" customWidth="1"/>
    <col min="5410" max="5410" width="12.5703125" style="89" customWidth="1"/>
    <col min="5411" max="5411" width="25" style="89" customWidth="1"/>
    <col min="5412" max="5412" width="16.5703125" style="89" bestFit="1" customWidth="1"/>
    <col min="5413" max="5413" width="24" style="89" customWidth="1"/>
    <col min="5414" max="5414" width="11.42578125" style="89" customWidth="1"/>
    <col min="5415" max="5415" width="20" style="89" customWidth="1"/>
    <col min="5416" max="5416" width="11.42578125" style="89" customWidth="1"/>
    <col min="5417" max="5417" width="19" style="89" customWidth="1"/>
    <col min="5418" max="5421" width="11.42578125" style="89" customWidth="1"/>
    <col min="5422" max="5422" width="15.140625" style="89" customWidth="1"/>
    <col min="5423" max="5423" width="14" style="89" customWidth="1"/>
    <col min="5424" max="5424" width="15.140625" style="89" customWidth="1"/>
    <col min="5425" max="5425" width="11.42578125" style="89" customWidth="1"/>
    <col min="5426" max="5426" width="51.7109375" style="89" customWidth="1"/>
    <col min="5427" max="5428" width="29.5703125" style="89" customWidth="1"/>
    <col min="5429" max="5429" width="44.42578125" style="89" customWidth="1"/>
    <col min="5430" max="5430" width="36.28515625" style="89" customWidth="1"/>
    <col min="5431" max="5431" width="27.42578125" style="89" bestFit="1" customWidth="1"/>
    <col min="5432" max="5652" width="11.42578125" style="89"/>
    <col min="5653" max="5653" width="15.5703125" style="89" bestFit="1" customWidth="1"/>
    <col min="5654" max="5654" width="33.7109375" style="89" customWidth="1"/>
    <col min="5655" max="5655" width="19" style="89" customWidth="1"/>
    <col min="5656" max="5656" width="19.85546875" style="89" customWidth="1"/>
    <col min="5657" max="5657" width="18.5703125" style="89" customWidth="1"/>
    <col min="5658" max="5658" width="19.7109375" style="89" customWidth="1"/>
    <col min="5659" max="5659" width="14.85546875" style="89" customWidth="1"/>
    <col min="5660" max="5660" width="16.85546875" style="89" customWidth="1"/>
    <col min="5661" max="5663" width="11.42578125" style="89" customWidth="1"/>
    <col min="5664" max="5664" width="18.140625" style="89" customWidth="1"/>
    <col min="5665" max="5665" width="11.42578125" style="89" customWidth="1"/>
    <col min="5666" max="5666" width="12.5703125" style="89" customWidth="1"/>
    <col min="5667" max="5667" width="25" style="89" customWidth="1"/>
    <col min="5668" max="5668" width="16.5703125" style="89" bestFit="1" customWidth="1"/>
    <col min="5669" max="5669" width="24" style="89" customWidth="1"/>
    <col min="5670" max="5670" width="11.42578125" style="89" customWidth="1"/>
    <col min="5671" max="5671" width="20" style="89" customWidth="1"/>
    <col min="5672" max="5672" width="11.42578125" style="89" customWidth="1"/>
    <col min="5673" max="5673" width="19" style="89" customWidth="1"/>
    <col min="5674" max="5677" width="11.42578125" style="89" customWidth="1"/>
    <col min="5678" max="5678" width="15.140625" style="89" customWidth="1"/>
    <col min="5679" max="5679" width="14" style="89" customWidth="1"/>
    <col min="5680" max="5680" width="15.140625" style="89" customWidth="1"/>
    <col min="5681" max="5681" width="11.42578125" style="89" customWidth="1"/>
    <col min="5682" max="5682" width="51.7109375" style="89" customWidth="1"/>
    <col min="5683" max="5684" width="29.5703125" style="89" customWidth="1"/>
    <col min="5685" max="5685" width="44.42578125" style="89" customWidth="1"/>
    <col min="5686" max="5686" width="36.28515625" style="89" customWidth="1"/>
    <col min="5687" max="5687" width="27.42578125" style="89" bestFit="1" customWidth="1"/>
    <col min="5688" max="5908" width="11.42578125" style="89"/>
    <col min="5909" max="5909" width="15.5703125" style="89" bestFit="1" customWidth="1"/>
    <col min="5910" max="5910" width="33.7109375" style="89" customWidth="1"/>
    <col min="5911" max="5911" width="19" style="89" customWidth="1"/>
    <col min="5912" max="5912" width="19.85546875" style="89" customWidth="1"/>
    <col min="5913" max="5913" width="18.5703125" style="89" customWidth="1"/>
    <col min="5914" max="5914" width="19.7109375" style="89" customWidth="1"/>
    <col min="5915" max="5915" width="14.85546875" style="89" customWidth="1"/>
    <col min="5916" max="5916" width="16.85546875" style="89" customWidth="1"/>
    <col min="5917" max="5919" width="11.42578125" style="89" customWidth="1"/>
    <col min="5920" max="5920" width="18.140625" style="89" customWidth="1"/>
    <col min="5921" max="5921" width="11.42578125" style="89" customWidth="1"/>
    <col min="5922" max="5922" width="12.5703125" style="89" customWidth="1"/>
    <col min="5923" max="5923" width="25" style="89" customWidth="1"/>
    <col min="5924" max="5924" width="16.5703125" style="89" bestFit="1" customWidth="1"/>
    <col min="5925" max="5925" width="24" style="89" customWidth="1"/>
    <col min="5926" max="5926" width="11.42578125" style="89" customWidth="1"/>
    <col min="5927" max="5927" width="20" style="89" customWidth="1"/>
    <col min="5928" max="5928" width="11.42578125" style="89" customWidth="1"/>
    <col min="5929" max="5929" width="19" style="89" customWidth="1"/>
    <col min="5930" max="5933" width="11.42578125" style="89" customWidth="1"/>
    <col min="5934" max="5934" width="15.140625" style="89" customWidth="1"/>
    <col min="5935" max="5935" width="14" style="89" customWidth="1"/>
    <col min="5936" max="5936" width="15.140625" style="89" customWidth="1"/>
    <col min="5937" max="5937" width="11.42578125" style="89" customWidth="1"/>
    <col min="5938" max="5938" width="51.7109375" style="89" customWidth="1"/>
    <col min="5939" max="5940" width="29.5703125" style="89" customWidth="1"/>
    <col min="5941" max="5941" width="44.42578125" style="89" customWidth="1"/>
    <col min="5942" max="5942" width="36.28515625" style="89" customWidth="1"/>
    <col min="5943" max="5943" width="27.42578125" style="89" bestFit="1" customWidth="1"/>
    <col min="5944" max="6164" width="11.42578125" style="89"/>
    <col min="6165" max="6165" width="15.5703125" style="89" bestFit="1" customWidth="1"/>
    <col min="6166" max="6166" width="33.7109375" style="89" customWidth="1"/>
    <col min="6167" max="6167" width="19" style="89" customWidth="1"/>
    <col min="6168" max="6168" width="19.85546875" style="89" customWidth="1"/>
    <col min="6169" max="6169" width="18.5703125" style="89" customWidth="1"/>
    <col min="6170" max="6170" width="19.7109375" style="89" customWidth="1"/>
    <col min="6171" max="6171" width="14.85546875" style="89" customWidth="1"/>
    <col min="6172" max="6172" width="16.85546875" style="89" customWidth="1"/>
    <col min="6173" max="6175" width="11.42578125" style="89" customWidth="1"/>
    <col min="6176" max="6176" width="18.140625" style="89" customWidth="1"/>
    <col min="6177" max="6177" width="11.42578125" style="89" customWidth="1"/>
    <col min="6178" max="6178" width="12.5703125" style="89" customWidth="1"/>
    <col min="6179" max="6179" width="25" style="89" customWidth="1"/>
    <col min="6180" max="6180" width="16.5703125" style="89" bestFit="1" customWidth="1"/>
    <col min="6181" max="6181" width="24" style="89" customWidth="1"/>
    <col min="6182" max="6182" width="11.42578125" style="89" customWidth="1"/>
    <col min="6183" max="6183" width="20" style="89" customWidth="1"/>
    <col min="6184" max="6184" width="11.42578125" style="89" customWidth="1"/>
    <col min="6185" max="6185" width="19" style="89" customWidth="1"/>
    <col min="6186" max="6189" width="11.42578125" style="89" customWidth="1"/>
    <col min="6190" max="6190" width="15.140625" style="89" customWidth="1"/>
    <col min="6191" max="6191" width="14" style="89" customWidth="1"/>
    <col min="6192" max="6192" width="15.140625" style="89" customWidth="1"/>
    <col min="6193" max="6193" width="11.42578125" style="89" customWidth="1"/>
    <col min="6194" max="6194" width="51.7109375" style="89" customWidth="1"/>
    <col min="6195" max="6196" width="29.5703125" style="89" customWidth="1"/>
    <col min="6197" max="6197" width="44.42578125" style="89" customWidth="1"/>
    <col min="6198" max="6198" width="36.28515625" style="89" customWidth="1"/>
    <col min="6199" max="6199" width="27.42578125" style="89" bestFit="1" customWidth="1"/>
    <col min="6200" max="6420" width="11.42578125" style="89"/>
    <col min="6421" max="6421" width="15.5703125" style="89" bestFit="1" customWidth="1"/>
    <col min="6422" max="6422" width="33.7109375" style="89" customWidth="1"/>
    <col min="6423" max="6423" width="19" style="89" customWidth="1"/>
    <col min="6424" max="6424" width="19.85546875" style="89" customWidth="1"/>
    <col min="6425" max="6425" width="18.5703125" style="89" customWidth="1"/>
    <col min="6426" max="6426" width="19.7109375" style="89" customWidth="1"/>
    <col min="6427" max="6427" width="14.85546875" style="89" customWidth="1"/>
    <col min="6428" max="6428" width="16.85546875" style="89" customWidth="1"/>
    <col min="6429" max="6431" width="11.42578125" style="89" customWidth="1"/>
    <col min="6432" max="6432" width="18.140625" style="89" customWidth="1"/>
    <col min="6433" max="6433" width="11.42578125" style="89" customWidth="1"/>
    <col min="6434" max="6434" width="12.5703125" style="89" customWidth="1"/>
    <col min="6435" max="6435" width="25" style="89" customWidth="1"/>
    <col min="6436" max="6436" width="16.5703125" style="89" bestFit="1" customWidth="1"/>
    <col min="6437" max="6437" width="24" style="89" customWidth="1"/>
    <col min="6438" max="6438" width="11.42578125" style="89" customWidth="1"/>
    <col min="6439" max="6439" width="20" style="89" customWidth="1"/>
    <col min="6440" max="6440" width="11.42578125" style="89" customWidth="1"/>
    <col min="6441" max="6441" width="19" style="89" customWidth="1"/>
    <col min="6442" max="6445" width="11.42578125" style="89" customWidth="1"/>
    <col min="6446" max="6446" width="15.140625" style="89" customWidth="1"/>
    <col min="6447" max="6447" width="14" style="89" customWidth="1"/>
    <col min="6448" max="6448" width="15.140625" style="89" customWidth="1"/>
    <col min="6449" max="6449" width="11.42578125" style="89" customWidth="1"/>
    <col min="6450" max="6450" width="51.7109375" style="89" customWidth="1"/>
    <col min="6451" max="6452" width="29.5703125" style="89" customWidth="1"/>
    <col min="6453" max="6453" width="44.42578125" style="89" customWidth="1"/>
    <col min="6454" max="6454" width="36.28515625" style="89" customWidth="1"/>
    <col min="6455" max="6455" width="27.42578125" style="89" bestFit="1" customWidth="1"/>
    <col min="6456" max="6676" width="11.42578125" style="89"/>
    <col min="6677" max="6677" width="15.5703125" style="89" bestFit="1" customWidth="1"/>
    <col min="6678" max="6678" width="33.7109375" style="89" customWidth="1"/>
    <col min="6679" max="6679" width="19" style="89" customWidth="1"/>
    <col min="6680" max="6680" width="19.85546875" style="89" customWidth="1"/>
    <col min="6681" max="6681" width="18.5703125" style="89" customWidth="1"/>
    <col min="6682" max="6682" width="19.7109375" style="89" customWidth="1"/>
    <col min="6683" max="6683" width="14.85546875" style="89" customWidth="1"/>
    <col min="6684" max="6684" width="16.85546875" style="89" customWidth="1"/>
    <col min="6685" max="6687" width="11.42578125" style="89" customWidth="1"/>
    <col min="6688" max="6688" width="18.140625" style="89" customWidth="1"/>
    <col min="6689" max="6689" width="11.42578125" style="89" customWidth="1"/>
    <col min="6690" max="6690" width="12.5703125" style="89" customWidth="1"/>
    <col min="6691" max="6691" width="25" style="89" customWidth="1"/>
    <col min="6692" max="6692" width="16.5703125" style="89" bestFit="1" customWidth="1"/>
    <col min="6693" max="6693" width="24" style="89" customWidth="1"/>
    <col min="6694" max="6694" width="11.42578125" style="89" customWidth="1"/>
    <col min="6695" max="6695" width="20" style="89" customWidth="1"/>
    <col min="6696" max="6696" width="11.42578125" style="89" customWidth="1"/>
    <col min="6697" max="6697" width="19" style="89" customWidth="1"/>
    <col min="6698" max="6701" width="11.42578125" style="89" customWidth="1"/>
    <col min="6702" max="6702" width="15.140625" style="89" customWidth="1"/>
    <col min="6703" max="6703" width="14" style="89" customWidth="1"/>
    <col min="6704" max="6704" width="15.140625" style="89" customWidth="1"/>
    <col min="6705" max="6705" width="11.42578125" style="89" customWidth="1"/>
    <col min="6706" max="6706" width="51.7109375" style="89" customWidth="1"/>
    <col min="6707" max="6708" width="29.5703125" style="89" customWidth="1"/>
    <col min="6709" max="6709" width="44.42578125" style="89" customWidth="1"/>
    <col min="6710" max="6710" width="36.28515625" style="89" customWidth="1"/>
    <col min="6711" max="6711" width="27.42578125" style="89" bestFit="1" customWidth="1"/>
    <col min="6712" max="6932" width="11.42578125" style="89"/>
    <col min="6933" max="6933" width="15.5703125" style="89" bestFit="1" customWidth="1"/>
    <col min="6934" max="6934" width="33.7109375" style="89" customWidth="1"/>
    <col min="6935" max="6935" width="19" style="89" customWidth="1"/>
    <col min="6936" max="6936" width="19.85546875" style="89" customWidth="1"/>
    <col min="6937" max="6937" width="18.5703125" style="89" customWidth="1"/>
    <col min="6938" max="6938" width="19.7109375" style="89" customWidth="1"/>
    <col min="6939" max="6939" width="14.85546875" style="89" customWidth="1"/>
    <col min="6940" max="6940" width="16.85546875" style="89" customWidth="1"/>
    <col min="6941" max="6943" width="11.42578125" style="89" customWidth="1"/>
    <col min="6944" max="6944" width="18.140625" style="89" customWidth="1"/>
    <col min="6945" max="6945" width="11.42578125" style="89" customWidth="1"/>
    <col min="6946" max="6946" width="12.5703125" style="89" customWidth="1"/>
    <col min="6947" max="6947" width="25" style="89" customWidth="1"/>
    <col min="6948" max="6948" width="16.5703125" style="89" bestFit="1" customWidth="1"/>
    <col min="6949" max="6949" width="24" style="89" customWidth="1"/>
    <col min="6950" max="6950" width="11.42578125" style="89" customWidth="1"/>
    <col min="6951" max="6951" width="20" style="89" customWidth="1"/>
    <col min="6952" max="6952" width="11.42578125" style="89" customWidth="1"/>
    <col min="6953" max="6953" width="19" style="89" customWidth="1"/>
    <col min="6954" max="6957" width="11.42578125" style="89" customWidth="1"/>
    <col min="6958" max="6958" width="15.140625" style="89" customWidth="1"/>
    <col min="6959" max="6959" width="14" style="89" customWidth="1"/>
    <col min="6960" max="6960" width="15.140625" style="89" customWidth="1"/>
    <col min="6961" max="6961" width="11.42578125" style="89" customWidth="1"/>
    <col min="6962" max="6962" width="51.7109375" style="89" customWidth="1"/>
    <col min="6963" max="6964" width="29.5703125" style="89" customWidth="1"/>
    <col min="6965" max="6965" width="44.42578125" style="89" customWidth="1"/>
    <col min="6966" max="6966" width="36.28515625" style="89" customWidth="1"/>
    <col min="6967" max="6967" width="27.42578125" style="89" bestFit="1" customWidth="1"/>
    <col min="6968" max="7188" width="11.42578125" style="89"/>
    <col min="7189" max="7189" width="15.5703125" style="89" bestFit="1" customWidth="1"/>
    <col min="7190" max="7190" width="33.7109375" style="89" customWidth="1"/>
    <col min="7191" max="7191" width="19" style="89" customWidth="1"/>
    <col min="7192" max="7192" width="19.85546875" style="89" customWidth="1"/>
    <col min="7193" max="7193" width="18.5703125" style="89" customWidth="1"/>
    <col min="7194" max="7194" width="19.7109375" style="89" customWidth="1"/>
    <col min="7195" max="7195" width="14.85546875" style="89" customWidth="1"/>
    <col min="7196" max="7196" width="16.85546875" style="89" customWidth="1"/>
    <col min="7197" max="7199" width="11.42578125" style="89" customWidth="1"/>
    <col min="7200" max="7200" width="18.140625" style="89" customWidth="1"/>
    <col min="7201" max="7201" width="11.42578125" style="89" customWidth="1"/>
    <col min="7202" max="7202" width="12.5703125" style="89" customWidth="1"/>
    <col min="7203" max="7203" width="25" style="89" customWidth="1"/>
    <col min="7204" max="7204" width="16.5703125" style="89" bestFit="1" customWidth="1"/>
    <col min="7205" max="7205" width="24" style="89" customWidth="1"/>
    <col min="7206" max="7206" width="11.42578125" style="89" customWidth="1"/>
    <col min="7207" max="7207" width="20" style="89" customWidth="1"/>
    <col min="7208" max="7208" width="11.42578125" style="89" customWidth="1"/>
    <col min="7209" max="7209" width="19" style="89" customWidth="1"/>
    <col min="7210" max="7213" width="11.42578125" style="89" customWidth="1"/>
    <col min="7214" max="7214" width="15.140625" style="89" customWidth="1"/>
    <col min="7215" max="7215" width="14" style="89" customWidth="1"/>
    <col min="7216" max="7216" width="15.140625" style="89" customWidth="1"/>
    <col min="7217" max="7217" width="11.42578125" style="89" customWidth="1"/>
    <col min="7218" max="7218" width="51.7109375" style="89" customWidth="1"/>
    <col min="7219" max="7220" width="29.5703125" style="89" customWidth="1"/>
    <col min="7221" max="7221" width="44.42578125" style="89" customWidth="1"/>
    <col min="7222" max="7222" width="36.28515625" style="89" customWidth="1"/>
    <col min="7223" max="7223" width="27.42578125" style="89" bestFit="1" customWidth="1"/>
    <col min="7224" max="7444" width="11.42578125" style="89"/>
    <col min="7445" max="7445" width="15.5703125" style="89" bestFit="1" customWidth="1"/>
    <col min="7446" max="7446" width="33.7109375" style="89" customWidth="1"/>
    <col min="7447" max="7447" width="19" style="89" customWidth="1"/>
    <col min="7448" max="7448" width="19.85546875" style="89" customWidth="1"/>
    <col min="7449" max="7449" width="18.5703125" style="89" customWidth="1"/>
    <col min="7450" max="7450" width="19.7109375" style="89" customWidth="1"/>
    <col min="7451" max="7451" width="14.85546875" style="89" customWidth="1"/>
    <col min="7452" max="7452" width="16.85546875" style="89" customWidth="1"/>
    <col min="7453" max="7455" width="11.42578125" style="89" customWidth="1"/>
    <col min="7456" max="7456" width="18.140625" style="89" customWidth="1"/>
    <col min="7457" max="7457" width="11.42578125" style="89" customWidth="1"/>
    <col min="7458" max="7458" width="12.5703125" style="89" customWidth="1"/>
    <col min="7459" max="7459" width="25" style="89" customWidth="1"/>
    <col min="7460" max="7460" width="16.5703125" style="89" bestFit="1" customWidth="1"/>
    <col min="7461" max="7461" width="24" style="89" customWidth="1"/>
    <col min="7462" max="7462" width="11.42578125" style="89" customWidth="1"/>
    <col min="7463" max="7463" width="20" style="89" customWidth="1"/>
    <col min="7464" max="7464" width="11.42578125" style="89" customWidth="1"/>
    <col min="7465" max="7465" width="19" style="89" customWidth="1"/>
    <col min="7466" max="7469" width="11.42578125" style="89" customWidth="1"/>
    <col min="7470" max="7470" width="15.140625" style="89" customWidth="1"/>
    <col min="7471" max="7471" width="14" style="89" customWidth="1"/>
    <col min="7472" max="7472" width="15.140625" style="89" customWidth="1"/>
    <col min="7473" max="7473" width="11.42578125" style="89" customWidth="1"/>
    <col min="7474" max="7474" width="51.7109375" style="89" customWidth="1"/>
    <col min="7475" max="7476" width="29.5703125" style="89" customWidth="1"/>
    <col min="7477" max="7477" width="44.42578125" style="89" customWidth="1"/>
    <col min="7478" max="7478" width="36.28515625" style="89" customWidth="1"/>
    <col min="7479" max="7479" width="27.42578125" style="89" bestFit="1" customWidth="1"/>
    <col min="7480" max="7700" width="11.42578125" style="89"/>
    <col min="7701" max="7701" width="15.5703125" style="89" bestFit="1" customWidth="1"/>
    <col min="7702" max="7702" width="33.7109375" style="89" customWidth="1"/>
    <col min="7703" max="7703" width="19" style="89" customWidth="1"/>
    <col min="7704" max="7704" width="19.85546875" style="89" customWidth="1"/>
    <col min="7705" max="7705" width="18.5703125" style="89" customWidth="1"/>
    <col min="7706" max="7706" width="19.7109375" style="89" customWidth="1"/>
    <col min="7707" max="7707" width="14.85546875" style="89" customWidth="1"/>
    <col min="7708" max="7708" width="16.85546875" style="89" customWidth="1"/>
    <col min="7709" max="7711" width="11.42578125" style="89" customWidth="1"/>
    <col min="7712" max="7712" width="18.140625" style="89" customWidth="1"/>
    <col min="7713" max="7713" width="11.42578125" style="89" customWidth="1"/>
    <col min="7714" max="7714" width="12.5703125" style="89" customWidth="1"/>
    <col min="7715" max="7715" width="25" style="89" customWidth="1"/>
    <col min="7716" max="7716" width="16.5703125" style="89" bestFit="1" customWidth="1"/>
    <col min="7717" max="7717" width="24" style="89" customWidth="1"/>
    <col min="7718" max="7718" width="11.42578125" style="89" customWidth="1"/>
    <col min="7719" max="7719" width="20" style="89" customWidth="1"/>
    <col min="7720" max="7720" width="11.42578125" style="89" customWidth="1"/>
    <col min="7721" max="7721" width="19" style="89" customWidth="1"/>
    <col min="7722" max="7725" width="11.42578125" style="89" customWidth="1"/>
    <col min="7726" max="7726" width="15.140625" style="89" customWidth="1"/>
    <col min="7727" max="7727" width="14" style="89" customWidth="1"/>
    <col min="7728" max="7728" width="15.140625" style="89" customWidth="1"/>
    <col min="7729" max="7729" width="11.42578125" style="89" customWidth="1"/>
    <col min="7730" max="7730" width="51.7109375" style="89" customWidth="1"/>
    <col min="7731" max="7732" width="29.5703125" style="89" customWidth="1"/>
    <col min="7733" max="7733" width="44.42578125" style="89" customWidth="1"/>
    <col min="7734" max="7734" width="36.28515625" style="89" customWidth="1"/>
    <col min="7735" max="7735" width="27.42578125" style="89" bestFit="1" customWidth="1"/>
    <col min="7736" max="7956" width="11.42578125" style="89"/>
    <col min="7957" max="7957" width="15.5703125" style="89" bestFit="1" customWidth="1"/>
    <col min="7958" max="7958" width="33.7109375" style="89" customWidth="1"/>
    <col min="7959" max="7959" width="19" style="89" customWidth="1"/>
    <col min="7960" max="7960" width="19.85546875" style="89" customWidth="1"/>
    <col min="7961" max="7961" width="18.5703125" style="89" customWidth="1"/>
    <col min="7962" max="7962" width="19.7109375" style="89" customWidth="1"/>
    <col min="7963" max="7963" width="14.85546875" style="89" customWidth="1"/>
    <col min="7964" max="7964" width="16.85546875" style="89" customWidth="1"/>
    <col min="7965" max="7967" width="11.42578125" style="89" customWidth="1"/>
    <col min="7968" max="7968" width="18.140625" style="89" customWidth="1"/>
    <col min="7969" max="7969" width="11.42578125" style="89" customWidth="1"/>
    <col min="7970" max="7970" width="12.5703125" style="89" customWidth="1"/>
    <col min="7971" max="7971" width="25" style="89" customWidth="1"/>
    <col min="7972" max="7972" width="16.5703125" style="89" bestFit="1" customWidth="1"/>
    <col min="7973" max="7973" width="24" style="89" customWidth="1"/>
    <col min="7974" max="7974" width="11.42578125" style="89" customWidth="1"/>
    <col min="7975" max="7975" width="20" style="89" customWidth="1"/>
    <col min="7976" max="7976" width="11.42578125" style="89" customWidth="1"/>
    <col min="7977" max="7977" width="19" style="89" customWidth="1"/>
    <col min="7978" max="7981" width="11.42578125" style="89" customWidth="1"/>
    <col min="7982" max="7982" width="15.140625" style="89" customWidth="1"/>
    <col min="7983" max="7983" width="14" style="89" customWidth="1"/>
    <col min="7984" max="7984" width="15.140625" style="89" customWidth="1"/>
    <col min="7985" max="7985" width="11.42578125" style="89" customWidth="1"/>
    <col min="7986" max="7986" width="51.7109375" style="89" customWidth="1"/>
    <col min="7987" max="7988" width="29.5703125" style="89" customWidth="1"/>
    <col min="7989" max="7989" width="44.42578125" style="89" customWidth="1"/>
    <col min="7990" max="7990" width="36.28515625" style="89" customWidth="1"/>
    <col min="7991" max="7991" width="27.42578125" style="89" bestFit="1" customWidth="1"/>
    <col min="7992" max="8212" width="11.42578125" style="89"/>
    <col min="8213" max="8213" width="15.5703125" style="89" bestFit="1" customWidth="1"/>
    <col min="8214" max="8214" width="33.7109375" style="89" customWidth="1"/>
    <col min="8215" max="8215" width="19" style="89" customWidth="1"/>
    <col min="8216" max="8216" width="19.85546875" style="89" customWidth="1"/>
    <col min="8217" max="8217" width="18.5703125" style="89" customWidth="1"/>
    <col min="8218" max="8218" width="19.7109375" style="89" customWidth="1"/>
    <col min="8219" max="8219" width="14.85546875" style="89" customWidth="1"/>
    <col min="8220" max="8220" width="16.85546875" style="89" customWidth="1"/>
    <col min="8221" max="8223" width="11.42578125" style="89" customWidth="1"/>
    <col min="8224" max="8224" width="18.140625" style="89" customWidth="1"/>
    <col min="8225" max="8225" width="11.42578125" style="89" customWidth="1"/>
    <col min="8226" max="8226" width="12.5703125" style="89" customWidth="1"/>
    <col min="8227" max="8227" width="25" style="89" customWidth="1"/>
    <col min="8228" max="8228" width="16.5703125" style="89" bestFit="1" customWidth="1"/>
    <col min="8229" max="8229" width="24" style="89" customWidth="1"/>
    <col min="8230" max="8230" width="11.42578125" style="89" customWidth="1"/>
    <col min="8231" max="8231" width="20" style="89" customWidth="1"/>
    <col min="8232" max="8232" width="11.42578125" style="89" customWidth="1"/>
    <col min="8233" max="8233" width="19" style="89" customWidth="1"/>
    <col min="8234" max="8237" width="11.42578125" style="89" customWidth="1"/>
    <col min="8238" max="8238" width="15.140625" style="89" customWidth="1"/>
    <col min="8239" max="8239" width="14" style="89" customWidth="1"/>
    <col min="8240" max="8240" width="15.140625" style="89" customWidth="1"/>
    <col min="8241" max="8241" width="11.42578125" style="89" customWidth="1"/>
    <col min="8242" max="8242" width="51.7109375" style="89" customWidth="1"/>
    <col min="8243" max="8244" width="29.5703125" style="89" customWidth="1"/>
    <col min="8245" max="8245" width="44.42578125" style="89" customWidth="1"/>
    <col min="8246" max="8246" width="36.28515625" style="89" customWidth="1"/>
    <col min="8247" max="8247" width="27.42578125" style="89" bestFit="1" customWidth="1"/>
    <col min="8248" max="8468" width="11.42578125" style="89"/>
    <col min="8469" max="8469" width="15.5703125" style="89" bestFit="1" customWidth="1"/>
    <col min="8470" max="8470" width="33.7109375" style="89" customWidth="1"/>
    <col min="8471" max="8471" width="19" style="89" customWidth="1"/>
    <col min="8472" max="8472" width="19.85546875" style="89" customWidth="1"/>
    <col min="8473" max="8473" width="18.5703125" style="89" customWidth="1"/>
    <col min="8474" max="8474" width="19.7109375" style="89" customWidth="1"/>
    <col min="8475" max="8475" width="14.85546875" style="89" customWidth="1"/>
    <col min="8476" max="8476" width="16.85546875" style="89" customWidth="1"/>
    <col min="8477" max="8479" width="11.42578125" style="89" customWidth="1"/>
    <col min="8480" max="8480" width="18.140625" style="89" customWidth="1"/>
    <col min="8481" max="8481" width="11.42578125" style="89" customWidth="1"/>
    <col min="8482" max="8482" width="12.5703125" style="89" customWidth="1"/>
    <col min="8483" max="8483" width="25" style="89" customWidth="1"/>
    <col min="8484" max="8484" width="16.5703125" style="89" bestFit="1" customWidth="1"/>
    <col min="8485" max="8485" width="24" style="89" customWidth="1"/>
    <col min="8486" max="8486" width="11.42578125" style="89" customWidth="1"/>
    <col min="8487" max="8487" width="20" style="89" customWidth="1"/>
    <col min="8488" max="8488" width="11.42578125" style="89" customWidth="1"/>
    <col min="8489" max="8489" width="19" style="89" customWidth="1"/>
    <col min="8490" max="8493" width="11.42578125" style="89" customWidth="1"/>
    <col min="8494" max="8494" width="15.140625" style="89" customWidth="1"/>
    <col min="8495" max="8495" width="14" style="89" customWidth="1"/>
    <col min="8496" max="8496" width="15.140625" style="89" customWidth="1"/>
    <col min="8497" max="8497" width="11.42578125" style="89" customWidth="1"/>
    <col min="8498" max="8498" width="51.7109375" style="89" customWidth="1"/>
    <col min="8499" max="8500" width="29.5703125" style="89" customWidth="1"/>
    <col min="8501" max="8501" width="44.42578125" style="89" customWidth="1"/>
    <col min="8502" max="8502" width="36.28515625" style="89" customWidth="1"/>
    <col min="8503" max="8503" width="27.42578125" style="89" bestFit="1" customWidth="1"/>
    <col min="8504" max="8724" width="11.42578125" style="89"/>
    <col min="8725" max="8725" width="15.5703125" style="89" bestFit="1" customWidth="1"/>
    <col min="8726" max="8726" width="33.7109375" style="89" customWidth="1"/>
    <col min="8727" max="8727" width="19" style="89" customWidth="1"/>
    <col min="8728" max="8728" width="19.85546875" style="89" customWidth="1"/>
    <col min="8729" max="8729" width="18.5703125" style="89" customWidth="1"/>
    <col min="8730" max="8730" width="19.7109375" style="89" customWidth="1"/>
    <col min="8731" max="8731" width="14.85546875" style="89" customWidth="1"/>
    <col min="8732" max="8732" width="16.85546875" style="89" customWidth="1"/>
    <col min="8733" max="8735" width="11.42578125" style="89" customWidth="1"/>
    <col min="8736" max="8736" width="18.140625" style="89" customWidth="1"/>
    <col min="8737" max="8737" width="11.42578125" style="89" customWidth="1"/>
    <col min="8738" max="8738" width="12.5703125" style="89" customWidth="1"/>
    <col min="8739" max="8739" width="25" style="89" customWidth="1"/>
    <col min="8740" max="8740" width="16.5703125" style="89" bestFit="1" customWidth="1"/>
    <col min="8741" max="8741" width="24" style="89" customWidth="1"/>
    <col min="8742" max="8742" width="11.42578125" style="89" customWidth="1"/>
    <col min="8743" max="8743" width="20" style="89" customWidth="1"/>
    <col min="8744" max="8744" width="11.42578125" style="89" customWidth="1"/>
    <col min="8745" max="8745" width="19" style="89" customWidth="1"/>
    <col min="8746" max="8749" width="11.42578125" style="89" customWidth="1"/>
    <col min="8750" max="8750" width="15.140625" style="89" customWidth="1"/>
    <col min="8751" max="8751" width="14" style="89" customWidth="1"/>
    <col min="8752" max="8752" width="15.140625" style="89" customWidth="1"/>
    <col min="8753" max="8753" width="11.42578125" style="89" customWidth="1"/>
    <col min="8754" max="8754" width="51.7109375" style="89" customWidth="1"/>
    <col min="8755" max="8756" width="29.5703125" style="89" customWidth="1"/>
    <col min="8757" max="8757" width="44.42578125" style="89" customWidth="1"/>
    <col min="8758" max="8758" width="36.28515625" style="89" customWidth="1"/>
    <col min="8759" max="8759" width="27.42578125" style="89" bestFit="1" customWidth="1"/>
    <col min="8760" max="8980" width="11.42578125" style="89"/>
    <col min="8981" max="8981" width="15.5703125" style="89" bestFit="1" customWidth="1"/>
    <col min="8982" max="8982" width="33.7109375" style="89" customWidth="1"/>
    <col min="8983" max="8983" width="19" style="89" customWidth="1"/>
    <col min="8984" max="8984" width="19.85546875" style="89" customWidth="1"/>
    <col min="8985" max="8985" width="18.5703125" style="89" customWidth="1"/>
    <col min="8986" max="8986" width="19.7109375" style="89" customWidth="1"/>
    <col min="8987" max="8987" width="14.85546875" style="89" customWidth="1"/>
    <col min="8988" max="8988" width="16.85546875" style="89" customWidth="1"/>
    <col min="8989" max="8991" width="11.42578125" style="89" customWidth="1"/>
    <col min="8992" max="8992" width="18.140625" style="89" customWidth="1"/>
    <col min="8993" max="8993" width="11.42578125" style="89" customWidth="1"/>
    <col min="8994" max="8994" width="12.5703125" style="89" customWidth="1"/>
    <col min="8995" max="8995" width="25" style="89" customWidth="1"/>
    <col min="8996" max="8996" width="16.5703125" style="89" bestFit="1" customWidth="1"/>
    <col min="8997" max="8997" width="24" style="89" customWidth="1"/>
    <col min="8998" max="8998" width="11.42578125" style="89" customWidth="1"/>
    <col min="8999" max="8999" width="20" style="89" customWidth="1"/>
    <col min="9000" max="9000" width="11.42578125" style="89" customWidth="1"/>
    <col min="9001" max="9001" width="19" style="89" customWidth="1"/>
    <col min="9002" max="9005" width="11.42578125" style="89" customWidth="1"/>
    <col min="9006" max="9006" width="15.140625" style="89" customWidth="1"/>
    <col min="9007" max="9007" width="14" style="89" customWidth="1"/>
    <col min="9008" max="9008" width="15.140625" style="89" customWidth="1"/>
    <col min="9009" max="9009" width="11.42578125" style="89" customWidth="1"/>
    <col min="9010" max="9010" width="51.7109375" style="89" customWidth="1"/>
    <col min="9011" max="9012" width="29.5703125" style="89" customWidth="1"/>
    <col min="9013" max="9013" width="44.42578125" style="89" customWidth="1"/>
    <col min="9014" max="9014" width="36.28515625" style="89" customWidth="1"/>
    <col min="9015" max="9015" width="27.42578125" style="89" bestFit="1" customWidth="1"/>
    <col min="9016" max="9236" width="11.42578125" style="89"/>
    <col min="9237" max="9237" width="15.5703125" style="89" bestFit="1" customWidth="1"/>
    <col min="9238" max="9238" width="33.7109375" style="89" customWidth="1"/>
    <col min="9239" max="9239" width="19" style="89" customWidth="1"/>
    <col min="9240" max="9240" width="19.85546875" style="89" customWidth="1"/>
    <col min="9241" max="9241" width="18.5703125" style="89" customWidth="1"/>
    <col min="9242" max="9242" width="19.7109375" style="89" customWidth="1"/>
    <col min="9243" max="9243" width="14.85546875" style="89" customWidth="1"/>
    <col min="9244" max="9244" width="16.85546875" style="89" customWidth="1"/>
    <col min="9245" max="9247" width="11.42578125" style="89" customWidth="1"/>
    <col min="9248" max="9248" width="18.140625" style="89" customWidth="1"/>
    <col min="9249" max="9249" width="11.42578125" style="89" customWidth="1"/>
    <col min="9250" max="9250" width="12.5703125" style="89" customWidth="1"/>
    <col min="9251" max="9251" width="25" style="89" customWidth="1"/>
    <col min="9252" max="9252" width="16.5703125" style="89" bestFit="1" customWidth="1"/>
    <col min="9253" max="9253" width="24" style="89" customWidth="1"/>
    <col min="9254" max="9254" width="11.42578125" style="89" customWidth="1"/>
    <col min="9255" max="9255" width="20" style="89" customWidth="1"/>
    <col min="9256" max="9256" width="11.42578125" style="89" customWidth="1"/>
    <col min="9257" max="9257" width="19" style="89" customWidth="1"/>
    <col min="9258" max="9261" width="11.42578125" style="89" customWidth="1"/>
    <col min="9262" max="9262" width="15.140625" style="89" customWidth="1"/>
    <col min="9263" max="9263" width="14" style="89" customWidth="1"/>
    <col min="9264" max="9264" width="15.140625" style="89" customWidth="1"/>
    <col min="9265" max="9265" width="11.42578125" style="89" customWidth="1"/>
    <col min="9266" max="9266" width="51.7109375" style="89" customWidth="1"/>
    <col min="9267" max="9268" width="29.5703125" style="89" customWidth="1"/>
    <col min="9269" max="9269" width="44.42578125" style="89" customWidth="1"/>
    <col min="9270" max="9270" width="36.28515625" style="89" customWidth="1"/>
    <col min="9271" max="9271" width="27.42578125" style="89" bestFit="1" customWidth="1"/>
    <col min="9272" max="9492" width="11.42578125" style="89"/>
    <col min="9493" max="9493" width="15.5703125" style="89" bestFit="1" customWidth="1"/>
    <col min="9494" max="9494" width="33.7109375" style="89" customWidth="1"/>
    <col min="9495" max="9495" width="19" style="89" customWidth="1"/>
    <col min="9496" max="9496" width="19.85546875" style="89" customWidth="1"/>
    <col min="9497" max="9497" width="18.5703125" style="89" customWidth="1"/>
    <col min="9498" max="9498" width="19.7109375" style="89" customWidth="1"/>
    <col min="9499" max="9499" width="14.85546875" style="89" customWidth="1"/>
    <col min="9500" max="9500" width="16.85546875" style="89" customWidth="1"/>
    <col min="9501" max="9503" width="11.42578125" style="89" customWidth="1"/>
    <col min="9504" max="9504" width="18.140625" style="89" customWidth="1"/>
    <col min="9505" max="9505" width="11.42578125" style="89" customWidth="1"/>
    <col min="9506" max="9506" width="12.5703125" style="89" customWidth="1"/>
    <col min="9507" max="9507" width="25" style="89" customWidth="1"/>
    <col min="9508" max="9508" width="16.5703125" style="89" bestFit="1" customWidth="1"/>
    <col min="9509" max="9509" width="24" style="89" customWidth="1"/>
    <col min="9510" max="9510" width="11.42578125" style="89" customWidth="1"/>
    <col min="9511" max="9511" width="20" style="89" customWidth="1"/>
    <col min="9512" max="9512" width="11.42578125" style="89" customWidth="1"/>
    <col min="9513" max="9513" width="19" style="89" customWidth="1"/>
    <col min="9514" max="9517" width="11.42578125" style="89" customWidth="1"/>
    <col min="9518" max="9518" width="15.140625" style="89" customWidth="1"/>
    <col min="9519" max="9519" width="14" style="89" customWidth="1"/>
    <col min="9520" max="9520" width="15.140625" style="89" customWidth="1"/>
    <col min="9521" max="9521" width="11.42578125" style="89" customWidth="1"/>
    <col min="9522" max="9522" width="51.7109375" style="89" customWidth="1"/>
    <col min="9523" max="9524" width="29.5703125" style="89" customWidth="1"/>
    <col min="9525" max="9525" width="44.42578125" style="89" customWidth="1"/>
    <col min="9526" max="9526" width="36.28515625" style="89" customWidth="1"/>
    <col min="9527" max="9527" width="27.42578125" style="89" bestFit="1" customWidth="1"/>
    <col min="9528" max="9748" width="11.42578125" style="89"/>
    <col min="9749" max="9749" width="15.5703125" style="89" bestFit="1" customWidth="1"/>
    <col min="9750" max="9750" width="33.7109375" style="89" customWidth="1"/>
    <col min="9751" max="9751" width="19" style="89" customWidth="1"/>
    <col min="9752" max="9752" width="19.85546875" style="89" customWidth="1"/>
    <col min="9753" max="9753" width="18.5703125" style="89" customWidth="1"/>
    <col min="9754" max="9754" width="19.7109375" style="89" customWidth="1"/>
    <col min="9755" max="9755" width="14.85546875" style="89" customWidth="1"/>
    <col min="9756" max="9756" width="16.85546875" style="89" customWidth="1"/>
    <col min="9757" max="9759" width="11.42578125" style="89" customWidth="1"/>
    <col min="9760" max="9760" width="18.140625" style="89" customWidth="1"/>
    <col min="9761" max="9761" width="11.42578125" style="89" customWidth="1"/>
    <col min="9762" max="9762" width="12.5703125" style="89" customWidth="1"/>
    <col min="9763" max="9763" width="25" style="89" customWidth="1"/>
    <col min="9764" max="9764" width="16.5703125" style="89" bestFit="1" customWidth="1"/>
    <col min="9765" max="9765" width="24" style="89" customWidth="1"/>
    <col min="9766" max="9766" width="11.42578125" style="89" customWidth="1"/>
    <col min="9767" max="9767" width="20" style="89" customWidth="1"/>
    <col min="9768" max="9768" width="11.42578125" style="89" customWidth="1"/>
    <col min="9769" max="9769" width="19" style="89" customWidth="1"/>
    <col min="9770" max="9773" width="11.42578125" style="89" customWidth="1"/>
    <col min="9774" max="9774" width="15.140625" style="89" customWidth="1"/>
    <col min="9775" max="9775" width="14" style="89" customWidth="1"/>
    <col min="9776" max="9776" width="15.140625" style="89" customWidth="1"/>
    <col min="9777" max="9777" width="11.42578125" style="89" customWidth="1"/>
    <col min="9778" max="9778" width="51.7109375" style="89" customWidth="1"/>
    <col min="9779" max="9780" width="29.5703125" style="89" customWidth="1"/>
    <col min="9781" max="9781" width="44.42578125" style="89" customWidth="1"/>
    <col min="9782" max="9782" width="36.28515625" style="89" customWidth="1"/>
    <col min="9783" max="9783" width="27.42578125" style="89" bestFit="1" customWidth="1"/>
    <col min="9784" max="10004" width="11.42578125" style="89"/>
    <col min="10005" max="10005" width="15.5703125" style="89" bestFit="1" customWidth="1"/>
    <col min="10006" max="10006" width="33.7109375" style="89" customWidth="1"/>
    <col min="10007" max="10007" width="19" style="89" customWidth="1"/>
    <col min="10008" max="10008" width="19.85546875" style="89" customWidth="1"/>
    <col min="10009" max="10009" width="18.5703125" style="89" customWidth="1"/>
    <col min="10010" max="10010" width="19.7109375" style="89" customWidth="1"/>
    <col min="10011" max="10011" width="14.85546875" style="89" customWidth="1"/>
    <col min="10012" max="10012" width="16.85546875" style="89" customWidth="1"/>
    <col min="10013" max="10015" width="11.42578125" style="89" customWidth="1"/>
    <col min="10016" max="10016" width="18.140625" style="89" customWidth="1"/>
    <col min="10017" max="10017" width="11.42578125" style="89" customWidth="1"/>
    <col min="10018" max="10018" width="12.5703125" style="89" customWidth="1"/>
    <col min="10019" max="10019" width="25" style="89" customWidth="1"/>
    <col min="10020" max="10020" width="16.5703125" style="89" bestFit="1" customWidth="1"/>
    <col min="10021" max="10021" width="24" style="89" customWidth="1"/>
    <col min="10022" max="10022" width="11.42578125" style="89" customWidth="1"/>
    <col min="10023" max="10023" width="20" style="89" customWidth="1"/>
    <col min="10024" max="10024" width="11.42578125" style="89" customWidth="1"/>
    <col min="10025" max="10025" width="19" style="89" customWidth="1"/>
    <col min="10026" max="10029" width="11.42578125" style="89" customWidth="1"/>
    <col min="10030" max="10030" width="15.140625" style="89" customWidth="1"/>
    <col min="10031" max="10031" width="14" style="89" customWidth="1"/>
    <col min="10032" max="10032" width="15.140625" style="89" customWidth="1"/>
    <col min="10033" max="10033" width="11.42578125" style="89" customWidth="1"/>
    <col min="10034" max="10034" width="51.7109375" style="89" customWidth="1"/>
    <col min="10035" max="10036" width="29.5703125" style="89" customWidth="1"/>
    <col min="10037" max="10037" width="44.42578125" style="89" customWidth="1"/>
    <col min="10038" max="10038" width="36.28515625" style="89" customWidth="1"/>
    <col min="10039" max="10039" width="27.42578125" style="89" bestFit="1" customWidth="1"/>
    <col min="10040" max="10260" width="11.42578125" style="89"/>
    <col min="10261" max="10261" width="15.5703125" style="89" bestFit="1" customWidth="1"/>
    <col min="10262" max="10262" width="33.7109375" style="89" customWidth="1"/>
    <col min="10263" max="10263" width="19" style="89" customWidth="1"/>
    <col min="10264" max="10264" width="19.85546875" style="89" customWidth="1"/>
    <col min="10265" max="10265" width="18.5703125" style="89" customWidth="1"/>
    <col min="10266" max="10266" width="19.7109375" style="89" customWidth="1"/>
    <col min="10267" max="10267" width="14.85546875" style="89" customWidth="1"/>
    <col min="10268" max="10268" width="16.85546875" style="89" customWidth="1"/>
    <col min="10269" max="10271" width="11.42578125" style="89" customWidth="1"/>
    <col min="10272" max="10272" width="18.140625" style="89" customWidth="1"/>
    <col min="10273" max="10273" width="11.42578125" style="89" customWidth="1"/>
    <col min="10274" max="10274" width="12.5703125" style="89" customWidth="1"/>
    <col min="10275" max="10275" width="25" style="89" customWidth="1"/>
    <col min="10276" max="10276" width="16.5703125" style="89" bestFit="1" customWidth="1"/>
    <col min="10277" max="10277" width="24" style="89" customWidth="1"/>
    <col min="10278" max="10278" width="11.42578125" style="89" customWidth="1"/>
    <col min="10279" max="10279" width="20" style="89" customWidth="1"/>
    <col min="10280" max="10280" width="11.42578125" style="89" customWidth="1"/>
    <col min="10281" max="10281" width="19" style="89" customWidth="1"/>
    <col min="10282" max="10285" width="11.42578125" style="89" customWidth="1"/>
    <col min="10286" max="10286" width="15.140625" style="89" customWidth="1"/>
    <col min="10287" max="10287" width="14" style="89" customWidth="1"/>
    <col min="10288" max="10288" width="15.140625" style="89" customWidth="1"/>
    <col min="10289" max="10289" width="11.42578125" style="89" customWidth="1"/>
    <col min="10290" max="10290" width="51.7109375" style="89" customWidth="1"/>
    <col min="10291" max="10292" width="29.5703125" style="89" customWidth="1"/>
    <col min="10293" max="10293" width="44.42578125" style="89" customWidth="1"/>
    <col min="10294" max="10294" width="36.28515625" style="89" customWidth="1"/>
    <col min="10295" max="10295" width="27.42578125" style="89" bestFit="1" customWidth="1"/>
    <col min="10296" max="10516" width="11.42578125" style="89"/>
    <col min="10517" max="10517" width="15.5703125" style="89" bestFit="1" customWidth="1"/>
    <col min="10518" max="10518" width="33.7109375" style="89" customWidth="1"/>
    <col min="10519" max="10519" width="19" style="89" customWidth="1"/>
    <col min="10520" max="10520" width="19.85546875" style="89" customWidth="1"/>
    <col min="10521" max="10521" width="18.5703125" style="89" customWidth="1"/>
    <col min="10522" max="10522" width="19.7109375" style="89" customWidth="1"/>
    <col min="10523" max="10523" width="14.85546875" style="89" customWidth="1"/>
    <col min="10524" max="10524" width="16.85546875" style="89" customWidth="1"/>
    <col min="10525" max="10527" width="11.42578125" style="89" customWidth="1"/>
    <col min="10528" max="10528" width="18.140625" style="89" customWidth="1"/>
    <col min="10529" max="10529" width="11.42578125" style="89" customWidth="1"/>
    <col min="10530" max="10530" width="12.5703125" style="89" customWidth="1"/>
    <col min="10531" max="10531" width="25" style="89" customWidth="1"/>
    <col min="10532" max="10532" width="16.5703125" style="89" bestFit="1" customWidth="1"/>
    <col min="10533" max="10533" width="24" style="89" customWidth="1"/>
    <col min="10534" max="10534" width="11.42578125" style="89" customWidth="1"/>
    <col min="10535" max="10535" width="20" style="89" customWidth="1"/>
    <col min="10536" max="10536" width="11.42578125" style="89" customWidth="1"/>
    <col min="10537" max="10537" width="19" style="89" customWidth="1"/>
    <col min="10538" max="10541" width="11.42578125" style="89" customWidth="1"/>
    <col min="10542" max="10542" width="15.140625" style="89" customWidth="1"/>
    <col min="10543" max="10543" width="14" style="89" customWidth="1"/>
    <col min="10544" max="10544" width="15.140625" style="89" customWidth="1"/>
    <col min="10545" max="10545" width="11.42578125" style="89" customWidth="1"/>
    <col min="10546" max="10546" width="51.7109375" style="89" customWidth="1"/>
    <col min="10547" max="10548" width="29.5703125" style="89" customWidth="1"/>
    <col min="10549" max="10549" width="44.42578125" style="89" customWidth="1"/>
    <col min="10550" max="10550" width="36.28515625" style="89" customWidth="1"/>
    <col min="10551" max="10551" width="27.42578125" style="89" bestFit="1" customWidth="1"/>
    <col min="10552" max="10772" width="11.42578125" style="89"/>
    <col min="10773" max="10773" width="15.5703125" style="89" bestFit="1" customWidth="1"/>
    <col min="10774" max="10774" width="33.7109375" style="89" customWidth="1"/>
    <col min="10775" max="10775" width="19" style="89" customWidth="1"/>
    <col min="10776" max="10776" width="19.85546875" style="89" customWidth="1"/>
    <col min="10777" max="10777" width="18.5703125" style="89" customWidth="1"/>
    <col min="10778" max="10778" width="19.7109375" style="89" customWidth="1"/>
    <col min="10779" max="10779" width="14.85546875" style="89" customWidth="1"/>
    <col min="10780" max="10780" width="16.85546875" style="89" customWidth="1"/>
    <col min="10781" max="10783" width="11.42578125" style="89" customWidth="1"/>
    <col min="10784" max="10784" width="18.140625" style="89" customWidth="1"/>
    <col min="10785" max="10785" width="11.42578125" style="89" customWidth="1"/>
    <col min="10786" max="10786" width="12.5703125" style="89" customWidth="1"/>
    <col min="10787" max="10787" width="25" style="89" customWidth="1"/>
    <col min="10788" max="10788" width="16.5703125" style="89" bestFit="1" customWidth="1"/>
    <col min="10789" max="10789" width="24" style="89" customWidth="1"/>
    <col min="10790" max="10790" width="11.42578125" style="89" customWidth="1"/>
    <col min="10791" max="10791" width="20" style="89" customWidth="1"/>
    <col min="10792" max="10792" width="11.42578125" style="89" customWidth="1"/>
    <col min="10793" max="10793" width="19" style="89" customWidth="1"/>
    <col min="10794" max="10797" width="11.42578125" style="89" customWidth="1"/>
    <col min="10798" max="10798" width="15.140625" style="89" customWidth="1"/>
    <col min="10799" max="10799" width="14" style="89" customWidth="1"/>
    <col min="10800" max="10800" width="15.140625" style="89" customWidth="1"/>
    <col min="10801" max="10801" width="11.42578125" style="89" customWidth="1"/>
    <col min="10802" max="10802" width="51.7109375" style="89" customWidth="1"/>
    <col min="10803" max="10804" width="29.5703125" style="89" customWidth="1"/>
    <col min="10805" max="10805" width="44.42578125" style="89" customWidth="1"/>
    <col min="10806" max="10806" width="36.28515625" style="89" customWidth="1"/>
    <col min="10807" max="10807" width="27.42578125" style="89" bestFit="1" customWidth="1"/>
    <col min="10808" max="11028" width="11.42578125" style="89"/>
    <col min="11029" max="11029" width="15.5703125" style="89" bestFit="1" customWidth="1"/>
    <col min="11030" max="11030" width="33.7109375" style="89" customWidth="1"/>
    <col min="11031" max="11031" width="19" style="89" customWidth="1"/>
    <col min="11032" max="11032" width="19.85546875" style="89" customWidth="1"/>
    <col min="11033" max="11033" width="18.5703125" style="89" customWidth="1"/>
    <col min="11034" max="11034" width="19.7109375" style="89" customWidth="1"/>
    <col min="11035" max="11035" width="14.85546875" style="89" customWidth="1"/>
    <col min="11036" max="11036" width="16.85546875" style="89" customWidth="1"/>
    <col min="11037" max="11039" width="11.42578125" style="89" customWidth="1"/>
    <col min="11040" max="11040" width="18.140625" style="89" customWidth="1"/>
    <col min="11041" max="11041" width="11.42578125" style="89" customWidth="1"/>
    <col min="11042" max="11042" width="12.5703125" style="89" customWidth="1"/>
    <col min="11043" max="11043" width="25" style="89" customWidth="1"/>
    <col min="11044" max="11044" width="16.5703125" style="89" bestFit="1" customWidth="1"/>
    <col min="11045" max="11045" width="24" style="89" customWidth="1"/>
    <col min="11046" max="11046" width="11.42578125" style="89" customWidth="1"/>
    <col min="11047" max="11047" width="20" style="89" customWidth="1"/>
    <col min="11048" max="11048" width="11.42578125" style="89" customWidth="1"/>
    <col min="11049" max="11049" width="19" style="89" customWidth="1"/>
    <col min="11050" max="11053" width="11.42578125" style="89" customWidth="1"/>
    <col min="11054" max="11054" width="15.140625" style="89" customWidth="1"/>
    <col min="11055" max="11055" width="14" style="89" customWidth="1"/>
    <col min="11056" max="11056" width="15.140625" style="89" customWidth="1"/>
    <col min="11057" max="11057" width="11.42578125" style="89" customWidth="1"/>
    <col min="11058" max="11058" width="51.7109375" style="89" customWidth="1"/>
    <col min="11059" max="11060" width="29.5703125" style="89" customWidth="1"/>
    <col min="11061" max="11061" width="44.42578125" style="89" customWidth="1"/>
    <col min="11062" max="11062" width="36.28515625" style="89" customWidth="1"/>
    <col min="11063" max="11063" width="27.42578125" style="89" bestFit="1" customWidth="1"/>
    <col min="11064" max="11284" width="11.42578125" style="89"/>
    <col min="11285" max="11285" width="15.5703125" style="89" bestFit="1" customWidth="1"/>
    <col min="11286" max="11286" width="33.7109375" style="89" customWidth="1"/>
    <col min="11287" max="11287" width="19" style="89" customWidth="1"/>
    <col min="11288" max="11288" width="19.85546875" style="89" customWidth="1"/>
    <col min="11289" max="11289" width="18.5703125" style="89" customWidth="1"/>
    <col min="11290" max="11290" width="19.7109375" style="89" customWidth="1"/>
    <col min="11291" max="11291" width="14.85546875" style="89" customWidth="1"/>
    <col min="11292" max="11292" width="16.85546875" style="89" customWidth="1"/>
    <col min="11293" max="11295" width="11.42578125" style="89" customWidth="1"/>
    <col min="11296" max="11296" width="18.140625" style="89" customWidth="1"/>
    <col min="11297" max="11297" width="11.42578125" style="89" customWidth="1"/>
    <col min="11298" max="11298" width="12.5703125" style="89" customWidth="1"/>
    <col min="11299" max="11299" width="25" style="89" customWidth="1"/>
    <col min="11300" max="11300" width="16.5703125" style="89" bestFit="1" customWidth="1"/>
    <col min="11301" max="11301" width="24" style="89" customWidth="1"/>
    <col min="11302" max="11302" width="11.42578125" style="89" customWidth="1"/>
    <col min="11303" max="11303" width="20" style="89" customWidth="1"/>
    <col min="11304" max="11304" width="11.42578125" style="89" customWidth="1"/>
    <col min="11305" max="11305" width="19" style="89" customWidth="1"/>
    <col min="11306" max="11309" width="11.42578125" style="89" customWidth="1"/>
    <col min="11310" max="11310" width="15.140625" style="89" customWidth="1"/>
    <col min="11311" max="11311" width="14" style="89" customWidth="1"/>
    <col min="11312" max="11312" width="15.140625" style="89" customWidth="1"/>
    <col min="11313" max="11313" width="11.42578125" style="89" customWidth="1"/>
    <col min="11314" max="11314" width="51.7109375" style="89" customWidth="1"/>
    <col min="11315" max="11316" width="29.5703125" style="89" customWidth="1"/>
    <col min="11317" max="11317" width="44.42578125" style="89" customWidth="1"/>
    <col min="11318" max="11318" width="36.28515625" style="89" customWidth="1"/>
    <col min="11319" max="11319" width="27.42578125" style="89" bestFit="1" customWidth="1"/>
    <col min="11320" max="11540" width="11.42578125" style="89"/>
    <col min="11541" max="11541" width="15.5703125" style="89" bestFit="1" customWidth="1"/>
    <col min="11542" max="11542" width="33.7109375" style="89" customWidth="1"/>
    <col min="11543" max="11543" width="19" style="89" customWidth="1"/>
    <col min="11544" max="11544" width="19.85546875" style="89" customWidth="1"/>
    <col min="11545" max="11545" width="18.5703125" style="89" customWidth="1"/>
    <col min="11546" max="11546" width="19.7109375" style="89" customWidth="1"/>
    <col min="11547" max="11547" width="14.85546875" style="89" customWidth="1"/>
    <col min="11548" max="11548" width="16.85546875" style="89" customWidth="1"/>
    <col min="11549" max="11551" width="11.42578125" style="89" customWidth="1"/>
    <col min="11552" max="11552" width="18.140625" style="89" customWidth="1"/>
    <col min="11553" max="11553" width="11.42578125" style="89" customWidth="1"/>
    <col min="11554" max="11554" width="12.5703125" style="89" customWidth="1"/>
    <col min="11555" max="11555" width="25" style="89" customWidth="1"/>
    <col min="11556" max="11556" width="16.5703125" style="89" bestFit="1" customWidth="1"/>
    <col min="11557" max="11557" width="24" style="89" customWidth="1"/>
    <col min="11558" max="11558" width="11.42578125" style="89" customWidth="1"/>
    <col min="11559" max="11559" width="20" style="89" customWidth="1"/>
    <col min="11560" max="11560" width="11.42578125" style="89" customWidth="1"/>
    <col min="11561" max="11561" width="19" style="89" customWidth="1"/>
    <col min="11562" max="11565" width="11.42578125" style="89" customWidth="1"/>
    <col min="11566" max="11566" width="15.140625" style="89" customWidth="1"/>
    <col min="11567" max="11567" width="14" style="89" customWidth="1"/>
    <col min="11568" max="11568" width="15.140625" style="89" customWidth="1"/>
    <col min="11569" max="11569" width="11.42578125" style="89" customWidth="1"/>
    <col min="11570" max="11570" width="51.7109375" style="89" customWidth="1"/>
    <col min="11571" max="11572" width="29.5703125" style="89" customWidth="1"/>
    <col min="11573" max="11573" width="44.42578125" style="89" customWidth="1"/>
    <col min="11574" max="11574" width="36.28515625" style="89" customWidth="1"/>
    <col min="11575" max="11575" width="27.42578125" style="89" bestFit="1" customWidth="1"/>
    <col min="11576" max="11796" width="11.42578125" style="89"/>
    <col min="11797" max="11797" width="15.5703125" style="89" bestFit="1" customWidth="1"/>
    <col min="11798" max="11798" width="33.7109375" style="89" customWidth="1"/>
    <col min="11799" max="11799" width="19" style="89" customWidth="1"/>
    <col min="11800" max="11800" width="19.85546875" style="89" customWidth="1"/>
    <col min="11801" max="11801" width="18.5703125" style="89" customWidth="1"/>
    <col min="11802" max="11802" width="19.7109375" style="89" customWidth="1"/>
    <col min="11803" max="11803" width="14.85546875" style="89" customWidth="1"/>
    <col min="11804" max="11804" width="16.85546875" style="89" customWidth="1"/>
    <col min="11805" max="11807" width="11.42578125" style="89" customWidth="1"/>
    <col min="11808" max="11808" width="18.140625" style="89" customWidth="1"/>
    <col min="11809" max="11809" width="11.42578125" style="89" customWidth="1"/>
    <col min="11810" max="11810" width="12.5703125" style="89" customWidth="1"/>
    <col min="11811" max="11811" width="25" style="89" customWidth="1"/>
    <col min="11812" max="11812" width="16.5703125" style="89" bestFit="1" customWidth="1"/>
    <col min="11813" max="11813" width="24" style="89" customWidth="1"/>
    <col min="11814" max="11814" width="11.42578125" style="89" customWidth="1"/>
    <col min="11815" max="11815" width="20" style="89" customWidth="1"/>
    <col min="11816" max="11816" width="11.42578125" style="89" customWidth="1"/>
    <col min="11817" max="11817" width="19" style="89" customWidth="1"/>
    <col min="11818" max="11821" width="11.42578125" style="89" customWidth="1"/>
    <col min="11822" max="11822" width="15.140625" style="89" customWidth="1"/>
    <col min="11823" max="11823" width="14" style="89" customWidth="1"/>
    <col min="11824" max="11824" width="15.140625" style="89" customWidth="1"/>
    <col min="11825" max="11825" width="11.42578125" style="89" customWidth="1"/>
    <col min="11826" max="11826" width="51.7109375" style="89" customWidth="1"/>
    <col min="11827" max="11828" width="29.5703125" style="89" customWidth="1"/>
    <col min="11829" max="11829" width="44.42578125" style="89" customWidth="1"/>
    <col min="11830" max="11830" width="36.28515625" style="89" customWidth="1"/>
    <col min="11831" max="11831" width="27.42578125" style="89" bestFit="1" customWidth="1"/>
    <col min="11832" max="12052" width="11.42578125" style="89"/>
    <col min="12053" max="12053" width="15.5703125" style="89" bestFit="1" customWidth="1"/>
    <col min="12054" max="12054" width="33.7109375" style="89" customWidth="1"/>
    <col min="12055" max="12055" width="19" style="89" customWidth="1"/>
    <col min="12056" max="12056" width="19.85546875" style="89" customWidth="1"/>
    <col min="12057" max="12057" width="18.5703125" style="89" customWidth="1"/>
    <col min="12058" max="12058" width="19.7109375" style="89" customWidth="1"/>
    <col min="12059" max="12059" width="14.85546875" style="89" customWidth="1"/>
    <col min="12060" max="12060" width="16.85546875" style="89" customWidth="1"/>
    <col min="12061" max="12063" width="11.42578125" style="89" customWidth="1"/>
    <col min="12064" max="12064" width="18.140625" style="89" customWidth="1"/>
    <col min="12065" max="12065" width="11.42578125" style="89" customWidth="1"/>
    <col min="12066" max="12066" width="12.5703125" style="89" customWidth="1"/>
    <col min="12067" max="12067" width="25" style="89" customWidth="1"/>
    <col min="12068" max="12068" width="16.5703125" style="89" bestFit="1" customWidth="1"/>
    <col min="12069" max="12069" width="24" style="89" customWidth="1"/>
    <col min="12070" max="12070" width="11.42578125" style="89" customWidth="1"/>
    <col min="12071" max="12071" width="20" style="89" customWidth="1"/>
    <col min="12072" max="12072" width="11.42578125" style="89" customWidth="1"/>
    <col min="12073" max="12073" width="19" style="89" customWidth="1"/>
    <col min="12074" max="12077" width="11.42578125" style="89" customWidth="1"/>
    <col min="12078" max="12078" width="15.140625" style="89" customWidth="1"/>
    <col min="12079" max="12079" width="14" style="89" customWidth="1"/>
    <col min="12080" max="12080" width="15.140625" style="89" customWidth="1"/>
    <col min="12081" max="12081" width="11.42578125" style="89" customWidth="1"/>
    <col min="12082" max="12082" width="51.7109375" style="89" customWidth="1"/>
    <col min="12083" max="12084" width="29.5703125" style="89" customWidth="1"/>
    <col min="12085" max="12085" width="44.42578125" style="89" customWidth="1"/>
    <col min="12086" max="12086" width="36.28515625" style="89" customWidth="1"/>
    <col min="12087" max="12087" width="27.42578125" style="89" bestFit="1" customWidth="1"/>
    <col min="12088" max="12308" width="11.42578125" style="89"/>
    <col min="12309" max="12309" width="15.5703125" style="89" bestFit="1" customWidth="1"/>
    <col min="12310" max="12310" width="33.7109375" style="89" customWidth="1"/>
    <col min="12311" max="12311" width="19" style="89" customWidth="1"/>
    <col min="12312" max="12312" width="19.85546875" style="89" customWidth="1"/>
    <col min="12313" max="12313" width="18.5703125" style="89" customWidth="1"/>
    <col min="12314" max="12314" width="19.7109375" style="89" customWidth="1"/>
    <col min="12315" max="12315" width="14.85546875" style="89" customWidth="1"/>
    <col min="12316" max="12316" width="16.85546875" style="89" customWidth="1"/>
    <col min="12317" max="12319" width="11.42578125" style="89" customWidth="1"/>
    <col min="12320" max="12320" width="18.140625" style="89" customWidth="1"/>
    <col min="12321" max="12321" width="11.42578125" style="89" customWidth="1"/>
    <col min="12322" max="12322" width="12.5703125" style="89" customWidth="1"/>
    <col min="12323" max="12323" width="25" style="89" customWidth="1"/>
    <col min="12324" max="12324" width="16.5703125" style="89" bestFit="1" customWidth="1"/>
    <col min="12325" max="12325" width="24" style="89" customWidth="1"/>
    <col min="12326" max="12326" width="11.42578125" style="89" customWidth="1"/>
    <col min="12327" max="12327" width="20" style="89" customWidth="1"/>
    <col min="12328" max="12328" width="11.42578125" style="89" customWidth="1"/>
    <col min="12329" max="12329" width="19" style="89" customWidth="1"/>
    <col min="12330" max="12333" width="11.42578125" style="89" customWidth="1"/>
    <col min="12334" max="12334" width="15.140625" style="89" customWidth="1"/>
    <col min="12335" max="12335" width="14" style="89" customWidth="1"/>
    <col min="12336" max="12336" width="15.140625" style="89" customWidth="1"/>
    <col min="12337" max="12337" width="11.42578125" style="89" customWidth="1"/>
    <col min="12338" max="12338" width="51.7109375" style="89" customWidth="1"/>
    <col min="12339" max="12340" width="29.5703125" style="89" customWidth="1"/>
    <col min="12341" max="12341" width="44.42578125" style="89" customWidth="1"/>
    <col min="12342" max="12342" width="36.28515625" style="89" customWidth="1"/>
    <col min="12343" max="12343" width="27.42578125" style="89" bestFit="1" customWidth="1"/>
    <col min="12344" max="12564" width="11.42578125" style="89"/>
    <col min="12565" max="12565" width="15.5703125" style="89" bestFit="1" customWidth="1"/>
    <col min="12566" max="12566" width="33.7109375" style="89" customWidth="1"/>
    <col min="12567" max="12567" width="19" style="89" customWidth="1"/>
    <col min="12568" max="12568" width="19.85546875" style="89" customWidth="1"/>
    <col min="12569" max="12569" width="18.5703125" style="89" customWidth="1"/>
    <col min="12570" max="12570" width="19.7109375" style="89" customWidth="1"/>
    <col min="12571" max="12571" width="14.85546875" style="89" customWidth="1"/>
    <col min="12572" max="12572" width="16.85546875" style="89" customWidth="1"/>
    <col min="12573" max="12575" width="11.42578125" style="89" customWidth="1"/>
    <col min="12576" max="12576" width="18.140625" style="89" customWidth="1"/>
    <col min="12577" max="12577" width="11.42578125" style="89" customWidth="1"/>
    <col min="12578" max="12578" width="12.5703125" style="89" customWidth="1"/>
    <col min="12579" max="12579" width="25" style="89" customWidth="1"/>
    <col min="12580" max="12580" width="16.5703125" style="89" bestFit="1" customWidth="1"/>
    <col min="12581" max="12581" width="24" style="89" customWidth="1"/>
    <col min="12582" max="12582" width="11.42578125" style="89" customWidth="1"/>
    <col min="12583" max="12583" width="20" style="89" customWidth="1"/>
    <col min="12584" max="12584" width="11.42578125" style="89" customWidth="1"/>
    <col min="12585" max="12585" width="19" style="89" customWidth="1"/>
    <col min="12586" max="12589" width="11.42578125" style="89" customWidth="1"/>
    <col min="12590" max="12590" width="15.140625" style="89" customWidth="1"/>
    <col min="12591" max="12591" width="14" style="89" customWidth="1"/>
    <col min="12592" max="12592" width="15.140625" style="89" customWidth="1"/>
    <col min="12593" max="12593" width="11.42578125" style="89" customWidth="1"/>
    <col min="12594" max="12594" width="51.7109375" style="89" customWidth="1"/>
    <col min="12595" max="12596" width="29.5703125" style="89" customWidth="1"/>
    <col min="12597" max="12597" width="44.42578125" style="89" customWidth="1"/>
    <col min="12598" max="12598" width="36.28515625" style="89" customWidth="1"/>
    <col min="12599" max="12599" width="27.42578125" style="89" bestFit="1" customWidth="1"/>
    <col min="12600" max="12820" width="11.42578125" style="89"/>
    <col min="12821" max="12821" width="15.5703125" style="89" bestFit="1" customWidth="1"/>
    <col min="12822" max="12822" width="33.7109375" style="89" customWidth="1"/>
    <col min="12823" max="12823" width="19" style="89" customWidth="1"/>
    <col min="12824" max="12824" width="19.85546875" style="89" customWidth="1"/>
    <col min="12825" max="12825" width="18.5703125" style="89" customWidth="1"/>
    <col min="12826" max="12826" width="19.7109375" style="89" customWidth="1"/>
    <col min="12827" max="12827" width="14.85546875" style="89" customWidth="1"/>
    <col min="12828" max="12828" width="16.85546875" style="89" customWidth="1"/>
    <col min="12829" max="12831" width="11.42578125" style="89" customWidth="1"/>
    <col min="12832" max="12832" width="18.140625" style="89" customWidth="1"/>
    <col min="12833" max="12833" width="11.42578125" style="89" customWidth="1"/>
    <col min="12834" max="12834" width="12.5703125" style="89" customWidth="1"/>
    <col min="12835" max="12835" width="25" style="89" customWidth="1"/>
    <col min="12836" max="12836" width="16.5703125" style="89" bestFit="1" customWidth="1"/>
    <col min="12837" max="12837" width="24" style="89" customWidth="1"/>
    <col min="12838" max="12838" width="11.42578125" style="89" customWidth="1"/>
    <col min="12839" max="12839" width="20" style="89" customWidth="1"/>
    <col min="12840" max="12840" width="11.42578125" style="89" customWidth="1"/>
    <col min="12841" max="12841" width="19" style="89" customWidth="1"/>
    <col min="12842" max="12845" width="11.42578125" style="89" customWidth="1"/>
    <col min="12846" max="12846" width="15.140625" style="89" customWidth="1"/>
    <col min="12847" max="12847" width="14" style="89" customWidth="1"/>
    <col min="12848" max="12848" width="15.140625" style="89" customWidth="1"/>
    <col min="12849" max="12849" width="11.42578125" style="89" customWidth="1"/>
    <col min="12850" max="12850" width="51.7109375" style="89" customWidth="1"/>
    <col min="12851" max="12852" width="29.5703125" style="89" customWidth="1"/>
    <col min="12853" max="12853" width="44.42578125" style="89" customWidth="1"/>
    <col min="12854" max="12854" width="36.28515625" style="89" customWidth="1"/>
    <col min="12855" max="12855" width="27.42578125" style="89" bestFit="1" customWidth="1"/>
    <col min="12856" max="13076" width="11.42578125" style="89"/>
    <col min="13077" max="13077" width="15.5703125" style="89" bestFit="1" customWidth="1"/>
    <col min="13078" max="13078" width="33.7109375" style="89" customWidth="1"/>
    <col min="13079" max="13079" width="19" style="89" customWidth="1"/>
    <col min="13080" max="13080" width="19.85546875" style="89" customWidth="1"/>
    <col min="13081" max="13081" width="18.5703125" style="89" customWidth="1"/>
    <col min="13082" max="13082" width="19.7109375" style="89" customWidth="1"/>
    <col min="13083" max="13083" width="14.85546875" style="89" customWidth="1"/>
    <col min="13084" max="13084" width="16.85546875" style="89" customWidth="1"/>
    <col min="13085" max="13087" width="11.42578125" style="89" customWidth="1"/>
    <col min="13088" max="13088" width="18.140625" style="89" customWidth="1"/>
    <col min="13089" max="13089" width="11.42578125" style="89" customWidth="1"/>
    <col min="13090" max="13090" width="12.5703125" style="89" customWidth="1"/>
    <col min="13091" max="13091" width="25" style="89" customWidth="1"/>
    <col min="13092" max="13092" width="16.5703125" style="89" bestFit="1" customWidth="1"/>
    <col min="13093" max="13093" width="24" style="89" customWidth="1"/>
    <col min="13094" max="13094" width="11.42578125" style="89" customWidth="1"/>
    <col min="13095" max="13095" width="20" style="89" customWidth="1"/>
    <col min="13096" max="13096" width="11.42578125" style="89" customWidth="1"/>
    <col min="13097" max="13097" width="19" style="89" customWidth="1"/>
    <col min="13098" max="13101" width="11.42578125" style="89" customWidth="1"/>
    <col min="13102" max="13102" width="15.140625" style="89" customWidth="1"/>
    <col min="13103" max="13103" width="14" style="89" customWidth="1"/>
    <col min="13104" max="13104" width="15.140625" style="89" customWidth="1"/>
    <col min="13105" max="13105" width="11.42578125" style="89" customWidth="1"/>
    <col min="13106" max="13106" width="51.7109375" style="89" customWidth="1"/>
    <col min="13107" max="13108" width="29.5703125" style="89" customWidth="1"/>
    <col min="13109" max="13109" width="44.42578125" style="89" customWidth="1"/>
    <col min="13110" max="13110" width="36.28515625" style="89" customWidth="1"/>
    <col min="13111" max="13111" width="27.42578125" style="89" bestFit="1" customWidth="1"/>
    <col min="13112" max="13332" width="11.42578125" style="89"/>
    <col min="13333" max="13333" width="15.5703125" style="89" bestFit="1" customWidth="1"/>
    <col min="13334" max="13334" width="33.7109375" style="89" customWidth="1"/>
    <col min="13335" max="13335" width="19" style="89" customWidth="1"/>
    <col min="13336" max="13336" width="19.85546875" style="89" customWidth="1"/>
    <col min="13337" max="13337" width="18.5703125" style="89" customWidth="1"/>
    <col min="13338" max="13338" width="19.7109375" style="89" customWidth="1"/>
    <col min="13339" max="13339" width="14.85546875" style="89" customWidth="1"/>
    <col min="13340" max="13340" width="16.85546875" style="89" customWidth="1"/>
    <col min="13341" max="13343" width="11.42578125" style="89" customWidth="1"/>
    <col min="13344" max="13344" width="18.140625" style="89" customWidth="1"/>
    <col min="13345" max="13345" width="11.42578125" style="89" customWidth="1"/>
    <col min="13346" max="13346" width="12.5703125" style="89" customWidth="1"/>
    <col min="13347" max="13347" width="25" style="89" customWidth="1"/>
    <col min="13348" max="13348" width="16.5703125" style="89" bestFit="1" customWidth="1"/>
    <col min="13349" max="13349" width="24" style="89" customWidth="1"/>
    <col min="13350" max="13350" width="11.42578125" style="89" customWidth="1"/>
    <col min="13351" max="13351" width="20" style="89" customWidth="1"/>
    <col min="13352" max="13352" width="11.42578125" style="89" customWidth="1"/>
    <col min="13353" max="13353" width="19" style="89" customWidth="1"/>
    <col min="13354" max="13357" width="11.42578125" style="89" customWidth="1"/>
    <col min="13358" max="13358" width="15.140625" style="89" customWidth="1"/>
    <col min="13359" max="13359" width="14" style="89" customWidth="1"/>
    <col min="13360" max="13360" width="15.140625" style="89" customWidth="1"/>
    <col min="13361" max="13361" width="11.42578125" style="89" customWidth="1"/>
    <col min="13362" max="13362" width="51.7109375" style="89" customWidth="1"/>
    <col min="13363" max="13364" width="29.5703125" style="89" customWidth="1"/>
    <col min="13365" max="13365" width="44.42578125" style="89" customWidth="1"/>
    <col min="13366" max="13366" width="36.28515625" style="89" customWidth="1"/>
    <col min="13367" max="13367" width="27.42578125" style="89" bestFit="1" customWidth="1"/>
    <col min="13368" max="13588" width="11.42578125" style="89"/>
    <col min="13589" max="13589" width="15.5703125" style="89" bestFit="1" customWidth="1"/>
    <col min="13590" max="13590" width="33.7109375" style="89" customWidth="1"/>
    <col min="13591" max="13591" width="19" style="89" customWidth="1"/>
    <col min="13592" max="13592" width="19.85546875" style="89" customWidth="1"/>
    <col min="13593" max="13593" width="18.5703125" style="89" customWidth="1"/>
    <col min="13594" max="13594" width="19.7109375" style="89" customWidth="1"/>
    <col min="13595" max="13595" width="14.85546875" style="89" customWidth="1"/>
    <col min="13596" max="13596" width="16.85546875" style="89" customWidth="1"/>
    <col min="13597" max="13599" width="11.42578125" style="89" customWidth="1"/>
    <col min="13600" max="13600" width="18.140625" style="89" customWidth="1"/>
    <col min="13601" max="13601" width="11.42578125" style="89" customWidth="1"/>
    <col min="13602" max="13602" width="12.5703125" style="89" customWidth="1"/>
    <col min="13603" max="13603" width="25" style="89" customWidth="1"/>
    <col min="13604" max="13604" width="16.5703125" style="89" bestFit="1" customWidth="1"/>
    <col min="13605" max="13605" width="24" style="89" customWidth="1"/>
    <col min="13606" max="13606" width="11.42578125" style="89" customWidth="1"/>
    <col min="13607" max="13607" width="20" style="89" customWidth="1"/>
    <col min="13608" max="13608" width="11.42578125" style="89" customWidth="1"/>
    <col min="13609" max="13609" width="19" style="89" customWidth="1"/>
    <col min="13610" max="13613" width="11.42578125" style="89" customWidth="1"/>
    <col min="13614" max="13614" width="15.140625" style="89" customWidth="1"/>
    <col min="13615" max="13615" width="14" style="89" customWidth="1"/>
    <col min="13616" max="13616" width="15.140625" style="89" customWidth="1"/>
    <col min="13617" max="13617" width="11.42578125" style="89" customWidth="1"/>
    <col min="13618" max="13618" width="51.7109375" style="89" customWidth="1"/>
    <col min="13619" max="13620" width="29.5703125" style="89" customWidth="1"/>
    <col min="13621" max="13621" width="44.42578125" style="89" customWidth="1"/>
    <col min="13622" max="13622" width="36.28515625" style="89" customWidth="1"/>
    <col min="13623" max="13623" width="27.42578125" style="89" bestFit="1" customWidth="1"/>
    <col min="13624" max="13844" width="11.42578125" style="89"/>
    <col min="13845" max="13845" width="15.5703125" style="89" bestFit="1" customWidth="1"/>
    <col min="13846" max="13846" width="33.7109375" style="89" customWidth="1"/>
    <col min="13847" max="13847" width="19" style="89" customWidth="1"/>
    <col min="13848" max="13848" width="19.85546875" style="89" customWidth="1"/>
    <col min="13849" max="13849" width="18.5703125" style="89" customWidth="1"/>
    <col min="13850" max="13850" width="19.7109375" style="89" customWidth="1"/>
    <col min="13851" max="13851" width="14.85546875" style="89" customWidth="1"/>
    <col min="13852" max="13852" width="16.85546875" style="89" customWidth="1"/>
    <col min="13853" max="13855" width="11.42578125" style="89" customWidth="1"/>
    <col min="13856" max="13856" width="18.140625" style="89" customWidth="1"/>
    <col min="13857" max="13857" width="11.42578125" style="89" customWidth="1"/>
    <col min="13858" max="13858" width="12.5703125" style="89" customWidth="1"/>
    <col min="13859" max="13859" width="25" style="89" customWidth="1"/>
    <col min="13860" max="13860" width="16.5703125" style="89" bestFit="1" customWidth="1"/>
    <col min="13861" max="13861" width="24" style="89" customWidth="1"/>
    <col min="13862" max="13862" width="11.42578125" style="89" customWidth="1"/>
    <col min="13863" max="13863" width="20" style="89" customWidth="1"/>
    <col min="13864" max="13864" width="11.42578125" style="89" customWidth="1"/>
    <col min="13865" max="13865" width="19" style="89" customWidth="1"/>
    <col min="13866" max="13869" width="11.42578125" style="89" customWidth="1"/>
    <col min="13870" max="13870" width="15.140625" style="89" customWidth="1"/>
    <col min="13871" max="13871" width="14" style="89" customWidth="1"/>
    <col min="13872" max="13872" width="15.140625" style="89" customWidth="1"/>
    <col min="13873" max="13873" width="11.42578125" style="89" customWidth="1"/>
    <col min="13874" max="13874" width="51.7109375" style="89" customWidth="1"/>
    <col min="13875" max="13876" width="29.5703125" style="89" customWidth="1"/>
    <col min="13877" max="13877" width="44.42578125" style="89" customWidth="1"/>
    <col min="13878" max="13878" width="36.28515625" style="89" customWidth="1"/>
    <col min="13879" max="13879" width="27.42578125" style="89" bestFit="1" customWidth="1"/>
    <col min="13880" max="14100" width="11.42578125" style="89"/>
    <col min="14101" max="14101" width="15.5703125" style="89" bestFit="1" customWidth="1"/>
    <col min="14102" max="14102" width="33.7109375" style="89" customWidth="1"/>
    <col min="14103" max="14103" width="19" style="89" customWidth="1"/>
    <col min="14104" max="14104" width="19.85546875" style="89" customWidth="1"/>
    <col min="14105" max="14105" width="18.5703125" style="89" customWidth="1"/>
    <col min="14106" max="14106" width="19.7109375" style="89" customWidth="1"/>
    <col min="14107" max="14107" width="14.85546875" style="89" customWidth="1"/>
    <col min="14108" max="14108" width="16.85546875" style="89" customWidth="1"/>
    <col min="14109" max="14111" width="11.42578125" style="89" customWidth="1"/>
    <col min="14112" max="14112" width="18.140625" style="89" customWidth="1"/>
    <col min="14113" max="14113" width="11.42578125" style="89" customWidth="1"/>
    <col min="14114" max="14114" width="12.5703125" style="89" customWidth="1"/>
    <col min="14115" max="14115" width="25" style="89" customWidth="1"/>
    <col min="14116" max="14116" width="16.5703125" style="89" bestFit="1" customWidth="1"/>
    <col min="14117" max="14117" width="24" style="89" customWidth="1"/>
    <col min="14118" max="14118" width="11.42578125" style="89" customWidth="1"/>
    <col min="14119" max="14119" width="20" style="89" customWidth="1"/>
    <col min="14120" max="14120" width="11.42578125" style="89" customWidth="1"/>
    <col min="14121" max="14121" width="19" style="89" customWidth="1"/>
    <col min="14122" max="14125" width="11.42578125" style="89" customWidth="1"/>
    <col min="14126" max="14126" width="15.140625" style="89" customWidth="1"/>
    <col min="14127" max="14127" width="14" style="89" customWidth="1"/>
    <col min="14128" max="14128" width="15.140625" style="89" customWidth="1"/>
    <col min="14129" max="14129" width="11.42578125" style="89" customWidth="1"/>
    <col min="14130" max="14130" width="51.7109375" style="89" customWidth="1"/>
    <col min="14131" max="14132" width="29.5703125" style="89" customWidth="1"/>
    <col min="14133" max="14133" width="44.42578125" style="89" customWidth="1"/>
    <col min="14134" max="14134" width="36.28515625" style="89" customWidth="1"/>
    <col min="14135" max="14135" width="27.42578125" style="89" bestFit="1" customWidth="1"/>
    <col min="14136" max="14356" width="11.42578125" style="89"/>
    <col min="14357" max="14357" width="15.5703125" style="89" bestFit="1" customWidth="1"/>
    <col min="14358" max="14358" width="33.7109375" style="89" customWidth="1"/>
    <col min="14359" max="14359" width="19" style="89" customWidth="1"/>
    <col min="14360" max="14360" width="19.85546875" style="89" customWidth="1"/>
    <col min="14361" max="14361" width="18.5703125" style="89" customWidth="1"/>
    <col min="14362" max="14362" width="19.7109375" style="89" customWidth="1"/>
    <col min="14363" max="14363" width="14.85546875" style="89" customWidth="1"/>
    <col min="14364" max="14364" width="16.85546875" style="89" customWidth="1"/>
    <col min="14365" max="14367" width="11.42578125" style="89" customWidth="1"/>
    <col min="14368" max="14368" width="18.140625" style="89" customWidth="1"/>
    <col min="14369" max="14369" width="11.42578125" style="89" customWidth="1"/>
    <col min="14370" max="14370" width="12.5703125" style="89" customWidth="1"/>
    <col min="14371" max="14371" width="25" style="89" customWidth="1"/>
    <col min="14372" max="14372" width="16.5703125" style="89" bestFit="1" customWidth="1"/>
    <col min="14373" max="14373" width="24" style="89" customWidth="1"/>
    <col min="14374" max="14374" width="11.42578125" style="89" customWidth="1"/>
    <col min="14375" max="14375" width="20" style="89" customWidth="1"/>
    <col min="14376" max="14376" width="11.42578125" style="89" customWidth="1"/>
    <col min="14377" max="14377" width="19" style="89" customWidth="1"/>
    <col min="14378" max="14381" width="11.42578125" style="89" customWidth="1"/>
    <col min="14382" max="14382" width="15.140625" style="89" customWidth="1"/>
    <col min="14383" max="14383" width="14" style="89" customWidth="1"/>
    <col min="14384" max="14384" width="15.140625" style="89" customWidth="1"/>
    <col min="14385" max="14385" width="11.42578125" style="89" customWidth="1"/>
    <col min="14386" max="14386" width="51.7109375" style="89" customWidth="1"/>
    <col min="14387" max="14388" width="29.5703125" style="89" customWidth="1"/>
    <col min="14389" max="14389" width="44.42578125" style="89" customWidth="1"/>
    <col min="14390" max="14390" width="36.28515625" style="89" customWidth="1"/>
    <col min="14391" max="14391" width="27.42578125" style="89" bestFit="1" customWidth="1"/>
    <col min="14392" max="14612" width="11.42578125" style="89"/>
    <col min="14613" max="14613" width="15.5703125" style="89" bestFit="1" customWidth="1"/>
    <col min="14614" max="14614" width="33.7109375" style="89" customWidth="1"/>
    <col min="14615" max="14615" width="19" style="89" customWidth="1"/>
    <col min="14616" max="14616" width="19.85546875" style="89" customWidth="1"/>
    <col min="14617" max="14617" width="18.5703125" style="89" customWidth="1"/>
    <col min="14618" max="14618" width="19.7109375" style="89" customWidth="1"/>
    <col min="14619" max="14619" width="14.85546875" style="89" customWidth="1"/>
    <col min="14620" max="14620" width="16.85546875" style="89" customWidth="1"/>
    <col min="14621" max="14623" width="11.42578125" style="89" customWidth="1"/>
    <col min="14624" max="14624" width="18.140625" style="89" customWidth="1"/>
    <col min="14625" max="14625" width="11.42578125" style="89" customWidth="1"/>
    <col min="14626" max="14626" width="12.5703125" style="89" customWidth="1"/>
    <col min="14627" max="14627" width="25" style="89" customWidth="1"/>
    <col min="14628" max="14628" width="16.5703125" style="89" bestFit="1" customWidth="1"/>
    <col min="14629" max="14629" width="24" style="89" customWidth="1"/>
    <col min="14630" max="14630" width="11.42578125" style="89" customWidth="1"/>
    <col min="14631" max="14631" width="20" style="89" customWidth="1"/>
    <col min="14632" max="14632" width="11.42578125" style="89" customWidth="1"/>
    <col min="14633" max="14633" width="19" style="89" customWidth="1"/>
    <col min="14634" max="14637" width="11.42578125" style="89" customWidth="1"/>
    <col min="14638" max="14638" width="15.140625" style="89" customWidth="1"/>
    <col min="14639" max="14639" width="14" style="89" customWidth="1"/>
    <col min="14640" max="14640" width="15.140625" style="89" customWidth="1"/>
    <col min="14641" max="14641" width="11.42578125" style="89" customWidth="1"/>
    <col min="14642" max="14642" width="51.7109375" style="89" customWidth="1"/>
    <col min="14643" max="14644" width="29.5703125" style="89" customWidth="1"/>
    <col min="14645" max="14645" width="44.42578125" style="89" customWidth="1"/>
    <col min="14646" max="14646" width="36.28515625" style="89" customWidth="1"/>
    <col min="14647" max="14647" width="27.42578125" style="89" bestFit="1" customWidth="1"/>
    <col min="14648" max="14868" width="11.42578125" style="89"/>
    <col min="14869" max="14869" width="15.5703125" style="89" bestFit="1" customWidth="1"/>
    <col min="14870" max="14870" width="33.7109375" style="89" customWidth="1"/>
    <col min="14871" max="14871" width="19" style="89" customWidth="1"/>
    <col min="14872" max="14872" width="19.85546875" style="89" customWidth="1"/>
    <col min="14873" max="14873" width="18.5703125" style="89" customWidth="1"/>
    <col min="14874" max="14874" width="19.7109375" style="89" customWidth="1"/>
    <col min="14875" max="14875" width="14.85546875" style="89" customWidth="1"/>
    <col min="14876" max="14876" width="16.85546875" style="89" customWidth="1"/>
    <col min="14877" max="14879" width="11.42578125" style="89" customWidth="1"/>
    <col min="14880" max="14880" width="18.140625" style="89" customWidth="1"/>
    <col min="14881" max="14881" width="11.42578125" style="89" customWidth="1"/>
    <col min="14882" max="14882" width="12.5703125" style="89" customWidth="1"/>
    <col min="14883" max="14883" width="25" style="89" customWidth="1"/>
    <col min="14884" max="14884" width="16.5703125" style="89" bestFit="1" customWidth="1"/>
    <col min="14885" max="14885" width="24" style="89" customWidth="1"/>
    <col min="14886" max="14886" width="11.42578125" style="89" customWidth="1"/>
    <col min="14887" max="14887" width="20" style="89" customWidth="1"/>
    <col min="14888" max="14888" width="11.42578125" style="89" customWidth="1"/>
    <col min="14889" max="14889" width="19" style="89" customWidth="1"/>
    <col min="14890" max="14893" width="11.42578125" style="89" customWidth="1"/>
    <col min="14894" max="14894" width="15.140625" style="89" customWidth="1"/>
    <col min="14895" max="14895" width="14" style="89" customWidth="1"/>
    <col min="14896" max="14896" width="15.140625" style="89" customWidth="1"/>
    <col min="14897" max="14897" width="11.42578125" style="89" customWidth="1"/>
    <col min="14898" max="14898" width="51.7109375" style="89" customWidth="1"/>
    <col min="14899" max="14900" width="29.5703125" style="89" customWidth="1"/>
    <col min="14901" max="14901" width="44.42578125" style="89" customWidth="1"/>
    <col min="14902" max="14902" width="36.28515625" style="89" customWidth="1"/>
    <col min="14903" max="14903" width="27.42578125" style="89" bestFit="1" customWidth="1"/>
    <col min="14904" max="15124" width="11.42578125" style="89"/>
    <col min="15125" max="15125" width="15.5703125" style="89" bestFit="1" customWidth="1"/>
    <col min="15126" max="15126" width="33.7109375" style="89" customWidth="1"/>
    <col min="15127" max="15127" width="19" style="89" customWidth="1"/>
    <col min="15128" max="15128" width="19.85546875" style="89" customWidth="1"/>
    <col min="15129" max="15129" width="18.5703125" style="89" customWidth="1"/>
    <col min="15130" max="15130" width="19.7109375" style="89" customWidth="1"/>
    <col min="15131" max="15131" width="14.85546875" style="89" customWidth="1"/>
    <col min="15132" max="15132" width="16.85546875" style="89" customWidth="1"/>
    <col min="15133" max="15135" width="11.42578125" style="89" customWidth="1"/>
    <col min="15136" max="15136" width="18.140625" style="89" customWidth="1"/>
    <col min="15137" max="15137" width="11.42578125" style="89" customWidth="1"/>
    <col min="15138" max="15138" width="12.5703125" style="89" customWidth="1"/>
    <col min="15139" max="15139" width="25" style="89" customWidth="1"/>
    <col min="15140" max="15140" width="16.5703125" style="89" bestFit="1" customWidth="1"/>
    <col min="15141" max="15141" width="24" style="89" customWidth="1"/>
    <col min="15142" max="15142" width="11.42578125" style="89" customWidth="1"/>
    <col min="15143" max="15143" width="20" style="89" customWidth="1"/>
    <col min="15144" max="15144" width="11.42578125" style="89" customWidth="1"/>
    <col min="15145" max="15145" width="19" style="89" customWidth="1"/>
    <col min="15146" max="15149" width="11.42578125" style="89" customWidth="1"/>
    <col min="15150" max="15150" width="15.140625" style="89" customWidth="1"/>
    <col min="15151" max="15151" width="14" style="89" customWidth="1"/>
    <col min="15152" max="15152" width="15.140625" style="89" customWidth="1"/>
    <col min="15153" max="15153" width="11.42578125" style="89" customWidth="1"/>
    <col min="15154" max="15154" width="51.7109375" style="89" customWidth="1"/>
    <col min="15155" max="15156" width="29.5703125" style="89" customWidth="1"/>
    <col min="15157" max="15157" width="44.42578125" style="89" customWidth="1"/>
    <col min="15158" max="15158" width="36.28515625" style="89" customWidth="1"/>
    <col min="15159" max="15159" width="27.42578125" style="89" bestFit="1" customWidth="1"/>
    <col min="15160" max="15380" width="11.42578125" style="89"/>
    <col min="15381" max="15381" width="15.5703125" style="89" bestFit="1" customWidth="1"/>
    <col min="15382" max="15382" width="33.7109375" style="89" customWidth="1"/>
    <col min="15383" max="15383" width="19" style="89" customWidth="1"/>
    <col min="15384" max="15384" width="19.85546875" style="89" customWidth="1"/>
    <col min="15385" max="15385" width="18.5703125" style="89" customWidth="1"/>
    <col min="15386" max="15386" width="19.7109375" style="89" customWidth="1"/>
    <col min="15387" max="15387" width="14.85546875" style="89" customWidth="1"/>
    <col min="15388" max="15388" width="16.85546875" style="89" customWidth="1"/>
    <col min="15389" max="15391" width="11.42578125" style="89" customWidth="1"/>
    <col min="15392" max="15392" width="18.140625" style="89" customWidth="1"/>
    <col min="15393" max="15393" width="11.42578125" style="89" customWidth="1"/>
    <col min="15394" max="15394" width="12.5703125" style="89" customWidth="1"/>
    <col min="15395" max="15395" width="25" style="89" customWidth="1"/>
    <col min="15396" max="15396" width="16.5703125" style="89" bestFit="1" customWidth="1"/>
    <col min="15397" max="15397" width="24" style="89" customWidth="1"/>
    <col min="15398" max="15398" width="11.42578125" style="89" customWidth="1"/>
    <col min="15399" max="15399" width="20" style="89" customWidth="1"/>
    <col min="15400" max="15400" width="11.42578125" style="89" customWidth="1"/>
    <col min="15401" max="15401" width="19" style="89" customWidth="1"/>
    <col min="15402" max="15405" width="11.42578125" style="89" customWidth="1"/>
    <col min="15406" max="15406" width="15.140625" style="89" customWidth="1"/>
    <col min="15407" max="15407" width="14" style="89" customWidth="1"/>
    <col min="15408" max="15408" width="15.140625" style="89" customWidth="1"/>
    <col min="15409" max="15409" width="11.42578125" style="89" customWidth="1"/>
    <col min="15410" max="15410" width="51.7109375" style="89" customWidth="1"/>
    <col min="15411" max="15412" width="29.5703125" style="89" customWidth="1"/>
    <col min="15413" max="15413" width="44.42578125" style="89" customWidth="1"/>
    <col min="15414" max="15414" width="36.28515625" style="89" customWidth="1"/>
    <col min="15415" max="15415" width="27.42578125" style="89" bestFit="1" customWidth="1"/>
    <col min="15416" max="15636" width="11.42578125" style="89"/>
    <col min="15637" max="15637" width="15.5703125" style="89" bestFit="1" customWidth="1"/>
    <col min="15638" max="15638" width="33.7109375" style="89" customWidth="1"/>
    <col min="15639" max="15639" width="19" style="89" customWidth="1"/>
    <col min="15640" max="15640" width="19.85546875" style="89" customWidth="1"/>
    <col min="15641" max="15641" width="18.5703125" style="89" customWidth="1"/>
    <col min="15642" max="15642" width="19.7109375" style="89" customWidth="1"/>
    <col min="15643" max="15643" width="14.85546875" style="89" customWidth="1"/>
    <col min="15644" max="15644" width="16.85546875" style="89" customWidth="1"/>
    <col min="15645" max="15647" width="11.42578125" style="89" customWidth="1"/>
    <col min="15648" max="15648" width="18.140625" style="89" customWidth="1"/>
    <col min="15649" max="15649" width="11.42578125" style="89" customWidth="1"/>
    <col min="15650" max="15650" width="12.5703125" style="89" customWidth="1"/>
    <col min="15651" max="15651" width="25" style="89" customWidth="1"/>
    <col min="15652" max="15652" width="16.5703125" style="89" bestFit="1" customWidth="1"/>
    <col min="15653" max="15653" width="24" style="89" customWidth="1"/>
    <col min="15654" max="15654" width="11.42578125" style="89" customWidth="1"/>
    <col min="15655" max="15655" width="20" style="89" customWidth="1"/>
    <col min="15656" max="15656" width="11.42578125" style="89" customWidth="1"/>
    <col min="15657" max="15657" width="19" style="89" customWidth="1"/>
    <col min="15658" max="15661" width="11.42578125" style="89" customWidth="1"/>
    <col min="15662" max="15662" width="15.140625" style="89" customWidth="1"/>
    <col min="15663" max="15663" width="14" style="89" customWidth="1"/>
    <col min="15664" max="15664" width="15.140625" style="89" customWidth="1"/>
    <col min="15665" max="15665" width="11.42578125" style="89" customWidth="1"/>
    <col min="15666" max="15666" width="51.7109375" style="89" customWidth="1"/>
    <col min="15667" max="15668" width="29.5703125" style="89" customWidth="1"/>
    <col min="15669" max="15669" width="44.42578125" style="89" customWidth="1"/>
    <col min="15670" max="15670" width="36.28515625" style="89" customWidth="1"/>
    <col min="15671" max="15671" width="27.42578125" style="89" bestFit="1" customWidth="1"/>
    <col min="15672" max="15892" width="11.42578125" style="89"/>
    <col min="15893" max="15893" width="15.5703125" style="89" bestFit="1" customWidth="1"/>
    <col min="15894" max="15894" width="33.7109375" style="89" customWidth="1"/>
    <col min="15895" max="15895" width="19" style="89" customWidth="1"/>
    <col min="15896" max="15896" width="19.85546875" style="89" customWidth="1"/>
    <col min="15897" max="15897" width="18.5703125" style="89" customWidth="1"/>
    <col min="15898" max="15898" width="19.7109375" style="89" customWidth="1"/>
    <col min="15899" max="15899" width="14.85546875" style="89" customWidth="1"/>
    <col min="15900" max="15900" width="16.85546875" style="89" customWidth="1"/>
    <col min="15901" max="15903" width="11.42578125" style="89" customWidth="1"/>
    <col min="15904" max="15904" width="18.140625" style="89" customWidth="1"/>
    <col min="15905" max="15905" width="11.42578125" style="89" customWidth="1"/>
    <col min="15906" max="15906" width="12.5703125" style="89" customWidth="1"/>
    <col min="15907" max="15907" width="25" style="89" customWidth="1"/>
    <col min="15908" max="15908" width="16.5703125" style="89" bestFit="1" customWidth="1"/>
    <col min="15909" max="15909" width="24" style="89" customWidth="1"/>
    <col min="15910" max="15910" width="11.42578125" style="89" customWidth="1"/>
    <col min="15911" max="15911" width="20" style="89" customWidth="1"/>
    <col min="15912" max="15912" width="11.42578125" style="89" customWidth="1"/>
    <col min="15913" max="15913" width="19" style="89" customWidth="1"/>
    <col min="15914" max="15917" width="11.42578125" style="89" customWidth="1"/>
    <col min="15918" max="15918" width="15.140625" style="89" customWidth="1"/>
    <col min="15919" max="15919" width="14" style="89" customWidth="1"/>
    <col min="15920" max="15920" width="15.140625" style="89" customWidth="1"/>
    <col min="15921" max="15921" width="11.42578125" style="89" customWidth="1"/>
    <col min="15922" max="15922" width="51.7109375" style="89" customWidth="1"/>
    <col min="15923" max="15924" width="29.5703125" style="89" customWidth="1"/>
    <col min="15925" max="15925" width="44.42578125" style="89" customWidth="1"/>
    <col min="15926" max="15926" width="36.28515625" style="89" customWidth="1"/>
    <col min="15927" max="15927" width="27.42578125" style="89" bestFit="1" customWidth="1"/>
    <col min="15928" max="16148" width="11.42578125" style="89"/>
    <col min="16149" max="16149" width="15.5703125" style="89" bestFit="1" customWidth="1"/>
    <col min="16150" max="16150" width="33.7109375" style="89" customWidth="1"/>
    <col min="16151" max="16151" width="19" style="89" customWidth="1"/>
    <col min="16152" max="16152" width="19.85546875" style="89" customWidth="1"/>
    <col min="16153" max="16153" width="18.5703125" style="89" customWidth="1"/>
    <col min="16154" max="16154" width="19.7109375" style="89" customWidth="1"/>
    <col min="16155" max="16155" width="14.85546875" style="89" customWidth="1"/>
    <col min="16156" max="16156" width="16.85546875" style="89" customWidth="1"/>
    <col min="16157" max="16159" width="11.42578125" style="89" customWidth="1"/>
    <col min="16160" max="16160" width="18.140625" style="89" customWidth="1"/>
    <col min="16161" max="16161" width="11.42578125" style="89" customWidth="1"/>
    <col min="16162" max="16162" width="12.5703125" style="89" customWidth="1"/>
    <col min="16163" max="16163" width="25" style="89" customWidth="1"/>
    <col min="16164" max="16164" width="16.5703125" style="89" bestFit="1" customWidth="1"/>
    <col min="16165" max="16165" width="24" style="89" customWidth="1"/>
    <col min="16166" max="16166" width="11.42578125" style="89" customWidth="1"/>
    <col min="16167" max="16167" width="20" style="89" customWidth="1"/>
    <col min="16168" max="16168" width="11.42578125" style="89" customWidth="1"/>
    <col min="16169" max="16169" width="19" style="89" customWidth="1"/>
    <col min="16170" max="16173" width="11.42578125" style="89" customWidth="1"/>
    <col min="16174" max="16174" width="15.140625" style="89" customWidth="1"/>
    <col min="16175" max="16175" width="14" style="89" customWidth="1"/>
    <col min="16176" max="16176" width="15.140625" style="89" customWidth="1"/>
    <col min="16177" max="16177" width="11.42578125" style="89" customWidth="1"/>
    <col min="16178" max="16178" width="51.7109375" style="89" customWidth="1"/>
    <col min="16179" max="16180" width="29.5703125" style="89" customWidth="1"/>
    <col min="16181" max="16181" width="44.42578125" style="89" customWidth="1"/>
    <col min="16182" max="16182" width="36.28515625" style="89" customWidth="1"/>
    <col min="16183" max="16183" width="27.42578125" style="89" bestFit="1" customWidth="1"/>
    <col min="16184" max="16384" width="11.42578125" style="89"/>
  </cols>
  <sheetData>
    <row r="1" spans="1:76" s="90" customFormat="1" ht="34.5" customHeight="1" x14ac:dyDescent="0.6">
      <c r="AD1" s="238"/>
      <c r="AH1" s="238"/>
      <c r="AI1" s="238"/>
      <c r="AJ1" s="238"/>
      <c r="AR1" s="238"/>
      <c r="BL1" s="242" t="s">
        <v>218</v>
      </c>
      <c r="BM1" s="243"/>
      <c r="BN1" s="243"/>
      <c r="BO1" s="243"/>
      <c r="BP1" s="243"/>
      <c r="BQ1" s="243"/>
      <c r="BR1" s="243"/>
      <c r="BS1" s="243"/>
      <c r="BT1" s="243"/>
      <c r="BU1" s="243"/>
    </row>
    <row r="2" spans="1:76" ht="76.5" x14ac:dyDescent="0.25">
      <c r="A2" s="233" t="s">
        <v>176</v>
      </c>
      <c r="B2" s="234" t="s">
        <v>89</v>
      </c>
      <c r="C2" s="235" t="s">
        <v>90</v>
      </c>
      <c r="D2" s="235" t="s">
        <v>91</v>
      </c>
      <c r="E2" s="235" t="s">
        <v>92</v>
      </c>
      <c r="F2" s="236" t="s">
        <v>93</v>
      </c>
      <c r="G2" s="236" t="s">
        <v>94</v>
      </c>
      <c r="H2" s="236" t="s">
        <v>206</v>
      </c>
      <c r="I2" s="229" t="s">
        <v>95</v>
      </c>
      <c r="J2" s="226" t="s">
        <v>96</v>
      </c>
      <c r="K2" s="230" t="s">
        <v>97</v>
      </c>
      <c r="L2" s="226" t="s">
        <v>98</v>
      </c>
      <c r="M2" s="231" t="s">
        <v>99</v>
      </c>
      <c r="N2" s="231" t="s">
        <v>100</v>
      </c>
      <c r="O2" s="231" t="s">
        <v>101</v>
      </c>
      <c r="P2" s="226" t="s">
        <v>102</v>
      </c>
      <c r="Q2" s="226" t="s">
        <v>103</v>
      </c>
      <c r="R2" s="231" t="s">
        <v>145</v>
      </c>
      <c r="S2" s="237" t="s">
        <v>157</v>
      </c>
      <c r="T2" s="237" t="s">
        <v>158</v>
      </c>
      <c r="U2" s="237" t="s">
        <v>159</v>
      </c>
      <c r="V2" s="237" t="s">
        <v>160</v>
      </c>
      <c r="W2" s="237" t="s">
        <v>161</v>
      </c>
      <c r="X2" s="237" t="s">
        <v>211</v>
      </c>
      <c r="Y2" s="237" t="s">
        <v>212</v>
      </c>
      <c r="Z2" s="237" t="s">
        <v>213</v>
      </c>
      <c r="AA2" s="237" t="s">
        <v>162</v>
      </c>
      <c r="AB2" s="237" t="s">
        <v>163</v>
      </c>
      <c r="AC2" s="237" t="s">
        <v>164</v>
      </c>
      <c r="AD2" s="237" t="s">
        <v>165</v>
      </c>
      <c r="AE2" s="237" t="s">
        <v>166</v>
      </c>
      <c r="AF2" s="237" t="s">
        <v>167</v>
      </c>
      <c r="AG2" s="237" t="s">
        <v>178</v>
      </c>
      <c r="AH2" s="237" t="s">
        <v>179</v>
      </c>
      <c r="AI2" s="237" t="s">
        <v>104</v>
      </c>
      <c r="AJ2" s="237" t="s">
        <v>150</v>
      </c>
      <c r="AK2" s="237" t="s">
        <v>207</v>
      </c>
      <c r="AL2" s="231" t="s">
        <v>184</v>
      </c>
      <c r="AM2" s="231" t="s">
        <v>185</v>
      </c>
      <c r="AN2" s="231" t="s">
        <v>168</v>
      </c>
      <c r="AO2" s="231" t="s">
        <v>169</v>
      </c>
      <c r="AP2" s="237" t="s">
        <v>172</v>
      </c>
      <c r="AQ2" s="237" t="s">
        <v>173</v>
      </c>
      <c r="AR2" s="237" t="s">
        <v>181</v>
      </c>
      <c r="AS2" s="237" t="s">
        <v>180</v>
      </c>
      <c r="AT2" s="237" t="s">
        <v>170</v>
      </c>
      <c r="AU2" s="237" t="s">
        <v>171</v>
      </c>
      <c r="AV2" s="237" t="s">
        <v>182</v>
      </c>
      <c r="AW2" s="237" t="s">
        <v>183</v>
      </c>
      <c r="AX2" s="232" t="s">
        <v>105</v>
      </c>
      <c r="AY2" s="232" t="s">
        <v>106</v>
      </c>
      <c r="AZ2" s="226" t="s">
        <v>107</v>
      </c>
      <c r="BA2" s="232" t="s">
        <v>65</v>
      </c>
      <c r="BB2" s="226" t="s">
        <v>108</v>
      </c>
      <c r="BC2" s="226" t="s">
        <v>146</v>
      </c>
      <c r="BD2" s="226" t="s">
        <v>147</v>
      </c>
      <c r="BE2" s="227" t="s">
        <v>186</v>
      </c>
      <c r="BF2" s="227" t="s">
        <v>187</v>
      </c>
      <c r="BG2" s="227" t="s">
        <v>188</v>
      </c>
      <c r="BH2" s="228" t="s">
        <v>216</v>
      </c>
      <c r="BI2" s="228" t="s">
        <v>217</v>
      </c>
      <c r="BK2" s="239" t="s">
        <v>219</v>
      </c>
      <c r="BL2" s="239" t="s">
        <v>219</v>
      </c>
      <c r="BM2" s="239" t="s">
        <v>219</v>
      </c>
      <c r="BN2" s="239" t="s">
        <v>219</v>
      </c>
      <c r="BO2" s="239" t="s">
        <v>219</v>
      </c>
      <c r="BP2" s="239" t="s">
        <v>219</v>
      </c>
      <c r="BQ2" s="239" t="s">
        <v>219</v>
      </c>
      <c r="BR2" s="239" t="s">
        <v>219</v>
      </c>
      <c r="BS2" s="239" t="s">
        <v>219</v>
      </c>
      <c r="BT2" s="239" t="s">
        <v>219</v>
      </c>
      <c r="BU2" s="239" t="s">
        <v>219</v>
      </c>
      <c r="BV2" s="239" t="s">
        <v>219</v>
      </c>
      <c r="BW2" s="239" t="s">
        <v>219</v>
      </c>
      <c r="BX2" s="239" t="s">
        <v>219</v>
      </c>
    </row>
    <row r="3" spans="1:76" x14ac:dyDescent="0.25">
      <c r="A3" s="169" t="s">
        <v>141</v>
      </c>
      <c r="B3" s="170">
        <v>860081</v>
      </c>
      <c r="C3" s="165" t="s">
        <v>198</v>
      </c>
      <c r="D3" s="171" t="s">
        <v>109</v>
      </c>
      <c r="E3" s="189">
        <v>43830</v>
      </c>
      <c r="F3" s="188" t="s">
        <v>115</v>
      </c>
      <c r="G3" s="189" t="s">
        <v>114</v>
      </c>
      <c r="H3" s="189" t="s">
        <v>208</v>
      </c>
      <c r="I3" s="189">
        <v>43899</v>
      </c>
      <c r="J3" s="189">
        <v>43937</v>
      </c>
      <c r="K3" s="190">
        <f>IF(I3="","",MONTH(I3))</f>
        <v>3</v>
      </c>
      <c r="L3" s="190">
        <f>IF(I3="","",DAYS360(E3,I3))</f>
        <v>69</v>
      </c>
      <c r="M3" s="188"/>
      <c r="N3" s="188"/>
      <c r="O3" s="188"/>
      <c r="P3" s="188"/>
      <c r="Q3" s="188"/>
      <c r="R3" s="188"/>
      <c r="S3" s="213">
        <v>100</v>
      </c>
      <c r="T3" s="207">
        <v>50</v>
      </c>
      <c r="U3" s="219"/>
      <c r="V3" s="213">
        <v>200</v>
      </c>
      <c r="W3" s="219">
        <v>200</v>
      </c>
      <c r="X3" s="219">
        <v>300</v>
      </c>
      <c r="Y3" s="219">
        <v>20</v>
      </c>
      <c r="Z3" s="219"/>
      <c r="AA3" s="219">
        <v>200</v>
      </c>
      <c r="AB3" s="219">
        <v>100</v>
      </c>
      <c r="AC3" s="219">
        <v>2000</v>
      </c>
      <c r="AD3" s="219">
        <v>200</v>
      </c>
      <c r="AE3" s="219">
        <v>600</v>
      </c>
      <c r="AF3" s="219">
        <v>500</v>
      </c>
      <c r="AG3" s="219">
        <v>4470</v>
      </c>
      <c r="AH3" s="225">
        <f>SUM(PORTEFEUILLE_ERIC[[#This Row],[PCR COMPTABLE €]:[MONTANT
RESPONSABLE RELATION CLIENT €]])-PORTEFEUILLE_ERIC[[#This Row],[MONTANT TOTAL LETTRE DE MISION €]]</f>
        <v>0</v>
      </c>
      <c r="AI3" s="191" t="s">
        <v>152</v>
      </c>
      <c r="AJ3" s="188" t="s">
        <v>155</v>
      </c>
      <c r="AK3" s="188" t="s">
        <v>153</v>
      </c>
      <c r="AL3" s="188" t="s">
        <v>199</v>
      </c>
      <c r="AM3" s="188" t="s">
        <v>200</v>
      </c>
      <c r="AN3" s="188">
        <v>36</v>
      </c>
      <c r="AO3" s="188">
        <v>16</v>
      </c>
      <c r="AP3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Q3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400</v>
      </c>
      <c r="AR3" s="188" t="str">
        <f>IF(PORTEFEUILLE_ERIC[[#This Row],[BONI AAC]]&lt;&gt;0,1,"")</f>
        <v/>
      </c>
      <c r="AS3" s="188">
        <f>IF(PORTEFEUILLE_ERIC[[#This Row],[MALI AAC]]&lt;&gt;0,1,"")</f>
        <v>1</v>
      </c>
      <c r="AT3" s="225">
        <f>IF(AN3&lt;&gt;"",IF((AN3*Paramètres!$H$4)-PORTEFEUILLE_ERIC[[#This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€]]-(DELPHINE!AN3*Paramètres!$H$4),0),0)</f>
        <v>0</v>
      </c>
      <c r="AU3" s="225">
        <f>IF(AN3&lt;&gt;"",IF(((AN3*Paramètres!$H$4)-PORTEFEUILLE_ERIC[[#This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€]])&gt;0,(AN3*Paramètres!$H$4)-PORTEFEUILLE_ERIC[[#This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V3" s="190" t="str">
        <f>IF(PORTEFEUILLE_ERIC[[#This Row],[BONI COMPTABLE]]&lt;&gt;0,1,"")</f>
        <v/>
      </c>
      <c r="AW3" s="190" t="str">
        <f>IF(PORTEFEUILLE_ERIC[[#This Row],[MALI COMPTABLE]]&lt;&gt;0,1,"")</f>
        <v/>
      </c>
      <c r="AX3" s="188">
        <v>2</v>
      </c>
      <c r="AY3" s="188" t="s">
        <v>209</v>
      </c>
      <c r="AZ3" s="188" t="s">
        <v>209</v>
      </c>
      <c r="BA3" s="188"/>
      <c r="BB3" s="188"/>
      <c r="BC3" s="188"/>
      <c r="BD3" s="188"/>
      <c r="BE3" s="192" t="s">
        <v>214</v>
      </c>
      <c r="BF3" s="192" t="s">
        <v>191</v>
      </c>
      <c r="BG3" s="192" t="s">
        <v>200</v>
      </c>
      <c r="BH3" s="193"/>
      <c r="BI3" s="192"/>
    </row>
    <row r="4" spans="1:76" x14ac:dyDescent="0.25">
      <c r="A4" s="169" t="s">
        <v>141</v>
      </c>
      <c r="B4" s="170">
        <v>860082</v>
      </c>
      <c r="C4" s="165" t="s">
        <v>210</v>
      </c>
      <c r="D4" s="171" t="s">
        <v>109</v>
      </c>
      <c r="E4" s="189">
        <v>43830</v>
      </c>
      <c r="F4" s="188" t="s">
        <v>112</v>
      </c>
      <c r="G4" s="189" t="s">
        <v>111</v>
      </c>
      <c r="H4" s="189"/>
      <c r="I4" s="189">
        <v>43873</v>
      </c>
      <c r="J4" s="189">
        <v>43938</v>
      </c>
      <c r="K4" s="190">
        <f t="shared" ref="K4:K60" si="0">IF(I4="","",MONTH(I4))</f>
        <v>2</v>
      </c>
      <c r="L4" s="190">
        <f t="shared" ref="L4:L60" si="1">IF(I4="","",DAYS360(E4,I4))</f>
        <v>42</v>
      </c>
      <c r="M4" s="188" t="s">
        <v>200</v>
      </c>
      <c r="N4" s="188"/>
      <c r="O4" s="188"/>
      <c r="P4" s="188"/>
      <c r="Q4" s="188"/>
      <c r="R4" s="188"/>
      <c r="S4" s="213">
        <v>0</v>
      </c>
      <c r="T4" s="207">
        <v>100</v>
      </c>
      <c r="U4" s="219"/>
      <c r="V4" s="219">
        <v>50</v>
      </c>
      <c r="W4" s="219">
        <v>550</v>
      </c>
      <c r="X4" s="219"/>
      <c r="Y4" s="219"/>
      <c r="Z4" s="219"/>
      <c r="AA4" s="219"/>
      <c r="AB4" s="219"/>
      <c r="AC4" s="219"/>
      <c r="AD4" s="219"/>
      <c r="AE4" s="219"/>
      <c r="AF4" s="219"/>
      <c r="AG4" s="219">
        <v>700</v>
      </c>
      <c r="AH4" s="225">
        <f>SUM(PORTEFEUILLE_ERIC[[#This Row],[PCR COMPTABLE €]:[MONTANT
RESPONSABLE RELATION CLIENT €]])-PORTEFEUILLE_ERIC[[#This Row],[MONTANT TOTAL LETTRE DE MISION €]]</f>
        <v>0</v>
      </c>
      <c r="AI4" s="191" t="s">
        <v>153</v>
      </c>
      <c r="AJ4" s="188" t="s">
        <v>154</v>
      </c>
      <c r="AK4" s="188"/>
      <c r="AL4" s="188" t="s">
        <v>199</v>
      </c>
      <c r="AM4" s="188"/>
      <c r="AN4" s="188">
        <v>30</v>
      </c>
      <c r="AO4" s="188">
        <v>20</v>
      </c>
      <c r="AP4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Q4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1000</v>
      </c>
      <c r="AR4" s="188" t="str">
        <f>IF(PORTEFEUILLE_ERIC[[#This Row],[BONI AAC]]&lt;&gt;0,1,"")</f>
        <v/>
      </c>
      <c r="AS4" s="188">
        <f>IF(PORTEFEUILLE_ERIC[[#This Row],[MALI AAC]]&lt;&gt;0,1,"")</f>
        <v>1</v>
      </c>
      <c r="AT4" s="225">
        <f>IF(AN4&lt;&gt;"",IF((AN4*Paramètres!$H$4)-PORTEFEUILLE_ERIC[[#This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€]]-(DELPHINE!AN4*Paramètres!$H$4),0),0)</f>
        <v>0</v>
      </c>
      <c r="AU4" s="225">
        <f>IF(AN4&lt;&gt;"",IF(((AN4*Paramètres!$H$4)-PORTEFEUILLE_ERIC[[#This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€]])&gt;0,(AN4*Paramètres!$H$4)-PORTEFEUILLE_ERIC[[#This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3000</v>
      </c>
      <c r="AV4" s="190" t="str">
        <f>IF(PORTEFEUILLE_ERIC[[#This Row],[BONI COMPTABLE]]&lt;&gt;0,1,"")</f>
        <v/>
      </c>
      <c r="AW4" s="190">
        <f>IF(PORTEFEUILLE_ERIC[[#This Row],[MALI COMPTABLE]]&lt;&gt;0,1,"")</f>
        <v>1</v>
      </c>
      <c r="AX4" s="188">
        <v>4</v>
      </c>
      <c r="AY4" s="188" t="s">
        <v>209</v>
      </c>
      <c r="AZ4" s="188" t="s">
        <v>209</v>
      </c>
      <c r="BA4" s="188"/>
      <c r="BB4" s="188"/>
      <c r="BC4" s="188"/>
      <c r="BD4" s="188"/>
      <c r="BE4" s="192" t="s">
        <v>214</v>
      </c>
      <c r="BF4" s="194" t="s">
        <v>138</v>
      </c>
      <c r="BG4" s="194" t="s">
        <v>215</v>
      </c>
      <c r="BH4" s="195"/>
      <c r="BI4" s="194"/>
    </row>
    <row r="5" spans="1:76" x14ac:dyDescent="0.25">
      <c r="A5" s="169" t="s">
        <v>141</v>
      </c>
      <c r="B5" s="170">
        <v>860083</v>
      </c>
      <c r="C5" s="165" t="s">
        <v>204</v>
      </c>
      <c r="D5" s="171" t="s">
        <v>109</v>
      </c>
      <c r="E5" s="189">
        <v>43830</v>
      </c>
      <c r="F5" s="188" t="s">
        <v>130</v>
      </c>
      <c r="G5" s="189" t="s">
        <v>114</v>
      </c>
      <c r="H5" s="189" t="s">
        <v>208</v>
      </c>
      <c r="I5" s="189"/>
      <c r="J5" s="189"/>
      <c r="K5" s="190" t="str">
        <f t="shared" si="0"/>
        <v/>
      </c>
      <c r="L5" s="190" t="str">
        <f t="shared" si="1"/>
        <v/>
      </c>
      <c r="M5" s="188"/>
      <c r="N5" s="188"/>
      <c r="O5" s="188"/>
      <c r="P5" s="188"/>
      <c r="Q5" s="188"/>
      <c r="R5" s="188"/>
      <c r="S5" s="213">
        <v>85</v>
      </c>
      <c r="T5" s="207">
        <v>85</v>
      </c>
      <c r="U5" s="219">
        <v>200</v>
      </c>
      <c r="V5" s="219">
        <v>200</v>
      </c>
      <c r="W5" s="219">
        <v>400</v>
      </c>
      <c r="X5" s="219"/>
      <c r="Y5" s="219">
        <v>400</v>
      </c>
      <c r="Z5" s="219"/>
      <c r="AA5" s="219">
        <v>600</v>
      </c>
      <c r="AB5" s="219"/>
      <c r="AC5" s="219">
        <v>1500</v>
      </c>
      <c r="AD5" s="219">
        <v>200</v>
      </c>
      <c r="AE5" s="219">
        <v>0</v>
      </c>
      <c r="AF5" s="219">
        <v>65</v>
      </c>
      <c r="AG5" s="219">
        <v>3735</v>
      </c>
      <c r="AH5" s="225">
        <f>SUM(PORTEFEUILLE_ERIC[[#This Row],[PCR COMPTABLE €]:[MONTANT
RESPONSABLE RELATION CLIENT €]])-PORTEFEUILLE_ERIC[[#This Row],[MONTANT TOTAL LETTRE DE MISION €]]</f>
        <v>0</v>
      </c>
      <c r="AI5" s="191" t="s">
        <v>153</v>
      </c>
      <c r="AJ5" s="188" t="s">
        <v>156</v>
      </c>
      <c r="AK5" s="188" t="s">
        <v>153</v>
      </c>
      <c r="AL5" s="188"/>
      <c r="AM5" s="188"/>
      <c r="AN5" s="188">
        <v>60</v>
      </c>
      <c r="AO5" s="188">
        <v>60</v>
      </c>
      <c r="AP5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Q5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2200</v>
      </c>
      <c r="AR5" s="188" t="str">
        <f>IF(PORTEFEUILLE_ERIC[[#This Row],[BONI AAC]]&lt;&gt;0,1,"")</f>
        <v/>
      </c>
      <c r="AS5" s="188">
        <f>IF(PORTEFEUILLE_ERIC[[#This Row],[MALI AAC]]&lt;&gt;0,1,"")</f>
        <v>1</v>
      </c>
      <c r="AT5" s="225">
        <f>IF(AN5&lt;&gt;"",IF((AN5*Paramètres!$H$4)-PORTEFEUILLE_ERIC[[#This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€]]-(DELPHINE!AN5*Paramètres!$H$4),0),0)</f>
        <v>0</v>
      </c>
      <c r="AU5" s="225">
        <f>IF(AN5&lt;&gt;"",IF(((AN5*Paramètres!$H$4)-PORTEFEUILLE_ERIC[[#This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€]])&gt;0,(AN5*Paramètres!$H$4)-PORTEFEUILLE_ERIC[[#This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4150</v>
      </c>
      <c r="AV5" s="190" t="str">
        <f>IF(PORTEFEUILLE_ERIC[[#This Row],[BONI COMPTABLE]]&lt;&gt;0,1,"")</f>
        <v/>
      </c>
      <c r="AW5" s="190">
        <f>IF(PORTEFEUILLE_ERIC[[#This Row],[MALI COMPTABLE]]&lt;&gt;0,1,"")</f>
        <v>1</v>
      </c>
      <c r="AX5" s="188"/>
      <c r="AY5" s="188"/>
      <c r="AZ5" s="188"/>
      <c r="BA5" s="188"/>
      <c r="BB5" s="188"/>
      <c r="BC5" s="188"/>
      <c r="BD5" s="188"/>
      <c r="BE5" s="192" t="s">
        <v>214</v>
      </c>
      <c r="BF5" s="194" t="s">
        <v>140</v>
      </c>
      <c r="BG5" s="194" t="s">
        <v>205</v>
      </c>
      <c r="BH5" s="195" t="s">
        <v>200</v>
      </c>
      <c r="BI5" s="194"/>
    </row>
    <row r="6" spans="1:76" x14ac:dyDescent="0.25">
      <c r="A6" s="172"/>
      <c r="B6" s="170"/>
      <c r="C6" s="165"/>
      <c r="D6" s="171"/>
      <c r="E6" s="189"/>
      <c r="F6" s="188"/>
      <c r="G6" s="189"/>
      <c r="H6" s="189"/>
      <c r="I6" s="189"/>
      <c r="J6" s="189"/>
      <c r="K6" s="190" t="str">
        <f t="shared" si="0"/>
        <v/>
      </c>
      <c r="L6" s="190" t="str">
        <f t="shared" si="1"/>
        <v/>
      </c>
      <c r="M6" s="188"/>
      <c r="N6" s="188"/>
      <c r="O6" s="188"/>
      <c r="P6" s="188"/>
      <c r="Q6" s="188"/>
      <c r="R6" s="188"/>
      <c r="S6" s="213"/>
      <c r="T6" s="207"/>
      <c r="U6" s="219"/>
      <c r="V6" s="219"/>
      <c r="W6" s="219"/>
      <c r="X6" s="219"/>
      <c r="Y6" s="219"/>
      <c r="Z6" s="219"/>
      <c r="AA6" s="219"/>
      <c r="AB6" s="219"/>
      <c r="AC6" s="219"/>
      <c r="AD6" s="219"/>
      <c r="AE6" s="219"/>
      <c r="AF6" s="219"/>
      <c r="AG6" s="219"/>
      <c r="AH6" s="225">
        <f>SUM(PORTEFEUILLE_ERIC[[#This Row],[PCR COMPTABLE €]:[MONTANT
RESPONSABLE RELATION CLIENT €]])-PORTEFEUILLE_ERIC[[#This Row],[MONTANT TOTAL LETTRE DE MISION €]]</f>
        <v>0</v>
      </c>
      <c r="AI6" s="191"/>
      <c r="AJ6" s="188"/>
      <c r="AK6" s="188"/>
      <c r="AL6" s="188"/>
      <c r="AM6" s="188"/>
      <c r="AN6" s="188"/>
      <c r="AO6" s="188"/>
      <c r="AP6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Q6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R6" s="188" t="str">
        <f>IF(PORTEFEUILLE_ERIC[[#This Row],[BONI AAC]]&lt;&gt;0,1,"")</f>
        <v/>
      </c>
      <c r="AS6" s="188" t="str">
        <f>IF(PORTEFEUILLE_ERIC[[#This Row],[MALI AAC]]&lt;&gt;0,1,"")</f>
        <v/>
      </c>
      <c r="AT6" s="225">
        <f>IF(AN6&lt;&gt;"",IF((AN6*Paramètres!$H$4)-PORTEFEUILLE_ERIC[[#This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€]]-(DELPHINE!AN6*Paramètres!$H$4),0),0)</f>
        <v>0</v>
      </c>
      <c r="AU6" s="225">
        <f>IF(AN6&lt;&gt;"",IF(((AN6*Paramètres!$H$4)-PORTEFEUILLE_ERIC[[#This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€]])&gt;0,(AN6*Paramètres!$H$4)-PORTEFEUILLE_ERIC[[#This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V6" s="190" t="str">
        <f>IF(PORTEFEUILLE_ERIC[[#This Row],[BONI COMPTABLE]]&lt;&gt;0,1,"")</f>
        <v/>
      </c>
      <c r="AW6" s="190" t="str">
        <f>IF(PORTEFEUILLE_ERIC[[#This Row],[MALI COMPTABLE]]&lt;&gt;0,1,"")</f>
        <v/>
      </c>
      <c r="AX6" s="188"/>
      <c r="AY6" s="188"/>
      <c r="AZ6" s="188"/>
      <c r="BA6" s="188"/>
      <c r="BB6" s="188"/>
      <c r="BC6" s="188"/>
      <c r="BD6" s="188"/>
      <c r="BE6" s="192"/>
      <c r="BF6" s="194"/>
      <c r="BG6" s="194"/>
      <c r="BH6" s="195"/>
      <c r="BI6" s="194"/>
    </row>
    <row r="7" spans="1:76" x14ac:dyDescent="0.25">
      <c r="A7" s="172"/>
      <c r="B7" s="173"/>
      <c r="C7" s="165"/>
      <c r="D7" s="171"/>
      <c r="E7" s="189"/>
      <c r="F7" s="188"/>
      <c r="G7" s="189"/>
      <c r="H7" s="189"/>
      <c r="I7" s="189"/>
      <c r="J7" s="189"/>
      <c r="K7" s="190" t="str">
        <f t="shared" si="0"/>
        <v/>
      </c>
      <c r="L7" s="190" t="str">
        <f t="shared" si="1"/>
        <v/>
      </c>
      <c r="M7" s="188"/>
      <c r="N7" s="188"/>
      <c r="O7" s="188"/>
      <c r="P7" s="188"/>
      <c r="Q7" s="188"/>
      <c r="R7" s="188"/>
      <c r="S7" s="213"/>
      <c r="T7" s="207"/>
      <c r="U7" s="219"/>
      <c r="V7" s="219"/>
      <c r="W7" s="219"/>
      <c r="X7" s="219"/>
      <c r="Y7" s="219"/>
      <c r="Z7" s="219"/>
      <c r="AA7" s="219"/>
      <c r="AB7" s="219"/>
      <c r="AC7" s="219"/>
      <c r="AD7" s="219"/>
      <c r="AE7" s="219"/>
      <c r="AF7" s="219"/>
      <c r="AG7" s="219"/>
      <c r="AH7" s="225">
        <f>SUM(PORTEFEUILLE_ERIC[[#This Row],[PCR COMPTABLE €]:[MONTANT
RESPONSABLE RELATION CLIENT €]])-PORTEFEUILLE_ERIC[[#This Row],[MONTANT TOTAL LETTRE DE MISION €]]</f>
        <v>0</v>
      </c>
      <c r="AI7" s="191"/>
      <c r="AJ7" s="188"/>
      <c r="AK7" s="188"/>
      <c r="AL7" s="188"/>
      <c r="AM7" s="188"/>
      <c r="AN7" s="188"/>
      <c r="AO7" s="188"/>
      <c r="AP7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Q7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R7" s="188" t="str">
        <f>IF(PORTEFEUILLE_ERIC[[#This Row],[BONI AAC]]&lt;&gt;0,1,"")</f>
        <v/>
      </c>
      <c r="AS7" s="188" t="str">
        <f>IF(PORTEFEUILLE_ERIC[[#This Row],[MALI AAC]]&lt;&gt;0,1,"")</f>
        <v/>
      </c>
      <c r="AT7" s="225">
        <f>IF(AN7&lt;&gt;"",IF((AN7*Paramètres!$H$4)-PORTEFEUILLE_ERIC[[#This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€]]-(DELPHINE!AN7*Paramètres!$H$4),0),0)</f>
        <v>0</v>
      </c>
      <c r="AU7" s="225">
        <f>IF(AN7&lt;&gt;"",IF(((AN7*Paramètres!$H$4)-PORTEFEUILLE_ERIC[[#This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€]])&gt;0,(AN7*Paramètres!$H$4)-PORTEFEUILLE_ERIC[[#This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V7" s="190" t="str">
        <f>IF(PORTEFEUILLE_ERIC[[#This Row],[BONI COMPTABLE]]&lt;&gt;0,1,"")</f>
        <v/>
      </c>
      <c r="AW7" s="190" t="str">
        <f>IF(PORTEFEUILLE_ERIC[[#This Row],[MALI COMPTABLE]]&lt;&gt;0,1,"")</f>
        <v/>
      </c>
      <c r="AX7" s="188"/>
      <c r="AY7" s="188"/>
      <c r="AZ7" s="188"/>
      <c r="BA7" s="188"/>
      <c r="BB7" s="196"/>
      <c r="BC7" s="196"/>
      <c r="BD7" s="196"/>
      <c r="BE7" s="192"/>
      <c r="BF7" s="194"/>
      <c r="BG7" s="194"/>
      <c r="BH7" s="195"/>
      <c r="BI7" s="194"/>
    </row>
    <row r="8" spans="1:76" x14ac:dyDescent="0.25">
      <c r="A8" s="172"/>
      <c r="B8" s="170"/>
      <c r="C8" s="165"/>
      <c r="D8" s="171"/>
      <c r="E8" s="189"/>
      <c r="F8" s="188"/>
      <c r="G8" s="189"/>
      <c r="H8" s="189"/>
      <c r="I8" s="189"/>
      <c r="J8" s="189"/>
      <c r="K8" s="190" t="str">
        <f t="shared" si="0"/>
        <v/>
      </c>
      <c r="L8" s="190" t="str">
        <f t="shared" si="1"/>
        <v/>
      </c>
      <c r="M8" s="188"/>
      <c r="N8" s="188"/>
      <c r="O8" s="188"/>
      <c r="P8" s="188"/>
      <c r="Q8" s="188"/>
      <c r="R8" s="188"/>
      <c r="S8" s="213"/>
      <c r="T8" s="207"/>
      <c r="U8" s="219"/>
      <c r="V8" s="219"/>
      <c r="W8" s="219"/>
      <c r="X8" s="219"/>
      <c r="Y8" s="219"/>
      <c r="Z8" s="219"/>
      <c r="AA8" s="219"/>
      <c r="AB8" s="219"/>
      <c r="AC8" s="219"/>
      <c r="AD8" s="219"/>
      <c r="AE8" s="219"/>
      <c r="AF8" s="219"/>
      <c r="AG8" s="219"/>
      <c r="AH8" s="225">
        <f>SUM(PORTEFEUILLE_ERIC[[#This Row],[PCR COMPTABLE €]:[MONTANT
RESPONSABLE RELATION CLIENT €]])-PORTEFEUILLE_ERIC[[#This Row],[MONTANT TOTAL LETTRE DE MISION €]]</f>
        <v>0</v>
      </c>
      <c r="AI8" s="191"/>
      <c r="AJ8" s="188"/>
      <c r="AK8" s="188"/>
      <c r="AL8" s="188"/>
      <c r="AM8" s="188"/>
      <c r="AN8" s="188"/>
      <c r="AO8" s="188"/>
      <c r="AP8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Q8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R8" s="188" t="str">
        <f>IF(PORTEFEUILLE_ERIC[[#This Row],[BONI AAC]]&lt;&gt;0,1,"")</f>
        <v/>
      </c>
      <c r="AS8" s="188" t="str">
        <f>IF(PORTEFEUILLE_ERIC[[#This Row],[MALI AAC]]&lt;&gt;0,1,"")</f>
        <v/>
      </c>
      <c r="AT8" s="225">
        <f>IF(AN8&lt;&gt;"",IF((AN8*Paramètres!$H$4)-PORTEFEUILLE_ERIC[[#This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€]]-(DELPHINE!AN8*Paramètres!$H$4),0),0)</f>
        <v>0</v>
      </c>
      <c r="AU8" s="225">
        <f>IF(AN8&lt;&gt;"",IF(((AN8*Paramètres!$H$4)-PORTEFEUILLE_ERIC[[#This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€]])&gt;0,(AN8*Paramètres!$H$4)-PORTEFEUILLE_ERIC[[#This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V8" s="190" t="str">
        <f>IF(PORTEFEUILLE_ERIC[[#This Row],[BONI COMPTABLE]]&lt;&gt;0,1,"")</f>
        <v/>
      </c>
      <c r="AW8" s="190" t="str">
        <f>IF(PORTEFEUILLE_ERIC[[#This Row],[MALI COMPTABLE]]&lt;&gt;0,1,"")</f>
        <v/>
      </c>
      <c r="AX8" s="188"/>
      <c r="AY8" s="188"/>
      <c r="AZ8" s="188"/>
      <c r="BA8" s="188"/>
      <c r="BB8" s="188"/>
      <c r="BC8" s="188"/>
      <c r="BD8" s="188"/>
      <c r="BE8" s="192"/>
      <c r="BF8" s="194"/>
      <c r="BG8" s="194"/>
      <c r="BH8" s="195"/>
      <c r="BI8" s="194"/>
    </row>
    <row r="9" spans="1:76" x14ac:dyDescent="0.25">
      <c r="A9" s="172"/>
      <c r="B9" s="170"/>
      <c r="C9" s="165"/>
      <c r="D9" s="171"/>
      <c r="E9" s="189"/>
      <c r="F9" s="188"/>
      <c r="G9" s="188"/>
      <c r="H9" s="189"/>
      <c r="I9" s="189"/>
      <c r="J9" s="189"/>
      <c r="K9" s="190" t="str">
        <f t="shared" si="0"/>
        <v/>
      </c>
      <c r="L9" s="190" t="str">
        <f t="shared" si="1"/>
        <v/>
      </c>
      <c r="M9" s="188"/>
      <c r="N9" s="188"/>
      <c r="O9" s="188"/>
      <c r="P9" s="188"/>
      <c r="Q9" s="188"/>
      <c r="R9" s="188"/>
      <c r="S9" s="214"/>
      <c r="T9" s="208"/>
      <c r="U9" s="220"/>
      <c r="V9" s="220"/>
      <c r="W9" s="220"/>
      <c r="X9" s="220"/>
      <c r="Y9" s="220"/>
      <c r="Z9" s="220"/>
      <c r="AA9" s="220"/>
      <c r="AB9" s="220"/>
      <c r="AC9" s="220"/>
      <c r="AD9" s="220"/>
      <c r="AE9" s="220"/>
      <c r="AF9" s="220"/>
      <c r="AG9" s="219"/>
      <c r="AH9" s="225">
        <f>SUM(PORTEFEUILLE_ERIC[[#This Row],[PCR COMPTABLE €]:[MONTANT
RESPONSABLE RELATION CLIENT €]])-PORTEFEUILLE_ERIC[[#This Row],[MONTANT TOTAL LETTRE DE MISION €]]</f>
        <v>0</v>
      </c>
      <c r="AI9" s="191"/>
      <c r="AJ9" s="188"/>
      <c r="AK9" s="188"/>
      <c r="AL9" s="196"/>
      <c r="AM9" s="196"/>
      <c r="AN9" s="196"/>
      <c r="AO9" s="196"/>
      <c r="AP9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Q9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R9" s="188" t="str">
        <f>IF(PORTEFEUILLE_ERIC[[#This Row],[BONI AAC]]&lt;&gt;0,1,"")</f>
        <v/>
      </c>
      <c r="AS9" s="188" t="str">
        <f>IF(PORTEFEUILLE_ERIC[[#This Row],[MALI AAC]]&lt;&gt;0,1,"")</f>
        <v/>
      </c>
      <c r="AT9" s="225">
        <f>IF(AN9&lt;&gt;"",IF((AN9*Paramètres!$H$4)-PORTEFEUILLE_ERIC[[#This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€]]-(DELPHINE!AN9*Paramètres!$H$4),0),0)</f>
        <v>0</v>
      </c>
      <c r="AU9" s="225">
        <f>IF(AN9&lt;&gt;"",IF(((AN9*Paramètres!$H$4)-PORTEFEUILLE_ERIC[[#This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€]])&gt;0,(AN9*Paramètres!$H$4)-PORTEFEUILLE_ERIC[[#This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V9" s="190" t="str">
        <f>IF(PORTEFEUILLE_ERIC[[#This Row],[BONI COMPTABLE]]&lt;&gt;0,1,"")</f>
        <v/>
      </c>
      <c r="AW9" s="190" t="str">
        <f>IF(PORTEFEUILLE_ERIC[[#This Row],[MALI COMPTABLE]]&lt;&gt;0,1,"")</f>
        <v/>
      </c>
      <c r="AX9" s="196"/>
      <c r="AY9" s="188"/>
      <c r="AZ9" s="188"/>
      <c r="BA9" s="188"/>
      <c r="BB9" s="188"/>
      <c r="BC9" s="188"/>
      <c r="BD9" s="188"/>
      <c r="BE9" s="192"/>
      <c r="BF9" s="194"/>
      <c r="BG9" s="194"/>
      <c r="BH9" s="195"/>
      <c r="BI9" s="194"/>
    </row>
    <row r="10" spans="1:76" x14ac:dyDescent="0.25">
      <c r="A10" s="172"/>
      <c r="B10" s="170"/>
      <c r="C10" s="165"/>
      <c r="D10" s="171"/>
      <c r="E10" s="189"/>
      <c r="F10" s="188"/>
      <c r="G10" s="189"/>
      <c r="H10" s="189"/>
      <c r="I10" s="189"/>
      <c r="J10" s="189"/>
      <c r="K10" s="190" t="str">
        <f t="shared" si="0"/>
        <v/>
      </c>
      <c r="L10" s="190" t="str">
        <f t="shared" si="1"/>
        <v/>
      </c>
      <c r="M10" s="188"/>
      <c r="N10" s="188"/>
      <c r="O10" s="188"/>
      <c r="P10" s="188"/>
      <c r="Q10" s="188"/>
      <c r="R10" s="188"/>
      <c r="S10" s="213"/>
      <c r="T10" s="207"/>
      <c r="U10" s="219"/>
      <c r="V10" s="219"/>
      <c r="W10" s="219"/>
      <c r="X10" s="219"/>
      <c r="Y10" s="219"/>
      <c r="Z10" s="219"/>
      <c r="AA10" s="219"/>
      <c r="AB10" s="219"/>
      <c r="AC10" s="219"/>
      <c r="AD10" s="219"/>
      <c r="AE10" s="219"/>
      <c r="AF10" s="219"/>
      <c r="AG10" s="219"/>
      <c r="AH10" s="225">
        <f>SUM(PORTEFEUILLE_ERIC[[#This Row],[PCR COMPTABLE €]:[MONTANT
RESPONSABLE RELATION CLIENT €]])-PORTEFEUILLE_ERIC[[#This Row],[MONTANT TOTAL LETTRE DE MISION €]]</f>
        <v>0</v>
      </c>
      <c r="AI10" s="191"/>
      <c r="AJ10" s="188"/>
      <c r="AK10" s="188"/>
      <c r="AL10" s="188"/>
      <c r="AM10" s="188"/>
      <c r="AN10" s="188"/>
      <c r="AO10" s="188"/>
      <c r="AP10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Q10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R10" s="188" t="str">
        <f>IF(PORTEFEUILLE_ERIC[[#This Row],[BONI AAC]]&lt;&gt;0,1,"")</f>
        <v/>
      </c>
      <c r="AS10" s="188" t="str">
        <f>IF(PORTEFEUILLE_ERIC[[#This Row],[MALI AAC]]&lt;&gt;0,1,"")</f>
        <v/>
      </c>
      <c r="AT10" s="225">
        <f>IF(AN10&lt;&gt;"",IF((AN10*Paramètres!$H$4)-PORTEFEUILLE_ERIC[[#This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€]]-(DELPHINE!AN10*Paramètres!$H$4),0),0)</f>
        <v>0</v>
      </c>
      <c r="AU10" s="225">
        <f>IF(AN10&lt;&gt;"",IF(((AN10*Paramètres!$H$4)-PORTEFEUILLE_ERIC[[#This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€]])&gt;0,(AN10*Paramètres!$H$4)-PORTEFEUILLE_ERIC[[#This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V10" s="190" t="str">
        <f>IF(PORTEFEUILLE_ERIC[[#This Row],[BONI COMPTABLE]]&lt;&gt;0,1,"")</f>
        <v/>
      </c>
      <c r="AW10" s="190" t="str">
        <f>IF(PORTEFEUILLE_ERIC[[#This Row],[MALI COMPTABLE]]&lt;&gt;0,1,"")</f>
        <v/>
      </c>
      <c r="AX10" s="188"/>
      <c r="AY10" s="188"/>
      <c r="AZ10" s="188"/>
      <c r="BA10" s="188"/>
      <c r="BB10" s="188"/>
      <c r="BC10" s="188"/>
      <c r="BD10" s="188"/>
      <c r="BE10" s="192"/>
      <c r="BF10" s="194"/>
      <c r="BG10" s="194"/>
      <c r="BH10" s="195"/>
      <c r="BI10" s="194"/>
    </row>
    <row r="11" spans="1:76" x14ac:dyDescent="0.25">
      <c r="A11" s="172"/>
      <c r="B11" s="173"/>
      <c r="C11" s="165"/>
      <c r="D11" s="171"/>
      <c r="E11" s="189"/>
      <c r="F11" s="188"/>
      <c r="G11" s="189"/>
      <c r="H11" s="189"/>
      <c r="I11" s="189"/>
      <c r="J11" s="189"/>
      <c r="K11" s="190" t="str">
        <f t="shared" si="0"/>
        <v/>
      </c>
      <c r="L11" s="190" t="str">
        <f t="shared" si="1"/>
        <v/>
      </c>
      <c r="M11" s="188"/>
      <c r="N11" s="188"/>
      <c r="O11" s="188"/>
      <c r="P11" s="188"/>
      <c r="Q11" s="188"/>
      <c r="R11" s="188"/>
      <c r="S11" s="213"/>
      <c r="T11" s="207"/>
      <c r="U11" s="219"/>
      <c r="V11" s="219"/>
      <c r="W11" s="219"/>
      <c r="X11" s="219"/>
      <c r="Y11" s="219"/>
      <c r="Z11" s="219"/>
      <c r="AA11" s="219"/>
      <c r="AB11" s="219"/>
      <c r="AC11" s="219"/>
      <c r="AD11" s="219"/>
      <c r="AE11" s="219"/>
      <c r="AF11" s="219"/>
      <c r="AG11" s="219"/>
      <c r="AH11" s="225">
        <f>SUM(PORTEFEUILLE_ERIC[[#This Row],[PCR COMPTABLE €]:[MONTANT
RESPONSABLE RELATION CLIENT €]])-PORTEFEUILLE_ERIC[[#This Row],[MONTANT TOTAL LETTRE DE MISION €]]</f>
        <v>0</v>
      </c>
      <c r="AI11" s="191"/>
      <c r="AJ11" s="188"/>
      <c r="AK11" s="188"/>
      <c r="AL11" s="188"/>
      <c r="AM11" s="188"/>
      <c r="AN11" s="188"/>
      <c r="AO11" s="188"/>
      <c r="AP11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Q11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R11" s="188" t="str">
        <f>IF(PORTEFEUILLE_ERIC[[#This Row],[BONI AAC]]&lt;&gt;0,1,"")</f>
        <v/>
      </c>
      <c r="AS11" s="188" t="str">
        <f>IF(PORTEFEUILLE_ERIC[[#This Row],[MALI AAC]]&lt;&gt;0,1,"")</f>
        <v/>
      </c>
      <c r="AT11" s="225">
        <f>IF(AN11&lt;&gt;"",IF((AN11*Paramètres!$H$4)-PORTEFEUILLE_ERIC[[#This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€]]-(DELPHINE!AN11*Paramètres!$H$4),0),0)</f>
        <v>0</v>
      </c>
      <c r="AU11" s="225">
        <f>IF(AN11&lt;&gt;"",IF(((AN11*Paramètres!$H$4)-PORTEFEUILLE_ERIC[[#This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€]])&gt;0,(AN11*Paramètres!$H$4)-PORTEFEUILLE_ERIC[[#This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V11" s="190" t="str">
        <f>IF(PORTEFEUILLE_ERIC[[#This Row],[BONI COMPTABLE]]&lt;&gt;0,1,"")</f>
        <v/>
      </c>
      <c r="AW11" s="190" t="str">
        <f>IF(PORTEFEUILLE_ERIC[[#This Row],[MALI COMPTABLE]]&lt;&gt;0,1,"")</f>
        <v/>
      </c>
      <c r="AX11" s="188"/>
      <c r="AY11" s="188"/>
      <c r="AZ11" s="188"/>
      <c r="BA11" s="188"/>
      <c r="BB11" s="188"/>
      <c r="BC11" s="188"/>
      <c r="BD11" s="188"/>
      <c r="BE11" s="192"/>
      <c r="BF11" s="194"/>
      <c r="BG11" s="194"/>
      <c r="BH11" s="195"/>
      <c r="BI11" s="194"/>
    </row>
    <row r="12" spans="1:76" x14ac:dyDescent="0.25">
      <c r="A12" s="172"/>
      <c r="B12" s="170"/>
      <c r="C12" s="165"/>
      <c r="D12" s="171"/>
      <c r="E12" s="189"/>
      <c r="F12" s="188"/>
      <c r="G12" s="189"/>
      <c r="H12" s="189"/>
      <c r="I12" s="189"/>
      <c r="J12" s="189"/>
      <c r="K12" s="190" t="str">
        <f t="shared" si="0"/>
        <v/>
      </c>
      <c r="L12" s="190" t="str">
        <f t="shared" si="1"/>
        <v/>
      </c>
      <c r="M12" s="188"/>
      <c r="N12" s="188"/>
      <c r="O12" s="188"/>
      <c r="P12" s="188"/>
      <c r="Q12" s="188"/>
      <c r="R12" s="188"/>
      <c r="S12" s="213"/>
      <c r="T12" s="207"/>
      <c r="U12" s="219"/>
      <c r="V12" s="219"/>
      <c r="W12" s="219"/>
      <c r="X12" s="219"/>
      <c r="Y12" s="219"/>
      <c r="Z12" s="219"/>
      <c r="AA12" s="219"/>
      <c r="AB12" s="219"/>
      <c r="AC12" s="219"/>
      <c r="AD12" s="219"/>
      <c r="AE12" s="219"/>
      <c r="AF12" s="219"/>
      <c r="AG12" s="219"/>
      <c r="AH12" s="225">
        <f>SUM(PORTEFEUILLE_ERIC[[#This Row],[PCR COMPTABLE €]:[MONTANT
RESPONSABLE RELATION CLIENT €]])-PORTEFEUILLE_ERIC[[#This Row],[MONTANT TOTAL LETTRE DE MISION €]]</f>
        <v>0</v>
      </c>
      <c r="AI12" s="191"/>
      <c r="AJ12" s="188"/>
      <c r="AK12" s="188"/>
      <c r="AL12" s="188"/>
      <c r="AM12" s="188"/>
      <c r="AN12" s="188"/>
      <c r="AO12" s="188"/>
      <c r="AP12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Q12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R12" s="188" t="str">
        <f>IF(PORTEFEUILLE_ERIC[[#This Row],[BONI AAC]]&lt;&gt;0,1,"")</f>
        <v/>
      </c>
      <c r="AS12" s="188" t="str">
        <f>IF(PORTEFEUILLE_ERIC[[#This Row],[MALI AAC]]&lt;&gt;0,1,"")</f>
        <v/>
      </c>
      <c r="AT12" s="225">
        <f>IF(AN12&lt;&gt;"",IF((AN12*Paramètres!$H$4)-PORTEFEUILLE_ERIC[[#This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€]]-(DELPHINE!AN12*Paramètres!$H$4),0),0)</f>
        <v>0</v>
      </c>
      <c r="AU12" s="225">
        <f>IF(AN12&lt;&gt;"",IF(((AN12*Paramètres!$H$4)-PORTEFEUILLE_ERIC[[#This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€]])&gt;0,(AN12*Paramètres!$H$4)-PORTEFEUILLE_ERIC[[#This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V12" s="190" t="str">
        <f>IF(PORTEFEUILLE_ERIC[[#This Row],[BONI COMPTABLE]]&lt;&gt;0,1,"")</f>
        <v/>
      </c>
      <c r="AW12" s="190" t="str">
        <f>IF(PORTEFEUILLE_ERIC[[#This Row],[MALI COMPTABLE]]&lt;&gt;0,1,"")</f>
        <v/>
      </c>
      <c r="AX12" s="188"/>
      <c r="AY12" s="188"/>
      <c r="AZ12" s="188"/>
      <c r="BA12" s="188"/>
      <c r="BB12" s="188"/>
      <c r="BC12" s="188"/>
      <c r="BD12" s="188"/>
      <c r="BE12" s="192"/>
      <c r="BF12" s="194"/>
      <c r="BG12" s="194"/>
      <c r="BH12" s="195"/>
      <c r="BI12" s="194"/>
    </row>
    <row r="13" spans="1:76" x14ac:dyDescent="0.25">
      <c r="A13" s="172"/>
      <c r="B13" s="170"/>
      <c r="C13" s="165"/>
      <c r="D13" s="171"/>
      <c r="E13" s="189"/>
      <c r="F13" s="188"/>
      <c r="G13" s="189"/>
      <c r="H13" s="189"/>
      <c r="I13" s="189"/>
      <c r="J13" s="189"/>
      <c r="K13" s="190" t="str">
        <f t="shared" si="0"/>
        <v/>
      </c>
      <c r="L13" s="190" t="str">
        <f t="shared" si="1"/>
        <v/>
      </c>
      <c r="M13" s="188"/>
      <c r="N13" s="188"/>
      <c r="O13" s="188"/>
      <c r="P13" s="188"/>
      <c r="Q13" s="188"/>
      <c r="R13" s="188"/>
      <c r="S13" s="213"/>
      <c r="T13" s="207"/>
      <c r="U13" s="219"/>
      <c r="V13" s="219"/>
      <c r="W13" s="219"/>
      <c r="X13" s="219"/>
      <c r="Y13" s="219"/>
      <c r="Z13" s="219"/>
      <c r="AA13" s="219"/>
      <c r="AB13" s="219"/>
      <c r="AC13" s="219"/>
      <c r="AD13" s="219"/>
      <c r="AE13" s="219"/>
      <c r="AF13" s="219"/>
      <c r="AG13" s="219"/>
      <c r="AH13" s="225">
        <f>SUM(PORTEFEUILLE_ERIC[[#This Row],[PCR COMPTABLE €]:[MONTANT
RESPONSABLE RELATION CLIENT €]])-PORTEFEUILLE_ERIC[[#This Row],[MONTANT TOTAL LETTRE DE MISION €]]</f>
        <v>0</v>
      </c>
      <c r="AI13" s="191"/>
      <c r="AJ13" s="188"/>
      <c r="AK13" s="188"/>
      <c r="AL13" s="188"/>
      <c r="AM13" s="188"/>
      <c r="AN13" s="188"/>
      <c r="AO13" s="188"/>
      <c r="AP13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Q13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R13" s="188" t="str">
        <f>IF(PORTEFEUILLE_ERIC[[#This Row],[BONI AAC]]&lt;&gt;0,1,"")</f>
        <v/>
      </c>
      <c r="AS13" s="188" t="str">
        <f>IF(PORTEFEUILLE_ERIC[[#This Row],[MALI AAC]]&lt;&gt;0,1,"")</f>
        <v/>
      </c>
      <c r="AT13" s="225">
        <f>IF(AN13&lt;&gt;"",IF((AN13*Paramètres!$H$4)-PORTEFEUILLE_ERIC[[#This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€]]-(DELPHINE!AN13*Paramètres!$H$4),0),0)</f>
        <v>0</v>
      </c>
      <c r="AU13" s="225">
        <f>IF(AN13&lt;&gt;"",IF(((AN13*Paramètres!$H$4)-PORTEFEUILLE_ERIC[[#This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€]])&gt;0,(AN13*Paramètres!$H$4)-PORTEFEUILLE_ERIC[[#This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V13" s="190" t="str">
        <f>IF(PORTEFEUILLE_ERIC[[#This Row],[BONI COMPTABLE]]&lt;&gt;0,1,"")</f>
        <v/>
      </c>
      <c r="AW13" s="190" t="str">
        <f>IF(PORTEFEUILLE_ERIC[[#This Row],[MALI COMPTABLE]]&lt;&gt;0,1,"")</f>
        <v/>
      </c>
      <c r="AX13" s="188"/>
      <c r="AY13" s="188"/>
      <c r="AZ13" s="188"/>
      <c r="BA13" s="188"/>
      <c r="BB13" s="188"/>
      <c r="BC13" s="188"/>
      <c r="BD13" s="188"/>
      <c r="BE13" s="192"/>
      <c r="BF13" s="194"/>
      <c r="BG13" s="194"/>
      <c r="BH13" s="195"/>
      <c r="BI13" s="194"/>
    </row>
    <row r="14" spans="1:76" x14ac:dyDescent="0.25">
      <c r="A14" s="172"/>
      <c r="B14" s="170"/>
      <c r="C14" s="165"/>
      <c r="D14" s="171"/>
      <c r="E14" s="189"/>
      <c r="F14" s="188"/>
      <c r="G14" s="189"/>
      <c r="H14" s="189"/>
      <c r="I14" s="189"/>
      <c r="J14" s="189"/>
      <c r="K14" s="190" t="str">
        <f t="shared" si="0"/>
        <v/>
      </c>
      <c r="L14" s="190" t="str">
        <f t="shared" si="1"/>
        <v/>
      </c>
      <c r="M14" s="188"/>
      <c r="N14" s="188"/>
      <c r="O14" s="188"/>
      <c r="P14" s="188"/>
      <c r="Q14" s="188"/>
      <c r="R14" s="188"/>
      <c r="S14" s="213"/>
      <c r="T14" s="207"/>
      <c r="U14" s="219"/>
      <c r="V14" s="219"/>
      <c r="W14" s="219"/>
      <c r="X14" s="219"/>
      <c r="Y14" s="219"/>
      <c r="Z14" s="219"/>
      <c r="AA14" s="219"/>
      <c r="AB14" s="219"/>
      <c r="AC14" s="219"/>
      <c r="AD14" s="219"/>
      <c r="AE14" s="219"/>
      <c r="AF14" s="219"/>
      <c r="AG14" s="219"/>
      <c r="AH14" s="225">
        <f>SUM(PORTEFEUILLE_ERIC[[#This Row],[PCR COMPTABLE €]:[MONTANT
RESPONSABLE RELATION CLIENT €]])-PORTEFEUILLE_ERIC[[#This Row],[MONTANT TOTAL LETTRE DE MISION €]]</f>
        <v>0</v>
      </c>
      <c r="AI14" s="191"/>
      <c r="AJ14" s="188"/>
      <c r="AK14" s="188"/>
      <c r="AL14" s="188"/>
      <c r="AM14" s="188"/>
      <c r="AN14" s="188"/>
      <c r="AO14" s="188"/>
      <c r="AP14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Q14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R14" s="188" t="str">
        <f>IF(PORTEFEUILLE_ERIC[[#This Row],[BONI AAC]]&lt;&gt;0,1,"")</f>
        <v/>
      </c>
      <c r="AS14" s="188" t="str">
        <f>IF(PORTEFEUILLE_ERIC[[#This Row],[MALI AAC]]&lt;&gt;0,1,"")</f>
        <v/>
      </c>
      <c r="AT14" s="225">
        <f>IF(AN14&lt;&gt;"",IF((AN14*Paramètres!$H$4)-PORTEFEUILLE_ERIC[[#This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€]]-(DELPHINE!AN14*Paramètres!$H$4),0),0)</f>
        <v>0</v>
      </c>
      <c r="AU14" s="225">
        <f>IF(AN14&lt;&gt;"",IF(((AN14*Paramètres!$H$4)-PORTEFEUILLE_ERIC[[#This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€]])&gt;0,(AN14*Paramètres!$H$4)-PORTEFEUILLE_ERIC[[#This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V14" s="190" t="str">
        <f>IF(PORTEFEUILLE_ERIC[[#This Row],[BONI COMPTABLE]]&lt;&gt;0,1,"")</f>
        <v/>
      </c>
      <c r="AW14" s="190" t="str">
        <f>IF(PORTEFEUILLE_ERIC[[#This Row],[MALI COMPTABLE]]&lt;&gt;0,1,"")</f>
        <v/>
      </c>
      <c r="AX14" s="188"/>
      <c r="AY14" s="188"/>
      <c r="AZ14" s="188"/>
      <c r="BA14" s="188"/>
      <c r="BB14" s="188"/>
      <c r="BC14" s="188"/>
      <c r="BD14" s="188"/>
      <c r="BE14" s="192"/>
      <c r="BF14" s="194"/>
      <c r="BG14" s="194"/>
      <c r="BH14" s="195"/>
      <c r="BI14" s="194"/>
    </row>
    <row r="15" spans="1:76" x14ac:dyDescent="0.25">
      <c r="A15" s="172"/>
      <c r="B15" s="170"/>
      <c r="C15" s="170"/>
      <c r="D15" s="171"/>
      <c r="E15" s="189"/>
      <c r="F15" s="188"/>
      <c r="G15" s="189"/>
      <c r="H15" s="189"/>
      <c r="I15" s="189"/>
      <c r="J15" s="189"/>
      <c r="K15" s="190" t="str">
        <f t="shared" si="0"/>
        <v/>
      </c>
      <c r="L15" s="190" t="str">
        <f t="shared" si="1"/>
        <v/>
      </c>
      <c r="M15" s="188"/>
      <c r="N15" s="188"/>
      <c r="O15" s="188"/>
      <c r="P15" s="188"/>
      <c r="Q15" s="188"/>
      <c r="R15" s="188"/>
      <c r="S15" s="213"/>
      <c r="T15" s="207"/>
      <c r="U15" s="219"/>
      <c r="V15" s="219"/>
      <c r="W15" s="219"/>
      <c r="X15" s="219"/>
      <c r="Y15" s="219"/>
      <c r="Z15" s="219"/>
      <c r="AA15" s="219"/>
      <c r="AB15" s="219"/>
      <c r="AC15" s="219"/>
      <c r="AD15" s="219"/>
      <c r="AE15" s="219"/>
      <c r="AF15" s="219"/>
      <c r="AG15" s="219"/>
      <c r="AH15" s="225">
        <f>SUM(PORTEFEUILLE_ERIC[[#This Row],[PCR COMPTABLE €]:[MONTANT
RESPONSABLE RELATION CLIENT €]])-PORTEFEUILLE_ERIC[[#This Row],[MONTANT TOTAL LETTRE DE MISION €]]</f>
        <v>0</v>
      </c>
      <c r="AI15" s="191"/>
      <c r="AJ15" s="188"/>
      <c r="AK15" s="188"/>
      <c r="AL15" s="188"/>
      <c r="AM15" s="188"/>
      <c r="AN15" s="188"/>
      <c r="AO15" s="188"/>
      <c r="AP15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Q15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R15" s="188" t="str">
        <f>IF(PORTEFEUILLE_ERIC[[#This Row],[BONI AAC]]&lt;&gt;0,1,"")</f>
        <v/>
      </c>
      <c r="AS15" s="188" t="str">
        <f>IF(PORTEFEUILLE_ERIC[[#This Row],[MALI AAC]]&lt;&gt;0,1,"")</f>
        <v/>
      </c>
      <c r="AT15" s="225">
        <f>IF(AN15&lt;&gt;"",IF((AN15*Paramètres!$H$4)-PORTEFEUILLE_ERIC[[#This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€]]-(DELPHINE!AN15*Paramètres!$H$4),0),0)</f>
        <v>0</v>
      </c>
      <c r="AU15" s="225">
        <f>IF(AN15&lt;&gt;"",IF(((AN15*Paramètres!$H$4)-PORTEFEUILLE_ERIC[[#This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€]])&gt;0,(AN15*Paramètres!$H$4)-PORTEFEUILLE_ERIC[[#This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V15" s="190" t="str">
        <f>IF(PORTEFEUILLE_ERIC[[#This Row],[BONI COMPTABLE]]&lt;&gt;0,1,"")</f>
        <v/>
      </c>
      <c r="AW15" s="190" t="str">
        <f>IF(PORTEFEUILLE_ERIC[[#This Row],[MALI COMPTABLE]]&lt;&gt;0,1,"")</f>
        <v/>
      </c>
      <c r="AX15" s="188"/>
      <c r="AY15" s="188"/>
      <c r="AZ15" s="188"/>
      <c r="BA15" s="188"/>
      <c r="BB15" s="188"/>
      <c r="BC15" s="188"/>
      <c r="BD15" s="188"/>
      <c r="BE15" s="192"/>
      <c r="BF15" s="194"/>
      <c r="BG15" s="194"/>
      <c r="BH15" s="195"/>
      <c r="BI15" s="194"/>
    </row>
    <row r="16" spans="1:76" x14ac:dyDescent="0.25">
      <c r="A16" s="172"/>
      <c r="B16" s="170"/>
      <c r="C16" s="174"/>
      <c r="D16" s="171"/>
      <c r="E16" s="189"/>
      <c r="F16" s="188"/>
      <c r="G16" s="189"/>
      <c r="H16" s="189"/>
      <c r="I16" s="189"/>
      <c r="J16" s="189"/>
      <c r="K16" s="190" t="str">
        <f t="shared" si="0"/>
        <v/>
      </c>
      <c r="L16" s="190" t="str">
        <f t="shared" si="1"/>
        <v/>
      </c>
      <c r="M16" s="188"/>
      <c r="N16" s="188"/>
      <c r="O16" s="188"/>
      <c r="P16" s="188"/>
      <c r="Q16" s="188"/>
      <c r="R16" s="188"/>
      <c r="S16" s="213"/>
      <c r="T16" s="207"/>
      <c r="U16" s="219"/>
      <c r="V16" s="219"/>
      <c r="W16" s="219"/>
      <c r="X16" s="219"/>
      <c r="Y16" s="219"/>
      <c r="Z16" s="219"/>
      <c r="AA16" s="219"/>
      <c r="AB16" s="219"/>
      <c r="AC16" s="219"/>
      <c r="AD16" s="219"/>
      <c r="AE16" s="219"/>
      <c r="AF16" s="219"/>
      <c r="AG16" s="219"/>
      <c r="AH16" s="225">
        <f>SUM(PORTEFEUILLE_ERIC[[#This Row],[PCR COMPTABLE €]:[MONTANT
RESPONSABLE RELATION CLIENT €]])-PORTEFEUILLE_ERIC[[#This Row],[MONTANT TOTAL LETTRE DE MISION €]]</f>
        <v>0</v>
      </c>
      <c r="AI16" s="191"/>
      <c r="AJ16" s="188"/>
      <c r="AK16" s="188"/>
      <c r="AL16" s="188"/>
      <c r="AM16" s="188"/>
      <c r="AN16" s="188"/>
      <c r="AO16" s="188"/>
      <c r="AP16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Q16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R16" s="188" t="str">
        <f>IF(PORTEFEUILLE_ERIC[[#This Row],[BONI AAC]]&lt;&gt;0,1,"")</f>
        <v/>
      </c>
      <c r="AS16" s="188" t="str">
        <f>IF(PORTEFEUILLE_ERIC[[#This Row],[MALI AAC]]&lt;&gt;0,1,"")</f>
        <v/>
      </c>
      <c r="AT16" s="225">
        <f>IF(AN16&lt;&gt;"",IF((AN16*Paramètres!$H$4)-PORTEFEUILLE_ERIC[[#This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€]]-(DELPHINE!AN16*Paramètres!$H$4),0),0)</f>
        <v>0</v>
      </c>
      <c r="AU16" s="225">
        <f>IF(AN16&lt;&gt;"",IF(((AN16*Paramètres!$H$4)-PORTEFEUILLE_ERIC[[#This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€]])&gt;0,(AN16*Paramètres!$H$4)-PORTEFEUILLE_ERIC[[#This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V16" s="190" t="str">
        <f>IF(PORTEFEUILLE_ERIC[[#This Row],[BONI COMPTABLE]]&lt;&gt;0,1,"")</f>
        <v/>
      </c>
      <c r="AW16" s="190" t="str">
        <f>IF(PORTEFEUILLE_ERIC[[#This Row],[MALI COMPTABLE]]&lt;&gt;0,1,"")</f>
        <v/>
      </c>
      <c r="AX16" s="188"/>
      <c r="AY16" s="188"/>
      <c r="AZ16" s="188"/>
      <c r="BA16" s="188"/>
      <c r="BB16" s="188"/>
      <c r="BC16" s="188"/>
      <c r="BD16" s="188"/>
      <c r="BE16" s="192"/>
      <c r="BF16" s="194"/>
      <c r="BG16" s="194"/>
      <c r="BH16" s="195"/>
      <c r="BI16" s="194"/>
    </row>
    <row r="17" spans="1:61" x14ac:dyDescent="0.25">
      <c r="A17" s="172"/>
      <c r="B17" s="170"/>
      <c r="C17" s="175"/>
      <c r="D17" s="171"/>
      <c r="E17" s="189"/>
      <c r="F17" s="188"/>
      <c r="G17" s="189"/>
      <c r="H17" s="189"/>
      <c r="I17" s="189"/>
      <c r="J17" s="189"/>
      <c r="K17" s="190" t="str">
        <f t="shared" si="0"/>
        <v/>
      </c>
      <c r="L17" s="190" t="str">
        <f t="shared" si="1"/>
        <v/>
      </c>
      <c r="M17" s="188"/>
      <c r="N17" s="188"/>
      <c r="O17" s="188"/>
      <c r="P17" s="188"/>
      <c r="Q17" s="188"/>
      <c r="R17" s="188"/>
      <c r="S17" s="213"/>
      <c r="T17" s="207"/>
      <c r="U17" s="219"/>
      <c r="V17" s="219"/>
      <c r="W17" s="219"/>
      <c r="X17" s="219"/>
      <c r="Y17" s="219"/>
      <c r="Z17" s="219"/>
      <c r="AA17" s="219"/>
      <c r="AB17" s="219"/>
      <c r="AC17" s="219"/>
      <c r="AD17" s="219"/>
      <c r="AE17" s="219"/>
      <c r="AF17" s="219"/>
      <c r="AG17" s="219"/>
      <c r="AH17" s="225">
        <f>SUM(PORTEFEUILLE_ERIC[[#This Row],[PCR COMPTABLE €]:[MONTANT
RESPONSABLE RELATION CLIENT €]])-PORTEFEUILLE_ERIC[[#This Row],[MONTANT TOTAL LETTRE DE MISION €]]</f>
        <v>0</v>
      </c>
      <c r="AI17" s="191"/>
      <c r="AJ17" s="188"/>
      <c r="AK17" s="188"/>
      <c r="AL17" s="188"/>
      <c r="AM17" s="188"/>
      <c r="AN17" s="188"/>
      <c r="AO17" s="188"/>
      <c r="AP17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Q17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R17" s="188" t="str">
        <f>IF(PORTEFEUILLE_ERIC[[#This Row],[BONI AAC]]&lt;&gt;0,1,"")</f>
        <v/>
      </c>
      <c r="AS17" s="188" t="str">
        <f>IF(PORTEFEUILLE_ERIC[[#This Row],[MALI AAC]]&lt;&gt;0,1,"")</f>
        <v/>
      </c>
      <c r="AT17" s="225">
        <f>IF(AN17&lt;&gt;"",IF((AN17*Paramètres!$H$4)-PORTEFEUILLE_ERIC[[#This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€]]-(DELPHINE!AN17*Paramètres!$H$4),0),0)</f>
        <v>0</v>
      </c>
      <c r="AU17" s="225">
        <f>IF(AN17&lt;&gt;"",IF(((AN17*Paramètres!$H$4)-PORTEFEUILLE_ERIC[[#This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€]])&gt;0,(AN17*Paramètres!$H$4)-PORTEFEUILLE_ERIC[[#This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V17" s="190" t="str">
        <f>IF(PORTEFEUILLE_ERIC[[#This Row],[BONI COMPTABLE]]&lt;&gt;0,1,"")</f>
        <v/>
      </c>
      <c r="AW17" s="190" t="str">
        <f>IF(PORTEFEUILLE_ERIC[[#This Row],[MALI COMPTABLE]]&lt;&gt;0,1,"")</f>
        <v/>
      </c>
      <c r="AX17" s="188"/>
      <c r="AY17" s="188"/>
      <c r="AZ17" s="188"/>
      <c r="BA17" s="188"/>
      <c r="BB17" s="188"/>
      <c r="BC17" s="188"/>
      <c r="BD17" s="188"/>
      <c r="BE17" s="192"/>
      <c r="BF17" s="194"/>
      <c r="BG17" s="194"/>
      <c r="BH17" s="195"/>
      <c r="BI17" s="194"/>
    </row>
    <row r="18" spans="1:61" s="241" customFormat="1" x14ac:dyDescent="0.25">
      <c r="A18" s="172"/>
      <c r="B18" s="170"/>
      <c r="C18" s="165"/>
      <c r="D18" s="171"/>
      <c r="E18" s="189"/>
      <c r="F18" s="188"/>
      <c r="G18" s="189"/>
      <c r="H18" s="189"/>
      <c r="I18" s="189"/>
      <c r="J18" s="189"/>
      <c r="K18" s="190" t="str">
        <f t="shared" si="0"/>
        <v/>
      </c>
      <c r="L18" s="190" t="str">
        <f t="shared" si="1"/>
        <v/>
      </c>
      <c r="M18" s="188"/>
      <c r="N18" s="188"/>
      <c r="O18" s="188"/>
      <c r="P18" s="188"/>
      <c r="Q18" s="188"/>
      <c r="R18" s="188"/>
      <c r="S18" s="213"/>
      <c r="T18" s="207"/>
      <c r="U18" s="219"/>
      <c r="V18" s="219"/>
      <c r="W18" s="219"/>
      <c r="X18" s="219"/>
      <c r="Y18" s="219"/>
      <c r="Z18" s="219"/>
      <c r="AA18" s="219"/>
      <c r="AB18" s="219"/>
      <c r="AC18" s="219"/>
      <c r="AD18" s="219"/>
      <c r="AE18" s="219"/>
      <c r="AF18" s="219"/>
      <c r="AG18" s="219"/>
      <c r="AH18" s="225">
        <f>SUM(PORTEFEUILLE_ERIC[[#This Row],[PCR COMPTABLE €]:[MONTANT
RESPONSABLE RELATION CLIENT €]])-PORTEFEUILLE_ERIC[[#This Row],[MONTANT TOTAL LETTRE DE MISION €]]</f>
        <v>0</v>
      </c>
      <c r="AI18" s="191"/>
      <c r="AJ18" s="188"/>
      <c r="AK18" s="188"/>
      <c r="AL18" s="188"/>
      <c r="AM18" s="188"/>
      <c r="AN18" s="188"/>
      <c r="AO18" s="188"/>
      <c r="AP18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Q18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R18" s="188" t="str">
        <f>IF(PORTEFEUILLE_ERIC[[#This Row],[BONI AAC]]&lt;&gt;0,1,"")</f>
        <v/>
      </c>
      <c r="AS18" s="188" t="str">
        <f>IF(PORTEFEUILLE_ERIC[[#This Row],[MALI AAC]]&lt;&gt;0,1,"")</f>
        <v/>
      </c>
      <c r="AT18" s="225">
        <f>IF(AN18&lt;&gt;"",IF((AN18*Paramètres!$H$4)-PORTEFEUILLE_ERIC[[#This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€]]-(DELPHINE!AN18*Paramètres!$H$4),0),0)</f>
        <v>0</v>
      </c>
      <c r="AU18" s="225">
        <f>IF(AN18&lt;&gt;"",IF(((AN18*Paramètres!$H$4)-PORTEFEUILLE_ERIC[[#This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€]])&gt;0,(AN18*Paramètres!$H$4)-PORTEFEUILLE_ERIC[[#This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V18" s="190" t="str">
        <f>IF(PORTEFEUILLE_ERIC[[#This Row],[BONI COMPTABLE]]&lt;&gt;0,1,"")</f>
        <v/>
      </c>
      <c r="AW18" s="190" t="str">
        <f>IF(PORTEFEUILLE_ERIC[[#This Row],[MALI COMPTABLE]]&lt;&gt;0,1,"")</f>
        <v/>
      </c>
      <c r="AX18" s="188"/>
      <c r="AY18" s="188"/>
      <c r="AZ18" s="188"/>
      <c r="BA18" s="188"/>
      <c r="BB18" s="188"/>
      <c r="BC18" s="188"/>
      <c r="BD18" s="188"/>
      <c r="BE18" s="192"/>
      <c r="BF18" s="194"/>
      <c r="BG18" s="194"/>
      <c r="BH18" s="195"/>
      <c r="BI18" s="194"/>
    </row>
    <row r="19" spans="1:61" x14ac:dyDescent="0.25">
      <c r="A19" s="172"/>
      <c r="B19" s="170"/>
      <c r="C19" s="165"/>
      <c r="D19" s="171"/>
      <c r="E19" s="189"/>
      <c r="F19" s="188"/>
      <c r="G19" s="189"/>
      <c r="H19" s="189"/>
      <c r="I19" s="189"/>
      <c r="J19" s="189"/>
      <c r="K19" s="190" t="str">
        <f t="shared" si="0"/>
        <v/>
      </c>
      <c r="L19" s="190" t="str">
        <f t="shared" si="1"/>
        <v/>
      </c>
      <c r="M19" s="188"/>
      <c r="N19" s="188"/>
      <c r="O19" s="188"/>
      <c r="P19" s="188"/>
      <c r="Q19" s="188"/>
      <c r="R19" s="188"/>
      <c r="S19" s="213"/>
      <c r="T19" s="207"/>
      <c r="U19" s="219"/>
      <c r="V19" s="219"/>
      <c r="W19" s="219"/>
      <c r="X19" s="219"/>
      <c r="Y19" s="219"/>
      <c r="Z19" s="219"/>
      <c r="AA19" s="219"/>
      <c r="AB19" s="219"/>
      <c r="AC19" s="219"/>
      <c r="AD19" s="219"/>
      <c r="AE19" s="219"/>
      <c r="AF19" s="219"/>
      <c r="AG19" s="219"/>
      <c r="AH19" s="225">
        <f>SUM(PORTEFEUILLE_ERIC[[#This Row],[PCR COMPTABLE €]:[MONTANT
RESPONSABLE RELATION CLIENT €]])-PORTEFEUILLE_ERIC[[#This Row],[MONTANT TOTAL LETTRE DE MISION €]]</f>
        <v>0</v>
      </c>
      <c r="AI19" s="191"/>
      <c r="AJ19" s="188"/>
      <c r="AK19" s="188"/>
      <c r="AL19" s="188"/>
      <c r="AM19" s="188"/>
      <c r="AN19" s="188"/>
      <c r="AO19" s="188"/>
      <c r="AP19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Q19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R19" s="188" t="str">
        <f>IF(PORTEFEUILLE_ERIC[[#This Row],[BONI AAC]]&lt;&gt;0,1,"")</f>
        <v/>
      </c>
      <c r="AS19" s="188" t="str">
        <f>IF(PORTEFEUILLE_ERIC[[#This Row],[MALI AAC]]&lt;&gt;0,1,"")</f>
        <v/>
      </c>
      <c r="AT19" s="225">
        <f>IF(AN19&lt;&gt;"",IF((AN19*Paramètres!$H$4)-PORTEFEUILLE_ERIC[[#This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€]]-(DELPHINE!AN19*Paramètres!$H$4),0),0)</f>
        <v>0</v>
      </c>
      <c r="AU19" s="225">
        <f>IF(AN19&lt;&gt;"",IF(((AN19*Paramètres!$H$4)-PORTEFEUILLE_ERIC[[#This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€]])&gt;0,(AN19*Paramètres!$H$4)-PORTEFEUILLE_ERIC[[#This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V19" s="190" t="str">
        <f>IF(PORTEFEUILLE_ERIC[[#This Row],[BONI COMPTABLE]]&lt;&gt;0,1,"")</f>
        <v/>
      </c>
      <c r="AW19" s="190" t="str">
        <f>IF(PORTEFEUILLE_ERIC[[#This Row],[MALI COMPTABLE]]&lt;&gt;0,1,"")</f>
        <v/>
      </c>
      <c r="AX19" s="188"/>
      <c r="AY19" s="188"/>
      <c r="AZ19" s="188"/>
      <c r="BA19" s="188"/>
      <c r="BB19" s="188"/>
      <c r="BC19" s="188"/>
      <c r="BD19" s="188"/>
      <c r="BE19" s="192"/>
      <c r="BF19" s="194"/>
      <c r="BG19" s="194"/>
      <c r="BH19" s="195"/>
      <c r="BI19" s="194"/>
    </row>
    <row r="20" spans="1:61" x14ac:dyDescent="0.25">
      <c r="A20" s="172"/>
      <c r="B20" s="170"/>
      <c r="C20" s="165"/>
      <c r="D20" s="171"/>
      <c r="E20" s="189"/>
      <c r="F20" s="188"/>
      <c r="G20" s="188"/>
      <c r="H20" s="189"/>
      <c r="I20" s="189"/>
      <c r="J20" s="189"/>
      <c r="K20" s="190" t="str">
        <f t="shared" si="0"/>
        <v/>
      </c>
      <c r="L20" s="190" t="str">
        <f t="shared" si="1"/>
        <v/>
      </c>
      <c r="M20" s="188"/>
      <c r="N20" s="188"/>
      <c r="O20" s="188"/>
      <c r="P20" s="188"/>
      <c r="Q20" s="188"/>
      <c r="R20" s="188"/>
      <c r="S20" s="214"/>
      <c r="T20" s="208"/>
      <c r="U20" s="220"/>
      <c r="V20" s="220"/>
      <c r="W20" s="220"/>
      <c r="X20" s="220"/>
      <c r="Y20" s="220"/>
      <c r="Z20" s="220"/>
      <c r="AA20" s="220"/>
      <c r="AB20" s="220"/>
      <c r="AC20" s="220"/>
      <c r="AD20" s="220"/>
      <c r="AE20" s="220"/>
      <c r="AF20" s="220"/>
      <c r="AG20" s="219"/>
      <c r="AH20" s="225">
        <f>SUM(PORTEFEUILLE_ERIC[[#This Row],[PCR COMPTABLE €]:[MONTANT
RESPONSABLE RELATION CLIENT €]])-PORTEFEUILLE_ERIC[[#This Row],[MONTANT TOTAL LETTRE DE MISION €]]</f>
        <v>0</v>
      </c>
      <c r="AI20" s="191"/>
      <c r="AJ20" s="188"/>
      <c r="AK20" s="188"/>
      <c r="AL20" s="196"/>
      <c r="AM20" s="196"/>
      <c r="AN20" s="196"/>
      <c r="AO20" s="196"/>
      <c r="AP20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Q20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R20" s="188" t="str">
        <f>IF(PORTEFEUILLE_ERIC[[#This Row],[BONI AAC]]&lt;&gt;0,1,"")</f>
        <v/>
      </c>
      <c r="AS20" s="188" t="str">
        <f>IF(PORTEFEUILLE_ERIC[[#This Row],[MALI AAC]]&lt;&gt;0,1,"")</f>
        <v/>
      </c>
      <c r="AT20" s="225">
        <f>IF(AN20&lt;&gt;"",IF((AN20*Paramètres!$H$4)-PORTEFEUILLE_ERIC[[#This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€]]-(DELPHINE!AN20*Paramètres!$H$4),0),0)</f>
        <v>0</v>
      </c>
      <c r="AU20" s="225">
        <f>IF(AN20&lt;&gt;"",IF(((AN20*Paramètres!$H$4)-PORTEFEUILLE_ERIC[[#This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€]])&gt;0,(AN20*Paramètres!$H$4)-PORTEFEUILLE_ERIC[[#This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V20" s="190" t="str">
        <f>IF(PORTEFEUILLE_ERIC[[#This Row],[BONI COMPTABLE]]&lt;&gt;0,1,"")</f>
        <v/>
      </c>
      <c r="AW20" s="190" t="str">
        <f>IF(PORTEFEUILLE_ERIC[[#This Row],[MALI COMPTABLE]]&lt;&gt;0,1,"")</f>
        <v/>
      </c>
      <c r="AX20" s="196"/>
      <c r="AY20" s="188"/>
      <c r="AZ20" s="188"/>
      <c r="BA20" s="188"/>
      <c r="BB20" s="196"/>
      <c r="BC20" s="196"/>
      <c r="BD20" s="196"/>
      <c r="BE20" s="192"/>
      <c r="BF20" s="194"/>
      <c r="BG20" s="194"/>
      <c r="BH20" s="195"/>
      <c r="BI20" s="194"/>
    </row>
    <row r="21" spans="1:61" x14ac:dyDescent="0.25">
      <c r="A21" s="172"/>
      <c r="B21" s="170"/>
      <c r="C21" s="165"/>
      <c r="D21" s="171"/>
      <c r="E21" s="189"/>
      <c r="F21" s="188"/>
      <c r="G21" s="189"/>
      <c r="H21" s="189"/>
      <c r="I21" s="189"/>
      <c r="J21" s="189"/>
      <c r="K21" s="190" t="str">
        <f t="shared" si="0"/>
        <v/>
      </c>
      <c r="L21" s="190" t="str">
        <f t="shared" si="1"/>
        <v/>
      </c>
      <c r="M21" s="188"/>
      <c r="N21" s="188"/>
      <c r="O21" s="188"/>
      <c r="P21" s="188"/>
      <c r="Q21" s="188"/>
      <c r="R21" s="188"/>
      <c r="S21" s="213"/>
      <c r="T21" s="207"/>
      <c r="U21" s="219"/>
      <c r="V21" s="219"/>
      <c r="W21" s="219"/>
      <c r="X21" s="219"/>
      <c r="Y21" s="219"/>
      <c r="Z21" s="219"/>
      <c r="AA21" s="219"/>
      <c r="AB21" s="219"/>
      <c r="AC21" s="219"/>
      <c r="AD21" s="219"/>
      <c r="AE21" s="219"/>
      <c r="AF21" s="219"/>
      <c r="AG21" s="219"/>
      <c r="AH21" s="225">
        <f>SUM(PORTEFEUILLE_ERIC[[#This Row],[PCR COMPTABLE €]:[MONTANT
RESPONSABLE RELATION CLIENT €]])-PORTEFEUILLE_ERIC[[#This Row],[MONTANT TOTAL LETTRE DE MISION €]]</f>
        <v>0</v>
      </c>
      <c r="AI21" s="191"/>
      <c r="AJ21" s="188"/>
      <c r="AK21" s="188"/>
      <c r="AL21" s="188"/>
      <c r="AM21" s="188"/>
      <c r="AN21" s="188"/>
      <c r="AO21" s="188"/>
      <c r="AP21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Q21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R21" s="188" t="str">
        <f>IF(PORTEFEUILLE_ERIC[[#This Row],[BONI AAC]]&lt;&gt;0,1,"")</f>
        <v/>
      </c>
      <c r="AS21" s="188" t="str">
        <f>IF(PORTEFEUILLE_ERIC[[#This Row],[MALI AAC]]&lt;&gt;0,1,"")</f>
        <v/>
      </c>
      <c r="AT21" s="225">
        <f>IF(AN21&lt;&gt;"",IF((AN21*Paramètres!$H$4)-PORTEFEUILLE_ERIC[[#This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€]]-(DELPHINE!AN21*Paramètres!$H$4),0),0)</f>
        <v>0</v>
      </c>
      <c r="AU21" s="225">
        <f>IF(AN21&lt;&gt;"",IF(((AN21*Paramètres!$H$4)-PORTEFEUILLE_ERIC[[#This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€]])&gt;0,(AN21*Paramètres!$H$4)-PORTEFEUILLE_ERIC[[#This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V21" s="190" t="str">
        <f>IF(PORTEFEUILLE_ERIC[[#This Row],[BONI COMPTABLE]]&lt;&gt;0,1,"")</f>
        <v/>
      </c>
      <c r="AW21" s="190" t="str">
        <f>IF(PORTEFEUILLE_ERIC[[#This Row],[MALI COMPTABLE]]&lt;&gt;0,1,"")</f>
        <v/>
      </c>
      <c r="AX21" s="188"/>
      <c r="AY21" s="188"/>
      <c r="AZ21" s="188"/>
      <c r="BA21" s="188"/>
      <c r="BB21" s="196"/>
      <c r="BC21" s="196"/>
      <c r="BD21" s="196"/>
      <c r="BE21" s="192"/>
      <c r="BF21" s="194"/>
      <c r="BG21" s="194"/>
      <c r="BH21" s="195"/>
      <c r="BI21" s="194"/>
    </row>
    <row r="22" spans="1:61" x14ac:dyDescent="0.25">
      <c r="A22" s="172"/>
      <c r="B22" s="170"/>
      <c r="C22" s="165"/>
      <c r="D22" s="171"/>
      <c r="E22" s="189"/>
      <c r="F22" s="188"/>
      <c r="G22" s="189"/>
      <c r="H22" s="189"/>
      <c r="I22" s="189"/>
      <c r="J22" s="189"/>
      <c r="K22" s="190" t="str">
        <f t="shared" si="0"/>
        <v/>
      </c>
      <c r="L22" s="190" t="str">
        <f t="shared" si="1"/>
        <v/>
      </c>
      <c r="M22" s="188"/>
      <c r="N22" s="188"/>
      <c r="O22" s="188"/>
      <c r="P22" s="188"/>
      <c r="Q22" s="188"/>
      <c r="R22" s="188"/>
      <c r="S22" s="215"/>
      <c r="T22" s="209"/>
      <c r="U22" s="221"/>
      <c r="V22" s="221"/>
      <c r="W22" s="221"/>
      <c r="X22" s="221"/>
      <c r="Y22" s="221"/>
      <c r="Z22" s="221"/>
      <c r="AA22" s="221"/>
      <c r="AB22" s="221"/>
      <c r="AC22" s="221"/>
      <c r="AD22" s="221"/>
      <c r="AE22" s="221"/>
      <c r="AF22" s="221"/>
      <c r="AG22" s="219"/>
      <c r="AH22" s="225">
        <f>SUM(PORTEFEUILLE_ERIC[[#This Row],[PCR COMPTABLE €]:[MONTANT
RESPONSABLE RELATION CLIENT €]])-PORTEFEUILLE_ERIC[[#This Row],[MONTANT TOTAL LETTRE DE MISION €]]</f>
        <v>0</v>
      </c>
      <c r="AI22" s="191"/>
      <c r="AJ22" s="188"/>
      <c r="AK22" s="188"/>
      <c r="AL22" s="197"/>
      <c r="AM22" s="197"/>
      <c r="AN22" s="197"/>
      <c r="AO22" s="197"/>
      <c r="AP22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Q22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R22" s="188" t="str">
        <f>IF(PORTEFEUILLE_ERIC[[#This Row],[BONI AAC]]&lt;&gt;0,1,"")</f>
        <v/>
      </c>
      <c r="AS22" s="188" t="str">
        <f>IF(PORTEFEUILLE_ERIC[[#This Row],[MALI AAC]]&lt;&gt;0,1,"")</f>
        <v/>
      </c>
      <c r="AT22" s="225">
        <f>IF(AN22&lt;&gt;"",IF((AN22*Paramètres!$H$4)-PORTEFEUILLE_ERIC[[#This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€]]-(DELPHINE!AN22*Paramètres!$H$4),0),0)</f>
        <v>0</v>
      </c>
      <c r="AU22" s="225">
        <f>IF(AN22&lt;&gt;"",IF(((AN22*Paramètres!$H$4)-PORTEFEUILLE_ERIC[[#This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€]])&gt;0,(AN22*Paramètres!$H$4)-PORTEFEUILLE_ERIC[[#This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V22" s="190" t="str">
        <f>IF(PORTEFEUILLE_ERIC[[#This Row],[BONI COMPTABLE]]&lt;&gt;0,1,"")</f>
        <v/>
      </c>
      <c r="AW22" s="190" t="str">
        <f>IF(PORTEFEUILLE_ERIC[[#This Row],[MALI COMPTABLE]]&lt;&gt;0,1,"")</f>
        <v/>
      </c>
      <c r="AX22" s="188"/>
      <c r="AY22" s="188"/>
      <c r="AZ22" s="188"/>
      <c r="BA22" s="188"/>
      <c r="BB22" s="196"/>
      <c r="BC22" s="196"/>
      <c r="BD22" s="196"/>
      <c r="BE22" s="192"/>
      <c r="BF22" s="194"/>
      <c r="BG22" s="194"/>
      <c r="BH22" s="195"/>
      <c r="BI22" s="194"/>
    </row>
    <row r="23" spans="1:61" x14ac:dyDescent="0.25">
      <c r="A23" s="172"/>
      <c r="B23" s="170"/>
      <c r="C23" s="165"/>
      <c r="D23" s="171"/>
      <c r="E23" s="189"/>
      <c r="F23" s="188"/>
      <c r="G23" s="189"/>
      <c r="H23" s="189"/>
      <c r="I23" s="189"/>
      <c r="J23" s="189"/>
      <c r="K23" s="190" t="str">
        <f t="shared" si="0"/>
        <v/>
      </c>
      <c r="L23" s="190" t="str">
        <f t="shared" si="1"/>
        <v/>
      </c>
      <c r="M23" s="188"/>
      <c r="N23" s="188"/>
      <c r="O23" s="188"/>
      <c r="P23" s="188"/>
      <c r="Q23" s="188"/>
      <c r="R23" s="188"/>
      <c r="S23" s="213"/>
      <c r="T23" s="207"/>
      <c r="U23" s="219"/>
      <c r="V23" s="219"/>
      <c r="W23" s="219"/>
      <c r="X23" s="219"/>
      <c r="Y23" s="219"/>
      <c r="Z23" s="219"/>
      <c r="AA23" s="219"/>
      <c r="AB23" s="219"/>
      <c r="AC23" s="219"/>
      <c r="AD23" s="219"/>
      <c r="AE23" s="219"/>
      <c r="AF23" s="219"/>
      <c r="AG23" s="219"/>
      <c r="AH23" s="225">
        <f>SUM(PORTEFEUILLE_ERIC[[#This Row],[PCR COMPTABLE €]:[MONTANT
RESPONSABLE RELATION CLIENT €]])-PORTEFEUILLE_ERIC[[#This Row],[MONTANT TOTAL LETTRE DE MISION €]]</f>
        <v>0</v>
      </c>
      <c r="AI23" s="191"/>
      <c r="AJ23" s="188"/>
      <c r="AK23" s="188"/>
      <c r="AL23" s="188"/>
      <c r="AM23" s="188"/>
      <c r="AN23" s="188"/>
      <c r="AO23" s="188"/>
      <c r="AP23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Q23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R23" s="188" t="str">
        <f>IF(PORTEFEUILLE_ERIC[[#This Row],[BONI AAC]]&lt;&gt;0,1,"")</f>
        <v/>
      </c>
      <c r="AS23" s="188" t="str">
        <f>IF(PORTEFEUILLE_ERIC[[#This Row],[MALI AAC]]&lt;&gt;0,1,"")</f>
        <v/>
      </c>
      <c r="AT23" s="225">
        <f>IF(AN23&lt;&gt;"",IF((AN23*Paramètres!$H$4)-PORTEFEUILLE_ERIC[[#This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€]]-(DELPHINE!AN23*Paramètres!$H$4),0),0)</f>
        <v>0</v>
      </c>
      <c r="AU23" s="225">
        <f>IF(AN23&lt;&gt;"",IF(((AN23*Paramètres!$H$4)-PORTEFEUILLE_ERIC[[#This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€]])&gt;0,(AN23*Paramètres!$H$4)-PORTEFEUILLE_ERIC[[#This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V23" s="190" t="str">
        <f>IF(PORTEFEUILLE_ERIC[[#This Row],[BONI COMPTABLE]]&lt;&gt;0,1,"")</f>
        <v/>
      </c>
      <c r="AW23" s="190" t="str">
        <f>IF(PORTEFEUILLE_ERIC[[#This Row],[MALI COMPTABLE]]&lt;&gt;0,1,"")</f>
        <v/>
      </c>
      <c r="AX23" s="188"/>
      <c r="AY23" s="188"/>
      <c r="AZ23" s="188"/>
      <c r="BA23" s="188"/>
      <c r="BB23" s="188"/>
      <c r="BC23" s="188"/>
      <c r="BD23" s="188"/>
      <c r="BE23" s="192"/>
      <c r="BF23" s="194"/>
      <c r="BG23" s="194"/>
      <c r="BH23" s="195"/>
      <c r="BI23" s="194"/>
    </row>
    <row r="24" spans="1:61" x14ac:dyDescent="0.25">
      <c r="A24" s="172"/>
      <c r="B24" s="170"/>
      <c r="C24" s="165"/>
      <c r="D24" s="171"/>
      <c r="E24" s="189"/>
      <c r="F24" s="188"/>
      <c r="G24" s="188"/>
      <c r="H24" s="189"/>
      <c r="I24" s="189"/>
      <c r="J24" s="189"/>
      <c r="K24" s="190" t="str">
        <f t="shared" si="0"/>
        <v/>
      </c>
      <c r="L24" s="190" t="str">
        <f t="shared" si="1"/>
        <v/>
      </c>
      <c r="M24" s="188"/>
      <c r="N24" s="188"/>
      <c r="O24" s="188"/>
      <c r="P24" s="188"/>
      <c r="Q24" s="188"/>
      <c r="R24" s="188"/>
      <c r="S24" s="214"/>
      <c r="T24" s="208"/>
      <c r="U24" s="220"/>
      <c r="V24" s="220"/>
      <c r="W24" s="220"/>
      <c r="X24" s="220"/>
      <c r="Y24" s="220"/>
      <c r="Z24" s="220"/>
      <c r="AA24" s="220"/>
      <c r="AB24" s="220"/>
      <c r="AC24" s="220"/>
      <c r="AD24" s="220"/>
      <c r="AE24" s="220"/>
      <c r="AF24" s="220"/>
      <c r="AG24" s="219"/>
      <c r="AH24" s="225">
        <f>SUM(PORTEFEUILLE_ERIC[[#This Row],[PCR COMPTABLE €]:[MONTANT
RESPONSABLE RELATION CLIENT €]])-PORTEFEUILLE_ERIC[[#This Row],[MONTANT TOTAL LETTRE DE MISION €]]</f>
        <v>0</v>
      </c>
      <c r="AI24" s="191"/>
      <c r="AJ24" s="188"/>
      <c r="AK24" s="188"/>
      <c r="AL24" s="196"/>
      <c r="AM24" s="196"/>
      <c r="AN24" s="196"/>
      <c r="AO24" s="196"/>
      <c r="AP24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Q24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R24" s="188" t="str">
        <f>IF(PORTEFEUILLE_ERIC[[#This Row],[BONI AAC]]&lt;&gt;0,1,"")</f>
        <v/>
      </c>
      <c r="AS24" s="188" t="str">
        <f>IF(PORTEFEUILLE_ERIC[[#This Row],[MALI AAC]]&lt;&gt;0,1,"")</f>
        <v/>
      </c>
      <c r="AT24" s="225">
        <f>IF(AN24&lt;&gt;"",IF((AN24*Paramètres!$H$4)-PORTEFEUILLE_ERIC[[#This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€]]-(DELPHINE!AN24*Paramètres!$H$4),0),0)</f>
        <v>0</v>
      </c>
      <c r="AU24" s="225">
        <f>IF(AN24&lt;&gt;"",IF(((AN24*Paramètres!$H$4)-PORTEFEUILLE_ERIC[[#This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€]])&gt;0,(AN24*Paramètres!$H$4)-PORTEFEUILLE_ERIC[[#This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V24" s="190" t="str">
        <f>IF(PORTEFEUILLE_ERIC[[#This Row],[BONI COMPTABLE]]&lt;&gt;0,1,"")</f>
        <v/>
      </c>
      <c r="AW24" s="190" t="str">
        <f>IF(PORTEFEUILLE_ERIC[[#This Row],[MALI COMPTABLE]]&lt;&gt;0,1,"")</f>
        <v/>
      </c>
      <c r="AX24" s="196"/>
      <c r="AY24" s="188"/>
      <c r="AZ24" s="188"/>
      <c r="BA24" s="188"/>
      <c r="BB24" s="188"/>
      <c r="BC24" s="188"/>
      <c r="BD24" s="188"/>
      <c r="BE24" s="192"/>
      <c r="BF24" s="194"/>
      <c r="BG24" s="194"/>
      <c r="BH24" s="195"/>
      <c r="BI24" s="194"/>
    </row>
    <row r="25" spans="1:61" x14ac:dyDescent="0.25">
      <c r="A25" s="172"/>
      <c r="B25" s="170"/>
      <c r="C25" s="165"/>
      <c r="D25" s="171"/>
      <c r="E25" s="189"/>
      <c r="F25" s="188"/>
      <c r="G25" s="188"/>
      <c r="H25" s="189"/>
      <c r="I25" s="189"/>
      <c r="J25" s="189"/>
      <c r="K25" s="190" t="str">
        <f t="shared" si="0"/>
        <v/>
      </c>
      <c r="L25" s="190" t="str">
        <f t="shared" si="1"/>
        <v/>
      </c>
      <c r="M25" s="188"/>
      <c r="N25" s="188"/>
      <c r="O25" s="188"/>
      <c r="P25" s="188"/>
      <c r="Q25" s="188"/>
      <c r="R25" s="188"/>
      <c r="S25" s="214"/>
      <c r="T25" s="208"/>
      <c r="U25" s="220"/>
      <c r="V25" s="220"/>
      <c r="W25" s="220"/>
      <c r="X25" s="220"/>
      <c r="Y25" s="220"/>
      <c r="Z25" s="220"/>
      <c r="AA25" s="220"/>
      <c r="AB25" s="220"/>
      <c r="AC25" s="220"/>
      <c r="AD25" s="220"/>
      <c r="AE25" s="220"/>
      <c r="AF25" s="220"/>
      <c r="AG25" s="219"/>
      <c r="AH25" s="225">
        <f>SUM(PORTEFEUILLE_ERIC[[#This Row],[PCR COMPTABLE €]:[MONTANT
RESPONSABLE RELATION CLIENT €]])-PORTEFEUILLE_ERIC[[#This Row],[MONTANT TOTAL LETTRE DE MISION €]]</f>
        <v>0</v>
      </c>
      <c r="AI25" s="191"/>
      <c r="AJ25" s="188"/>
      <c r="AK25" s="188"/>
      <c r="AL25" s="196"/>
      <c r="AM25" s="196"/>
      <c r="AN25" s="196"/>
      <c r="AO25" s="196"/>
      <c r="AP25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Q25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R25" s="188" t="str">
        <f>IF(PORTEFEUILLE_ERIC[[#This Row],[BONI AAC]]&lt;&gt;0,1,"")</f>
        <v/>
      </c>
      <c r="AS25" s="188" t="str">
        <f>IF(PORTEFEUILLE_ERIC[[#This Row],[MALI AAC]]&lt;&gt;0,1,"")</f>
        <v/>
      </c>
      <c r="AT25" s="225">
        <f>IF(AN25&lt;&gt;"",IF((AN25*Paramètres!$H$4)-PORTEFEUILLE_ERIC[[#This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€]]-(DELPHINE!AN25*Paramètres!$H$4),0),0)</f>
        <v>0</v>
      </c>
      <c r="AU25" s="225">
        <f>IF(AN25&lt;&gt;"",IF(((AN25*Paramètres!$H$4)-PORTEFEUILLE_ERIC[[#This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€]])&gt;0,(AN25*Paramètres!$H$4)-PORTEFEUILLE_ERIC[[#This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V25" s="190" t="str">
        <f>IF(PORTEFEUILLE_ERIC[[#This Row],[BONI COMPTABLE]]&lt;&gt;0,1,"")</f>
        <v/>
      </c>
      <c r="AW25" s="190" t="str">
        <f>IF(PORTEFEUILLE_ERIC[[#This Row],[MALI COMPTABLE]]&lt;&gt;0,1,"")</f>
        <v/>
      </c>
      <c r="AX25" s="196"/>
      <c r="AY25" s="188"/>
      <c r="AZ25" s="188"/>
      <c r="BA25" s="188"/>
      <c r="BB25" s="188"/>
      <c r="BC25" s="188"/>
      <c r="BD25" s="188"/>
      <c r="BE25" s="192"/>
      <c r="BF25" s="194"/>
      <c r="BG25" s="194"/>
      <c r="BH25" s="195"/>
      <c r="BI25" s="194"/>
    </row>
    <row r="26" spans="1:61" x14ac:dyDescent="0.25">
      <c r="A26" s="172"/>
      <c r="B26" s="170"/>
      <c r="C26" s="165"/>
      <c r="D26" s="171"/>
      <c r="E26" s="189"/>
      <c r="F26" s="188"/>
      <c r="G26" s="188"/>
      <c r="H26" s="189"/>
      <c r="I26" s="189"/>
      <c r="J26" s="189"/>
      <c r="K26" s="190" t="str">
        <f t="shared" si="0"/>
        <v/>
      </c>
      <c r="L26" s="190" t="str">
        <f t="shared" si="1"/>
        <v/>
      </c>
      <c r="M26" s="188"/>
      <c r="N26" s="188"/>
      <c r="O26" s="188"/>
      <c r="P26" s="188"/>
      <c r="Q26" s="188"/>
      <c r="R26" s="188"/>
      <c r="S26" s="214"/>
      <c r="T26" s="208"/>
      <c r="U26" s="220"/>
      <c r="V26" s="220"/>
      <c r="W26" s="220"/>
      <c r="X26" s="220"/>
      <c r="Y26" s="220"/>
      <c r="Z26" s="220"/>
      <c r="AA26" s="220"/>
      <c r="AB26" s="220"/>
      <c r="AC26" s="220"/>
      <c r="AD26" s="220"/>
      <c r="AE26" s="220"/>
      <c r="AF26" s="220"/>
      <c r="AG26" s="219"/>
      <c r="AH26" s="225">
        <f>SUM(PORTEFEUILLE_ERIC[[#This Row],[PCR COMPTABLE €]:[MONTANT
RESPONSABLE RELATION CLIENT €]])-PORTEFEUILLE_ERIC[[#This Row],[MONTANT TOTAL LETTRE DE MISION €]]</f>
        <v>0</v>
      </c>
      <c r="AI26" s="191"/>
      <c r="AJ26" s="188"/>
      <c r="AK26" s="188"/>
      <c r="AL26" s="196"/>
      <c r="AM26" s="196"/>
      <c r="AN26" s="196"/>
      <c r="AO26" s="196"/>
      <c r="AP26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Q26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R26" s="188" t="str">
        <f>IF(PORTEFEUILLE_ERIC[[#This Row],[BONI AAC]]&lt;&gt;0,1,"")</f>
        <v/>
      </c>
      <c r="AS26" s="188" t="str">
        <f>IF(PORTEFEUILLE_ERIC[[#This Row],[MALI AAC]]&lt;&gt;0,1,"")</f>
        <v/>
      </c>
      <c r="AT26" s="225">
        <f>IF(AN26&lt;&gt;"",IF((AN26*Paramètres!$H$4)-PORTEFEUILLE_ERIC[[#This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€]]-(DELPHINE!AN26*Paramètres!$H$4),0),0)</f>
        <v>0</v>
      </c>
      <c r="AU26" s="225">
        <f>IF(AN26&lt;&gt;"",IF(((AN26*Paramètres!$H$4)-PORTEFEUILLE_ERIC[[#This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€]])&gt;0,(AN26*Paramètres!$H$4)-PORTEFEUILLE_ERIC[[#This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V26" s="190" t="str">
        <f>IF(PORTEFEUILLE_ERIC[[#This Row],[BONI COMPTABLE]]&lt;&gt;0,1,"")</f>
        <v/>
      </c>
      <c r="AW26" s="190" t="str">
        <f>IF(PORTEFEUILLE_ERIC[[#This Row],[MALI COMPTABLE]]&lt;&gt;0,1,"")</f>
        <v/>
      </c>
      <c r="AX26" s="196"/>
      <c r="AY26" s="188"/>
      <c r="AZ26" s="188"/>
      <c r="BA26" s="188"/>
      <c r="BB26" s="188"/>
      <c r="BC26" s="188"/>
      <c r="BD26" s="188"/>
      <c r="BE26" s="192"/>
      <c r="BF26" s="194"/>
      <c r="BG26" s="194"/>
      <c r="BH26" s="195"/>
      <c r="BI26" s="194"/>
    </row>
    <row r="27" spans="1:61" x14ac:dyDescent="0.25">
      <c r="A27" s="172"/>
      <c r="B27" s="170"/>
      <c r="C27" s="165"/>
      <c r="D27" s="171"/>
      <c r="E27" s="189"/>
      <c r="F27" s="188"/>
      <c r="G27" s="188"/>
      <c r="H27" s="189"/>
      <c r="I27" s="189"/>
      <c r="J27" s="189"/>
      <c r="K27" s="190" t="str">
        <f t="shared" si="0"/>
        <v/>
      </c>
      <c r="L27" s="190" t="str">
        <f t="shared" si="1"/>
        <v/>
      </c>
      <c r="M27" s="188"/>
      <c r="N27" s="188"/>
      <c r="O27" s="188"/>
      <c r="P27" s="188"/>
      <c r="Q27" s="188"/>
      <c r="R27" s="188"/>
      <c r="S27" s="214"/>
      <c r="T27" s="208"/>
      <c r="U27" s="220"/>
      <c r="V27" s="220"/>
      <c r="W27" s="220"/>
      <c r="X27" s="220"/>
      <c r="Y27" s="220"/>
      <c r="Z27" s="220"/>
      <c r="AA27" s="220"/>
      <c r="AB27" s="220"/>
      <c r="AC27" s="220"/>
      <c r="AD27" s="220"/>
      <c r="AE27" s="220"/>
      <c r="AF27" s="220"/>
      <c r="AG27" s="219"/>
      <c r="AH27" s="225">
        <f>SUM(PORTEFEUILLE_ERIC[[#This Row],[PCR COMPTABLE €]:[MONTANT
RESPONSABLE RELATION CLIENT €]])-PORTEFEUILLE_ERIC[[#This Row],[MONTANT TOTAL LETTRE DE MISION €]]</f>
        <v>0</v>
      </c>
      <c r="AI27" s="191"/>
      <c r="AJ27" s="188"/>
      <c r="AK27" s="188"/>
      <c r="AL27" s="196"/>
      <c r="AM27" s="196"/>
      <c r="AN27" s="196"/>
      <c r="AO27" s="196"/>
      <c r="AP27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Q27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R27" s="188" t="str">
        <f>IF(PORTEFEUILLE_ERIC[[#This Row],[BONI AAC]]&lt;&gt;0,1,"")</f>
        <v/>
      </c>
      <c r="AS27" s="188" t="str">
        <f>IF(PORTEFEUILLE_ERIC[[#This Row],[MALI AAC]]&lt;&gt;0,1,"")</f>
        <v/>
      </c>
      <c r="AT27" s="225">
        <f>IF(AN27&lt;&gt;"",IF((AN27*Paramètres!$H$4)-PORTEFEUILLE_ERIC[[#This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€]]-(DELPHINE!AN27*Paramètres!$H$4),0),0)</f>
        <v>0</v>
      </c>
      <c r="AU27" s="225">
        <f>IF(AN27&lt;&gt;"",IF(((AN27*Paramètres!$H$4)-PORTEFEUILLE_ERIC[[#This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€]])&gt;0,(AN27*Paramètres!$H$4)-PORTEFEUILLE_ERIC[[#This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V27" s="190" t="str">
        <f>IF(PORTEFEUILLE_ERIC[[#This Row],[BONI COMPTABLE]]&lt;&gt;0,1,"")</f>
        <v/>
      </c>
      <c r="AW27" s="190" t="str">
        <f>IF(PORTEFEUILLE_ERIC[[#This Row],[MALI COMPTABLE]]&lt;&gt;0,1,"")</f>
        <v/>
      </c>
      <c r="AX27" s="196"/>
      <c r="AY27" s="188"/>
      <c r="AZ27" s="188"/>
      <c r="BA27" s="188"/>
      <c r="BB27" s="188"/>
      <c r="BC27" s="188"/>
      <c r="BD27" s="188"/>
      <c r="BE27" s="192"/>
      <c r="BF27" s="194"/>
      <c r="BG27" s="194"/>
      <c r="BH27" s="195"/>
      <c r="BI27" s="194"/>
    </row>
    <row r="28" spans="1:61" s="90" customFormat="1" x14ac:dyDescent="0.25">
      <c r="A28" s="176"/>
      <c r="B28" s="170"/>
      <c r="C28" s="165"/>
      <c r="D28" s="171"/>
      <c r="E28" s="189"/>
      <c r="F28" s="188"/>
      <c r="G28" s="189"/>
      <c r="H28" s="189"/>
      <c r="I28" s="189"/>
      <c r="J28" s="189"/>
      <c r="K28" s="190" t="str">
        <f t="shared" si="0"/>
        <v/>
      </c>
      <c r="L28" s="190" t="str">
        <f t="shared" si="1"/>
        <v/>
      </c>
      <c r="M28" s="188"/>
      <c r="N28" s="188"/>
      <c r="O28" s="188"/>
      <c r="P28" s="188"/>
      <c r="Q28" s="188"/>
      <c r="R28" s="188"/>
      <c r="S28" s="213"/>
      <c r="T28" s="207"/>
      <c r="U28" s="219"/>
      <c r="V28" s="219"/>
      <c r="W28" s="219"/>
      <c r="X28" s="219"/>
      <c r="Y28" s="219"/>
      <c r="Z28" s="219"/>
      <c r="AA28" s="219"/>
      <c r="AB28" s="219"/>
      <c r="AC28" s="219"/>
      <c r="AD28" s="219"/>
      <c r="AE28" s="219"/>
      <c r="AF28" s="219"/>
      <c r="AG28" s="219"/>
      <c r="AH28" s="225">
        <f>SUM(PORTEFEUILLE_ERIC[[#This Row],[PCR COMPTABLE €]:[MONTANT
RESPONSABLE RELATION CLIENT €]])-PORTEFEUILLE_ERIC[[#This Row],[MONTANT TOTAL LETTRE DE MISION €]]</f>
        <v>0</v>
      </c>
      <c r="AI28" s="191"/>
      <c r="AJ28" s="188"/>
      <c r="AK28" s="188"/>
      <c r="AL28" s="188"/>
      <c r="AM28" s="188"/>
      <c r="AN28" s="188"/>
      <c r="AO28" s="188"/>
      <c r="AP28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Q28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R28" s="188" t="str">
        <f>IF(PORTEFEUILLE_ERIC[[#This Row],[BONI AAC]]&lt;&gt;0,1,"")</f>
        <v/>
      </c>
      <c r="AS28" s="188" t="str">
        <f>IF(PORTEFEUILLE_ERIC[[#This Row],[MALI AAC]]&lt;&gt;0,1,"")</f>
        <v/>
      </c>
      <c r="AT28" s="225">
        <f>IF(AN28&lt;&gt;"",IF((AN28*Paramètres!$H$4)-PORTEFEUILLE_ERIC[[#This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€]]-(DELPHINE!AN28*Paramètres!$H$4),0),0)</f>
        <v>0</v>
      </c>
      <c r="AU28" s="225">
        <f>IF(AN28&lt;&gt;"",IF(((AN28*Paramètres!$H$4)-PORTEFEUILLE_ERIC[[#This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€]])&gt;0,(AN28*Paramètres!$H$4)-PORTEFEUILLE_ERIC[[#This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V28" s="190" t="str">
        <f>IF(PORTEFEUILLE_ERIC[[#This Row],[BONI COMPTABLE]]&lt;&gt;0,1,"")</f>
        <v/>
      </c>
      <c r="AW28" s="190" t="str">
        <f>IF(PORTEFEUILLE_ERIC[[#This Row],[MALI COMPTABLE]]&lt;&gt;0,1,"")</f>
        <v/>
      </c>
      <c r="AX28" s="188"/>
      <c r="AY28" s="188"/>
      <c r="AZ28" s="188"/>
      <c r="BA28" s="188"/>
      <c r="BB28" s="196"/>
      <c r="BC28" s="196"/>
      <c r="BD28" s="196"/>
      <c r="BE28" s="192"/>
      <c r="BF28" s="196"/>
      <c r="BG28" s="196"/>
      <c r="BH28" s="198"/>
      <c r="BI28" s="196"/>
    </row>
    <row r="29" spans="1:61" x14ac:dyDescent="0.25">
      <c r="A29" s="172"/>
      <c r="B29" s="170"/>
      <c r="C29" s="165"/>
      <c r="D29" s="171"/>
      <c r="E29" s="189"/>
      <c r="F29" s="188"/>
      <c r="G29" s="189"/>
      <c r="H29" s="189"/>
      <c r="I29" s="189"/>
      <c r="J29" s="189"/>
      <c r="K29" s="190" t="str">
        <f t="shared" si="0"/>
        <v/>
      </c>
      <c r="L29" s="190" t="str">
        <f t="shared" si="1"/>
        <v/>
      </c>
      <c r="M29" s="188"/>
      <c r="N29" s="188"/>
      <c r="O29" s="188"/>
      <c r="P29" s="188"/>
      <c r="Q29" s="188"/>
      <c r="R29" s="188"/>
      <c r="S29" s="213"/>
      <c r="T29" s="207"/>
      <c r="U29" s="219"/>
      <c r="V29" s="219"/>
      <c r="W29" s="219"/>
      <c r="X29" s="219"/>
      <c r="Y29" s="219"/>
      <c r="Z29" s="219"/>
      <c r="AA29" s="219"/>
      <c r="AB29" s="219"/>
      <c r="AC29" s="219"/>
      <c r="AD29" s="219"/>
      <c r="AE29" s="219"/>
      <c r="AF29" s="219"/>
      <c r="AG29" s="219"/>
      <c r="AH29" s="225">
        <f>SUM(PORTEFEUILLE_ERIC[[#This Row],[PCR COMPTABLE €]:[MONTANT
RESPONSABLE RELATION CLIENT €]])-PORTEFEUILLE_ERIC[[#This Row],[MONTANT TOTAL LETTRE DE MISION €]]</f>
        <v>0</v>
      </c>
      <c r="AI29" s="191"/>
      <c r="AJ29" s="188"/>
      <c r="AK29" s="188"/>
      <c r="AL29" s="188"/>
      <c r="AM29" s="188"/>
      <c r="AN29" s="188"/>
      <c r="AO29" s="188"/>
      <c r="AP29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Q29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R29" s="188" t="str">
        <f>IF(PORTEFEUILLE_ERIC[[#This Row],[BONI AAC]]&lt;&gt;0,1,"")</f>
        <v/>
      </c>
      <c r="AS29" s="188" t="str">
        <f>IF(PORTEFEUILLE_ERIC[[#This Row],[MALI AAC]]&lt;&gt;0,1,"")</f>
        <v/>
      </c>
      <c r="AT29" s="225">
        <f>IF(AN29&lt;&gt;"",IF((AN29*Paramètres!$H$4)-PORTEFEUILLE_ERIC[[#This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€]]-(DELPHINE!AN29*Paramètres!$H$4),0),0)</f>
        <v>0</v>
      </c>
      <c r="AU29" s="225">
        <f>IF(AN29&lt;&gt;"",IF(((AN29*Paramètres!$H$4)-PORTEFEUILLE_ERIC[[#This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€]])&gt;0,(AN29*Paramètres!$H$4)-PORTEFEUILLE_ERIC[[#This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V29" s="190" t="str">
        <f>IF(PORTEFEUILLE_ERIC[[#This Row],[BONI COMPTABLE]]&lt;&gt;0,1,"")</f>
        <v/>
      </c>
      <c r="AW29" s="190" t="str">
        <f>IF(PORTEFEUILLE_ERIC[[#This Row],[MALI COMPTABLE]]&lt;&gt;0,1,"")</f>
        <v/>
      </c>
      <c r="AX29" s="188"/>
      <c r="AY29" s="188"/>
      <c r="AZ29" s="188"/>
      <c r="BA29" s="188"/>
      <c r="BB29" s="196"/>
      <c r="BC29" s="196"/>
      <c r="BD29" s="196"/>
      <c r="BE29" s="192"/>
      <c r="BF29" s="194"/>
      <c r="BG29" s="194"/>
      <c r="BH29" s="195"/>
      <c r="BI29" s="194"/>
    </row>
    <row r="30" spans="1:61" x14ac:dyDescent="0.25">
      <c r="A30" s="172"/>
      <c r="B30" s="170"/>
      <c r="C30" s="165"/>
      <c r="D30" s="171"/>
      <c r="E30" s="189"/>
      <c r="F30" s="188"/>
      <c r="G30" s="189"/>
      <c r="H30" s="189"/>
      <c r="I30" s="189"/>
      <c r="J30" s="189"/>
      <c r="K30" s="190" t="str">
        <f t="shared" si="0"/>
        <v/>
      </c>
      <c r="L30" s="190" t="str">
        <f t="shared" si="1"/>
        <v/>
      </c>
      <c r="M30" s="188"/>
      <c r="N30" s="188"/>
      <c r="O30" s="188"/>
      <c r="P30" s="188"/>
      <c r="Q30" s="188"/>
      <c r="R30" s="188"/>
      <c r="S30" s="213"/>
      <c r="T30" s="207"/>
      <c r="U30" s="219"/>
      <c r="V30" s="219"/>
      <c r="W30" s="219"/>
      <c r="X30" s="219"/>
      <c r="Y30" s="219"/>
      <c r="Z30" s="219"/>
      <c r="AA30" s="219"/>
      <c r="AB30" s="219"/>
      <c r="AC30" s="219"/>
      <c r="AD30" s="219"/>
      <c r="AE30" s="219"/>
      <c r="AF30" s="219"/>
      <c r="AG30" s="219"/>
      <c r="AH30" s="225">
        <f>SUM(PORTEFEUILLE_ERIC[[#This Row],[PCR COMPTABLE €]:[MONTANT
RESPONSABLE RELATION CLIENT €]])-PORTEFEUILLE_ERIC[[#This Row],[MONTANT TOTAL LETTRE DE MISION €]]</f>
        <v>0</v>
      </c>
      <c r="AI30" s="191"/>
      <c r="AJ30" s="188"/>
      <c r="AK30" s="188"/>
      <c r="AL30" s="188"/>
      <c r="AM30" s="188"/>
      <c r="AN30" s="188"/>
      <c r="AO30" s="188"/>
      <c r="AP30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Q30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R30" s="188" t="str">
        <f>IF(PORTEFEUILLE_ERIC[[#This Row],[BONI AAC]]&lt;&gt;0,1,"")</f>
        <v/>
      </c>
      <c r="AS30" s="188" t="str">
        <f>IF(PORTEFEUILLE_ERIC[[#This Row],[MALI AAC]]&lt;&gt;0,1,"")</f>
        <v/>
      </c>
      <c r="AT30" s="225">
        <f>IF(AN30&lt;&gt;"",IF((AN30*Paramètres!$H$4)-PORTEFEUILLE_ERIC[[#This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€]]-(DELPHINE!AN30*Paramètres!$H$4),0),0)</f>
        <v>0</v>
      </c>
      <c r="AU30" s="225">
        <f>IF(AN30&lt;&gt;"",IF(((AN30*Paramètres!$H$4)-PORTEFEUILLE_ERIC[[#This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€]])&gt;0,(AN30*Paramètres!$H$4)-PORTEFEUILLE_ERIC[[#This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V30" s="190" t="str">
        <f>IF(PORTEFEUILLE_ERIC[[#This Row],[BONI COMPTABLE]]&lt;&gt;0,1,"")</f>
        <v/>
      </c>
      <c r="AW30" s="190" t="str">
        <f>IF(PORTEFEUILLE_ERIC[[#This Row],[MALI COMPTABLE]]&lt;&gt;0,1,"")</f>
        <v/>
      </c>
      <c r="AX30" s="188"/>
      <c r="AY30" s="188"/>
      <c r="AZ30" s="188"/>
      <c r="BA30" s="188"/>
      <c r="BB30" s="188"/>
      <c r="BC30" s="188"/>
      <c r="BD30" s="188"/>
      <c r="BE30" s="192"/>
      <c r="BF30" s="194"/>
      <c r="BG30" s="194"/>
      <c r="BH30" s="195"/>
      <c r="BI30" s="194"/>
    </row>
    <row r="31" spans="1:61" x14ac:dyDescent="0.25">
      <c r="A31" s="172"/>
      <c r="B31" s="170"/>
      <c r="C31" s="165"/>
      <c r="D31" s="171"/>
      <c r="E31" s="189"/>
      <c r="F31" s="188"/>
      <c r="G31" s="189"/>
      <c r="H31" s="189"/>
      <c r="I31" s="189"/>
      <c r="J31" s="189"/>
      <c r="K31" s="190" t="str">
        <f t="shared" si="0"/>
        <v/>
      </c>
      <c r="L31" s="190" t="str">
        <f t="shared" si="1"/>
        <v/>
      </c>
      <c r="M31" s="188"/>
      <c r="N31" s="188"/>
      <c r="O31" s="188"/>
      <c r="P31" s="188"/>
      <c r="Q31" s="188"/>
      <c r="R31" s="188"/>
      <c r="S31" s="213"/>
      <c r="T31" s="207"/>
      <c r="U31" s="219"/>
      <c r="V31" s="219"/>
      <c r="W31" s="219"/>
      <c r="X31" s="219"/>
      <c r="Y31" s="219"/>
      <c r="Z31" s="219"/>
      <c r="AA31" s="219"/>
      <c r="AB31" s="219"/>
      <c r="AC31" s="219"/>
      <c r="AD31" s="219"/>
      <c r="AE31" s="219"/>
      <c r="AF31" s="219"/>
      <c r="AG31" s="219"/>
      <c r="AH31" s="225">
        <f>SUM(PORTEFEUILLE_ERIC[[#This Row],[PCR COMPTABLE €]:[MONTANT
RESPONSABLE RELATION CLIENT €]])-PORTEFEUILLE_ERIC[[#This Row],[MONTANT TOTAL LETTRE DE MISION €]]</f>
        <v>0</v>
      </c>
      <c r="AI31" s="191"/>
      <c r="AJ31" s="188"/>
      <c r="AK31" s="188"/>
      <c r="AL31" s="188"/>
      <c r="AM31" s="188"/>
      <c r="AN31" s="188"/>
      <c r="AO31" s="188"/>
      <c r="AP31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Q31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R31" s="188" t="str">
        <f>IF(PORTEFEUILLE_ERIC[[#This Row],[BONI AAC]]&lt;&gt;0,1,"")</f>
        <v/>
      </c>
      <c r="AS31" s="188" t="str">
        <f>IF(PORTEFEUILLE_ERIC[[#This Row],[MALI AAC]]&lt;&gt;0,1,"")</f>
        <v/>
      </c>
      <c r="AT31" s="225">
        <f>IF(AN31&lt;&gt;"",IF((AN31*Paramètres!$H$4)-PORTEFEUILLE_ERIC[[#This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€]]-(DELPHINE!AN31*Paramètres!$H$4),0),0)</f>
        <v>0</v>
      </c>
      <c r="AU31" s="225">
        <f>IF(AN31&lt;&gt;"",IF(((AN31*Paramètres!$H$4)-PORTEFEUILLE_ERIC[[#This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€]])&gt;0,(AN31*Paramètres!$H$4)-PORTEFEUILLE_ERIC[[#This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V31" s="190" t="str">
        <f>IF(PORTEFEUILLE_ERIC[[#This Row],[BONI COMPTABLE]]&lt;&gt;0,1,"")</f>
        <v/>
      </c>
      <c r="AW31" s="190" t="str">
        <f>IF(PORTEFEUILLE_ERIC[[#This Row],[MALI COMPTABLE]]&lt;&gt;0,1,"")</f>
        <v/>
      </c>
      <c r="AX31" s="188"/>
      <c r="AY31" s="188"/>
      <c r="AZ31" s="188"/>
      <c r="BA31" s="188"/>
      <c r="BB31" s="196"/>
      <c r="BC31" s="196"/>
      <c r="BD31" s="196"/>
      <c r="BE31" s="192"/>
      <c r="BF31" s="194"/>
      <c r="BG31" s="194"/>
      <c r="BH31" s="195"/>
      <c r="BI31" s="194"/>
    </row>
    <row r="32" spans="1:61" x14ac:dyDescent="0.25">
      <c r="A32" s="172"/>
      <c r="B32" s="177"/>
      <c r="C32" s="165"/>
      <c r="D32" s="171"/>
      <c r="E32" s="189"/>
      <c r="F32" s="188"/>
      <c r="G32" s="189"/>
      <c r="H32" s="189"/>
      <c r="I32" s="189"/>
      <c r="J32" s="189"/>
      <c r="K32" s="190" t="str">
        <f t="shared" si="0"/>
        <v/>
      </c>
      <c r="L32" s="190" t="str">
        <f t="shared" si="1"/>
        <v/>
      </c>
      <c r="M32" s="188"/>
      <c r="N32" s="188"/>
      <c r="O32" s="188"/>
      <c r="P32" s="188"/>
      <c r="Q32" s="188"/>
      <c r="R32" s="188"/>
      <c r="S32" s="213"/>
      <c r="T32" s="207"/>
      <c r="U32" s="219"/>
      <c r="V32" s="219"/>
      <c r="W32" s="219"/>
      <c r="X32" s="219"/>
      <c r="Y32" s="219"/>
      <c r="Z32" s="219"/>
      <c r="AA32" s="219"/>
      <c r="AB32" s="219"/>
      <c r="AC32" s="219"/>
      <c r="AD32" s="219"/>
      <c r="AE32" s="219"/>
      <c r="AF32" s="219"/>
      <c r="AG32" s="219"/>
      <c r="AH32" s="225">
        <f>SUM(PORTEFEUILLE_ERIC[[#This Row],[PCR COMPTABLE €]:[MONTANT
RESPONSABLE RELATION CLIENT €]])-PORTEFEUILLE_ERIC[[#This Row],[MONTANT TOTAL LETTRE DE MISION €]]</f>
        <v>0</v>
      </c>
      <c r="AI32" s="191"/>
      <c r="AJ32" s="188"/>
      <c r="AK32" s="188"/>
      <c r="AL32" s="188"/>
      <c r="AM32" s="188"/>
      <c r="AN32" s="188"/>
      <c r="AO32" s="188"/>
      <c r="AP32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Q32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R32" s="188" t="str">
        <f>IF(PORTEFEUILLE_ERIC[[#This Row],[BONI AAC]]&lt;&gt;0,1,"")</f>
        <v/>
      </c>
      <c r="AS32" s="188" t="str">
        <f>IF(PORTEFEUILLE_ERIC[[#This Row],[MALI AAC]]&lt;&gt;0,1,"")</f>
        <v/>
      </c>
      <c r="AT32" s="225">
        <f>IF(AN32&lt;&gt;"",IF((AN32*Paramètres!$H$4)-PORTEFEUILLE_ERIC[[#This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€]]-(DELPHINE!AN32*Paramètres!$H$4),0),0)</f>
        <v>0</v>
      </c>
      <c r="AU32" s="225">
        <f>IF(AN32&lt;&gt;"",IF(((AN32*Paramètres!$H$4)-PORTEFEUILLE_ERIC[[#This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€]])&gt;0,(AN32*Paramètres!$H$4)-PORTEFEUILLE_ERIC[[#This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V32" s="190" t="str">
        <f>IF(PORTEFEUILLE_ERIC[[#This Row],[BONI COMPTABLE]]&lt;&gt;0,1,"")</f>
        <v/>
      </c>
      <c r="AW32" s="190" t="str">
        <f>IF(PORTEFEUILLE_ERIC[[#This Row],[MALI COMPTABLE]]&lt;&gt;0,1,"")</f>
        <v/>
      </c>
      <c r="AX32" s="188"/>
      <c r="AY32" s="188"/>
      <c r="AZ32" s="188"/>
      <c r="BA32" s="188"/>
      <c r="BB32" s="188"/>
      <c r="BC32" s="188"/>
      <c r="BD32" s="188"/>
      <c r="BE32" s="192"/>
      <c r="BF32" s="194"/>
      <c r="BG32" s="194"/>
      <c r="BH32" s="195"/>
      <c r="BI32" s="194"/>
    </row>
    <row r="33" spans="1:61" x14ac:dyDescent="0.25">
      <c r="A33" s="172"/>
      <c r="B33" s="177"/>
      <c r="C33" s="165"/>
      <c r="D33" s="171"/>
      <c r="E33" s="189"/>
      <c r="F33" s="188"/>
      <c r="G33" s="188"/>
      <c r="H33" s="189"/>
      <c r="I33" s="188"/>
      <c r="J33" s="189"/>
      <c r="K33" s="190" t="str">
        <f t="shared" si="0"/>
        <v/>
      </c>
      <c r="L33" s="190" t="str">
        <f t="shared" si="1"/>
        <v/>
      </c>
      <c r="M33" s="188"/>
      <c r="N33" s="188"/>
      <c r="O33" s="188"/>
      <c r="P33" s="188"/>
      <c r="Q33" s="188"/>
      <c r="R33" s="188"/>
      <c r="S33" s="214"/>
      <c r="T33" s="208"/>
      <c r="U33" s="220"/>
      <c r="V33" s="220"/>
      <c r="W33" s="220"/>
      <c r="X33" s="220"/>
      <c r="Y33" s="220"/>
      <c r="Z33" s="220"/>
      <c r="AA33" s="220"/>
      <c r="AB33" s="220"/>
      <c r="AC33" s="220"/>
      <c r="AD33" s="220"/>
      <c r="AE33" s="220"/>
      <c r="AF33" s="220"/>
      <c r="AG33" s="219"/>
      <c r="AH33" s="225">
        <f>SUM(PORTEFEUILLE_ERIC[[#This Row],[PCR COMPTABLE €]:[MONTANT
RESPONSABLE RELATION CLIENT €]])-PORTEFEUILLE_ERIC[[#This Row],[MONTANT TOTAL LETTRE DE MISION €]]</f>
        <v>0</v>
      </c>
      <c r="AI33" s="191"/>
      <c r="AJ33" s="188"/>
      <c r="AK33" s="188"/>
      <c r="AL33" s="196"/>
      <c r="AM33" s="196"/>
      <c r="AN33" s="196"/>
      <c r="AO33" s="196"/>
      <c r="AP33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Q33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R33" s="188" t="str">
        <f>IF(PORTEFEUILLE_ERIC[[#This Row],[BONI AAC]]&lt;&gt;0,1,"")</f>
        <v/>
      </c>
      <c r="AS33" s="188" t="str">
        <f>IF(PORTEFEUILLE_ERIC[[#This Row],[MALI AAC]]&lt;&gt;0,1,"")</f>
        <v/>
      </c>
      <c r="AT33" s="225">
        <f>IF(AN33&lt;&gt;"",IF((AN33*Paramètres!$H$4)-PORTEFEUILLE_ERIC[[#This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€]]-(DELPHINE!AN33*Paramètres!$H$4),0),0)</f>
        <v>0</v>
      </c>
      <c r="AU33" s="225">
        <f>IF(AN33&lt;&gt;"",IF(((AN33*Paramètres!$H$4)-PORTEFEUILLE_ERIC[[#This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€]])&gt;0,(AN33*Paramètres!$H$4)-PORTEFEUILLE_ERIC[[#This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V33" s="190" t="str">
        <f>IF(PORTEFEUILLE_ERIC[[#This Row],[BONI COMPTABLE]]&lt;&gt;0,1,"")</f>
        <v/>
      </c>
      <c r="AW33" s="190" t="str">
        <f>IF(PORTEFEUILLE_ERIC[[#This Row],[MALI COMPTABLE]]&lt;&gt;0,1,"")</f>
        <v/>
      </c>
      <c r="AX33" s="196"/>
      <c r="AY33" s="188"/>
      <c r="AZ33" s="188"/>
      <c r="BA33" s="188"/>
      <c r="BB33" s="196"/>
      <c r="BC33" s="196"/>
      <c r="BD33" s="196"/>
      <c r="BE33" s="192"/>
      <c r="BF33" s="194"/>
      <c r="BG33" s="194"/>
      <c r="BH33" s="195"/>
      <c r="BI33" s="194"/>
    </row>
    <row r="34" spans="1:61" x14ac:dyDescent="0.25">
      <c r="A34" s="172"/>
      <c r="B34" s="177"/>
      <c r="C34" s="165"/>
      <c r="D34" s="171"/>
      <c r="E34" s="189"/>
      <c r="F34" s="188"/>
      <c r="G34" s="188"/>
      <c r="H34" s="189"/>
      <c r="I34" s="189"/>
      <c r="J34" s="189"/>
      <c r="K34" s="190" t="str">
        <f t="shared" si="0"/>
        <v/>
      </c>
      <c r="L34" s="190" t="str">
        <f t="shared" si="1"/>
        <v/>
      </c>
      <c r="M34" s="188"/>
      <c r="N34" s="188"/>
      <c r="O34" s="188"/>
      <c r="P34" s="188"/>
      <c r="Q34" s="188"/>
      <c r="R34" s="188"/>
      <c r="S34" s="214"/>
      <c r="T34" s="208"/>
      <c r="U34" s="220"/>
      <c r="V34" s="220"/>
      <c r="W34" s="220"/>
      <c r="X34" s="220"/>
      <c r="Y34" s="220"/>
      <c r="Z34" s="220"/>
      <c r="AA34" s="220"/>
      <c r="AB34" s="220"/>
      <c r="AC34" s="220"/>
      <c r="AD34" s="220"/>
      <c r="AE34" s="220"/>
      <c r="AF34" s="220"/>
      <c r="AG34" s="219"/>
      <c r="AH34" s="225">
        <f>SUM(PORTEFEUILLE_ERIC[[#This Row],[PCR COMPTABLE €]:[MONTANT
RESPONSABLE RELATION CLIENT €]])-PORTEFEUILLE_ERIC[[#This Row],[MONTANT TOTAL LETTRE DE MISION €]]</f>
        <v>0</v>
      </c>
      <c r="AI34" s="191"/>
      <c r="AJ34" s="188"/>
      <c r="AK34" s="188"/>
      <c r="AL34" s="196"/>
      <c r="AM34" s="196"/>
      <c r="AN34" s="196"/>
      <c r="AO34" s="196"/>
      <c r="AP34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Q34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R34" s="188" t="str">
        <f>IF(PORTEFEUILLE_ERIC[[#This Row],[BONI AAC]]&lt;&gt;0,1,"")</f>
        <v/>
      </c>
      <c r="AS34" s="188" t="str">
        <f>IF(PORTEFEUILLE_ERIC[[#This Row],[MALI AAC]]&lt;&gt;0,1,"")</f>
        <v/>
      </c>
      <c r="AT34" s="225">
        <f>IF(AN34&lt;&gt;"",IF((AN34*Paramètres!$H$4)-PORTEFEUILLE_ERIC[[#This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€]]-(DELPHINE!AN34*Paramètres!$H$4),0),0)</f>
        <v>0</v>
      </c>
      <c r="AU34" s="225">
        <f>IF(AN34&lt;&gt;"",IF(((AN34*Paramètres!$H$4)-PORTEFEUILLE_ERIC[[#This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€]])&gt;0,(AN34*Paramètres!$H$4)-PORTEFEUILLE_ERIC[[#This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V34" s="190" t="str">
        <f>IF(PORTEFEUILLE_ERIC[[#This Row],[BONI COMPTABLE]]&lt;&gt;0,1,"")</f>
        <v/>
      </c>
      <c r="AW34" s="190" t="str">
        <f>IF(PORTEFEUILLE_ERIC[[#This Row],[MALI COMPTABLE]]&lt;&gt;0,1,"")</f>
        <v/>
      </c>
      <c r="AX34" s="196"/>
      <c r="AY34" s="188"/>
      <c r="AZ34" s="188"/>
      <c r="BA34" s="188"/>
      <c r="BB34" s="188"/>
      <c r="BC34" s="188"/>
      <c r="BD34" s="188"/>
      <c r="BE34" s="192"/>
      <c r="BF34" s="194"/>
      <c r="BG34" s="194"/>
      <c r="BH34" s="195"/>
      <c r="BI34" s="194"/>
    </row>
    <row r="35" spans="1:61" x14ac:dyDescent="0.25">
      <c r="A35" s="172"/>
      <c r="B35" s="177"/>
      <c r="C35" s="165"/>
      <c r="D35" s="171"/>
      <c r="E35" s="189"/>
      <c r="F35" s="188"/>
      <c r="G35" s="189"/>
      <c r="H35" s="189"/>
      <c r="I35" s="189"/>
      <c r="J35" s="189"/>
      <c r="K35" s="190" t="str">
        <f t="shared" si="0"/>
        <v/>
      </c>
      <c r="L35" s="190" t="str">
        <f t="shared" si="1"/>
        <v/>
      </c>
      <c r="M35" s="188"/>
      <c r="N35" s="188"/>
      <c r="O35" s="188"/>
      <c r="P35" s="188"/>
      <c r="Q35" s="188"/>
      <c r="R35" s="188"/>
      <c r="S35" s="213"/>
      <c r="T35" s="207"/>
      <c r="U35" s="219"/>
      <c r="V35" s="219"/>
      <c r="W35" s="219"/>
      <c r="X35" s="219"/>
      <c r="Y35" s="219"/>
      <c r="Z35" s="219"/>
      <c r="AA35" s="219"/>
      <c r="AB35" s="219"/>
      <c r="AC35" s="219"/>
      <c r="AD35" s="219"/>
      <c r="AE35" s="219"/>
      <c r="AF35" s="219"/>
      <c r="AG35" s="219"/>
      <c r="AH35" s="225">
        <f>SUM(PORTEFEUILLE_ERIC[[#This Row],[PCR COMPTABLE €]:[MONTANT
RESPONSABLE RELATION CLIENT €]])-PORTEFEUILLE_ERIC[[#This Row],[MONTANT TOTAL LETTRE DE MISION €]]</f>
        <v>0</v>
      </c>
      <c r="AI35" s="191"/>
      <c r="AJ35" s="188"/>
      <c r="AK35" s="188"/>
      <c r="AL35" s="188"/>
      <c r="AM35" s="188"/>
      <c r="AN35" s="188"/>
      <c r="AO35" s="188"/>
      <c r="AP35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Q35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R35" s="188" t="str">
        <f>IF(PORTEFEUILLE_ERIC[[#This Row],[BONI AAC]]&lt;&gt;0,1,"")</f>
        <v/>
      </c>
      <c r="AS35" s="188" t="str">
        <f>IF(PORTEFEUILLE_ERIC[[#This Row],[MALI AAC]]&lt;&gt;0,1,"")</f>
        <v/>
      </c>
      <c r="AT35" s="225">
        <f>IF(AN35&lt;&gt;"",IF((AN35*Paramètres!$H$4)-PORTEFEUILLE_ERIC[[#This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€]]-(DELPHINE!AN35*Paramètres!$H$4),0),0)</f>
        <v>0</v>
      </c>
      <c r="AU35" s="225">
        <f>IF(AN35&lt;&gt;"",IF(((AN35*Paramètres!$H$4)-PORTEFEUILLE_ERIC[[#This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€]])&gt;0,(AN35*Paramètres!$H$4)-PORTEFEUILLE_ERIC[[#This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V35" s="190" t="str">
        <f>IF(PORTEFEUILLE_ERIC[[#This Row],[BONI COMPTABLE]]&lt;&gt;0,1,"")</f>
        <v/>
      </c>
      <c r="AW35" s="190" t="str">
        <f>IF(PORTEFEUILLE_ERIC[[#This Row],[MALI COMPTABLE]]&lt;&gt;0,1,"")</f>
        <v/>
      </c>
      <c r="AX35" s="188"/>
      <c r="AY35" s="188"/>
      <c r="AZ35" s="188"/>
      <c r="BA35" s="188"/>
      <c r="BB35" s="188"/>
      <c r="BC35" s="188"/>
      <c r="BD35" s="188"/>
      <c r="BE35" s="192"/>
      <c r="BF35" s="194"/>
      <c r="BG35" s="194"/>
      <c r="BH35" s="195"/>
      <c r="BI35" s="194"/>
    </row>
    <row r="36" spans="1:61" x14ac:dyDescent="0.25">
      <c r="A36" s="172"/>
      <c r="B36" s="178"/>
      <c r="C36" s="165"/>
      <c r="D36" s="171"/>
      <c r="E36" s="189"/>
      <c r="F36" s="188"/>
      <c r="G36" s="189"/>
      <c r="H36" s="189"/>
      <c r="I36" s="189"/>
      <c r="J36" s="189"/>
      <c r="K36" s="190" t="str">
        <f t="shared" si="0"/>
        <v/>
      </c>
      <c r="L36" s="190" t="str">
        <f t="shared" si="1"/>
        <v/>
      </c>
      <c r="M36" s="188"/>
      <c r="N36" s="188"/>
      <c r="O36" s="188"/>
      <c r="P36" s="188"/>
      <c r="Q36" s="188"/>
      <c r="R36" s="188"/>
      <c r="S36" s="213"/>
      <c r="T36" s="207"/>
      <c r="U36" s="219"/>
      <c r="V36" s="219"/>
      <c r="W36" s="219"/>
      <c r="X36" s="219"/>
      <c r="Y36" s="219"/>
      <c r="Z36" s="219"/>
      <c r="AA36" s="219"/>
      <c r="AB36" s="219"/>
      <c r="AC36" s="219"/>
      <c r="AD36" s="219"/>
      <c r="AE36" s="219"/>
      <c r="AF36" s="219"/>
      <c r="AG36" s="219"/>
      <c r="AH36" s="225">
        <f>SUM(PORTEFEUILLE_ERIC[[#This Row],[PCR COMPTABLE €]:[MONTANT
RESPONSABLE RELATION CLIENT €]])-PORTEFEUILLE_ERIC[[#This Row],[MONTANT TOTAL LETTRE DE MISION €]]</f>
        <v>0</v>
      </c>
      <c r="AI36" s="191"/>
      <c r="AJ36" s="188"/>
      <c r="AK36" s="188"/>
      <c r="AL36" s="188"/>
      <c r="AM36" s="188"/>
      <c r="AN36" s="188"/>
      <c r="AO36" s="188"/>
      <c r="AP36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Q36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R36" s="188" t="str">
        <f>IF(PORTEFEUILLE_ERIC[[#This Row],[BONI AAC]]&lt;&gt;0,1,"")</f>
        <v/>
      </c>
      <c r="AS36" s="188" t="str">
        <f>IF(PORTEFEUILLE_ERIC[[#This Row],[MALI AAC]]&lt;&gt;0,1,"")</f>
        <v/>
      </c>
      <c r="AT36" s="225">
        <f>IF(AN36&lt;&gt;"",IF((AN36*Paramètres!$H$4)-PORTEFEUILLE_ERIC[[#This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€]]-(DELPHINE!AN36*Paramètres!$H$4),0),0)</f>
        <v>0</v>
      </c>
      <c r="AU36" s="225">
        <f>IF(AN36&lt;&gt;"",IF(((AN36*Paramètres!$H$4)-PORTEFEUILLE_ERIC[[#This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€]])&gt;0,(AN36*Paramètres!$H$4)-PORTEFEUILLE_ERIC[[#This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V36" s="190" t="str">
        <f>IF(PORTEFEUILLE_ERIC[[#This Row],[BONI COMPTABLE]]&lt;&gt;0,1,"")</f>
        <v/>
      </c>
      <c r="AW36" s="190" t="str">
        <f>IF(PORTEFEUILLE_ERIC[[#This Row],[MALI COMPTABLE]]&lt;&gt;0,1,"")</f>
        <v/>
      </c>
      <c r="AX36" s="188"/>
      <c r="AY36" s="188"/>
      <c r="AZ36" s="188"/>
      <c r="BA36" s="188"/>
      <c r="BB36" s="196"/>
      <c r="BC36" s="196"/>
      <c r="BD36" s="196"/>
      <c r="BE36" s="192"/>
      <c r="BF36" s="194"/>
      <c r="BG36" s="194"/>
      <c r="BH36" s="195"/>
      <c r="BI36" s="194"/>
    </row>
    <row r="37" spans="1:61" x14ac:dyDescent="0.25">
      <c r="A37" s="172"/>
      <c r="B37" s="178"/>
      <c r="C37" s="165"/>
      <c r="D37" s="171"/>
      <c r="E37" s="189"/>
      <c r="F37" s="188"/>
      <c r="G37" s="189"/>
      <c r="H37" s="189"/>
      <c r="I37" s="189"/>
      <c r="J37" s="189"/>
      <c r="K37" s="190" t="str">
        <f t="shared" si="0"/>
        <v/>
      </c>
      <c r="L37" s="190" t="str">
        <f t="shared" si="1"/>
        <v/>
      </c>
      <c r="M37" s="188"/>
      <c r="N37" s="188"/>
      <c r="O37" s="188"/>
      <c r="P37" s="188"/>
      <c r="Q37" s="188"/>
      <c r="R37" s="188"/>
      <c r="S37" s="213"/>
      <c r="T37" s="207"/>
      <c r="U37" s="219"/>
      <c r="V37" s="219"/>
      <c r="W37" s="219"/>
      <c r="X37" s="219"/>
      <c r="Y37" s="219"/>
      <c r="Z37" s="219"/>
      <c r="AA37" s="219"/>
      <c r="AB37" s="219"/>
      <c r="AC37" s="219"/>
      <c r="AD37" s="219"/>
      <c r="AE37" s="219"/>
      <c r="AF37" s="219"/>
      <c r="AG37" s="219"/>
      <c r="AH37" s="225">
        <f>SUM(PORTEFEUILLE_ERIC[[#This Row],[PCR COMPTABLE €]:[MONTANT
RESPONSABLE RELATION CLIENT €]])-PORTEFEUILLE_ERIC[[#This Row],[MONTANT TOTAL LETTRE DE MISION €]]</f>
        <v>0</v>
      </c>
      <c r="AI37" s="191"/>
      <c r="AJ37" s="188"/>
      <c r="AK37" s="188"/>
      <c r="AL37" s="188"/>
      <c r="AM37" s="188"/>
      <c r="AN37" s="188"/>
      <c r="AO37" s="188"/>
      <c r="AP37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Q37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R37" s="188" t="str">
        <f>IF(PORTEFEUILLE_ERIC[[#This Row],[BONI AAC]]&lt;&gt;0,1,"")</f>
        <v/>
      </c>
      <c r="AS37" s="188" t="str">
        <f>IF(PORTEFEUILLE_ERIC[[#This Row],[MALI AAC]]&lt;&gt;0,1,"")</f>
        <v/>
      </c>
      <c r="AT37" s="225">
        <f>IF(AN37&lt;&gt;"",IF((AN37*Paramètres!$H$4)-PORTEFEUILLE_ERIC[[#This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€]]-(DELPHINE!AN37*Paramètres!$H$4),0),0)</f>
        <v>0</v>
      </c>
      <c r="AU37" s="225">
        <f>IF(AN37&lt;&gt;"",IF(((AN37*Paramètres!$H$4)-PORTEFEUILLE_ERIC[[#This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€]])&gt;0,(AN37*Paramètres!$H$4)-PORTEFEUILLE_ERIC[[#This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V37" s="190" t="str">
        <f>IF(PORTEFEUILLE_ERIC[[#This Row],[BONI COMPTABLE]]&lt;&gt;0,1,"")</f>
        <v/>
      </c>
      <c r="AW37" s="190" t="str">
        <f>IF(PORTEFEUILLE_ERIC[[#This Row],[MALI COMPTABLE]]&lt;&gt;0,1,"")</f>
        <v/>
      </c>
      <c r="AX37" s="188"/>
      <c r="AY37" s="188"/>
      <c r="AZ37" s="188"/>
      <c r="BA37" s="188"/>
      <c r="BB37" s="196"/>
      <c r="BC37" s="196"/>
      <c r="BD37" s="196"/>
      <c r="BE37" s="192"/>
      <c r="BF37" s="194"/>
      <c r="BG37" s="194"/>
      <c r="BH37" s="195"/>
      <c r="BI37" s="194"/>
    </row>
    <row r="38" spans="1:61" x14ac:dyDescent="0.25">
      <c r="A38" s="172"/>
      <c r="B38" s="179"/>
      <c r="C38" s="165"/>
      <c r="D38" s="171"/>
      <c r="E38" s="189"/>
      <c r="F38" s="188"/>
      <c r="G38" s="188"/>
      <c r="H38" s="189"/>
      <c r="I38" s="189"/>
      <c r="J38" s="199"/>
      <c r="K38" s="190" t="str">
        <f t="shared" si="0"/>
        <v/>
      </c>
      <c r="L38" s="190" t="str">
        <f t="shared" si="1"/>
        <v/>
      </c>
      <c r="M38" s="188"/>
      <c r="N38" s="188"/>
      <c r="O38" s="188"/>
      <c r="P38" s="188"/>
      <c r="Q38" s="188"/>
      <c r="R38" s="188"/>
      <c r="S38" s="213"/>
      <c r="T38" s="207"/>
      <c r="U38" s="219"/>
      <c r="V38" s="219"/>
      <c r="W38" s="219"/>
      <c r="X38" s="219"/>
      <c r="Y38" s="219"/>
      <c r="Z38" s="219"/>
      <c r="AA38" s="219"/>
      <c r="AB38" s="219"/>
      <c r="AC38" s="219"/>
      <c r="AD38" s="219"/>
      <c r="AE38" s="219"/>
      <c r="AF38" s="219"/>
      <c r="AG38" s="219"/>
      <c r="AH38" s="225">
        <f>SUM(PORTEFEUILLE_ERIC[[#This Row],[PCR COMPTABLE €]:[MONTANT
RESPONSABLE RELATION CLIENT €]])-PORTEFEUILLE_ERIC[[#This Row],[MONTANT TOTAL LETTRE DE MISION €]]</f>
        <v>0</v>
      </c>
      <c r="AI38" s="191"/>
      <c r="AJ38" s="188"/>
      <c r="AK38" s="188"/>
      <c r="AL38" s="188"/>
      <c r="AM38" s="188"/>
      <c r="AN38" s="188"/>
      <c r="AO38" s="188"/>
      <c r="AP38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Q38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R38" s="188" t="str">
        <f>IF(PORTEFEUILLE_ERIC[[#This Row],[BONI AAC]]&lt;&gt;0,1,"")</f>
        <v/>
      </c>
      <c r="AS38" s="188" t="str">
        <f>IF(PORTEFEUILLE_ERIC[[#This Row],[MALI AAC]]&lt;&gt;0,1,"")</f>
        <v/>
      </c>
      <c r="AT38" s="225">
        <f>IF(AN38&lt;&gt;"",IF((AN38*Paramètres!$H$4)-PORTEFEUILLE_ERIC[[#This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€]]-(DELPHINE!AN38*Paramètres!$H$4),0),0)</f>
        <v>0</v>
      </c>
      <c r="AU38" s="225">
        <f>IF(AN38&lt;&gt;"",IF(((AN38*Paramètres!$H$4)-PORTEFEUILLE_ERIC[[#This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€]])&gt;0,(AN38*Paramètres!$H$4)-PORTEFEUILLE_ERIC[[#This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V38" s="190" t="str">
        <f>IF(PORTEFEUILLE_ERIC[[#This Row],[BONI COMPTABLE]]&lt;&gt;0,1,"")</f>
        <v/>
      </c>
      <c r="AW38" s="190" t="str">
        <f>IF(PORTEFEUILLE_ERIC[[#This Row],[MALI COMPTABLE]]&lt;&gt;0,1,"")</f>
        <v/>
      </c>
      <c r="AX38" s="188"/>
      <c r="AY38" s="188"/>
      <c r="AZ38" s="188"/>
      <c r="BA38" s="188"/>
      <c r="BB38" s="196"/>
      <c r="BC38" s="196"/>
      <c r="BD38" s="196"/>
      <c r="BE38" s="192"/>
      <c r="BF38" s="194"/>
      <c r="BG38" s="194"/>
      <c r="BH38" s="195"/>
      <c r="BI38" s="194"/>
    </row>
    <row r="39" spans="1:61" x14ac:dyDescent="0.25">
      <c r="A39" s="172"/>
      <c r="B39" s="180"/>
      <c r="C39" s="165"/>
      <c r="D39" s="171"/>
      <c r="E39" s="189"/>
      <c r="F39" s="188"/>
      <c r="G39" s="189"/>
      <c r="H39" s="189"/>
      <c r="I39" s="189"/>
      <c r="J39" s="189"/>
      <c r="K39" s="190" t="str">
        <f t="shared" si="0"/>
        <v/>
      </c>
      <c r="L39" s="190" t="str">
        <f t="shared" si="1"/>
        <v/>
      </c>
      <c r="M39" s="188"/>
      <c r="N39" s="188"/>
      <c r="O39" s="188"/>
      <c r="P39" s="188"/>
      <c r="Q39" s="188"/>
      <c r="R39" s="188"/>
      <c r="S39" s="213"/>
      <c r="T39" s="207"/>
      <c r="U39" s="219"/>
      <c r="V39" s="219"/>
      <c r="W39" s="219"/>
      <c r="X39" s="219"/>
      <c r="Y39" s="219"/>
      <c r="Z39" s="219"/>
      <c r="AA39" s="219"/>
      <c r="AB39" s="219"/>
      <c r="AC39" s="219"/>
      <c r="AD39" s="219"/>
      <c r="AE39" s="219"/>
      <c r="AF39" s="219"/>
      <c r="AG39" s="219"/>
      <c r="AH39" s="225">
        <f>SUM(PORTEFEUILLE_ERIC[[#This Row],[PCR COMPTABLE €]:[MONTANT
RESPONSABLE RELATION CLIENT €]])-PORTEFEUILLE_ERIC[[#This Row],[MONTANT TOTAL LETTRE DE MISION €]]</f>
        <v>0</v>
      </c>
      <c r="AI39" s="191"/>
      <c r="AJ39" s="188"/>
      <c r="AK39" s="188"/>
      <c r="AL39" s="188"/>
      <c r="AM39" s="188"/>
      <c r="AN39" s="188"/>
      <c r="AO39" s="188"/>
      <c r="AP39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Q39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R39" s="188" t="str">
        <f>IF(PORTEFEUILLE_ERIC[[#This Row],[BONI AAC]]&lt;&gt;0,1,"")</f>
        <v/>
      </c>
      <c r="AS39" s="188" t="str">
        <f>IF(PORTEFEUILLE_ERIC[[#This Row],[MALI AAC]]&lt;&gt;0,1,"")</f>
        <v/>
      </c>
      <c r="AT39" s="225">
        <f>IF(AN39&lt;&gt;"",IF((AN39*Paramètres!$H$4)-PORTEFEUILLE_ERIC[[#This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€]]-(DELPHINE!AN39*Paramètres!$H$4),0),0)</f>
        <v>0</v>
      </c>
      <c r="AU39" s="225">
        <f>IF(AN39&lt;&gt;"",IF(((AN39*Paramètres!$H$4)-PORTEFEUILLE_ERIC[[#This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€]])&gt;0,(AN39*Paramètres!$H$4)-PORTEFEUILLE_ERIC[[#This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V39" s="190" t="str">
        <f>IF(PORTEFEUILLE_ERIC[[#This Row],[BONI COMPTABLE]]&lt;&gt;0,1,"")</f>
        <v/>
      </c>
      <c r="AW39" s="190" t="str">
        <f>IF(PORTEFEUILLE_ERIC[[#This Row],[MALI COMPTABLE]]&lt;&gt;0,1,"")</f>
        <v/>
      </c>
      <c r="AX39" s="188"/>
      <c r="AY39" s="188"/>
      <c r="AZ39" s="188"/>
      <c r="BA39" s="188"/>
      <c r="BB39" s="188"/>
      <c r="BC39" s="188"/>
      <c r="BD39" s="188"/>
      <c r="BE39" s="192"/>
      <c r="BF39" s="194"/>
      <c r="BG39" s="194"/>
      <c r="BH39" s="195"/>
      <c r="BI39" s="194"/>
    </row>
    <row r="40" spans="1:61" x14ac:dyDescent="0.25">
      <c r="A40" s="172"/>
      <c r="B40" s="178"/>
      <c r="C40" s="165"/>
      <c r="D40" s="171"/>
      <c r="E40" s="189"/>
      <c r="F40" s="188"/>
      <c r="G40" s="189"/>
      <c r="H40" s="189"/>
      <c r="I40" s="189"/>
      <c r="J40" s="189"/>
      <c r="K40" s="190" t="str">
        <f t="shared" si="0"/>
        <v/>
      </c>
      <c r="L40" s="190" t="str">
        <f t="shared" si="1"/>
        <v/>
      </c>
      <c r="M40" s="188"/>
      <c r="N40" s="188"/>
      <c r="O40" s="188"/>
      <c r="P40" s="188"/>
      <c r="Q40" s="188"/>
      <c r="R40" s="188"/>
      <c r="S40" s="213"/>
      <c r="T40" s="207"/>
      <c r="U40" s="219"/>
      <c r="V40" s="219"/>
      <c r="W40" s="219"/>
      <c r="X40" s="219"/>
      <c r="Y40" s="219"/>
      <c r="Z40" s="219"/>
      <c r="AA40" s="219"/>
      <c r="AB40" s="219"/>
      <c r="AC40" s="219"/>
      <c r="AD40" s="219"/>
      <c r="AE40" s="219"/>
      <c r="AF40" s="219"/>
      <c r="AG40" s="219"/>
      <c r="AH40" s="225">
        <f>SUM(PORTEFEUILLE_ERIC[[#This Row],[PCR COMPTABLE €]:[MONTANT
RESPONSABLE RELATION CLIENT €]])-PORTEFEUILLE_ERIC[[#This Row],[MONTANT TOTAL LETTRE DE MISION €]]</f>
        <v>0</v>
      </c>
      <c r="AI40" s="191"/>
      <c r="AJ40" s="188"/>
      <c r="AK40" s="188"/>
      <c r="AL40" s="188"/>
      <c r="AM40" s="188"/>
      <c r="AN40" s="188"/>
      <c r="AO40" s="188"/>
      <c r="AP40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Q40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R40" s="188" t="str">
        <f>IF(PORTEFEUILLE_ERIC[[#This Row],[BONI AAC]]&lt;&gt;0,1,"")</f>
        <v/>
      </c>
      <c r="AS40" s="188" t="str">
        <f>IF(PORTEFEUILLE_ERIC[[#This Row],[MALI AAC]]&lt;&gt;0,1,"")</f>
        <v/>
      </c>
      <c r="AT40" s="225">
        <f>IF(AN40&lt;&gt;"",IF((AN40*Paramètres!$H$4)-PORTEFEUILLE_ERIC[[#This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€]]-(DELPHINE!AN40*Paramètres!$H$4),0),0)</f>
        <v>0</v>
      </c>
      <c r="AU40" s="225">
        <f>IF(AN40&lt;&gt;"",IF(((AN40*Paramètres!$H$4)-PORTEFEUILLE_ERIC[[#This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€]])&gt;0,(AN40*Paramètres!$H$4)-PORTEFEUILLE_ERIC[[#This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V40" s="190" t="str">
        <f>IF(PORTEFEUILLE_ERIC[[#This Row],[BONI COMPTABLE]]&lt;&gt;0,1,"")</f>
        <v/>
      </c>
      <c r="AW40" s="190" t="str">
        <f>IF(PORTEFEUILLE_ERIC[[#This Row],[MALI COMPTABLE]]&lt;&gt;0,1,"")</f>
        <v/>
      </c>
      <c r="AX40" s="188"/>
      <c r="AY40" s="188"/>
      <c r="AZ40" s="188"/>
      <c r="BA40" s="188"/>
      <c r="BB40" s="188"/>
      <c r="BC40" s="188"/>
      <c r="BD40" s="188"/>
      <c r="BE40" s="192"/>
      <c r="BF40" s="194"/>
      <c r="BG40" s="194"/>
      <c r="BH40" s="195"/>
      <c r="BI40" s="194"/>
    </row>
    <row r="41" spans="1:61" x14ac:dyDescent="0.25">
      <c r="A41" s="172"/>
      <c r="B41" s="178"/>
      <c r="C41" s="165"/>
      <c r="D41" s="171"/>
      <c r="E41" s="189"/>
      <c r="F41" s="188"/>
      <c r="G41" s="188"/>
      <c r="H41" s="189"/>
      <c r="I41" s="189"/>
      <c r="J41" s="189"/>
      <c r="K41" s="190" t="str">
        <f t="shared" si="0"/>
        <v/>
      </c>
      <c r="L41" s="190" t="str">
        <f t="shared" si="1"/>
        <v/>
      </c>
      <c r="M41" s="188"/>
      <c r="N41" s="188"/>
      <c r="O41" s="188"/>
      <c r="P41" s="188"/>
      <c r="Q41" s="188"/>
      <c r="R41" s="188"/>
      <c r="S41" s="214"/>
      <c r="T41" s="208"/>
      <c r="U41" s="220"/>
      <c r="V41" s="220"/>
      <c r="W41" s="220"/>
      <c r="X41" s="220"/>
      <c r="Y41" s="220"/>
      <c r="Z41" s="220"/>
      <c r="AA41" s="220"/>
      <c r="AB41" s="220"/>
      <c r="AC41" s="220"/>
      <c r="AD41" s="220"/>
      <c r="AE41" s="220"/>
      <c r="AF41" s="220"/>
      <c r="AG41" s="219"/>
      <c r="AH41" s="225">
        <f>SUM(PORTEFEUILLE_ERIC[[#This Row],[PCR COMPTABLE €]:[MONTANT
RESPONSABLE RELATION CLIENT €]])-PORTEFEUILLE_ERIC[[#This Row],[MONTANT TOTAL LETTRE DE MISION €]]</f>
        <v>0</v>
      </c>
      <c r="AI41" s="191"/>
      <c r="AJ41" s="188"/>
      <c r="AK41" s="188"/>
      <c r="AL41" s="196"/>
      <c r="AM41" s="196"/>
      <c r="AN41" s="196"/>
      <c r="AO41" s="196"/>
      <c r="AP41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Q41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R41" s="188" t="str">
        <f>IF(PORTEFEUILLE_ERIC[[#This Row],[BONI AAC]]&lt;&gt;0,1,"")</f>
        <v/>
      </c>
      <c r="AS41" s="188" t="str">
        <f>IF(PORTEFEUILLE_ERIC[[#This Row],[MALI AAC]]&lt;&gt;0,1,"")</f>
        <v/>
      </c>
      <c r="AT41" s="225">
        <f>IF(AN41&lt;&gt;"",IF((AN41*Paramètres!$H$4)-PORTEFEUILLE_ERIC[[#This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€]]-(DELPHINE!AN41*Paramètres!$H$4),0),0)</f>
        <v>0</v>
      </c>
      <c r="AU41" s="225">
        <f>IF(AN41&lt;&gt;"",IF(((AN41*Paramètres!$H$4)-PORTEFEUILLE_ERIC[[#This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€]])&gt;0,(AN41*Paramètres!$H$4)-PORTEFEUILLE_ERIC[[#This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V41" s="190" t="str">
        <f>IF(PORTEFEUILLE_ERIC[[#This Row],[BONI COMPTABLE]]&lt;&gt;0,1,"")</f>
        <v/>
      </c>
      <c r="AW41" s="190" t="str">
        <f>IF(PORTEFEUILLE_ERIC[[#This Row],[MALI COMPTABLE]]&lt;&gt;0,1,"")</f>
        <v/>
      </c>
      <c r="AX41" s="196"/>
      <c r="AY41" s="188"/>
      <c r="AZ41" s="188"/>
      <c r="BA41" s="188"/>
      <c r="BB41" s="188"/>
      <c r="BC41" s="188"/>
      <c r="BD41" s="188"/>
      <c r="BE41" s="192"/>
      <c r="BF41" s="194"/>
      <c r="BG41" s="194"/>
      <c r="BH41" s="195"/>
      <c r="BI41" s="194"/>
    </row>
    <row r="42" spans="1:61" x14ac:dyDescent="0.25">
      <c r="A42" s="172"/>
      <c r="B42" s="178"/>
      <c r="C42" s="165"/>
      <c r="D42" s="171"/>
      <c r="E42" s="189"/>
      <c r="F42" s="188"/>
      <c r="G42" s="188"/>
      <c r="H42" s="189"/>
      <c r="I42" s="188"/>
      <c r="J42" s="189"/>
      <c r="K42" s="190" t="str">
        <f t="shared" si="0"/>
        <v/>
      </c>
      <c r="L42" s="190" t="str">
        <f t="shared" si="1"/>
        <v/>
      </c>
      <c r="M42" s="188"/>
      <c r="N42" s="188"/>
      <c r="O42" s="188"/>
      <c r="P42" s="188"/>
      <c r="Q42" s="188"/>
      <c r="R42" s="188"/>
      <c r="S42" s="214"/>
      <c r="T42" s="208"/>
      <c r="U42" s="220"/>
      <c r="V42" s="220"/>
      <c r="W42" s="220"/>
      <c r="X42" s="220"/>
      <c r="Y42" s="220"/>
      <c r="Z42" s="220"/>
      <c r="AA42" s="220"/>
      <c r="AB42" s="220"/>
      <c r="AC42" s="220"/>
      <c r="AD42" s="220"/>
      <c r="AE42" s="220"/>
      <c r="AF42" s="220"/>
      <c r="AG42" s="219"/>
      <c r="AH42" s="225">
        <f>SUM(PORTEFEUILLE_ERIC[[#This Row],[PCR COMPTABLE €]:[MONTANT
RESPONSABLE RELATION CLIENT €]])-PORTEFEUILLE_ERIC[[#This Row],[MONTANT TOTAL LETTRE DE MISION €]]</f>
        <v>0</v>
      </c>
      <c r="AI42" s="191"/>
      <c r="AJ42" s="188"/>
      <c r="AK42" s="188"/>
      <c r="AL42" s="196"/>
      <c r="AM42" s="196"/>
      <c r="AN42" s="196"/>
      <c r="AO42" s="196"/>
      <c r="AP42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Q42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R42" s="188" t="str">
        <f>IF(PORTEFEUILLE_ERIC[[#This Row],[BONI AAC]]&lt;&gt;0,1,"")</f>
        <v/>
      </c>
      <c r="AS42" s="188" t="str">
        <f>IF(PORTEFEUILLE_ERIC[[#This Row],[MALI AAC]]&lt;&gt;0,1,"")</f>
        <v/>
      </c>
      <c r="AT42" s="225">
        <f>IF(AN42&lt;&gt;"",IF((AN42*Paramètres!$H$4)-PORTEFEUILLE_ERIC[[#This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€]]-(DELPHINE!AN42*Paramètres!$H$4),0),0)</f>
        <v>0</v>
      </c>
      <c r="AU42" s="225">
        <f>IF(AN42&lt;&gt;"",IF(((AN42*Paramètres!$H$4)-PORTEFEUILLE_ERIC[[#This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€]])&gt;0,(AN42*Paramètres!$H$4)-PORTEFEUILLE_ERIC[[#This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V42" s="190" t="str">
        <f>IF(PORTEFEUILLE_ERIC[[#This Row],[BONI COMPTABLE]]&lt;&gt;0,1,"")</f>
        <v/>
      </c>
      <c r="AW42" s="190" t="str">
        <f>IF(PORTEFEUILLE_ERIC[[#This Row],[MALI COMPTABLE]]&lt;&gt;0,1,"")</f>
        <v/>
      </c>
      <c r="AX42" s="196"/>
      <c r="AY42" s="188"/>
      <c r="AZ42" s="188"/>
      <c r="BA42" s="188"/>
      <c r="BB42" s="196"/>
      <c r="BC42" s="196"/>
      <c r="BD42" s="196"/>
      <c r="BE42" s="192"/>
      <c r="BF42" s="194"/>
      <c r="BG42" s="194"/>
      <c r="BH42" s="195"/>
      <c r="BI42" s="194"/>
    </row>
    <row r="43" spans="1:61" x14ac:dyDescent="0.25">
      <c r="A43" s="172"/>
      <c r="B43" s="178"/>
      <c r="C43" s="165"/>
      <c r="D43" s="171"/>
      <c r="E43" s="189"/>
      <c r="F43" s="188"/>
      <c r="G43" s="189"/>
      <c r="H43" s="189"/>
      <c r="I43" s="189"/>
      <c r="J43" s="189"/>
      <c r="K43" s="190" t="str">
        <f t="shared" si="0"/>
        <v/>
      </c>
      <c r="L43" s="190" t="str">
        <f t="shared" si="1"/>
        <v/>
      </c>
      <c r="M43" s="188"/>
      <c r="N43" s="188"/>
      <c r="O43" s="188"/>
      <c r="P43" s="188"/>
      <c r="Q43" s="188"/>
      <c r="R43" s="188"/>
      <c r="S43" s="213"/>
      <c r="T43" s="207"/>
      <c r="U43" s="219"/>
      <c r="V43" s="219"/>
      <c r="W43" s="219"/>
      <c r="X43" s="219"/>
      <c r="Y43" s="219"/>
      <c r="Z43" s="219"/>
      <c r="AA43" s="219"/>
      <c r="AB43" s="219"/>
      <c r="AC43" s="219"/>
      <c r="AD43" s="219"/>
      <c r="AE43" s="219"/>
      <c r="AF43" s="219"/>
      <c r="AG43" s="219"/>
      <c r="AH43" s="225">
        <f>SUM(PORTEFEUILLE_ERIC[[#This Row],[PCR COMPTABLE €]:[MONTANT
RESPONSABLE RELATION CLIENT €]])-PORTEFEUILLE_ERIC[[#This Row],[MONTANT TOTAL LETTRE DE MISION €]]</f>
        <v>0</v>
      </c>
      <c r="AI43" s="191"/>
      <c r="AJ43" s="188"/>
      <c r="AK43" s="188"/>
      <c r="AL43" s="188"/>
      <c r="AM43" s="188"/>
      <c r="AN43" s="188"/>
      <c r="AO43" s="188"/>
      <c r="AP43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Q43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R43" s="188" t="str">
        <f>IF(PORTEFEUILLE_ERIC[[#This Row],[BONI AAC]]&lt;&gt;0,1,"")</f>
        <v/>
      </c>
      <c r="AS43" s="188" t="str">
        <f>IF(PORTEFEUILLE_ERIC[[#This Row],[MALI AAC]]&lt;&gt;0,1,"")</f>
        <v/>
      </c>
      <c r="AT43" s="225">
        <f>IF(AN43&lt;&gt;"",IF((AN43*Paramètres!$H$4)-PORTEFEUILLE_ERIC[[#This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€]]-(DELPHINE!AN43*Paramètres!$H$4),0),0)</f>
        <v>0</v>
      </c>
      <c r="AU43" s="225">
        <f>IF(AN43&lt;&gt;"",IF(((AN43*Paramètres!$H$4)-PORTEFEUILLE_ERIC[[#This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€]])&gt;0,(AN43*Paramètres!$H$4)-PORTEFEUILLE_ERIC[[#This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V43" s="190" t="str">
        <f>IF(PORTEFEUILLE_ERIC[[#This Row],[BONI COMPTABLE]]&lt;&gt;0,1,"")</f>
        <v/>
      </c>
      <c r="AW43" s="190" t="str">
        <f>IF(PORTEFEUILLE_ERIC[[#This Row],[MALI COMPTABLE]]&lt;&gt;0,1,"")</f>
        <v/>
      </c>
      <c r="AX43" s="188"/>
      <c r="AY43" s="188"/>
      <c r="AZ43" s="188"/>
      <c r="BA43" s="188"/>
      <c r="BB43" s="196"/>
      <c r="BC43" s="196"/>
      <c r="BD43" s="196"/>
      <c r="BE43" s="192"/>
      <c r="BF43" s="194"/>
      <c r="BG43" s="194"/>
      <c r="BH43" s="195"/>
      <c r="BI43" s="194"/>
    </row>
    <row r="44" spans="1:61" s="241" customFormat="1" x14ac:dyDescent="0.25">
      <c r="A44" s="172"/>
      <c r="B44" s="181"/>
      <c r="C44" s="165"/>
      <c r="D44" s="165"/>
      <c r="E44" s="189"/>
      <c r="F44" s="188"/>
      <c r="G44" s="189"/>
      <c r="H44" s="189"/>
      <c r="I44" s="189"/>
      <c r="J44" s="199"/>
      <c r="K44" s="190" t="str">
        <f t="shared" si="0"/>
        <v/>
      </c>
      <c r="L44" s="190" t="str">
        <f t="shared" si="1"/>
        <v/>
      </c>
      <c r="M44" s="188"/>
      <c r="N44" s="188"/>
      <c r="O44" s="188"/>
      <c r="P44" s="188"/>
      <c r="Q44" s="188"/>
      <c r="R44" s="188"/>
      <c r="S44" s="213"/>
      <c r="T44" s="207"/>
      <c r="U44" s="219"/>
      <c r="V44" s="219"/>
      <c r="W44" s="219"/>
      <c r="X44" s="219"/>
      <c r="Y44" s="219"/>
      <c r="Z44" s="219"/>
      <c r="AA44" s="219"/>
      <c r="AB44" s="219"/>
      <c r="AC44" s="219"/>
      <c r="AD44" s="219"/>
      <c r="AE44" s="219"/>
      <c r="AF44" s="219"/>
      <c r="AG44" s="219"/>
      <c r="AH44" s="225">
        <f>SUM(PORTEFEUILLE_ERIC[[#This Row],[PCR COMPTABLE €]:[MONTANT
RESPONSABLE RELATION CLIENT €]])-PORTEFEUILLE_ERIC[[#This Row],[MONTANT TOTAL LETTRE DE MISION €]]</f>
        <v>0</v>
      </c>
      <c r="AI44" s="191"/>
      <c r="AJ44" s="188"/>
      <c r="AK44" s="188"/>
      <c r="AL44" s="188"/>
      <c r="AM44" s="188"/>
      <c r="AN44" s="188"/>
      <c r="AO44" s="188"/>
      <c r="AP44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Q44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R44" s="188" t="str">
        <f>IF(PORTEFEUILLE_ERIC[[#This Row],[BONI AAC]]&lt;&gt;0,1,"")</f>
        <v/>
      </c>
      <c r="AS44" s="188" t="str">
        <f>IF(PORTEFEUILLE_ERIC[[#This Row],[MALI AAC]]&lt;&gt;0,1,"")</f>
        <v/>
      </c>
      <c r="AT44" s="225">
        <f>IF(AN44&lt;&gt;"",IF((AN44*Paramètres!$H$4)-PORTEFEUILLE_ERIC[[#This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€]]-(DELPHINE!AN44*Paramètres!$H$4),0),0)</f>
        <v>0</v>
      </c>
      <c r="AU44" s="225">
        <f>IF(AN44&lt;&gt;"",IF(((AN44*Paramètres!$H$4)-PORTEFEUILLE_ERIC[[#This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€]])&gt;0,(AN44*Paramètres!$H$4)-PORTEFEUILLE_ERIC[[#This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V44" s="190" t="str">
        <f>IF(PORTEFEUILLE_ERIC[[#This Row],[BONI COMPTABLE]]&lt;&gt;0,1,"")</f>
        <v/>
      </c>
      <c r="AW44" s="190" t="str">
        <f>IF(PORTEFEUILLE_ERIC[[#This Row],[MALI COMPTABLE]]&lt;&gt;0,1,"")</f>
        <v/>
      </c>
      <c r="AX44" s="188"/>
      <c r="AY44" s="188"/>
      <c r="AZ44" s="188"/>
      <c r="BA44" s="188"/>
      <c r="BB44" s="196"/>
      <c r="BC44" s="196"/>
      <c r="BD44" s="196"/>
      <c r="BE44" s="192"/>
      <c r="BF44" s="194"/>
      <c r="BG44" s="194"/>
      <c r="BH44" s="195"/>
      <c r="BI44" s="194"/>
    </row>
    <row r="45" spans="1:61" x14ac:dyDescent="0.25">
      <c r="A45" s="172"/>
      <c r="B45" s="181"/>
      <c r="C45" s="165"/>
      <c r="D45" s="165"/>
      <c r="E45" s="189"/>
      <c r="F45" s="188"/>
      <c r="G45" s="189"/>
      <c r="H45" s="189"/>
      <c r="I45" s="189"/>
      <c r="J45" s="189"/>
      <c r="K45" s="190" t="str">
        <f t="shared" si="0"/>
        <v/>
      </c>
      <c r="L45" s="190" t="str">
        <f t="shared" si="1"/>
        <v/>
      </c>
      <c r="M45" s="188"/>
      <c r="N45" s="188"/>
      <c r="O45" s="188"/>
      <c r="P45" s="188"/>
      <c r="Q45" s="188"/>
      <c r="R45" s="188"/>
      <c r="S45" s="213"/>
      <c r="T45" s="207"/>
      <c r="U45" s="219"/>
      <c r="V45" s="219"/>
      <c r="W45" s="219"/>
      <c r="X45" s="219"/>
      <c r="Y45" s="219"/>
      <c r="Z45" s="219"/>
      <c r="AA45" s="219"/>
      <c r="AB45" s="219"/>
      <c r="AC45" s="219"/>
      <c r="AD45" s="219"/>
      <c r="AE45" s="219"/>
      <c r="AF45" s="219"/>
      <c r="AG45" s="219"/>
      <c r="AH45" s="225">
        <f>SUM(PORTEFEUILLE_ERIC[[#This Row],[PCR COMPTABLE €]:[MONTANT
RESPONSABLE RELATION CLIENT €]])-PORTEFEUILLE_ERIC[[#This Row],[MONTANT TOTAL LETTRE DE MISION €]]</f>
        <v>0</v>
      </c>
      <c r="AI45" s="191"/>
      <c r="AJ45" s="188"/>
      <c r="AK45" s="188"/>
      <c r="AL45" s="188"/>
      <c r="AM45" s="188"/>
      <c r="AN45" s="188"/>
      <c r="AO45" s="188"/>
      <c r="AP45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Q45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R45" s="188" t="str">
        <f>IF(PORTEFEUILLE_ERIC[[#This Row],[BONI AAC]]&lt;&gt;0,1,"")</f>
        <v/>
      </c>
      <c r="AS45" s="188" t="str">
        <f>IF(PORTEFEUILLE_ERIC[[#This Row],[MALI AAC]]&lt;&gt;0,1,"")</f>
        <v/>
      </c>
      <c r="AT45" s="225">
        <f>IF(AN45&lt;&gt;"",IF((AN45*Paramètres!$H$4)-PORTEFEUILLE_ERIC[[#This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€]]-(DELPHINE!AN45*Paramètres!$H$4),0),0)</f>
        <v>0</v>
      </c>
      <c r="AU45" s="225">
        <f>IF(AN45&lt;&gt;"",IF(((AN45*Paramètres!$H$4)-PORTEFEUILLE_ERIC[[#This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€]])&gt;0,(AN45*Paramètres!$H$4)-PORTEFEUILLE_ERIC[[#This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V45" s="190" t="str">
        <f>IF(PORTEFEUILLE_ERIC[[#This Row],[BONI COMPTABLE]]&lt;&gt;0,1,"")</f>
        <v/>
      </c>
      <c r="AW45" s="190" t="str">
        <f>IF(PORTEFEUILLE_ERIC[[#This Row],[MALI COMPTABLE]]&lt;&gt;0,1,"")</f>
        <v/>
      </c>
      <c r="AX45" s="188"/>
      <c r="AY45" s="188"/>
      <c r="AZ45" s="188"/>
      <c r="BA45" s="188"/>
      <c r="BB45" s="188"/>
      <c r="BC45" s="188"/>
      <c r="BD45" s="188"/>
      <c r="BE45" s="192"/>
      <c r="BF45" s="194"/>
      <c r="BG45" s="194"/>
      <c r="BH45" s="195"/>
      <c r="BI45" s="194"/>
    </row>
    <row r="46" spans="1:61" x14ac:dyDescent="0.25">
      <c r="A46" s="172"/>
      <c r="B46" s="181"/>
      <c r="C46" s="165"/>
      <c r="D46" s="171"/>
      <c r="E46" s="189"/>
      <c r="F46" s="188"/>
      <c r="G46" s="188"/>
      <c r="H46" s="189"/>
      <c r="I46" s="188"/>
      <c r="J46" s="189"/>
      <c r="K46" s="190" t="str">
        <f t="shared" si="0"/>
        <v/>
      </c>
      <c r="L46" s="190" t="str">
        <f t="shared" si="1"/>
        <v/>
      </c>
      <c r="M46" s="188"/>
      <c r="N46" s="188"/>
      <c r="O46" s="188"/>
      <c r="P46" s="188"/>
      <c r="Q46" s="188"/>
      <c r="R46" s="188"/>
      <c r="S46" s="214"/>
      <c r="T46" s="208"/>
      <c r="U46" s="220"/>
      <c r="V46" s="220"/>
      <c r="W46" s="220"/>
      <c r="X46" s="220"/>
      <c r="Y46" s="220"/>
      <c r="Z46" s="220"/>
      <c r="AA46" s="220"/>
      <c r="AB46" s="220"/>
      <c r="AC46" s="220"/>
      <c r="AD46" s="220"/>
      <c r="AE46" s="220"/>
      <c r="AF46" s="220"/>
      <c r="AG46" s="219"/>
      <c r="AH46" s="225">
        <f>SUM(PORTEFEUILLE_ERIC[[#This Row],[PCR COMPTABLE €]:[MONTANT
RESPONSABLE RELATION CLIENT €]])-PORTEFEUILLE_ERIC[[#This Row],[MONTANT TOTAL LETTRE DE MISION €]]</f>
        <v>0</v>
      </c>
      <c r="AI46" s="191"/>
      <c r="AJ46" s="188"/>
      <c r="AK46" s="188"/>
      <c r="AL46" s="196"/>
      <c r="AM46" s="196"/>
      <c r="AN46" s="196"/>
      <c r="AO46" s="196"/>
      <c r="AP46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Q46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R46" s="188" t="str">
        <f>IF(PORTEFEUILLE_ERIC[[#This Row],[BONI AAC]]&lt;&gt;0,1,"")</f>
        <v/>
      </c>
      <c r="AS46" s="188" t="str">
        <f>IF(PORTEFEUILLE_ERIC[[#This Row],[MALI AAC]]&lt;&gt;0,1,"")</f>
        <v/>
      </c>
      <c r="AT46" s="225">
        <f>IF(AN46&lt;&gt;"",IF((AN46*Paramètres!$H$4)-PORTEFEUILLE_ERIC[[#This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€]]-(DELPHINE!AN46*Paramètres!$H$4),0),0)</f>
        <v>0</v>
      </c>
      <c r="AU46" s="225">
        <f>IF(AN46&lt;&gt;"",IF(((AN46*Paramètres!$H$4)-PORTEFEUILLE_ERIC[[#This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€]])&gt;0,(AN46*Paramètres!$H$4)-PORTEFEUILLE_ERIC[[#This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V46" s="190" t="str">
        <f>IF(PORTEFEUILLE_ERIC[[#This Row],[BONI COMPTABLE]]&lt;&gt;0,1,"")</f>
        <v/>
      </c>
      <c r="AW46" s="190" t="str">
        <f>IF(PORTEFEUILLE_ERIC[[#This Row],[MALI COMPTABLE]]&lt;&gt;0,1,"")</f>
        <v/>
      </c>
      <c r="AX46" s="196"/>
      <c r="AY46" s="188"/>
      <c r="AZ46" s="188"/>
      <c r="BA46" s="188"/>
      <c r="BB46" s="188"/>
      <c r="BC46" s="188"/>
      <c r="BD46" s="188"/>
      <c r="BE46" s="192"/>
      <c r="BF46" s="194"/>
      <c r="BG46" s="194"/>
      <c r="BH46" s="195"/>
      <c r="BI46" s="194"/>
    </row>
    <row r="47" spans="1:61" x14ac:dyDescent="0.25">
      <c r="A47" s="172"/>
      <c r="B47" s="181"/>
      <c r="C47" s="165"/>
      <c r="D47" s="171"/>
      <c r="E47" s="189"/>
      <c r="F47" s="188"/>
      <c r="G47" s="189"/>
      <c r="H47" s="189"/>
      <c r="I47" s="189"/>
      <c r="J47" s="189"/>
      <c r="K47" s="190" t="str">
        <f t="shared" si="0"/>
        <v/>
      </c>
      <c r="L47" s="190" t="str">
        <f t="shared" si="1"/>
        <v/>
      </c>
      <c r="M47" s="188"/>
      <c r="N47" s="188"/>
      <c r="O47" s="188"/>
      <c r="P47" s="188"/>
      <c r="Q47" s="188"/>
      <c r="R47" s="188"/>
      <c r="S47" s="213"/>
      <c r="T47" s="207"/>
      <c r="U47" s="219"/>
      <c r="V47" s="219"/>
      <c r="W47" s="219"/>
      <c r="X47" s="219"/>
      <c r="Y47" s="219"/>
      <c r="Z47" s="219"/>
      <c r="AA47" s="219"/>
      <c r="AB47" s="219"/>
      <c r="AC47" s="219"/>
      <c r="AD47" s="219"/>
      <c r="AE47" s="219"/>
      <c r="AF47" s="219"/>
      <c r="AG47" s="219"/>
      <c r="AH47" s="225">
        <f>SUM(PORTEFEUILLE_ERIC[[#This Row],[PCR COMPTABLE €]:[MONTANT
RESPONSABLE RELATION CLIENT €]])-PORTEFEUILLE_ERIC[[#This Row],[MONTANT TOTAL LETTRE DE MISION €]]</f>
        <v>0</v>
      </c>
      <c r="AI47" s="191"/>
      <c r="AJ47" s="188"/>
      <c r="AK47" s="188"/>
      <c r="AL47" s="188"/>
      <c r="AM47" s="188"/>
      <c r="AN47" s="188"/>
      <c r="AO47" s="188"/>
      <c r="AP47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Q47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R47" s="188" t="str">
        <f>IF(PORTEFEUILLE_ERIC[[#This Row],[BONI AAC]]&lt;&gt;0,1,"")</f>
        <v/>
      </c>
      <c r="AS47" s="188" t="str">
        <f>IF(PORTEFEUILLE_ERIC[[#This Row],[MALI AAC]]&lt;&gt;0,1,"")</f>
        <v/>
      </c>
      <c r="AT47" s="225">
        <f>IF(AN47&lt;&gt;"",IF((AN47*Paramètres!$H$4)-PORTEFEUILLE_ERIC[[#This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€]]-(DELPHINE!AN47*Paramètres!$H$4),0),0)</f>
        <v>0</v>
      </c>
      <c r="AU47" s="225">
        <f>IF(AN47&lt;&gt;"",IF(((AN47*Paramètres!$H$4)-PORTEFEUILLE_ERIC[[#This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€]])&gt;0,(AN47*Paramètres!$H$4)-PORTEFEUILLE_ERIC[[#This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V47" s="190" t="str">
        <f>IF(PORTEFEUILLE_ERIC[[#This Row],[BONI COMPTABLE]]&lt;&gt;0,1,"")</f>
        <v/>
      </c>
      <c r="AW47" s="190" t="str">
        <f>IF(PORTEFEUILLE_ERIC[[#This Row],[MALI COMPTABLE]]&lt;&gt;0,1,"")</f>
        <v/>
      </c>
      <c r="AX47" s="188"/>
      <c r="AY47" s="188"/>
      <c r="AZ47" s="188"/>
      <c r="BA47" s="188"/>
      <c r="BB47" s="188"/>
      <c r="BC47" s="188"/>
      <c r="BD47" s="188"/>
      <c r="BE47" s="192"/>
      <c r="BF47" s="194"/>
      <c r="BG47" s="194"/>
      <c r="BH47" s="195"/>
      <c r="BI47" s="194"/>
    </row>
    <row r="48" spans="1:61" x14ac:dyDescent="0.25">
      <c r="A48" s="172"/>
      <c r="B48" s="180"/>
      <c r="C48" s="165"/>
      <c r="D48" s="171"/>
      <c r="E48" s="189"/>
      <c r="F48" s="188"/>
      <c r="G48" s="188"/>
      <c r="H48" s="189"/>
      <c r="I48" s="189"/>
      <c r="J48" s="189"/>
      <c r="K48" s="190" t="str">
        <f t="shared" si="0"/>
        <v/>
      </c>
      <c r="L48" s="190" t="str">
        <f t="shared" si="1"/>
        <v/>
      </c>
      <c r="M48" s="188"/>
      <c r="N48" s="188"/>
      <c r="O48" s="188"/>
      <c r="P48" s="188"/>
      <c r="Q48" s="188"/>
      <c r="R48" s="188"/>
      <c r="S48" s="214"/>
      <c r="T48" s="208"/>
      <c r="U48" s="220"/>
      <c r="V48" s="220"/>
      <c r="W48" s="220"/>
      <c r="X48" s="220"/>
      <c r="Y48" s="220"/>
      <c r="Z48" s="220"/>
      <c r="AA48" s="220"/>
      <c r="AB48" s="220"/>
      <c r="AC48" s="220"/>
      <c r="AD48" s="220"/>
      <c r="AE48" s="220"/>
      <c r="AF48" s="220"/>
      <c r="AG48" s="219"/>
      <c r="AH48" s="225">
        <f>SUM(PORTEFEUILLE_ERIC[[#This Row],[PCR COMPTABLE €]:[MONTANT
RESPONSABLE RELATION CLIENT €]])-PORTEFEUILLE_ERIC[[#This Row],[MONTANT TOTAL LETTRE DE MISION €]]</f>
        <v>0</v>
      </c>
      <c r="AI48" s="191"/>
      <c r="AJ48" s="188"/>
      <c r="AK48" s="188"/>
      <c r="AL48" s="196"/>
      <c r="AM48" s="196"/>
      <c r="AN48" s="196"/>
      <c r="AO48" s="196"/>
      <c r="AP48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Q48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R48" s="188" t="str">
        <f>IF(PORTEFEUILLE_ERIC[[#This Row],[BONI AAC]]&lt;&gt;0,1,"")</f>
        <v/>
      </c>
      <c r="AS48" s="188" t="str">
        <f>IF(PORTEFEUILLE_ERIC[[#This Row],[MALI AAC]]&lt;&gt;0,1,"")</f>
        <v/>
      </c>
      <c r="AT48" s="225">
        <f>IF(AN48&lt;&gt;"",IF((AN48*Paramètres!$H$4)-PORTEFEUILLE_ERIC[[#This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€]]-(DELPHINE!AN48*Paramètres!$H$4),0),0)</f>
        <v>0</v>
      </c>
      <c r="AU48" s="225">
        <f>IF(AN48&lt;&gt;"",IF(((AN48*Paramètres!$H$4)-PORTEFEUILLE_ERIC[[#This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€]])&gt;0,(AN48*Paramètres!$H$4)-PORTEFEUILLE_ERIC[[#This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V48" s="190" t="str">
        <f>IF(PORTEFEUILLE_ERIC[[#This Row],[BONI COMPTABLE]]&lt;&gt;0,1,"")</f>
        <v/>
      </c>
      <c r="AW48" s="190" t="str">
        <f>IF(PORTEFEUILLE_ERIC[[#This Row],[MALI COMPTABLE]]&lt;&gt;0,1,"")</f>
        <v/>
      </c>
      <c r="AX48" s="196"/>
      <c r="AY48" s="188"/>
      <c r="AZ48" s="188"/>
      <c r="BA48" s="188"/>
      <c r="BB48" s="188"/>
      <c r="BC48" s="188"/>
      <c r="BD48" s="188"/>
      <c r="BE48" s="192"/>
      <c r="BF48" s="194"/>
      <c r="BG48" s="194"/>
      <c r="BH48" s="195"/>
      <c r="BI48" s="194"/>
    </row>
    <row r="49" spans="1:61" x14ac:dyDescent="0.25">
      <c r="A49" s="172"/>
      <c r="B49" s="180"/>
      <c r="C49" s="165"/>
      <c r="D49" s="171"/>
      <c r="E49" s="189"/>
      <c r="F49" s="188"/>
      <c r="G49" s="189"/>
      <c r="H49" s="189"/>
      <c r="I49" s="189"/>
      <c r="J49" s="189"/>
      <c r="K49" s="190" t="str">
        <f t="shared" si="0"/>
        <v/>
      </c>
      <c r="L49" s="190" t="str">
        <f t="shared" si="1"/>
        <v/>
      </c>
      <c r="M49" s="188"/>
      <c r="N49" s="188"/>
      <c r="O49" s="188"/>
      <c r="P49" s="188"/>
      <c r="Q49" s="188"/>
      <c r="R49" s="188"/>
      <c r="S49" s="213"/>
      <c r="T49" s="207"/>
      <c r="U49" s="219"/>
      <c r="V49" s="219"/>
      <c r="W49" s="219"/>
      <c r="X49" s="219"/>
      <c r="Y49" s="219"/>
      <c r="Z49" s="219"/>
      <c r="AA49" s="219"/>
      <c r="AB49" s="219"/>
      <c r="AC49" s="219"/>
      <c r="AD49" s="219"/>
      <c r="AE49" s="219"/>
      <c r="AF49" s="219"/>
      <c r="AG49" s="219"/>
      <c r="AH49" s="225">
        <f>SUM(PORTEFEUILLE_ERIC[[#This Row],[PCR COMPTABLE €]:[MONTANT
RESPONSABLE RELATION CLIENT €]])-PORTEFEUILLE_ERIC[[#This Row],[MONTANT TOTAL LETTRE DE MISION €]]</f>
        <v>0</v>
      </c>
      <c r="AI49" s="191"/>
      <c r="AJ49" s="188"/>
      <c r="AK49" s="188"/>
      <c r="AL49" s="188"/>
      <c r="AM49" s="188"/>
      <c r="AN49" s="188"/>
      <c r="AO49" s="188"/>
      <c r="AP49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Q49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R49" s="188" t="str">
        <f>IF(PORTEFEUILLE_ERIC[[#This Row],[BONI AAC]]&lt;&gt;0,1,"")</f>
        <v/>
      </c>
      <c r="AS49" s="188" t="str">
        <f>IF(PORTEFEUILLE_ERIC[[#This Row],[MALI AAC]]&lt;&gt;0,1,"")</f>
        <v/>
      </c>
      <c r="AT49" s="225">
        <f>IF(AN49&lt;&gt;"",IF((AN49*Paramètres!$H$4)-PORTEFEUILLE_ERIC[[#This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€]]-(DELPHINE!AN49*Paramètres!$H$4),0),0)</f>
        <v>0</v>
      </c>
      <c r="AU49" s="225">
        <f>IF(AN49&lt;&gt;"",IF(((AN49*Paramètres!$H$4)-PORTEFEUILLE_ERIC[[#This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€]])&gt;0,(AN49*Paramètres!$H$4)-PORTEFEUILLE_ERIC[[#This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V49" s="190" t="str">
        <f>IF(PORTEFEUILLE_ERIC[[#This Row],[BONI COMPTABLE]]&lt;&gt;0,1,"")</f>
        <v/>
      </c>
      <c r="AW49" s="190" t="str">
        <f>IF(PORTEFEUILLE_ERIC[[#This Row],[MALI COMPTABLE]]&lt;&gt;0,1,"")</f>
        <v/>
      </c>
      <c r="AX49" s="188"/>
      <c r="AY49" s="188"/>
      <c r="AZ49" s="188"/>
      <c r="BA49" s="188"/>
      <c r="BB49" s="196"/>
      <c r="BC49" s="188"/>
      <c r="BD49" s="188"/>
      <c r="BE49" s="192"/>
      <c r="BF49" s="194"/>
      <c r="BG49" s="194"/>
      <c r="BH49" s="195"/>
      <c r="BI49" s="194"/>
    </row>
    <row r="50" spans="1:61" x14ac:dyDescent="0.25">
      <c r="A50" s="172"/>
      <c r="B50" s="170"/>
      <c r="C50" s="165"/>
      <c r="D50" s="171"/>
      <c r="E50" s="189"/>
      <c r="F50" s="188"/>
      <c r="G50" s="188"/>
      <c r="H50" s="189"/>
      <c r="I50" s="188"/>
      <c r="J50" s="188"/>
      <c r="K50" s="190" t="str">
        <f t="shared" si="0"/>
        <v/>
      </c>
      <c r="L50" s="190" t="str">
        <f t="shared" si="1"/>
        <v/>
      </c>
      <c r="M50" s="188"/>
      <c r="N50" s="188"/>
      <c r="O50" s="188"/>
      <c r="P50" s="188"/>
      <c r="Q50" s="188"/>
      <c r="R50" s="188"/>
      <c r="S50" s="214"/>
      <c r="T50" s="208"/>
      <c r="U50" s="220"/>
      <c r="V50" s="220"/>
      <c r="W50" s="220"/>
      <c r="X50" s="220"/>
      <c r="Y50" s="220"/>
      <c r="Z50" s="220"/>
      <c r="AA50" s="220"/>
      <c r="AB50" s="220"/>
      <c r="AC50" s="220"/>
      <c r="AD50" s="220"/>
      <c r="AE50" s="220"/>
      <c r="AF50" s="220"/>
      <c r="AG50" s="219"/>
      <c r="AH50" s="225">
        <f>SUM(PORTEFEUILLE_ERIC[[#This Row],[PCR COMPTABLE €]:[MONTANT
RESPONSABLE RELATION CLIENT €]])-PORTEFEUILLE_ERIC[[#This Row],[MONTANT TOTAL LETTRE DE MISION €]]</f>
        <v>0</v>
      </c>
      <c r="AI50" s="191"/>
      <c r="AJ50" s="188"/>
      <c r="AK50" s="188"/>
      <c r="AL50" s="196"/>
      <c r="AM50" s="196"/>
      <c r="AN50" s="196"/>
      <c r="AO50" s="196"/>
      <c r="AP50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Q50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R50" s="188" t="str">
        <f>IF(PORTEFEUILLE_ERIC[[#This Row],[BONI AAC]]&lt;&gt;0,1,"")</f>
        <v/>
      </c>
      <c r="AS50" s="188" t="str">
        <f>IF(PORTEFEUILLE_ERIC[[#This Row],[MALI AAC]]&lt;&gt;0,1,"")</f>
        <v/>
      </c>
      <c r="AT50" s="225">
        <f>IF(AN50&lt;&gt;"",IF((AN50*Paramètres!$H$4)-PORTEFEUILLE_ERIC[[#This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€]]-(DELPHINE!AN50*Paramètres!$H$4),0),0)</f>
        <v>0</v>
      </c>
      <c r="AU50" s="225">
        <f>IF(AN50&lt;&gt;"",IF(((AN50*Paramètres!$H$4)-PORTEFEUILLE_ERIC[[#This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€]])&gt;0,(AN50*Paramètres!$H$4)-PORTEFEUILLE_ERIC[[#This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V50" s="190" t="str">
        <f>IF(PORTEFEUILLE_ERIC[[#This Row],[BONI COMPTABLE]]&lt;&gt;0,1,"")</f>
        <v/>
      </c>
      <c r="AW50" s="190" t="str">
        <f>IF(PORTEFEUILLE_ERIC[[#This Row],[MALI COMPTABLE]]&lt;&gt;0,1,"")</f>
        <v/>
      </c>
      <c r="AX50" s="196"/>
      <c r="AY50" s="188"/>
      <c r="AZ50" s="188"/>
      <c r="BA50" s="188"/>
      <c r="BB50" s="196"/>
      <c r="BC50" s="196"/>
      <c r="BD50" s="196"/>
      <c r="BE50" s="192"/>
      <c r="BF50" s="194"/>
      <c r="BG50" s="194"/>
      <c r="BH50" s="195"/>
      <c r="BI50" s="194"/>
    </row>
    <row r="51" spans="1:61" x14ac:dyDescent="0.25">
      <c r="A51" s="172"/>
      <c r="B51" s="170"/>
      <c r="C51" s="165"/>
      <c r="D51" s="171"/>
      <c r="E51" s="189"/>
      <c r="F51" s="188"/>
      <c r="G51" s="188"/>
      <c r="H51" s="189"/>
      <c r="I51" s="188"/>
      <c r="J51" s="189"/>
      <c r="K51" s="190" t="str">
        <f t="shared" si="0"/>
        <v/>
      </c>
      <c r="L51" s="190" t="str">
        <f t="shared" si="1"/>
        <v/>
      </c>
      <c r="M51" s="188"/>
      <c r="N51" s="188"/>
      <c r="O51" s="188"/>
      <c r="P51" s="188"/>
      <c r="Q51" s="188"/>
      <c r="R51" s="188"/>
      <c r="S51" s="214"/>
      <c r="T51" s="208"/>
      <c r="U51" s="220"/>
      <c r="V51" s="220"/>
      <c r="W51" s="220"/>
      <c r="X51" s="220"/>
      <c r="Y51" s="220"/>
      <c r="Z51" s="220"/>
      <c r="AA51" s="220"/>
      <c r="AB51" s="220"/>
      <c r="AC51" s="220"/>
      <c r="AD51" s="220"/>
      <c r="AE51" s="220"/>
      <c r="AF51" s="220"/>
      <c r="AG51" s="219"/>
      <c r="AH51" s="225">
        <f>SUM(PORTEFEUILLE_ERIC[[#This Row],[PCR COMPTABLE €]:[MONTANT
RESPONSABLE RELATION CLIENT €]])-PORTEFEUILLE_ERIC[[#This Row],[MONTANT TOTAL LETTRE DE MISION €]]</f>
        <v>0</v>
      </c>
      <c r="AI51" s="191"/>
      <c r="AJ51" s="188"/>
      <c r="AK51" s="188"/>
      <c r="AL51" s="196"/>
      <c r="AM51" s="196"/>
      <c r="AN51" s="196"/>
      <c r="AO51" s="196"/>
      <c r="AP51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Q51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R51" s="188" t="str">
        <f>IF(PORTEFEUILLE_ERIC[[#This Row],[BONI AAC]]&lt;&gt;0,1,"")</f>
        <v/>
      </c>
      <c r="AS51" s="188" t="str">
        <f>IF(PORTEFEUILLE_ERIC[[#This Row],[MALI AAC]]&lt;&gt;0,1,"")</f>
        <v/>
      </c>
      <c r="AT51" s="225">
        <f>IF(AN51&lt;&gt;"",IF((AN51*Paramètres!$H$4)-PORTEFEUILLE_ERIC[[#This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€]]-(DELPHINE!AN51*Paramètres!$H$4),0),0)</f>
        <v>0</v>
      </c>
      <c r="AU51" s="225">
        <f>IF(AN51&lt;&gt;"",IF(((AN51*Paramètres!$H$4)-PORTEFEUILLE_ERIC[[#This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€]])&gt;0,(AN51*Paramètres!$H$4)-PORTEFEUILLE_ERIC[[#This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V51" s="190" t="str">
        <f>IF(PORTEFEUILLE_ERIC[[#This Row],[BONI COMPTABLE]]&lt;&gt;0,1,"")</f>
        <v/>
      </c>
      <c r="AW51" s="190" t="str">
        <f>IF(PORTEFEUILLE_ERIC[[#This Row],[MALI COMPTABLE]]&lt;&gt;0,1,"")</f>
        <v/>
      </c>
      <c r="AX51" s="196"/>
      <c r="AY51" s="188"/>
      <c r="AZ51" s="188"/>
      <c r="BA51" s="188"/>
      <c r="BB51" s="196"/>
      <c r="BC51" s="196"/>
      <c r="BD51" s="196"/>
      <c r="BE51" s="192"/>
      <c r="BF51" s="194"/>
      <c r="BG51" s="194"/>
      <c r="BH51" s="195"/>
      <c r="BI51" s="194"/>
    </row>
    <row r="52" spans="1:61" x14ac:dyDescent="0.25">
      <c r="A52" s="172"/>
      <c r="B52" s="170"/>
      <c r="C52" s="165"/>
      <c r="D52" s="171"/>
      <c r="E52" s="189"/>
      <c r="F52" s="188"/>
      <c r="G52" s="188"/>
      <c r="H52" s="189"/>
      <c r="I52" s="188"/>
      <c r="J52" s="189"/>
      <c r="K52" s="190" t="str">
        <f t="shared" si="0"/>
        <v/>
      </c>
      <c r="L52" s="190" t="str">
        <f t="shared" si="1"/>
        <v/>
      </c>
      <c r="M52" s="188"/>
      <c r="N52" s="188"/>
      <c r="O52" s="188"/>
      <c r="P52" s="188"/>
      <c r="Q52" s="188"/>
      <c r="R52" s="188"/>
      <c r="S52" s="214"/>
      <c r="T52" s="208"/>
      <c r="U52" s="220"/>
      <c r="V52" s="220"/>
      <c r="W52" s="220"/>
      <c r="X52" s="220"/>
      <c r="Y52" s="220"/>
      <c r="Z52" s="220"/>
      <c r="AA52" s="220"/>
      <c r="AB52" s="220"/>
      <c r="AC52" s="220"/>
      <c r="AD52" s="220"/>
      <c r="AE52" s="220"/>
      <c r="AF52" s="220"/>
      <c r="AG52" s="219"/>
      <c r="AH52" s="225">
        <f>SUM(PORTEFEUILLE_ERIC[[#This Row],[PCR COMPTABLE €]:[MONTANT
RESPONSABLE RELATION CLIENT €]])-PORTEFEUILLE_ERIC[[#This Row],[MONTANT TOTAL LETTRE DE MISION €]]</f>
        <v>0</v>
      </c>
      <c r="AI52" s="191"/>
      <c r="AJ52" s="188"/>
      <c r="AK52" s="188"/>
      <c r="AL52" s="196"/>
      <c r="AM52" s="196"/>
      <c r="AN52" s="196"/>
      <c r="AO52" s="196"/>
      <c r="AP52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Q52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R52" s="188" t="str">
        <f>IF(PORTEFEUILLE_ERIC[[#This Row],[BONI AAC]]&lt;&gt;0,1,"")</f>
        <v/>
      </c>
      <c r="AS52" s="188" t="str">
        <f>IF(PORTEFEUILLE_ERIC[[#This Row],[MALI AAC]]&lt;&gt;0,1,"")</f>
        <v/>
      </c>
      <c r="AT52" s="225">
        <f>IF(AN52&lt;&gt;"",IF((AN52*Paramètres!$H$4)-PORTEFEUILLE_ERIC[[#This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€]]-(DELPHINE!AN52*Paramètres!$H$4),0),0)</f>
        <v>0</v>
      </c>
      <c r="AU52" s="225">
        <f>IF(AN52&lt;&gt;"",IF(((AN52*Paramètres!$H$4)-PORTEFEUILLE_ERIC[[#This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€]])&gt;0,(AN52*Paramètres!$H$4)-PORTEFEUILLE_ERIC[[#This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V52" s="190" t="str">
        <f>IF(PORTEFEUILLE_ERIC[[#This Row],[BONI COMPTABLE]]&lt;&gt;0,1,"")</f>
        <v/>
      </c>
      <c r="AW52" s="190" t="str">
        <f>IF(PORTEFEUILLE_ERIC[[#This Row],[MALI COMPTABLE]]&lt;&gt;0,1,"")</f>
        <v/>
      </c>
      <c r="AX52" s="196"/>
      <c r="AY52" s="188"/>
      <c r="AZ52" s="188"/>
      <c r="BA52" s="188"/>
      <c r="BB52" s="196"/>
      <c r="BC52" s="196"/>
      <c r="BD52" s="196"/>
      <c r="BE52" s="192"/>
      <c r="BF52" s="194"/>
      <c r="BG52" s="194"/>
      <c r="BH52" s="195"/>
      <c r="BI52" s="194"/>
    </row>
    <row r="53" spans="1:61" x14ac:dyDescent="0.25">
      <c r="A53" s="172"/>
      <c r="B53" s="182"/>
      <c r="C53" s="183"/>
      <c r="D53" s="184"/>
      <c r="E53" s="200"/>
      <c r="F53" s="201"/>
      <c r="G53" s="201"/>
      <c r="H53" s="189"/>
      <c r="I53" s="201"/>
      <c r="J53" s="201"/>
      <c r="K53" s="190" t="str">
        <f t="shared" si="0"/>
        <v/>
      </c>
      <c r="L53" s="190" t="str">
        <f t="shared" si="1"/>
        <v/>
      </c>
      <c r="M53" s="188"/>
      <c r="N53" s="188"/>
      <c r="O53" s="188"/>
      <c r="P53" s="188"/>
      <c r="Q53" s="188"/>
      <c r="R53" s="188"/>
      <c r="S53" s="216"/>
      <c r="T53" s="210"/>
      <c r="U53" s="222"/>
      <c r="V53" s="222"/>
      <c r="W53" s="222"/>
      <c r="X53" s="222"/>
      <c r="Y53" s="222"/>
      <c r="Z53" s="222"/>
      <c r="AA53" s="222"/>
      <c r="AB53" s="222"/>
      <c r="AC53" s="222"/>
      <c r="AD53" s="222"/>
      <c r="AE53" s="222"/>
      <c r="AF53" s="222"/>
      <c r="AG53" s="219"/>
      <c r="AH53" s="225">
        <f>SUM(PORTEFEUILLE_ERIC[[#This Row],[PCR COMPTABLE €]:[MONTANT
RESPONSABLE RELATION CLIENT €]])-PORTEFEUILLE_ERIC[[#This Row],[MONTANT TOTAL LETTRE DE MISION €]]</f>
        <v>0</v>
      </c>
      <c r="AI53" s="191"/>
      <c r="AJ53" s="188"/>
      <c r="AK53" s="201"/>
      <c r="AL53" s="202"/>
      <c r="AM53" s="202"/>
      <c r="AN53" s="202"/>
      <c r="AO53" s="202"/>
      <c r="AP53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Q53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R53" s="188" t="str">
        <f>IF(PORTEFEUILLE_ERIC[[#This Row],[BONI AAC]]&lt;&gt;0,1,"")</f>
        <v/>
      </c>
      <c r="AS53" s="188" t="str">
        <f>IF(PORTEFEUILLE_ERIC[[#This Row],[MALI AAC]]&lt;&gt;0,1,"")</f>
        <v/>
      </c>
      <c r="AT53" s="225">
        <f>IF(AN53&lt;&gt;"",IF((AN53*Paramètres!$H$4)-PORTEFEUILLE_ERIC[[#This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€]]-(DELPHINE!AN53*Paramètres!$H$4),0),0)</f>
        <v>0</v>
      </c>
      <c r="AU53" s="225">
        <f>IF(AN53&lt;&gt;"",IF(((AN53*Paramètres!$H$4)-PORTEFEUILLE_ERIC[[#This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€]])&gt;0,(AN53*Paramètres!$H$4)-PORTEFEUILLE_ERIC[[#This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V53" s="190" t="str">
        <f>IF(PORTEFEUILLE_ERIC[[#This Row],[BONI COMPTABLE]]&lt;&gt;0,1,"")</f>
        <v/>
      </c>
      <c r="AW53" s="190" t="str">
        <f>IF(PORTEFEUILLE_ERIC[[#This Row],[MALI COMPTABLE]]&lt;&gt;0,1,"")</f>
        <v/>
      </c>
      <c r="AX53" s="202"/>
      <c r="AY53" s="188"/>
      <c r="AZ53" s="188"/>
      <c r="BA53" s="188"/>
      <c r="BB53" s="202"/>
      <c r="BC53" s="202"/>
      <c r="BD53" s="202"/>
      <c r="BE53" s="192"/>
      <c r="BF53" s="194"/>
      <c r="BG53" s="194"/>
      <c r="BH53" s="195"/>
      <c r="BI53" s="194"/>
    </row>
    <row r="54" spans="1:61" x14ac:dyDescent="0.25">
      <c r="A54" s="172"/>
      <c r="B54" s="185"/>
      <c r="C54" s="172"/>
      <c r="D54" s="172"/>
      <c r="E54" s="203"/>
      <c r="F54" s="194"/>
      <c r="G54" s="194"/>
      <c r="H54" s="189"/>
      <c r="I54" s="194"/>
      <c r="J54" s="194"/>
      <c r="K54" s="190" t="str">
        <f t="shared" si="0"/>
        <v/>
      </c>
      <c r="L54" s="190" t="str">
        <f t="shared" si="1"/>
        <v/>
      </c>
      <c r="M54" s="188"/>
      <c r="N54" s="188"/>
      <c r="O54" s="188"/>
      <c r="P54" s="188"/>
      <c r="Q54" s="188"/>
      <c r="R54" s="188"/>
      <c r="S54" s="217"/>
      <c r="T54" s="211"/>
      <c r="U54" s="223"/>
      <c r="V54" s="223"/>
      <c r="W54" s="223"/>
      <c r="X54" s="223"/>
      <c r="Y54" s="223"/>
      <c r="Z54" s="223"/>
      <c r="AA54" s="223"/>
      <c r="AB54" s="223"/>
      <c r="AC54" s="223"/>
      <c r="AD54" s="223"/>
      <c r="AE54" s="223"/>
      <c r="AF54" s="223"/>
      <c r="AG54" s="219"/>
      <c r="AH54" s="225">
        <f>SUM(PORTEFEUILLE_ERIC[[#This Row],[PCR COMPTABLE €]:[MONTANT
RESPONSABLE RELATION CLIENT €]])-PORTEFEUILLE_ERIC[[#This Row],[MONTANT TOTAL LETTRE DE MISION €]]</f>
        <v>0</v>
      </c>
      <c r="AI54" s="191"/>
      <c r="AJ54" s="188"/>
      <c r="AK54" s="188"/>
      <c r="AL54" s="194"/>
      <c r="AM54" s="194"/>
      <c r="AN54" s="194"/>
      <c r="AO54" s="194"/>
      <c r="AP54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Q54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R54" s="188" t="str">
        <f>IF(PORTEFEUILLE_ERIC[[#This Row],[BONI AAC]]&lt;&gt;0,1,"")</f>
        <v/>
      </c>
      <c r="AS54" s="188" t="str">
        <f>IF(PORTEFEUILLE_ERIC[[#This Row],[MALI AAC]]&lt;&gt;0,1,"")</f>
        <v/>
      </c>
      <c r="AT54" s="225">
        <f>IF(AN54&lt;&gt;"",IF((AN54*Paramètres!$H$4)-PORTEFEUILLE_ERIC[[#This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€]]-(DELPHINE!AN54*Paramètres!$H$4),0),0)</f>
        <v>0</v>
      </c>
      <c r="AU54" s="225">
        <f>IF(AN54&lt;&gt;"",IF(((AN54*Paramètres!$H$4)-PORTEFEUILLE_ERIC[[#This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€]])&gt;0,(AN54*Paramètres!$H$4)-PORTEFEUILLE_ERIC[[#This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V54" s="190" t="str">
        <f>IF(PORTEFEUILLE_ERIC[[#This Row],[BONI COMPTABLE]]&lt;&gt;0,1,"")</f>
        <v/>
      </c>
      <c r="AW54" s="190" t="str">
        <f>IF(PORTEFEUILLE_ERIC[[#This Row],[MALI COMPTABLE]]&lt;&gt;0,1,"")</f>
        <v/>
      </c>
      <c r="AX54" s="194"/>
      <c r="AY54" s="188"/>
      <c r="AZ54" s="188"/>
      <c r="BA54" s="188"/>
      <c r="BB54" s="194"/>
      <c r="BC54" s="194"/>
      <c r="BD54" s="194"/>
      <c r="BE54" s="192"/>
      <c r="BF54" s="194"/>
      <c r="BG54" s="194"/>
      <c r="BH54" s="195"/>
      <c r="BI54" s="194"/>
    </row>
    <row r="55" spans="1:61" x14ac:dyDescent="0.25">
      <c r="A55" s="172"/>
      <c r="B55" s="185"/>
      <c r="C55" s="172"/>
      <c r="D55" s="172"/>
      <c r="E55" s="203"/>
      <c r="F55" s="194"/>
      <c r="G55" s="194"/>
      <c r="H55" s="189"/>
      <c r="I55" s="194"/>
      <c r="J55" s="194"/>
      <c r="K55" s="190" t="str">
        <f t="shared" si="0"/>
        <v/>
      </c>
      <c r="L55" s="190" t="str">
        <f t="shared" si="1"/>
        <v/>
      </c>
      <c r="M55" s="188"/>
      <c r="N55" s="188"/>
      <c r="O55" s="188"/>
      <c r="P55" s="188"/>
      <c r="Q55" s="188"/>
      <c r="R55" s="188"/>
      <c r="S55" s="217"/>
      <c r="T55" s="211"/>
      <c r="U55" s="223"/>
      <c r="V55" s="223"/>
      <c r="W55" s="223"/>
      <c r="X55" s="223"/>
      <c r="Y55" s="223"/>
      <c r="Z55" s="223"/>
      <c r="AA55" s="223"/>
      <c r="AB55" s="223"/>
      <c r="AC55" s="223"/>
      <c r="AD55" s="223"/>
      <c r="AE55" s="223"/>
      <c r="AF55" s="223"/>
      <c r="AG55" s="219"/>
      <c r="AH55" s="225">
        <f>SUM(PORTEFEUILLE_ERIC[[#This Row],[PCR COMPTABLE €]:[MONTANT
RESPONSABLE RELATION CLIENT €]])-PORTEFEUILLE_ERIC[[#This Row],[MONTANT TOTAL LETTRE DE MISION €]]</f>
        <v>0</v>
      </c>
      <c r="AI55" s="191"/>
      <c r="AJ55" s="188"/>
      <c r="AK55" s="188"/>
      <c r="AL55" s="194"/>
      <c r="AM55" s="194"/>
      <c r="AN55" s="194"/>
      <c r="AO55" s="194"/>
      <c r="AP55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Q55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R55" s="188" t="str">
        <f>IF(PORTEFEUILLE_ERIC[[#This Row],[BONI AAC]]&lt;&gt;0,1,"")</f>
        <v/>
      </c>
      <c r="AS55" s="188" t="str">
        <f>IF(PORTEFEUILLE_ERIC[[#This Row],[MALI AAC]]&lt;&gt;0,1,"")</f>
        <v/>
      </c>
      <c r="AT55" s="225">
        <f>IF(AN55&lt;&gt;"",IF((AN55*Paramètres!$H$4)-PORTEFEUILLE_ERIC[[#This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€]]-(DELPHINE!AN55*Paramètres!$H$4),0),0)</f>
        <v>0</v>
      </c>
      <c r="AU55" s="225">
        <f>IF(AN55&lt;&gt;"",IF(((AN55*Paramètres!$H$4)-PORTEFEUILLE_ERIC[[#This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€]])&gt;0,(AN55*Paramètres!$H$4)-PORTEFEUILLE_ERIC[[#This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V55" s="190" t="str">
        <f>IF(PORTEFEUILLE_ERIC[[#This Row],[BONI COMPTABLE]]&lt;&gt;0,1,"")</f>
        <v/>
      </c>
      <c r="AW55" s="190" t="str">
        <f>IF(PORTEFEUILLE_ERIC[[#This Row],[MALI COMPTABLE]]&lt;&gt;0,1,"")</f>
        <v/>
      </c>
      <c r="AX55" s="194"/>
      <c r="AY55" s="188"/>
      <c r="AZ55" s="188"/>
      <c r="BA55" s="188"/>
      <c r="BB55" s="194"/>
      <c r="BC55" s="194"/>
      <c r="BD55" s="194"/>
      <c r="BE55" s="192"/>
      <c r="BF55" s="194"/>
      <c r="BG55" s="194"/>
      <c r="BH55" s="195"/>
      <c r="BI55" s="194"/>
    </row>
    <row r="56" spans="1:61" x14ac:dyDescent="0.25">
      <c r="A56" s="172"/>
      <c r="B56" s="185"/>
      <c r="C56" s="172"/>
      <c r="D56" s="172"/>
      <c r="E56" s="203"/>
      <c r="F56" s="194"/>
      <c r="G56" s="194"/>
      <c r="H56" s="189"/>
      <c r="I56" s="194"/>
      <c r="J56" s="194"/>
      <c r="K56" s="190" t="str">
        <f t="shared" si="0"/>
        <v/>
      </c>
      <c r="L56" s="190" t="str">
        <f t="shared" si="1"/>
        <v/>
      </c>
      <c r="M56" s="188"/>
      <c r="N56" s="188"/>
      <c r="O56" s="188"/>
      <c r="P56" s="188"/>
      <c r="Q56" s="188"/>
      <c r="R56" s="188"/>
      <c r="S56" s="217"/>
      <c r="T56" s="211"/>
      <c r="U56" s="223"/>
      <c r="V56" s="223"/>
      <c r="W56" s="223"/>
      <c r="X56" s="223"/>
      <c r="Y56" s="223"/>
      <c r="Z56" s="223"/>
      <c r="AA56" s="223"/>
      <c r="AB56" s="223"/>
      <c r="AC56" s="223"/>
      <c r="AD56" s="223"/>
      <c r="AE56" s="223"/>
      <c r="AF56" s="223"/>
      <c r="AG56" s="219"/>
      <c r="AH56" s="225">
        <f>SUM(PORTEFEUILLE_ERIC[[#This Row],[PCR COMPTABLE €]:[MONTANT
RESPONSABLE RELATION CLIENT €]])-PORTEFEUILLE_ERIC[[#This Row],[MONTANT TOTAL LETTRE DE MISION €]]</f>
        <v>0</v>
      </c>
      <c r="AI56" s="191"/>
      <c r="AJ56" s="188"/>
      <c r="AK56" s="188"/>
      <c r="AL56" s="194"/>
      <c r="AM56" s="194"/>
      <c r="AN56" s="194"/>
      <c r="AO56" s="194"/>
      <c r="AP56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Q56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R56" s="188" t="str">
        <f>IF(PORTEFEUILLE_ERIC[[#This Row],[BONI AAC]]&lt;&gt;0,1,"")</f>
        <v/>
      </c>
      <c r="AS56" s="188" t="str">
        <f>IF(PORTEFEUILLE_ERIC[[#This Row],[MALI AAC]]&lt;&gt;0,1,"")</f>
        <v/>
      </c>
      <c r="AT56" s="225">
        <f>IF(AN56&lt;&gt;"",IF((AN56*Paramètres!$H$4)-PORTEFEUILLE_ERIC[[#This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€]]-(DELPHINE!AN56*Paramètres!$H$4),0),0)</f>
        <v>0</v>
      </c>
      <c r="AU56" s="225">
        <f>IF(AN56&lt;&gt;"",IF(((AN56*Paramètres!$H$4)-PORTEFEUILLE_ERIC[[#This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€]])&gt;0,(AN56*Paramètres!$H$4)-PORTEFEUILLE_ERIC[[#This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V56" s="190" t="str">
        <f>IF(PORTEFEUILLE_ERIC[[#This Row],[BONI COMPTABLE]]&lt;&gt;0,1,"")</f>
        <v/>
      </c>
      <c r="AW56" s="190" t="str">
        <f>IF(PORTEFEUILLE_ERIC[[#This Row],[MALI COMPTABLE]]&lt;&gt;0,1,"")</f>
        <v/>
      </c>
      <c r="AX56" s="194"/>
      <c r="AY56" s="188"/>
      <c r="AZ56" s="188"/>
      <c r="BA56" s="188"/>
      <c r="BB56" s="194"/>
      <c r="BC56" s="194"/>
      <c r="BD56" s="194"/>
      <c r="BE56" s="192"/>
      <c r="BF56" s="194"/>
      <c r="BG56" s="194"/>
      <c r="BH56" s="195"/>
      <c r="BI56" s="194"/>
    </row>
    <row r="57" spans="1:61" x14ac:dyDescent="0.25">
      <c r="A57" s="172"/>
      <c r="B57" s="185"/>
      <c r="C57" s="172"/>
      <c r="D57" s="172"/>
      <c r="E57" s="203"/>
      <c r="F57" s="194"/>
      <c r="G57" s="194"/>
      <c r="H57" s="189"/>
      <c r="I57" s="194"/>
      <c r="J57" s="194"/>
      <c r="K57" s="190" t="str">
        <f t="shared" si="0"/>
        <v/>
      </c>
      <c r="L57" s="190" t="str">
        <f t="shared" si="1"/>
        <v/>
      </c>
      <c r="M57" s="188"/>
      <c r="N57" s="188"/>
      <c r="O57" s="188"/>
      <c r="P57" s="188"/>
      <c r="Q57" s="188"/>
      <c r="R57" s="188"/>
      <c r="S57" s="217"/>
      <c r="T57" s="211"/>
      <c r="U57" s="223"/>
      <c r="V57" s="223"/>
      <c r="W57" s="223"/>
      <c r="X57" s="223"/>
      <c r="Y57" s="223"/>
      <c r="Z57" s="223"/>
      <c r="AA57" s="223"/>
      <c r="AB57" s="223"/>
      <c r="AC57" s="223"/>
      <c r="AD57" s="223"/>
      <c r="AE57" s="223"/>
      <c r="AF57" s="223"/>
      <c r="AG57" s="219"/>
      <c r="AH57" s="225">
        <f>SUM(PORTEFEUILLE_ERIC[[#This Row],[PCR COMPTABLE €]:[MONTANT
RESPONSABLE RELATION CLIENT €]])-PORTEFEUILLE_ERIC[[#This Row],[MONTANT TOTAL LETTRE DE MISION €]]</f>
        <v>0</v>
      </c>
      <c r="AI57" s="191"/>
      <c r="AJ57" s="188"/>
      <c r="AK57" s="188"/>
      <c r="AL57" s="194"/>
      <c r="AM57" s="194"/>
      <c r="AN57" s="194"/>
      <c r="AO57" s="194"/>
      <c r="AP57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Q57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R57" s="188" t="str">
        <f>IF(PORTEFEUILLE_ERIC[[#This Row],[BONI AAC]]&lt;&gt;0,1,"")</f>
        <v/>
      </c>
      <c r="AS57" s="188" t="str">
        <f>IF(PORTEFEUILLE_ERIC[[#This Row],[MALI AAC]]&lt;&gt;0,1,"")</f>
        <v/>
      </c>
      <c r="AT57" s="225">
        <f>IF(AN57&lt;&gt;"",IF((AN57*Paramètres!$H$4)-PORTEFEUILLE_ERIC[[#This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€]]-(DELPHINE!AN57*Paramètres!$H$4),0),0)</f>
        <v>0</v>
      </c>
      <c r="AU57" s="225">
        <f>IF(AN57&lt;&gt;"",IF(((AN57*Paramètres!$H$4)-PORTEFEUILLE_ERIC[[#This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€]])&gt;0,(AN57*Paramètres!$H$4)-PORTEFEUILLE_ERIC[[#This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V57" s="190" t="str">
        <f>IF(PORTEFEUILLE_ERIC[[#This Row],[BONI COMPTABLE]]&lt;&gt;0,1,"")</f>
        <v/>
      </c>
      <c r="AW57" s="190" t="str">
        <f>IF(PORTEFEUILLE_ERIC[[#This Row],[MALI COMPTABLE]]&lt;&gt;0,1,"")</f>
        <v/>
      </c>
      <c r="AX57" s="194"/>
      <c r="AY57" s="188"/>
      <c r="AZ57" s="188"/>
      <c r="BA57" s="188"/>
      <c r="BB57" s="194"/>
      <c r="BC57" s="194"/>
      <c r="BD57" s="194"/>
      <c r="BE57" s="192"/>
      <c r="BF57" s="194"/>
      <c r="BG57" s="194"/>
      <c r="BH57" s="195"/>
      <c r="BI57" s="194"/>
    </row>
    <row r="58" spans="1:61" x14ac:dyDescent="0.25">
      <c r="A58" s="172"/>
      <c r="B58" s="179"/>
      <c r="C58" s="176"/>
      <c r="D58" s="172"/>
      <c r="E58" s="203"/>
      <c r="F58" s="194"/>
      <c r="G58" s="194"/>
      <c r="H58" s="189"/>
      <c r="I58" s="194"/>
      <c r="J58" s="194"/>
      <c r="K58" s="190" t="str">
        <f t="shared" si="0"/>
        <v/>
      </c>
      <c r="L58" s="190" t="str">
        <f t="shared" si="1"/>
        <v/>
      </c>
      <c r="M58" s="188"/>
      <c r="N58" s="188"/>
      <c r="O58" s="188"/>
      <c r="P58" s="188"/>
      <c r="Q58" s="188"/>
      <c r="R58" s="188"/>
      <c r="S58" s="217"/>
      <c r="T58" s="211"/>
      <c r="U58" s="223"/>
      <c r="V58" s="223"/>
      <c r="W58" s="223"/>
      <c r="X58" s="223"/>
      <c r="Y58" s="223"/>
      <c r="Z58" s="223"/>
      <c r="AA58" s="223"/>
      <c r="AB58" s="223"/>
      <c r="AC58" s="223"/>
      <c r="AD58" s="223"/>
      <c r="AE58" s="223"/>
      <c r="AF58" s="223"/>
      <c r="AG58" s="219"/>
      <c r="AH58" s="225">
        <f>SUM(PORTEFEUILLE_ERIC[[#This Row],[PCR COMPTABLE €]:[MONTANT
RESPONSABLE RELATION CLIENT €]])-PORTEFEUILLE_ERIC[[#This Row],[MONTANT TOTAL LETTRE DE MISION €]]</f>
        <v>0</v>
      </c>
      <c r="AI58" s="191"/>
      <c r="AJ58" s="188"/>
      <c r="AK58" s="188"/>
      <c r="AL58" s="194"/>
      <c r="AM58" s="194"/>
      <c r="AN58" s="194"/>
      <c r="AO58" s="194"/>
      <c r="AP58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Q58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R58" s="188" t="str">
        <f>IF(PORTEFEUILLE_ERIC[[#This Row],[BONI AAC]]&lt;&gt;0,1,"")</f>
        <v/>
      </c>
      <c r="AS58" s="188" t="str">
        <f>IF(PORTEFEUILLE_ERIC[[#This Row],[MALI AAC]]&lt;&gt;0,1,"")</f>
        <v/>
      </c>
      <c r="AT58" s="225">
        <f>IF(AN58&lt;&gt;"",IF((AN58*Paramètres!$H$4)-PORTEFEUILLE_ERIC[[#This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€]]-(DELPHINE!AN58*Paramètres!$H$4),0),0)</f>
        <v>0</v>
      </c>
      <c r="AU58" s="225">
        <f>IF(AN58&lt;&gt;"",IF(((AN58*Paramètres!$H$4)-PORTEFEUILLE_ERIC[[#This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€]])&gt;0,(AN58*Paramètres!$H$4)-PORTEFEUILLE_ERIC[[#This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V58" s="190" t="str">
        <f>IF(PORTEFEUILLE_ERIC[[#This Row],[BONI COMPTABLE]]&lt;&gt;0,1,"")</f>
        <v/>
      </c>
      <c r="AW58" s="190" t="str">
        <f>IF(PORTEFEUILLE_ERIC[[#This Row],[MALI COMPTABLE]]&lt;&gt;0,1,"")</f>
        <v/>
      </c>
      <c r="AX58" s="194"/>
      <c r="AY58" s="188"/>
      <c r="AZ58" s="188"/>
      <c r="BA58" s="188"/>
      <c r="BB58" s="194"/>
      <c r="BC58" s="194"/>
      <c r="BD58" s="194"/>
      <c r="BE58" s="192"/>
      <c r="BF58" s="194"/>
      <c r="BG58" s="194"/>
      <c r="BH58" s="195"/>
      <c r="BI58" s="194"/>
    </row>
    <row r="59" spans="1:61" x14ac:dyDescent="0.25">
      <c r="A59" s="172"/>
      <c r="B59" s="179"/>
      <c r="C59" s="176"/>
      <c r="D59" s="172"/>
      <c r="E59" s="203"/>
      <c r="F59" s="194"/>
      <c r="G59" s="194"/>
      <c r="H59" s="189"/>
      <c r="I59" s="194"/>
      <c r="J59" s="194"/>
      <c r="K59" s="190" t="str">
        <f t="shared" si="0"/>
        <v/>
      </c>
      <c r="L59" s="190" t="str">
        <f t="shared" si="1"/>
        <v/>
      </c>
      <c r="M59" s="188"/>
      <c r="N59" s="188"/>
      <c r="O59" s="188"/>
      <c r="P59" s="188"/>
      <c r="Q59" s="188"/>
      <c r="R59" s="188"/>
      <c r="S59" s="217"/>
      <c r="T59" s="211"/>
      <c r="U59" s="223"/>
      <c r="V59" s="223"/>
      <c r="W59" s="223"/>
      <c r="X59" s="223"/>
      <c r="Y59" s="223"/>
      <c r="Z59" s="223"/>
      <c r="AA59" s="223"/>
      <c r="AB59" s="223"/>
      <c r="AC59" s="223"/>
      <c r="AD59" s="223"/>
      <c r="AE59" s="223"/>
      <c r="AF59" s="223"/>
      <c r="AG59" s="219"/>
      <c r="AH59" s="225">
        <f>SUM(PORTEFEUILLE_ERIC[[#This Row],[PCR COMPTABLE €]:[MONTANT
RESPONSABLE RELATION CLIENT €]])-PORTEFEUILLE_ERIC[[#This Row],[MONTANT TOTAL LETTRE DE MISION €]]</f>
        <v>0</v>
      </c>
      <c r="AI59" s="191"/>
      <c r="AJ59" s="188"/>
      <c r="AK59" s="188"/>
      <c r="AL59" s="194"/>
      <c r="AM59" s="194"/>
      <c r="AN59" s="194"/>
      <c r="AO59" s="194"/>
      <c r="AP59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Q59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R59" s="188" t="str">
        <f>IF(PORTEFEUILLE_ERIC[[#This Row],[BONI AAC]]&lt;&gt;0,1,"")</f>
        <v/>
      </c>
      <c r="AS59" s="188" t="str">
        <f>IF(PORTEFEUILLE_ERIC[[#This Row],[MALI AAC]]&lt;&gt;0,1,"")</f>
        <v/>
      </c>
      <c r="AT59" s="225">
        <f>IF(AN59&lt;&gt;"",IF((AN59*Paramètres!$H$4)-PORTEFEUILLE_ERIC[[#This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€]]-(DELPHINE!AN59*Paramètres!$H$4),0),0)</f>
        <v>0</v>
      </c>
      <c r="AU59" s="225">
        <f>IF(AN59&lt;&gt;"",IF(((AN59*Paramètres!$H$4)-PORTEFEUILLE_ERIC[[#This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€]])&gt;0,(AN59*Paramètres!$H$4)-PORTEFEUILLE_ERIC[[#This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V59" s="190" t="str">
        <f>IF(PORTEFEUILLE_ERIC[[#This Row],[BONI COMPTABLE]]&lt;&gt;0,1,"")</f>
        <v/>
      </c>
      <c r="AW59" s="190" t="str">
        <f>IF(PORTEFEUILLE_ERIC[[#This Row],[MALI COMPTABLE]]&lt;&gt;0,1,"")</f>
        <v/>
      </c>
      <c r="AX59" s="194"/>
      <c r="AY59" s="188"/>
      <c r="AZ59" s="188"/>
      <c r="BA59" s="188"/>
      <c r="BB59" s="194"/>
      <c r="BC59" s="194"/>
      <c r="BD59" s="194"/>
      <c r="BE59" s="192"/>
      <c r="BF59" s="194"/>
      <c r="BG59" s="194"/>
      <c r="BH59" s="195"/>
      <c r="BI59" s="194"/>
    </row>
    <row r="60" spans="1:61" x14ac:dyDescent="0.25">
      <c r="A60" s="186"/>
      <c r="B60" s="187"/>
      <c r="C60" s="186"/>
      <c r="D60" s="186"/>
      <c r="E60" s="204"/>
      <c r="F60" s="205"/>
      <c r="G60" s="205"/>
      <c r="H60" s="189"/>
      <c r="I60" s="205"/>
      <c r="J60" s="205"/>
      <c r="K60" s="190" t="str">
        <f t="shared" si="0"/>
        <v/>
      </c>
      <c r="L60" s="190" t="str">
        <f t="shared" si="1"/>
        <v/>
      </c>
      <c r="M60" s="188"/>
      <c r="N60" s="188"/>
      <c r="O60" s="188"/>
      <c r="P60" s="188"/>
      <c r="Q60" s="188"/>
      <c r="R60" s="188"/>
      <c r="S60" s="218"/>
      <c r="T60" s="212"/>
      <c r="U60" s="224"/>
      <c r="V60" s="224"/>
      <c r="W60" s="224"/>
      <c r="X60" s="224"/>
      <c r="Y60" s="224"/>
      <c r="Z60" s="224"/>
      <c r="AA60" s="224"/>
      <c r="AB60" s="224"/>
      <c r="AC60" s="224"/>
      <c r="AD60" s="224"/>
      <c r="AE60" s="224"/>
      <c r="AF60" s="224"/>
      <c r="AG60" s="219"/>
      <c r="AH60" s="225">
        <f>SUM(PORTEFEUILLE_ERIC[[#This Row],[PCR COMPTABLE €]:[MONTANT
RESPONSABLE RELATION CLIENT €]])-PORTEFEUILLE_ERIC[[#This Row],[MONTANT TOTAL LETTRE DE MISION €]]</f>
        <v>0</v>
      </c>
      <c r="AI60" s="191"/>
      <c r="AJ60" s="188"/>
      <c r="AK60" s="201"/>
      <c r="AL60" s="205"/>
      <c r="AM60" s="205"/>
      <c r="AN60" s="205"/>
      <c r="AO60" s="205"/>
      <c r="AP60" s="225">
        <f>IF(PORTEFEUILLE_ERIC[[#This Row],[TPS PASSE 
AAC H]]&lt;&gt;"",IF((PORTEFEUILLE_ERIC[[#This Row],[TPS PASSE 
AAC H]]*Paramètres!$I$4)&lt;(PORTEFEUILLE_ERIC[[#This Row],[SAISIE PAR UNE AAC €]]+PORTEFEUILLE_ERIC[[#This Row],[DECLARATION TVA AAC €]]),PORTEFEUILLE_ERIC[[#This Row],[SAISIE PAR UNE AAC €]]+PORTEFEUILLE_ERIC[[#This Row],[DECLARATION TVA AAC €]]-(PORTEFEUILLE_ERIC[[#This Row],[TPS PASSE 
AAC H]]*Paramètres!$I$4),0),0)</f>
        <v>0</v>
      </c>
      <c r="AQ60" s="225">
        <f>IF(PORTEFEUILLE_ERIC[[#This Row],[TPS PASSE 
AAC H]]&lt;&gt;"",IF((Paramètres!$I$4*PORTEFEUILLE_ERIC[[#This Row],[TPS PASSE 
AAC H]])&gt;(PORTEFEUILLE_ERIC[[#This Row],[SAISIE PAR UNE AAC €]]+PORTEFEUILLE_ERIC[[#This Row],[DECLARATION TVA AAC €]]),(PORTEFEUILLE_ERIC[[#This Row],[TPS PASSE 
AAC H]]*Paramètres!$I$4)-(PORTEFEUILLE_ERIC[[#This Row],[SAISIE PAR UNE AAC €]]+PORTEFEUILLE_ERIC[[#This Row],[DECLARATION TVA AAC €]]),0),0)</f>
        <v>0</v>
      </c>
      <c r="AR60" s="188" t="str">
        <f>IF(PORTEFEUILLE_ERIC[[#This Row],[BONI AAC]]&lt;&gt;0,1,"")</f>
        <v/>
      </c>
      <c r="AS60" s="188" t="str">
        <f>IF(PORTEFEUILLE_ERIC[[#This Row],[MALI AAC]]&lt;&gt;0,1,"")</f>
        <v/>
      </c>
      <c r="AT60" s="225">
        <f>IF(AN60&lt;&gt;"",IF((AN60*Paramètres!$H$4)-PORTEFEUILLE_ERIC[[#This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€]]&lt;0,PORTEFEUILLE_ERIC[[#This Row],[PCR COMPTABLE €]]+PORTEFEUILLE_ERIC[[#This Row],[RA FAIT PAR LE
COMPTABLE €]]+PORTEFEUILLE_ERIC[[#This Row],[AGOA COMPTABLE €]]+PORTEFEUILLE_ERIC[[#This Row],[SAISIE PAR LE COMPTABLE €]]+PORTEFEUILLE_ERIC[[#This Row],[TRAVAUX 
DE REVISION €]]+PORTEFEUILLE_ERIC[[#This Row],[DECLARATION TVA COMPTABLE €]]+PORTEFEUILLE_ERIC[[#This Row],[MONTANT
RESPONSABLE RELATION CLIENT €]]-(DELPHINE!AN60*Paramètres!$H$4),0),0)</f>
        <v>0</v>
      </c>
      <c r="AU60" s="225">
        <f>IF(AN60&lt;&gt;"",IF(((AN60*Paramètres!$H$4)-PORTEFEUILLE_ERIC[[#This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€]])&gt;0,(AN60*Paramètres!$H$4)-PORTEFEUILLE_ERIC[[#This Row],[PCR COMPTABLE €]]-PORTEFEUILLE_ERIC[[#This Row],[RA FAIT PAR LE
COMPTABLE €]]-PORTEFEUILLE_ERIC[[#This Row],[AGOA COMPTABLE €]]-PORTEFEUILLE_ERIC[[#This Row],[SAISIE PAR LE COMPTABLE €]]-PORTEFEUILLE_ERIC[[#This Row],[TRAVAUX 
DE REVISION €]]-PORTEFEUILLE_ERIC[[#This Row],[DECLARATION TVA COMPTABLE €]]-PORTEFEUILLE_ERIC[[#This Row],[MONTANT
RESPONSABLE RELATION CLIENT €]],0),0)</f>
        <v>0</v>
      </c>
      <c r="AV60" s="190" t="str">
        <f>IF(PORTEFEUILLE_ERIC[[#This Row],[BONI COMPTABLE]]&lt;&gt;0,1,"")</f>
        <v/>
      </c>
      <c r="AW60" s="190" t="str">
        <f>IF(PORTEFEUILLE_ERIC[[#This Row],[MALI COMPTABLE]]&lt;&gt;0,1,"")</f>
        <v/>
      </c>
      <c r="AX60" s="205"/>
      <c r="AY60" s="188"/>
      <c r="AZ60" s="188"/>
      <c r="BA60" s="188"/>
      <c r="BB60" s="205"/>
      <c r="BC60" s="205"/>
      <c r="BD60" s="205"/>
      <c r="BE60" s="192"/>
      <c r="BF60" s="205"/>
      <c r="BG60" s="205"/>
      <c r="BH60" s="206"/>
      <c r="BI60" s="205"/>
    </row>
    <row r="63" spans="1:61" x14ac:dyDescent="0.25">
      <c r="B63" s="89" t="s">
        <v>120</v>
      </c>
    </row>
    <row r="65" spans="2:50" x14ac:dyDescent="0.25">
      <c r="B65" s="274" t="s">
        <v>120</v>
      </c>
      <c r="C65" s="122"/>
      <c r="D65" s="122"/>
      <c r="E65" s="125" t="s">
        <v>112</v>
      </c>
      <c r="F65" s="121" t="s">
        <v>115</v>
      </c>
      <c r="G65" s="126" t="s">
        <v>118</v>
      </c>
      <c r="H65" s="127" t="s">
        <v>116</v>
      </c>
      <c r="I65" s="127" t="s">
        <v>136</v>
      </c>
      <c r="J65" s="128" t="s">
        <v>125</v>
      </c>
      <c r="K65" s="128" t="s">
        <v>110</v>
      </c>
      <c r="L65" s="128" t="s">
        <v>119</v>
      </c>
      <c r="M65" s="128" t="s">
        <v>126</v>
      </c>
      <c r="N65" s="128" t="s">
        <v>127</v>
      </c>
      <c r="O65" s="128" t="s">
        <v>128</v>
      </c>
      <c r="P65" s="128" t="s">
        <v>129</v>
      </c>
      <c r="Q65" s="128" t="s">
        <v>130</v>
      </c>
      <c r="R65" s="128" t="s">
        <v>137</v>
      </c>
      <c r="S65" s="128"/>
      <c r="T65" s="121"/>
      <c r="U65" s="164"/>
      <c r="V65" s="164"/>
      <c r="W65" s="164"/>
      <c r="X65" s="164"/>
      <c r="Y65" s="164"/>
      <c r="Z65" s="164"/>
      <c r="AA65" s="164"/>
      <c r="AB65" s="164"/>
      <c r="AC65" s="164"/>
      <c r="AE65" s="164"/>
      <c r="AF65" s="164"/>
      <c r="AG65" s="164"/>
      <c r="AH65" s="164"/>
      <c r="AI65" s="164"/>
      <c r="AJ65" s="164"/>
      <c r="AK65" s="164"/>
      <c r="AL65" s="164"/>
      <c r="AM65" s="164"/>
      <c r="AN65" s="164"/>
      <c r="AO65" s="164"/>
      <c r="AP65" s="164"/>
      <c r="AQ65" s="164"/>
      <c r="AR65" s="164"/>
      <c r="AS65" s="164"/>
      <c r="AT65" s="164"/>
      <c r="AU65" s="164"/>
      <c r="AV65" s="164"/>
      <c r="AW65" s="164"/>
      <c r="AX65" s="164"/>
    </row>
    <row r="66" spans="2:50" x14ac:dyDescent="0.25">
      <c r="B66" s="275"/>
      <c r="C66" s="120" t="s">
        <v>109</v>
      </c>
      <c r="D66" s="122">
        <f>COUNTIF($D$3:$D$60,"ACS")</f>
        <v>3</v>
      </c>
      <c r="E66" s="129">
        <f>+COUNTIF($F$3:$F$60,"SARL")</f>
        <v>1</v>
      </c>
      <c r="F66" s="121">
        <f>+COUNTIF($F$3:$F$60,"EURL")</f>
        <v>1</v>
      </c>
      <c r="G66" s="124">
        <f>COUNTIFS($F$3:$F$60,"SAS",$D$3:$D$60,"ACS")</f>
        <v>0</v>
      </c>
      <c r="H66" s="122">
        <f>COUNTIFS($F$3:$F$60,"INDIVIDUEL",$D$3:$D$60,"ACS")</f>
        <v>0</v>
      </c>
      <c r="I66" s="122">
        <f>COUNTIF($F$3:$F$60,"ASSOCIATION")</f>
        <v>0</v>
      </c>
      <c r="J66" s="122"/>
      <c r="K66" s="122">
        <f>COUNTIF($F$3:$F$60,"SNC")</f>
        <v>0</v>
      </c>
      <c r="L66" s="122">
        <f>+COUNTIF($F$3:$F$60,"SCI")</f>
        <v>0</v>
      </c>
      <c r="M66" s="130"/>
      <c r="N66" s="131"/>
      <c r="O66" s="132"/>
      <c r="P66" s="122">
        <f>+COUNTIF($F$3:$F$60,"GROUPEMENT")</f>
        <v>0</v>
      </c>
      <c r="Q66" s="121">
        <f>COUNTIF($F$3:$F$60,"EIRL")</f>
        <v>1</v>
      </c>
      <c r="R66" s="121">
        <f>COUNTIF($F$3:$F$60,"AUTRE")</f>
        <v>0</v>
      </c>
      <c r="S66" s="121"/>
      <c r="T66" s="122">
        <f>+SUM(E66:P66)</f>
        <v>2</v>
      </c>
      <c r="U66" s="164"/>
      <c r="V66" s="164"/>
      <c r="W66" s="164"/>
      <c r="X66" s="164"/>
      <c r="Y66" s="164"/>
      <c r="Z66" s="164"/>
      <c r="AA66" s="164"/>
      <c r="AB66" s="164"/>
      <c r="AC66" s="164"/>
      <c r="AE66" s="164"/>
      <c r="AF66" s="164"/>
      <c r="AG66" s="164"/>
      <c r="AH66" s="164"/>
      <c r="AI66" s="164"/>
      <c r="AJ66" s="164"/>
      <c r="AK66" s="164"/>
      <c r="AL66" s="164"/>
      <c r="AM66" s="164"/>
      <c r="AN66" s="164"/>
      <c r="AO66" s="164"/>
      <c r="AP66" s="164"/>
      <c r="AQ66" s="164"/>
      <c r="AR66" s="164"/>
      <c r="AS66" s="164"/>
      <c r="AT66" s="164"/>
      <c r="AU66" s="164"/>
      <c r="AV66" s="164"/>
      <c r="AW66" s="164"/>
      <c r="AX66" s="164"/>
    </row>
    <row r="67" spans="2:50" x14ac:dyDescent="0.25">
      <c r="B67" s="275"/>
      <c r="C67" s="120" t="s">
        <v>121</v>
      </c>
      <c r="D67" s="122">
        <f>COUNTIF($D$3:$D$60,"BNC")</f>
        <v>0</v>
      </c>
      <c r="E67" s="133"/>
      <c r="F67" s="121"/>
      <c r="G67" s="134"/>
      <c r="H67" s="135"/>
      <c r="I67" s="132"/>
      <c r="J67" s="122">
        <f>+COUNTIF($F$3:$F$60,"PROFESSION LIBERALE")</f>
        <v>0</v>
      </c>
      <c r="K67" s="122"/>
      <c r="L67" s="122"/>
      <c r="M67" s="122"/>
      <c r="N67" s="122"/>
      <c r="O67" s="122"/>
      <c r="P67" s="122"/>
      <c r="Q67" s="121"/>
      <c r="R67" s="121"/>
      <c r="S67" s="121"/>
      <c r="T67" s="122">
        <f>+SUM(E67:P67)</f>
        <v>0</v>
      </c>
      <c r="U67" s="164"/>
      <c r="V67" s="164"/>
      <c r="W67" s="164"/>
      <c r="X67" s="164"/>
      <c r="Y67" s="164"/>
      <c r="Z67" s="164"/>
      <c r="AA67" s="164"/>
      <c r="AB67" s="164"/>
      <c r="AC67" s="164"/>
      <c r="AE67" s="164"/>
      <c r="AF67" s="164"/>
      <c r="AG67" s="164"/>
      <c r="AH67" s="164"/>
      <c r="AI67" s="164"/>
      <c r="AJ67" s="164"/>
      <c r="AK67" s="164"/>
      <c r="AL67" s="164"/>
      <c r="AM67" s="164"/>
      <c r="AN67" s="164"/>
      <c r="AO67" s="164"/>
      <c r="AP67" s="164"/>
      <c r="AQ67" s="164"/>
      <c r="AR67" s="164"/>
      <c r="AS67" s="164"/>
      <c r="AT67" s="164"/>
      <c r="AU67" s="164"/>
      <c r="AV67" s="164"/>
      <c r="AW67" s="164"/>
      <c r="AX67" s="164"/>
    </row>
    <row r="68" spans="2:50" x14ac:dyDescent="0.25">
      <c r="B68" s="276"/>
      <c r="C68" s="122" t="s">
        <v>122</v>
      </c>
      <c r="D68" s="122">
        <f>COUNTIF($D$3:$D$60,"AGRI")</f>
        <v>0</v>
      </c>
      <c r="E68" s="129"/>
      <c r="F68" s="121"/>
      <c r="G68" s="124">
        <f>COUNTIFS($F$3:$F$60,"SAS",$D$3:$D$60,"AGRI")</f>
        <v>0</v>
      </c>
      <c r="H68" s="122">
        <f>COUNTIFS($F$3:$F$60,"INDIVIDUEL",$D$3:$D$60,"AGRI")</f>
        <v>0</v>
      </c>
      <c r="I68" s="122"/>
      <c r="J68" s="122"/>
      <c r="K68" s="122"/>
      <c r="L68" s="122"/>
      <c r="M68" s="122">
        <f>COUNTIF($F$5:$F$62,"EARL")</f>
        <v>0</v>
      </c>
      <c r="N68" s="122">
        <f>COUNTIF($F$5:$F$62,"ETA")</f>
        <v>0</v>
      </c>
      <c r="O68" s="122">
        <f>COUNTIF($F$5:$F$62,"SCEA")</f>
        <v>0</v>
      </c>
      <c r="P68" s="122"/>
      <c r="Q68" s="121"/>
      <c r="R68" s="121"/>
      <c r="S68" s="121"/>
      <c r="T68" s="122">
        <f>+SUM(E68:P68)</f>
        <v>0</v>
      </c>
      <c r="U68" s="164"/>
      <c r="V68" s="164"/>
      <c r="W68" s="164"/>
      <c r="X68" s="164"/>
      <c r="Y68" s="164"/>
      <c r="Z68" s="164"/>
      <c r="AA68" s="164"/>
      <c r="AB68" s="164"/>
      <c r="AC68" s="164"/>
      <c r="AE68" s="164"/>
      <c r="AF68" s="164"/>
      <c r="AG68" s="164"/>
      <c r="AH68" s="164"/>
      <c r="AI68" s="164"/>
      <c r="AJ68" s="164"/>
      <c r="AK68" s="164"/>
      <c r="AL68" s="164"/>
      <c r="AM68" s="164"/>
      <c r="AN68" s="164"/>
      <c r="AO68" s="164"/>
      <c r="AP68" s="164"/>
      <c r="AQ68" s="164"/>
      <c r="AR68" s="164"/>
      <c r="AS68" s="164"/>
      <c r="AT68" s="164"/>
      <c r="AU68" s="164"/>
      <c r="AV68" s="164"/>
      <c r="AW68" s="164"/>
      <c r="AX68" s="164"/>
    </row>
    <row r="69" spans="2:50" x14ac:dyDescent="0.25">
      <c r="B69" s="277" t="s">
        <v>123</v>
      </c>
      <c r="C69" s="277"/>
      <c r="D69" s="122">
        <f>+SUM(D66:D68)</f>
        <v>3</v>
      </c>
      <c r="E69" s="129">
        <f>+SUM(E66:E68)</f>
        <v>1</v>
      </c>
      <c r="F69" s="129">
        <f t="shared" ref="F69:R69" si="2">+SUM(F66:F68)</f>
        <v>1</v>
      </c>
      <c r="G69" s="129">
        <f t="shared" si="2"/>
        <v>0</v>
      </c>
      <c r="H69" s="129">
        <f t="shared" si="2"/>
        <v>0</v>
      </c>
      <c r="I69" s="129">
        <f t="shared" si="2"/>
        <v>0</v>
      </c>
      <c r="J69" s="129">
        <f t="shared" si="2"/>
        <v>0</v>
      </c>
      <c r="K69" s="129">
        <f t="shared" si="2"/>
        <v>0</v>
      </c>
      <c r="L69" s="129">
        <f t="shared" si="2"/>
        <v>0</v>
      </c>
      <c r="M69" s="129">
        <f t="shared" si="2"/>
        <v>0</v>
      </c>
      <c r="N69" s="129">
        <f t="shared" si="2"/>
        <v>0</v>
      </c>
      <c r="O69" s="129">
        <f t="shared" si="2"/>
        <v>0</v>
      </c>
      <c r="P69" s="129">
        <f t="shared" si="2"/>
        <v>0</v>
      </c>
      <c r="Q69" s="129">
        <f t="shared" si="2"/>
        <v>1</v>
      </c>
      <c r="R69" s="129">
        <f t="shared" si="2"/>
        <v>0</v>
      </c>
      <c r="S69" s="129"/>
      <c r="T69" s="122">
        <f>+SUM(T66:T68)</f>
        <v>2</v>
      </c>
      <c r="U69" s="164"/>
      <c r="V69" s="164"/>
      <c r="W69" s="164"/>
      <c r="X69" s="164"/>
      <c r="Y69" s="164"/>
      <c r="Z69" s="164"/>
      <c r="AA69" s="164"/>
      <c r="AB69" s="164"/>
      <c r="AC69" s="164"/>
      <c r="AE69" s="164"/>
      <c r="AF69" s="164"/>
      <c r="AG69" s="164"/>
      <c r="AH69" s="164"/>
      <c r="AI69" s="164"/>
      <c r="AJ69" s="164"/>
      <c r="AK69" s="164"/>
      <c r="AL69" s="164"/>
      <c r="AM69" s="164"/>
      <c r="AN69" s="164"/>
      <c r="AO69" s="164"/>
      <c r="AP69" s="164"/>
      <c r="AQ69" s="164"/>
      <c r="AR69" s="164"/>
      <c r="AS69" s="164"/>
      <c r="AT69" s="164"/>
      <c r="AU69" s="164"/>
      <c r="AV69" s="164"/>
      <c r="AW69" s="164"/>
      <c r="AX69" s="164"/>
    </row>
    <row r="70" spans="2:50" x14ac:dyDescent="0.25">
      <c r="B70" s="90"/>
      <c r="C70" s="90"/>
      <c r="D70" s="90"/>
      <c r="E70" s="90"/>
      <c r="G70" s="90"/>
      <c r="H70" s="90"/>
      <c r="I70" s="90"/>
      <c r="J70" s="90"/>
      <c r="K70" s="90"/>
      <c r="L70" s="90"/>
      <c r="M70" s="90"/>
      <c r="N70" s="90"/>
      <c r="O70" s="90"/>
      <c r="P70" s="90"/>
      <c r="T70" s="90"/>
      <c r="U70" s="164"/>
      <c r="V70" s="164"/>
      <c r="W70" s="164"/>
      <c r="X70" s="164"/>
      <c r="Y70" s="164"/>
      <c r="Z70" s="164"/>
      <c r="AA70" s="164"/>
      <c r="AB70" s="164"/>
      <c r="AC70" s="164"/>
      <c r="AE70" s="164"/>
      <c r="AF70" s="164"/>
      <c r="AG70" s="164"/>
      <c r="AH70" s="164"/>
      <c r="AI70" s="164"/>
      <c r="AJ70" s="164"/>
      <c r="AK70" s="164"/>
      <c r="AL70" s="164"/>
      <c r="AM70" s="164"/>
      <c r="AN70" s="164"/>
      <c r="AO70" s="164"/>
      <c r="AP70" s="164"/>
      <c r="AQ70" s="164"/>
      <c r="AR70" s="164"/>
      <c r="AS70" s="164"/>
      <c r="AT70" s="164"/>
      <c r="AU70" s="164"/>
      <c r="AV70" s="164"/>
      <c r="AW70" s="164"/>
      <c r="AX70" s="164"/>
    </row>
    <row r="71" spans="2:50" x14ac:dyDescent="0.25">
      <c r="B71" s="278">
        <v>44196</v>
      </c>
      <c r="C71" s="122"/>
      <c r="D71" s="122"/>
      <c r="E71" s="125" t="str">
        <f t="shared" ref="E71:R71" si="3">E65</f>
        <v>SARL</v>
      </c>
      <c r="F71" s="122" t="str">
        <f t="shared" si="3"/>
        <v>EURL</v>
      </c>
      <c r="G71" s="126" t="str">
        <f t="shared" si="3"/>
        <v>SAS</v>
      </c>
      <c r="H71" s="127" t="str">
        <f t="shared" si="3"/>
        <v>INDIVIDUEL</v>
      </c>
      <c r="I71" s="127" t="str">
        <f t="shared" si="3"/>
        <v>ASSOCIATION</v>
      </c>
      <c r="J71" s="128" t="str">
        <f t="shared" si="3"/>
        <v>PROFESSION LIBERALE</v>
      </c>
      <c r="K71" s="128" t="str">
        <f t="shared" si="3"/>
        <v>SNC</v>
      </c>
      <c r="L71" s="128" t="str">
        <f t="shared" si="3"/>
        <v>SCI</v>
      </c>
      <c r="M71" s="128" t="str">
        <f t="shared" si="3"/>
        <v>EARL</v>
      </c>
      <c r="N71" s="128" t="str">
        <f t="shared" si="3"/>
        <v>ETA</v>
      </c>
      <c r="O71" s="128" t="str">
        <f t="shared" si="3"/>
        <v>SCEA</v>
      </c>
      <c r="P71" s="128" t="str">
        <f t="shared" si="3"/>
        <v>GROUPEMENT</v>
      </c>
      <c r="Q71" s="122" t="str">
        <f t="shared" si="3"/>
        <v>EIRL</v>
      </c>
      <c r="R71" s="122" t="str">
        <f t="shared" si="3"/>
        <v>AUTRES</v>
      </c>
      <c r="S71" s="122"/>
      <c r="T71" s="128" t="s">
        <v>86</v>
      </c>
      <c r="U71" s="164"/>
      <c r="V71" s="164"/>
      <c r="W71" s="164"/>
      <c r="X71" s="164"/>
      <c r="Y71" s="164"/>
      <c r="Z71" s="164"/>
      <c r="AA71" s="164"/>
      <c r="AB71" s="164"/>
      <c r="AC71" s="164"/>
      <c r="AE71" s="164"/>
      <c r="AF71" s="164"/>
      <c r="AG71" s="164"/>
      <c r="AH71" s="164"/>
      <c r="AI71" s="164"/>
      <c r="AJ71" s="164"/>
      <c r="AK71" s="164"/>
      <c r="AL71" s="164"/>
      <c r="AM71" s="164"/>
      <c r="AN71" s="164"/>
      <c r="AO71" s="164"/>
      <c r="AP71" s="164"/>
      <c r="AQ71" s="164"/>
      <c r="AR71" s="164"/>
      <c r="AS71" s="164"/>
      <c r="AT71" s="164"/>
      <c r="AU71" s="164"/>
      <c r="AV71" s="164"/>
      <c r="AW71" s="164"/>
      <c r="AX71" s="164"/>
    </row>
    <row r="72" spans="2:50" x14ac:dyDescent="0.25">
      <c r="B72" s="275"/>
      <c r="C72" s="120" t="s">
        <v>109</v>
      </c>
      <c r="D72" s="122">
        <f>COUNTIFS($E$3:$E$60,DATE(Paramètres!A4,Paramètres!D15,Paramètres!C15),$D$3:$D$60,"ACS")</f>
        <v>3</v>
      </c>
      <c r="E72" s="129">
        <f>COUNTIFS($E$3:$E$60,DATE(Paramètres!A4,Paramètres!D15,Paramètres!C15),$F$3:$F$60,"SARL")</f>
        <v>1</v>
      </c>
      <c r="F72" s="122">
        <f>+COUNTIFS($E$3:$E$60,DATE(Paramètres!A4,Paramètres!D15,Paramètres!C15),$F$3:$F$60,"EURL")</f>
        <v>1</v>
      </c>
      <c r="G72" s="124">
        <f>COUNTIFS($E$3:$E$60,DATE(Paramètres!A4,Paramètres!D15,Paramètres!C15),$F$3:$F$60,"SAS",$D$3:$D$60,"ACS")</f>
        <v>0</v>
      </c>
      <c r="H72" s="122">
        <f>COUNTIFS($E$3:$E$60,DATE(Paramètres!A4,Paramètres!D15,Paramètres!C15),$F$3:$F$60,"INDIVIDUEL",$D$3:$D$60,"ACS")</f>
        <v>0</v>
      </c>
      <c r="I72" s="122">
        <f>+COUNTIFS($E$3:$E$60,DATE(Paramètres!A4,Paramètres!D15,Paramètres!C15),$F$3:$F$60,"ASSOCIATION")</f>
        <v>0</v>
      </c>
      <c r="J72" s="122"/>
      <c r="K72" s="122">
        <f>COUNTIFS($E$3:$E$60,DATE(Paramètres!A4,Paramètres!D15,Paramètres!C15),$F$3:$F$60,"SNC")</f>
        <v>0</v>
      </c>
      <c r="L72" s="122">
        <f>COUNTIFS($E$3:$E$60,DATE(Paramètres!A4,Paramètres!D15,Paramètres!C15),$F$3:$F$60,"SCI")</f>
        <v>0</v>
      </c>
      <c r="M72" s="130"/>
      <c r="N72" s="131"/>
      <c r="O72" s="132"/>
      <c r="P72" s="122">
        <f>COUNTIFS($E$3:$E$60,DATE(Paramètres!A4,Paramètres!D15,Paramètres!C15),$F$3:$F$60,"GROUPEMENT")</f>
        <v>0</v>
      </c>
      <c r="Q72" s="122">
        <f>+COUNTIFS($E$3:$E$60,DATE(Paramètres!A4,Paramètres!D15,Paramètres!C15),$F$3:$F$60,"EIRL")</f>
        <v>1</v>
      </c>
      <c r="R72" s="122">
        <f>+COUNTIFS($E$3:$E$60,DATE(Paramètres!B4,Paramètres!E15,Paramètres!D15),$F$3:$F$60,"AUTRES")</f>
        <v>0</v>
      </c>
      <c r="S72" s="122"/>
      <c r="T72" s="122">
        <f>+SUM(E72:P72)</f>
        <v>2</v>
      </c>
      <c r="U72" s="164"/>
      <c r="V72" s="164"/>
      <c r="W72" s="164"/>
      <c r="X72" s="164"/>
      <c r="Y72" s="164"/>
      <c r="Z72" s="164"/>
      <c r="AA72" s="164"/>
      <c r="AB72" s="164"/>
      <c r="AC72" s="164"/>
      <c r="AE72" s="164"/>
      <c r="AF72" s="164"/>
      <c r="AG72" s="164"/>
      <c r="AH72" s="164"/>
      <c r="AI72" s="164"/>
      <c r="AJ72" s="164"/>
      <c r="AK72" s="164"/>
      <c r="AL72" s="164"/>
      <c r="AM72" s="164"/>
      <c r="AN72" s="164"/>
      <c r="AO72" s="164"/>
      <c r="AP72" s="164"/>
      <c r="AQ72" s="164"/>
      <c r="AR72" s="164"/>
      <c r="AS72" s="164"/>
      <c r="AT72" s="164"/>
      <c r="AU72" s="164"/>
      <c r="AV72" s="164"/>
      <c r="AW72" s="164"/>
      <c r="AX72" s="164"/>
    </row>
    <row r="73" spans="2:50" x14ac:dyDescent="0.25">
      <c r="B73" s="275"/>
      <c r="C73" s="120" t="s">
        <v>121</v>
      </c>
      <c r="D73" s="122">
        <f>COUNTIFS($E$3:$E$60,DATE(Paramètres!A4,Paramètres!D15,Paramètres!C15),$D$3:$D$60,"BNC")</f>
        <v>0</v>
      </c>
      <c r="E73" s="133"/>
      <c r="F73" s="122"/>
      <c r="G73" s="134"/>
      <c r="H73" s="135"/>
      <c r="I73" s="132"/>
      <c r="J73" s="122">
        <f>COUNTIFS($E$3:$E$60,DATE(Paramètres!A4,Paramètres!D15,Paramètres!C15),$D$3:$D$60,"BNC")</f>
        <v>0</v>
      </c>
      <c r="K73" s="130"/>
      <c r="L73" s="131"/>
      <c r="M73" s="131"/>
      <c r="N73" s="131"/>
      <c r="O73" s="131"/>
      <c r="P73" s="132"/>
      <c r="Q73" s="122"/>
      <c r="R73" s="122"/>
      <c r="S73" s="122"/>
      <c r="T73" s="122">
        <f>+SUM(E73:P73)</f>
        <v>0</v>
      </c>
      <c r="U73" s="164"/>
      <c r="V73" s="164"/>
      <c r="W73" s="164"/>
      <c r="X73" s="164"/>
      <c r="Y73" s="164"/>
      <c r="Z73" s="164"/>
      <c r="AA73" s="164"/>
      <c r="AB73" s="164"/>
      <c r="AC73" s="164"/>
      <c r="AE73" s="164"/>
      <c r="AF73" s="164"/>
      <c r="AG73" s="164"/>
      <c r="AH73" s="164"/>
      <c r="AI73" s="164"/>
      <c r="AJ73" s="164"/>
      <c r="AK73" s="164"/>
      <c r="AL73" s="164"/>
      <c r="AM73" s="164"/>
      <c r="AN73" s="164"/>
      <c r="AO73" s="164"/>
      <c r="AP73" s="164"/>
      <c r="AQ73" s="164"/>
      <c r="AR73" s="164"/>
      <c r="AS73" s="164"/>
      <c r="AT73" s="164"/>
      <c r="AU73" s="164"/>
      <c r="AV73" s="164"/>
      <c r="AW73" s="164"/>
      <c r="AX73" s="164"/>
    </row>
    <row r="74" spans="2:50" x14ac:dyDescent="0.25">
      <c r="B74" s="276"/>
      <c r="C74" s="122" t="s">
        <v>122</v>
      </c>
      <c r="D74" s="122">
        <f>COUNTIFS($E$3:$E$60,DATE(Paramètres!A4,Paramètres!D15,Paramètres!C15),$D$3:$D$60,"AGRI")</f>
        <v>0</v>
      </c>
      <c r="E74" s="133"/>
      <c r="F74" s="122"/>
      <c r="G74" s="134">
        <f>COUNTIFS($E$3:$E$60,DATE(Paramètres!A4,Paramètres!D15,Paramètres!C15),$F$3:$F$60,"SAS",$D$3:$D$60,"AGRI")</f>
        <v>0</v>
      </c>
      <c r="H74" s="122">
        <f>COUNTIFS($E$3:$E$60,DATE(Paramètres!A4,Paramètres!D15,Paramètres!C15),$F$3:$F$60,"INDIVIDUEL",$D$3:$D$60,"AGRI")</f>
        <v>0</v>
      </c>
      <c r="I74" s="136"/>
      <c r="J74" s="131"/>
      <c r="K74" s="131"/>
      <c r="L74" s="132"/>
      <c r="M74" s="122">
        <f>COUNTIFS($E$3:$E$60,DATE(Paramètres!A4,Paramètres!D15,Paramètres!C15),$F$3:$F$60,"EARL")</f>
        <v>0</v>
      </c>
      <c r="N74" s="122">
        <f>COUNTIFS($E$3:$E$60,DATE(Paramètres!A4,Paramètres!D15,Paramètres!C15),$F$3:$F$60,"ETA")</f>
        <v>0</v>
      </c>
      <c r="O74" s="122">
        <f>COUNTIFS($E$3:$E$60,DATE(Paramètres!A4,Paramètres!D15,Paramètres!C15),$F$3:$F$60,"SCEA")</f>
        <v>0</v>
      </c>
      <c r="P74" s="122"/>
      <c r="Q74" s="122"/>
      <c r="R74" s="122"/>
      <c r="S74" s="122"/>
      <c r="T74" s="122">
        <f>+SUM(E74:P74)</f>
        <v>0</v>
      </c>
      <c r="U74" s="164"/>
      <c r="V74" s="164"/>
      <c r="W74" s="164"/>
      <c r="X74" s="164"/>
      <c r="Y74" s="164"/>
      <c r="Z74" s="164"/>
      <c r="AA74" s="164"/>
      <c r="AB74" s="164"/>
      <c r="AC74" s="164"/>
      <c r="AE74" s="164"/>
      <c r="AF74" s="164"/>
      <c r="AG74" s="164"/>
      <c r="AH74" s="164"/>
      <c r="AI74" s="164"/>
      <c r="AJ74" s="164"/>
      <c r="AK74" s="164"/>
      <c r="AL74" s="164"/>
      <c r="AM74" s="164"/>
      <c r="AN74" s="164"/>
      <c r="AO74" s="164"/>
      <c r="AP74" s="164"/>
      <c r="AQ74" s="164"/>
      <c r="AR74" s="164"/>
      <c r="AS74" s="164"/>
      <c r="AT74" s="164"/>
      <c r="AU74" s="164"/>
      <c r="AV74" s="164"/>
      <c r="AW74" s="164"/>
      <c r="AX74" s="164"/>
    </row>
    <row r="75" spans="2:50" x14ac:dyDescent="0.25">
      <c r="B75" s="277" t="s">
        <v>123</v>
      </c>
      <c r="C75" s="277"/>
      <c r="D75" s="122">
        <f>+SUM(D72:D74)</f>
        <v>3</v>
      </c>
      <c r="E75" s="129">
        <f>+SUM(E72:E74)</f>
        <v>1</v>
      </c>
      <c r="F75" s="129">
        <f>+SUM(F72:F74)</f>
        <v>1</v>
      </c>
      <c r="G75" s="124">
        <f>+SUM(G72:G74)</f>
        <v>0</v>
      </c>
      <c r="H75" s="122">
        <f>+SUM(H72:H74)</f>
        <v>0</v>
      </c>
      <c r="I75" s="122">
        <f t="shared" ref="I75:R75" si="4">+SUM(I72:I74)</f>
        <v>0</v>
      </c>
      <c r="J75" s="122">
        <f t="shared" si="4"/>
        <v>0</v>
      </c>
      <c r="K75" s="122">
        <f t="shared" si="4"/>
        <v>0</v>
      </c>
      <c r="L75" s="122">
        <f t="shared" si="4"/>
        <v>0</v>
      </c>
      <c r="M75" s="122">
        <f t="shared" si="4"/>
        <v>0</v>
      </c>
      <c r="N75" s="122">
        <f t="shared" si="4"/>
        <v>0</v>
      </c>
      <c r="O75" s="122">
        <f t="shared" si="4"/>
        <v>0</v>
      </c>
      <c r="P75" s="122">
        <f t="shared" si="4"/>
        <v>0</v>
      </c>
      <c r="Q75" s="122">
        <f t="shared" si="4"/>
        <v>1</v>
      </c>
      <c r="R75" s="122">
        <f t="shared" si="4"/>
        <v>0</v>
      </c>
      <c r="S75" s="122"/>
      <c r="T75" s="122">
        <f>+SUM(E75:R75)</f>
        <v>3</v>
      </c>
      <c r="U75" s="164"/>
      <c r="V75" s="164"/>
      <c r="W75" s="164"/>
      <c r="X75" s="164"/>
      <c r="Y75" s="164"/>
      <c r="Z75" s="164"/>
      <c r="AA75" s="164"/>
      <c r="AB75" s="164"/>
      <c r="AC75" s="164"/>
      <c r="AE75" s="164"/>
      <c r="AF75" s="164"/>
      <c r="AG75" s="164"/>
      <c r="AH75" s="164"/>
      <c r="AI75" s="164"/>
      <c r="AJ75" s="164"/>
      <c r="AK75" s="164"/>
      <c r="AL75" s="164"/>
      <c r="AM75" s="164"/>
      <c r="AN75" s="164"/>
      <c r="AO75" s="164"/>
      <c r="AP75" s="164"/>
      <c r="AQ75" s="164"/>
      <c r="AR75" s="164"/>
      <c r="AS75" s="164"/>
      <c r="AT75" s="164"/>
      <c r="AU75" s="164"/>
      <c r="AV75" s="164"/>
      <c r="AW75" s="164"/>
      <c r="AX75" s="164"/>
    </row>
    <row r="76" spans="2:50" x14ac:dyDescent="0.25">
      <c r="B76" s="90"/>
      <c r="C76" s="90"/>
      <c r="D76" s="90"/>
      <c r="E76" s="90"/>
      <c r="G76" s="90"/>
      <c r="H76" s="90"/>
      <c r="I76" s="90"/>
      <c r="J76" s="90"/>
      <c r="K76" s="90"/>
      <c r="L76" s="90"/>
      <c r="M76" s="90"/>
      <c r="N76" s="90"/>
      <c r="O76" s="90"/>
      <c r="P76" s="90"/>
      <c r="T76" s="90"/>
      <c r="U76" s="164"/>
      <c r="V76" s="164"/>
      <c r="W76" s="164"/>
      <c r="X76" s="164"/>
      <c r="Y76" s="164"/>
      <c r="Z76" s="164"/>
      <c r="AA76" s="164"/>
      <c r="AB76" s="164"/>
      <c r="AC76" s="164"/>
      <c r="AE76" s="164"/>
      <c r="AF76" s="164"/>
      <c r="AG76" s="164"/>
      <c r="AH76" s="164"/>
      <c r="AI76" s="164"/>
      <c r="AJ76" s="164"/>
      <c r="AK76" s="164"/>
      <c r="AL76" s="164"/>
      <c r="AM76" s="164"/>
      <c r="AN76" s="164"/>
      <c r="AO76" s="164"/>
      <c r="AP76" s="164"/>
      <c r="AQ76" s="164"/>
      <c r="AR76" s="164"/>
      <c r="AS76" s="164"/>
      <c r="AT76" s="164"/>
      <c r="AU76" s="164"/>
      <c r="AV76" s="164"/>
      <c r="AW76" s="164"/>
      <c r="AX76" s="164"/>
    </row>
    <row r="77" spans="2:50" x14ac:dyDescent="0.25">
      <c r="B77" s="278" t="s">
        <v>40</v>
      </c>
      <c r="C77" s="122"/>
      <c r="D77" s="122"/>
      <c r="E77" s="125" t="s">
        <v>112</v>
      </c>
      <c r="F77" s="121" t="s">
        <v>115</v>
      </c>
      <c r="G77" s="126" t="s">
        <v>118</v>
      </c>
      <c r="H77" s="127" t="s">
        <v>116</v>
      </c>
      <c r="I77" s="127" t="s">
        <v>124</v>
      </c>
      <c r="J77" s="128" t="s">
        <v>125</v>
      </c>
      <c r="K77" s="128" t="s">
        <v>110</v>
      </c>
      <c r="L77" s="128" t="s">
        <v>119</v>
      </c>
      <c r="M77" s="128" t="s">
        <v>126</v>
      </c>
      <c r="N77" s="128" t="s">
        <v>127</v>
      </c>
      <c r="O77" s="128" t="s">
        <v>128</v>
      </c>
      <c r="P77" s="128" t="s">
        <v>129</v>
      </c>
      <c r="Q77" s="128" t="s">
        <v>130</v>
      </c>
      <c r="R77" s="128" t="s">
        <v>131</v>
      </c>
      <c r="S77" s="128"/>
      <c r="T77" s="128" t="s">
        <v>86</v>
      </c>
      <c r="U77" s="164"/>
      <c r="V77" s="164"/>
      <c r="W77" s="164"/>
      <c r="X77" s="164"/>
      <c r="Y77" s="164"/>
      <c r="Z77" s="164"/>
      <c r="AA77" s="164"/>
      <c r="AB77" s="164"/>
      <c r="AC77" s="164"/>
      <c r="AE77" s="164"/>
      <c r="AF77" s="164"/>
      <c r="AG77" s="164"/>
      <c r="AH77" s="164"/>
      <c r="AI77" s="164"/>
      <c r="AJ77" s="164"/>
      <c r="AK77" s="164"/>
      <c r="AL77" s="164"/>
      <c r="AM77" s="164"/>
      <c r="AN77" s="164"/>
      <c r="AO77" s="164"/>
      <c r="AP77" s="164"/>
      <c r="AQ77" s="164"/>
      <c r="AR77" s="164"/>
      <c r="AS77" s="164"/>
      <c r="AT77" s="164"/>
      <c r="AU77" s="164"/>
      <c r="AV77" s="164"/>
      <c r="AW77" s="164"/>
      <c r="AX77" s="164"/>
    </row>
    <row r="78" spans="2:50" x14ac:dyDescent="0.25">
      <c r="B78" s="275"/>
      <c r="C78" s="120" t="s">
        <v>109</v>
      </c>
      <c r="D78" s="122">
        <f>+D66-D72</f>
        <v>0</v>
      </c>
      <c r="E78" s="122">
        <f>+E66-E72</f>
        <v>0</v>
      </c>
      <c r="F78" s="122">
        <f t="shared" ref="F78:R78" si="5">+F66-F72</f>
        <v>0</v>
      </c>
      <c r="G78" s="122">
        <f t="shared" si="5"/>
        <v>0</v>
      </c>
      <c r="H78" s="122">
        <f t="shared" si="5"/>
        <v>0</v>
      </c>
      <c r="I78" s="122">
        <f t="shared" si="5"/>
        <v>0</v>
      </c>
      <c r="J78" s="122">
        <f t="shared" si="5"/>
        <v>0</v>
      </c>
      <c r="K78" s="122">
        <f t="shared" si="5"/>
        <v>0</v>
      </c>
      <c r="L78" s="122">
        <f t="shared" si="5"/>
        <v>0</v>
      </c>
      <c r="M78" s="122">
        <f t="shared" si="5"/>
        <v>0</v>
      </c>
      <c r="N78" s="122">
        <f t="shared" si="5"/>
        <v>0</v>
      </c>
      <c r="O78" s="122">
        <f t="shared" si="5"/>
        <v>0</v>
      </c>
      <c r="P78" s="122">
        <f t="shared" si="5"/>
        <v>0</v>
      </c>
      <c r="Q78" s="122">
        <f t="shared" si="5"/>
        <v>0</v>
      </c>
      <c r="R78" s="122">
        <f t="shared" si="5"/>
        <v>0</v>
      </c>
      <c r="S78" s="122"/>
      <c r="T78" s="122">
        <f>+SUM(E78:P78)</f>
        <v>0</v>
      </c>
      <c r="U78" s="164"/>
      <c r="V78" s="164"/>
      <c r="W78" s="164"/>
      <c r="X78" s="164"/>
      <c r="Y78" s="164"/>
      <c r="Z78" s="164"/>
      <c r="AA78" s="164"/>
      <c r="AB78" s="164"/>
      <c r="AC78" s="164"/>
      <c r="AE78" s="164"/>
      <c r="AF78" s="164"/>
      <c r="AG78" s="164"/>
      <c r="AH78" s="164"/>
      <c r="AI78" s="164"/>
      <c r="AJ78" s="164"/>
      <c r="AK78" s="164"/>
      <c r="AL78" s="164"/>
      <c r="AM78" s="164"/>
      <c r="AN78" s="164"/>
      <c r="AO78" s="164"/>
      <c r="AP78" s="164"/>
      <c r="AQ78" s="164"/>
      <c r="AR78" s="164"/>
      <c r="AS78" s="164"/>
      <c r="AT78" s="164"/>
      <c r="AU78" s="164"/>
      <c r="AV78" s="164"/>
      <c r="AW78" s="164"/>
      <c r="AX78" s="164"/>
    </row>
    <row r="79" spans="2:50" x14ac:dyDescent="0.25">
      <c r="B79" s="275"/>
      <c r="C79" s="120" t="s">
        <v>121</v>
      </c>
      <c r="D79" s="122">
        <f>+D67-D73</f>
        <v>0</v>
      </c>
      <c r="E79" s="122">
        <f t="shared" ref="E79:R81" si="6">+E67-E73</f>
        <v>0</v>
      </c>
      <c r="F79" s="122">
        <f t="shared" si="6"/>
        <v>0</v>
      </c>
      <c r="G79" s="122">
        <f t="shared" si="6"/>
        <v>0</v>
      </c>
      <c r="H79" s="122">
        <f t="shared" si="6"/>
        <v>0</v>
      </c>
      <c r="I79" s="122">
        <f t="shared" si="6"/>
        <v>0</v>
      </c>
      <c r="J79" s="122">
        <f t="shared" si="6"/>
        <v>0</v>
      </c>
      <c r="K79" s="122">
        <f t="shared" si="6"/>
        <v>0</v>
      </c>
      <c r="L79" s="122">
        <f t="shared" si="6"/>
        <v>0</v>
      </c>
      <c r="M79" s="122">
        <f t="shared" si="6"/>
        <v>0</v>
      </c>
      <c r="N79" s="122">
        <f t="shared" si="6"/>
        <v>0</v>
      </c>
      <c r="O79" s="122">
        <f t="shared" si="6"/>
        <v>0</v>
      </c>
      <c r="P79" s="122">
        <f t="shared" si="6"/>
        <v>0</v>
      </c>
      <c r="Q79" s="122">
        <f t="shared" si="6"/>
        <v>0</v>
      </c>
      <c r="R79" s="122">
        <f t="shared" si="6"/>
        <v>0</v>
      </c>
      <c r="S79" s="122"/>
      <c r="T79" s="122">
        <f>+SUM(E79:P79)</f>
        <v>0</v>
      </c>
      <c r="U79" s="164"/>
      <c r="V79" s="164"/>
      <c r="W79" s="164"/>
      <c r="X79" s="164"/>
      <c r="Y79" s="164"/>
      <c r="Z79" s="164"/>
      <c r="AA79" s="164"/>
      <c r="AB79" s="164"/>
      <c r="AC79" s="164"/>
      <c r="AE79" s="164"/>
      <c r="AF79" s="164"/>
      <c r="AG79" s="164"/>
      <c r="AH79" s="164"/>
      <c r="AI79" s="164"/>
      <c r="AJ79" s="164"/>
      <c r="AK79" s="164"/>
      <c r="AL79" s="164"/>
      <c r="AM79" s="164"/>
      <c r="AN79" s="164"/>
      <c r="AO79" s="164"/>
      <c r="AP79" s="164"/>
      <c r="AQ79" s="164"/>
      <c r="AR79" s="164"/>
      <c r="AS79" s="164"/>
      <c r="AT79" s="164"/>
      <c r="AU79" s="164"/>
      <c r="AV79" s="164"/>
      <c r="AW79" s="164"/>
      <c r="AX79" s="164"/>
    </row>
    <row r="80" spans="2:50" x14ac:dyDescent="0.25">
      <c r="B80" s="276"/>
      <c r="C80" s="122" t="s">
        <v>122</v>
      </c>
      <c r="D80" s="122">
        <f>+D68-D74</f>
        <v>0</v>
      </c>
      <c r="E80" s="122">
        <f t="shared" si="6"/>
        <v>0</v>
      </c>
      <c r="F80" s="122">
        <f t="shared" si="6"/>
        <v>0</v>
      </c>
      <c r="G80" s="122">
        <f t="shared" si="6"/>
        <v>0</v>
      </c>
      <c r="H80" s="122">
        <f t="shared" si="6"/>
        <v>0</v>
      </c>
      <c r="I80" s="122">
        <f t="shared" si="6"/>
        <v>0</v>
      </c>
      <c r="J80" s="122">
        <f t="shared" si="6"/>
        <v>0</v>
      </c>
      <c r="K80" s="122">
        <f t="shared" si="6"/>
        <v>0</v>
      </c>
      <c r="L80" s="122">
        <f t="shared" si="6"/>
        <v>0</v>
      </c>
      <c r="M80" s="122">
        <f t="shared" si="6"/>
        <v>0</v>
      </c>
      <c r="N80" s="122">
        <f t="shared" si="6"/>
        <v>0</v>
      </c>
      <c r="O80" s="122">
        <f t="shared" si="6"/>
        <v>0</v>
      </c>
      <c r="P80" s="122">
        <f t="shared" si="6"/>
        <v>0</v>
      </c>
      <c r="Q80" s="122">
        <f t="shared" si="6"/>
        <v>0</v>
      </c>
      <c r="R80" s="122">
        <f t="shared" si="6"/>
        <v>0</v>
      </c>
      <c r="S80" s="122"/>
      <c r="T80" s="122">
        <f>+SUM(E80:P80)</f>
        <v>0</v>
      </c>
      <c r="U80" s="164"/>
      <c r="V80" s="164"/>
      <c r="W80" s="164"/>
      <c r="X80" s="164"/>
      <c r="Y80" s="164"/>
      <c r="Z80" s="164"/>
      <c r="AA80" s="164"/>
      <c r="AB80" s="164"/>
      <c r="AC80" s="164"/>
      <c r="AE80" s="164"/>
      <c r="AF80" s="164"/>
      <c r="AG80" s="164"/>
      <c r="AH80" s="164"/>
      <c r="AI80" s="164"/>
      <c r="AJ80" s="164"/>
      <c r="AK80" s="164"/>
      <c r="AL80" s="164"/>
      <c r="AM80" s="164"/>
      <c r="AN80" s="164"/>
      <c r="AO80" s="164"/>
      <c r="AP80" s="164"/>
      <c r="AQ80" s="164"/>
      <c r="AR80" s="164"/>
      <c r="AS80" s="164"/>
      <c r="AT80" s="164"/>
      <c r="AU80" s="164"/>
      <c r="AV80" s="164"/>
      <c r="AW80" s="164"/>
      <c r="AX80" s="164"/>
    </row>
    <row r="81" spans="2:50" x14ac:dyDescent="0.25">
      <c r="B81" s="277" t="s">
        <v>123</v>
      </c>
      <c r="C81" s="277"/>
      <c r="D81" s="122">
        <f>+D69-D75</f>
        <v>0</v>
      </c>
      <c r="E81" s="122">
        <f t="shared" si="6"/>
        <v>0</v>
      </c>
      <c r="F81" s="122">
        <f t="shared" si="6"/>
        <v>0</v>
      </c>
      <c r="G81" s="122">
        <f t="shared" si="6"/>
        <v>0</v>
      </c>
      <c r="H81" s="122">
        <f t="shared" si="6"/>
        <v>0</v>
      </c>
      <c r="I81" s="122">
        <f t="shared" si="6"/>
        <v>0</v>
      </c>
      <c r="J81" s="122">
        <f t="shared" si="6"/>
        <v>0</v>
      </c>
      <c r="K81" s="122">
        <f t="shared" si="6"/>
        <v>0</v>
      </c>
      <c r="L81" s="122">
        <f t="shared" si="6"/>
        <v>0</v>
      </c>
      <c r="M81" s="122">
        <f t="shared" si="6"/>
        <v>0</v>
      </c>
      <c r="N81" s="122">
        <f t="shared" si="6"/>
        <v>0</v>
      </c>
      <c r="O81" s="122">
        <f t="shared" si="6"/>
        <v>0</v>
      </c>
      <c r="P81" s="122">
        <f t="shared" si="6"/>
        <v>0</v>
      </c>
      <c r="Q81" s="122">
        <f t="shared" si="6"/>
        <v>0</v>
      </c>
      <c r="R81" s="122">
        <f t="shared" si="6"/>
        <v>0</v>
      </c>
      <c r="S81" s="122"/>
      <c r="T81" s="122">
        <f>+SUM(T78:T80)</f>
        <v>0</v>
      </c>
      <c r="U81" s="164"/>
      <c r="V81" s="164"/>
      <c r="W81" s="164"/>
      <c r="X81" s="164"/>
      <c r="Y81" s="164"/>
      <c r="Z81" s="164"/>
      <c r="AA81" s="164"/>
      <c r="AB81" s="164"/>
      <c r="AC81" s="164"/>
      <c r="AE81" s="164"/>
      <c r="AF81" s="164"/>
      <c r="AG81" s="164"/>
      <c r="AH81" s="164"/>
      <c r="AI81" s="164"/>
      <c r="AJ81" s="164"/>
      <c r="AK81" s="164"/>
      <c r="AL81" s="164"/>
      <c r="AM81" s="164"/>
      <c r="AN81" s="164"/>
      <c r="AO81" s="164"/>
      <c r="AP81" s="164"/>
      <c r="AQ81" s="164"/>
      <c r="AR81" s="164"/>
      <c r="AS81" s="164"/>
      <c r="AT81" s="164"/>
      <c r="AU81" s="164"/>
      <c r="AV81" s="164"/>
      <c r="AW81" s="164"/>
      <c r="AX81" s="164"/>
    </row>
    <row r="82" spans="2:50" x14ac:dyDescent="0.25">
      <c r="U82" s="164"/>
      <c r="V82" s="164"/>
      <c r="W82" s="164"/>
      <c r="X82" s="164"/>
      <c r="Y82" s="164"/>
      <c r="Z82" s="164"/>
      <c r="AA82" s="164"/>
      <c r="AB82" s="164"/>
      <c r="AC82" s="164"/>
      <c r="AE82" s="164"/>
      <c r="AF82" s="164"/>
      <c r="AG82" s="164"/>
      <c r="AH82" s="164"/>
      <c r="AI82" s="164"/>
      <c r="AJ82" s="164"/>
      <c r="AK82" s="164"/>
      <c r="AL82" s="164"/>
      <c r="AM82" s="164"/>
      <c r="AN82" s="164"/>
      <c r="AO82" s="164"/>
      <c r="AP82" s="164"/>
      <c r="AQ82" s="164"/>
      <c r="AR82" s="164"/>
      <c r="AS82" s="164"/>
      <c r="AT82" s="164"/>
      <c r="AU82" s="164"/>
      <c r="AV82" s="164"/>
      <c r="AW82" s="164"/>
      <c r="AX82" s="164"/>
    </row>
    <row r="83" spans="2:50" x14ac:dyDescent="0.25">
      <c r="B83" s="137" t="s">
        <v>132</v>
      </c>
      <c r="C83" s="137"/>
      <c r="D83" s="137"/>
      <c r="E83" s="137"/>
      <c r="F83" s="137"/>
      <c r="G83" s="137"/>
      <c r="H83" s="137"/>
      <c r="I83" s="137"/>
      <c r="J83" s="137"/>
      <c r="K83" s="137"/>
      <c r="L83" s="137"/>
      <c r="M83" s="137"/>
      <c r="N83" s="137"/>
      <c r="O83" s="137"/>
      <c r="P83" s="137"/>
      <c r="Q83" s="137"/>
      <c r="R83" s="138"/>
      <c r="S83" s="139"/>
      <c r="T83" s="137"/>
      <c r="U83" s="164"/>
      <c r="V83" s="164"/>
      <c r="W83" s="164"/>
      <c r="X83" s="164"/>
      <c r="Y83" s="164"/>
      <c r="Z83" s="164"/>
      <c r="AA83" s="164"/>
      <c r="AB83" s="164"/>
      <c r="AC83" s="164"/>
      <c r="AE83" s="164"/>
      <c r="AF83" s="164"/>
      <c r="AG83" s="164"/>
      <c r="AH83" s="164"/>
      <c r="AI83" s="164"/>
      <c r="AJ83" s="164"/>
      <c r="AK83" s="164"/>
      <c r="AL83" s="164"/>
      <c r="AM83" s="164"/>
      <c r="AN83" s="164"/>
      <c r="AO83" s="164"/>
      <c r="AP83" s="164"/>
      <c r="AQ83" s="164"/>
      <c r="AR83" s="164"/>
      <c r="AS83" s="164"/>
      <c r="AT83" s="164"/>
      <c r="AU83" s="164"/>
      <c r="AV83" s="164"/>
      <c r="AW83" s="164"/>
      <c r="AX83" s="164"/>
    </row>
    <row r="84" spans="2:50" x14ac:dyDescent="0.25">
      <c r="B84" s="279" t="s">
        <v>120</v>
      </c>
      <c r="C84" s="138"/>
      <c r="D84" s="138"/>
      <c r="E84" s="140" t="str">
        <f t="shared" ref="E84:R84" si="7">E65</f>
        <v>SARL</v>
      </c>
      <c r="F84" s="138" t="str">
        <f t="shared" si="7"/>
        <v>EURL</v>
      </c>
      <c r="G84" s="141" t="str">
        <f t="shared" si="7"/>
        <v>SAS</v>
      </c>
      <c r="H84" s="142" t="str">
        <f t="shared" si="7"/>
        <v>INDIVIDUEL</v>
      </c>
      <c r="I84" s="142" t="str">
        <f t="shared" si="7"/>
        <v>ASSOCIATION</v>
      </c>
      <c r="J84" s="240" t="str">
        <f t="shared" si="7"/>
        <v>PROFESSION LIBERALE</v>
      </c>
      <c r="K84" s="240" t="str">
        <f t="shared" si="7"/>
        <v>SNC</v>
      </c>
      <c r="L84" s="240" t="str">
        <f t="shared" si="7"/>
        <v>SCI</v>
      </c>
      <c r="M84" s="240" t="str">
        <f t="shared" si="7"/>
        <v>EARL</v>
      </c>
      <c r="N84" s="240" t="str">
        <f t="shared" si="7"/>
        <v>ETA</v>
      </c>
      <c r="O84" s="240" t="str">
        <f t="shared" si="7"/>
        <v>SCEA</v>
      </c>
      <c r="P84" s="240" t="str">
        <f t="shared" si="7"/>
        <v>GROUPEMENT</v>
      </c>
      <c r="Q84" s="240" t="str">
        <f t="shared" si="7"/>
        <v>EIRL</v>
      </c>
      <c r="R84" s="240" t="str">
        <f t="shared" si="7"/>
        <v>AUTRES</v>
      </c>
      <c r="S84" s="144"/>
      <c r="T84" s="145" t="s">
        <v>86</v>
      </c>
      <c r="U84" s="164"/>
      <c r="V84" s="164"/>
      <c r="W84" s="164"/>
      <c r="X84" s="164"/>
      <c r="Y84" s="164"/>
      <c r="Z84" s="164"/>
      <c r="AA84" s="164"/>
      <c r="AB84" s="164"/>
      <c r="AC84" s="164"/>
      <c r="AE84" s="164"/>
      <c r="AF84" s="164"/>
      <c r="AG84" s="164"/>
      <c r="AH84" s="164"/>
      <c r="AI84" s="164"/>
      <c r="AJ84" s="164"/>
      <c r="AK84" s="164"/>
      <c r="AL84" s="164"/>
      <c r="AM84" s="164"/>
      <c r="AN84" s="164"/>
      <c r="AO84" s="164"/>
      <c r="AP84" s="164"/>
      <c r="AQ84" s="164"/>
      <c r="AR84" s="164"/>
      <c r="AS84" s="164"/>
      <c r="AT84" s="164"/>
      <c r="AU84" s="164"/>
      <c r="AV84" s="164"/>
      <c r="AW84" s="164"/>
      <c r="AX84" s="164"/>
    </row>
    <row r="85" spans="2:50" x14ac:dyDescent="0.25">
      <c r="B85" s="280"/>
      <c r="C85" s="146" t="s">
        <v>109</v>
      </c>
      <c r="D85" s="138">
        <f>COUNTIFS($I$3:$I$60,"&lt;&gt;",$D$3:$D$60,"ACS")</f>
        <v>2</v>
      </c>
      <c r="E85" s="147">
        <f>+COUNTIFS($I$3:$I$60,"&lt;&gt;",$F$3:$F$60,"SARL")</f>
        <v>1</v>
      </c>
      <c r="F85" s="138">
        <f>+COUNTIFS($I3:$I60,"&lt;&gt;",$F$3:$F$60,"EURL")</f>
        <v>1</v>
      </c>
      <c r="G85" s="148">
        <f>COUNTIFS($I$3:$I$60,"&lt;&gt;",$F$3:$F$60,"SAS",$D$3:$D$60,"ACS")</f>
        <v>0</v>
      </c>
      <c r="H85" s="138">
        <f>COUNTIFS($I$3:$I$60,"&lt;&gt;",$F$3:$F$60,"INDIVIDUEL",$D$3:$D$60,"ACS")</f>
        <v>0</v>
      </c>
      <c r="I85" s="138">
        <f>COUNTIFS($I$3:$I$60,"&lt;&gt;",$F$3:$F$60,"ASSOCIATION")</f>
        <v>0</v>
      </c>
      <c r="J85" s="138"/>
      <c r="K85" s="138">
        <f>COUNTIFS($I$3:$I$60,"&lt;&gt;",$F$3:$F$60,"SNC")</f>
        <v>0</v>
      </c>
      <c r="L85" s="138">
        <f>COUNTIFS($I$3:$I$60,"&lt;&gt;",$F$3:$F$60,"SCI")</f>
        <v>0</v>
      </c>
      <c r="M85" s="149"/>
      <c r="N85" s="150"/>
      <c r="O85" s="151"/>
      <c r="P85" s="138">
        <f>COUNTIFS($I$3:$I$60,"&lt;&gt;",$F$3:$F$60,"GROUPEMENT")</f>
        <v>0</v>
      </c>
      <c r="Q85" s="152">
        <f>COUNTIFS($I$3:$I$60,"&lt;&gt;",$F$3:$F$60,"EIRL")</f>
        <v>0</v>
      </c>
      <c r="R85" s="138">
        <f>COUNTIFS($I$3:$I$60,"&lt;&gt;",$F$3:$F$60,"AUTRES")</f>
        <v>0</v>
      </c>
      <c r="S85" s="148"/>
      <c r="T85" s="148">
        <f>+SUM(E85:P85)</f>
        <v>2</v>
      </c>
      <c r="U85" s="164"/>
      <c r="V85" s="164"/>
      <c r="W85" s="164"/>
      <c r="X85" s="164"/>
      <c r="Y85" s="164"/>
      <c r="Z85" s="164"/>
      <c r="AA85" s="164"/>
      <c r="AB85" s="164"/>
      <c r="AC85" s="164"/>
      <c r="AE85" s="164"/>
      <c r="AF85" s="164"/>
      <c r="AG85" s="164"/>
      <c r="AH85" s="164"/>
      <c r="AI85" s="164"/>
      <c r="AJ85" s="164"/>
      <c r="AK85" s="164"/>
      <c r="AL85" s="164"/>
      <c r="AM85" s="164"/>
      <c r="AN85" s="164"/>
      <c r="AO85" s="164"/>
      <c r="AP85" s="164"/>
      <c r="AQ85" s="164"/>
      <c r="AR85" s="164"/>
      <c r="AS85" s="164"/>
      <c r="AT85" s="164"/>
      <c r="AU85" s="164"/>
      <c r="AV85" s="164"/>
      <c r="AW85" s="164"/>
      <c r="AX85" s="164"/>
    </row>
    <row r="86" spans="2:50" x14ac:dyDescent="0.25">
      <c r="B86" s="280"/>
      <c r="C86" s="146" t="s">
        <v>121</v>
      </c>
      <c r="D86" s="138">
        <f>COUNTIFS($I$3:$I$60,"&lt;&gt;",$D$3:$D$60,"BNC")</f>
        <v>0</v>
      </c>
      <c r="E86" s="153"/>
      <c r="F86" s="138"/>
      <c r="G86" s="154"/>
      <c r="H86" s="155"/>
      <c r="I86" s="151"/>
      <c r="J86" s="138">
        <f>COUNTIFS($I$3:$I$60,"&lt;&gt;",$D$3:$D$60,"BNC")</f>
        <v>0</v>
      </c>
      <c r="K86" s="138"/>
      <c r="L86" s="138"/>
      <c r="M86" s="138"/>
      <c r="N86" s="138"/>
      <c r="O86" s="138"/>
      <c r="P86" s="138"/>
      <c r="Q86" s="152"/>
      <c r="R86" s="138"/>
      <c r="S86" s="148"/>
      <c r="T86" s="148">
        <f>+SUM(E86:P86)</f>
        <v>0</v>
      </c>
      <c r="U86" s="164"/>
      <c r="V86" s="164"/>
      <c r="W86" s="164"/>
      <c r="X86" s="164"/>
      <c r="Y86" s="164"/>
      <c r="Z86" s="164"/>
      <c r="AA86" s="164"/>
      <c r="AB86" s="164"/>
      <c r="AC86" s="164"/>
      <c r="AE86" s="164"/>
      <c r="AF86" s="164"/>
      <c r="AG86" s="164"/>
      <c r="AH86" s="164"/>
      <c r="AI86" s="164"/>
      <c r="AJ86" s="164"/>
      <c r="AK86" s="164"/>
      <c r="AL86" s="164"/>
      <c r="AM86" s="164"/>
      <c r="AN86" s="164"/>
      <c r="AO86" s="164"/>
      <c r="AP86" s="164"/>
      <c r="AQ86" s="164"/>
      <c r="AR86" s="164"/>
      <c r="AS86" s="164"/>
      <c r="AT86" s="164"/>
      <c r="AU86" s="164"/>
      <c r="AV86" s="164"/>
      <c r="AW86" s="164"/>
      <c r="AX86" s="164"/>
    </row>
    <row r="87" spans="2:50" x14ac:dyDescent="0.25">
      <c r="B87" s="280"/>
      <c r="C87" s="138" t="s">
        <v>122</v>
      </c>
      <c r="D87" s="138">
        <f>COUNTIFS($I$3:$I$60,"&lt;&gt;",$D$3:$D$60,"AGRI")</f>
        <v>0</v>
      </c>
      <c r="E87" s="152"/>
      <c r="F87" s="138"/>
      <c r="G87" s="148">
        <f>COUNTIFS($I$3:$I$60,"&lt;&gt;",$F$3:$F$60,"SAS",$D$3:$D$60,"AGRI")</f>
        <v>0</v>
      </c>
      <c r="H87" s="138">
        <f>COUNTIFS($F$3:$F$60,"INDIVIDUEL",$D$3:$D$60,"AGRI",$I3:$I$60,"&lt;&gt;")</f>
        <v>0</v>
      </c>
      <c r="I87" s="138"/>
      <c r="J87" s="138"/>
      <c r="K87" s="138"/>
      <c r="L87" s="138"/>
      <c r="M87" s="138">
        <f>COUNTIFS($I$3:$I$60,"&lt;&gt;",$F$5:$F$62,"EARL")</f>
        <v>0</v>
      </c>
      <c r="N87" s="138">
        <f>COUNTIFS($I$3:$I$60,"&lt;&gt;",$F$5:$F$62,"ETA")</f>
        <v>0</v>
      </c>
      <c r="O87" s="138">
        <f>COUNTIFS($I$3:$I$60,"&lt;&gt;",$F$5:$F$62,"SCEA")</f>
        <v>0</v>
      </c>
      <c r="P87" s="138"/>
      <c r="Q87" s="152"/>
      <c r="R87" s="138"/>
      <c r="S87" s="148"/>
      <c r="T87" s="148">
        <f>+SUM(E87:P87)</f>
        <v>0</v>
      </c>
      <c r="U87" s="164"/>
      <c r="V87" s="164"/>
      <c r="W87" s="164"/>
      <c r="X87" s="164"/>
      <c r="Y87" s="164"/>
      <c r="Z87" s="164"/>
      <c r="AA87" s="164"/>
      <c r="AB87" s="164"/>
      <c r="AC87" s="164"/>
      <c r="AE87" s="164"/>
      <c r="AF87" s="164"/>
      <c r="AG87" s="164"/>
      <c r="AH87" s="164"/>
      <c r="AI87" s="164"/>
      <c r="AJ87" s="164"/>
      <c r="AK87" s="164"/>
      <c r="AL87" s="164"/>
      <c r="AM87" s="164"/>
      <c r="AN87" s="164"/>
      <c r="AO87" s="164"/>
      <c r="AP87" s="164"/>
      <c r="AQ87" s="164"/>
      <c r="AR87" s="164"/>
      <c r="AS87" s="164"/>
      <c r="AT87" s="164"/>
      <c r="AU87" s="164"/>
      <c r="AV87" s="164"/>
      <c r="AW87" s="164"/>
      <c r="AX87" s="164"/>
    </row>
    <row r="88" spans="2:50" x14ac:dyDescent="0.25">
      <c r="B88" s="280" t="s">
        <v>123</v>
      </c>
      <c r="C88" s="280"/>
      <c r="D88" s="138">
        <f t="shared" ref="D88:R88" si="8">+SUM(D85:D87)</f>
        <v>2</v>
      </c>
      <c r="E88" s="152">
        <f t="shared" si="8"/>
        <v>1</v>
      </c>
      <c r="F88" s="152">
        <f t="shared" si="8"/>
        <v>1</v>
      </c>
      <c r="G88" s="152">
        <f t="shared" si="8"/>
        <v>0</v>
      </c>
      <c r="H88" s="152">
        <f t="shared" si="8"/>
        <v>0</v>
      </c>
      <c r="I88" s="152">
        <f t="shared" si="8"/>
        <v>0</v>
      </c>
      <c r="J88" s="152">
        <f t="shared" si="8"/>
        <v>0</v>
      </c>
      <c r="K88" s="152">
        <f t="shared" si="8"/>
        <v>0</v>
      </c>
      <c r="L88" s="152">
        <f t="shared" si="8"/>
        <v>0</v>
      </c>
      <c r="M88" s="152">
        <f t="shared" si="8"/>
        <v>0</v>
      </c>
      <c r="N88" s="152">
        <f t="shared" si="8"/>
        <v>0</v>
      </c>
      <c r="O88" s="152">
        <f t="shared" si="8"/>
        <v>0</v>
      </c>
      <c r="P88" s="152">
        <f t="shared" si="8"/>
        <v>0</v>
      </c>
      <c r="Q88" s="152">
        <f t="shared" si="8"/>
        <v>0</v>
      </c>
      <c r="R88" s="152">
        <f t="shared" si="8"/>
        <v>0</v>
      </c>
      <c r="S88" s="156"/>
      <c r="T88" s="148">
        <f>+SUM(T85:T87)</f>
        <v>2</v>
      </c>
      <c r="U88" s="164"/>
      <c r="V88" s="164"/>
      <c r="W88" s="164"/>
      <c r="X88" s="164"/>
      <c r="Y88" s="164"/>
      <c r="Z88" s="164"/>
      <c r="AA88" s="164"/>
      <c r="AB88" s="164"/>
      <c r="AC88" s="164"/>
      <c r="AE88" s="164"/>
      <c r="AF88" s="164"/>
      <c r="AG88" s="164"/>
      <c r="AH88" s="164"/>
      <c r="AI88" s="164"/>
      <c r="AJ88" s="164"/>
      <c r="AK88" s="164"/>
      <c r="AL88" s="164"/>
      <c r="AM88" s="164"/>
      <c r="AN88" s="164"/>
      <c r="AO88" s="164"/>
      <c r="AP88" s="164"/>
      <c r="AQ88" s="164"/>
      <c r="AR88" s="164"/>
      <c r="AS88" s="164"/>
      <c r="AT88" s="164"/>
      <c r="AU88" s="164"/>
      <c r="AV88" s="164"/>
      <c r="AW88" s="164"/>
      <c r="AX88" s="164"/>
    </row>
    <row r="89" spans="2:50" x14ac:dyDescent="0.25">
      <c r="B89" s="137"/>
      <c r="C89" s="137"/>
      <c r="D89" s="137"/>
      <c r="E89" s="137"/>
      <c r="F89" s="137"/>
      <c r="G89" s="137"/>
      <c r="H89" s="137"/>
      <c r="I89" s="137"/>
      <c r="J89" s="137"/>
      <c r="K89" s="137"/>
      <c r="L89" s="137"/>
      <c r="M89" s="137"/>
      <c r="N89" s="137"/>
      <c r="O89" s="137"/>
      <c r="P89" s="137"/>
      <c r="Q89" s="137"/>
      <c r="R89" s="137"/>
      <c r="S89" s="137"/>
      <c r="T89" s="137"/>
      <c r="U89" s="164"/>
      <c r="V89" s="164"/>
      <c r="W89" s="164"/>
      <c r="X89" s="164"/>
      <c r="Y89" s="164"/>
      <c r="Z89" s="164"/>
      <c r="AA89" s="164"/>
      <c r="AB89" s="164"/>
      <c r="AC89" s="164"/>
      <c r="AE89" s="164"/>
      <c r="AF89" s="164"/>
      <c r="AG89" s="164"/>
      <c r="AH89" s="164"/>
      <c r="AI89" s="164"/>
      <c r="AJ89" s="164"/>
      <c r="AK89" s="164"/>
      <c r="AL89" s="164"/>
      <c r="AM89" s="164"/>
      <c r="AN89" s="164"/>
      <c r="AO89" s="164"/>
      <c r="AP89" s="164"/>
      <c r="AQ89" s="164"/>
      <c r="AR89" s="164"/>
      <c r="AS89" s="164"/>
      <c r="AT89" s="164"/>
      <c r="AU89" s="164"/>
      <c r="AV89" s="164"/>
      <c r="AW89" s="164"/>
      <c r="AX89" s="164"/>
    </row>
    <row r="90" spans="2:50" x14ac:dyDescent="0.25">
      <c r="B90" s="281">
        <v>44196</v>
      </c>
      <c r="C90" s="138"/>
      <c r="D90" s="138"/>
      <c r="E90" s="140" t="str">
        <f t="shared" ref="E90:R90" si="9">E65</f>
        <v>SARL</v>
      </c>
      <c r="F90" s="138" t="str">
        <f t="shared" si="9"/>
        <v>EURL</v>
      </c>
      <c r="G90" s="141" t="str">
        <f t="shared" si="9"/>
        <v>SAS</v>
      </c>
      <c r="H90" s="142" t="str">
        <f t="shared" si="9"/>
        <v>INDIVIDUEL</v>
      </c>
      <c r="I90" s="142" t="str">
        <f t="shared" si="9"/>
        <v>ASSOCIATION</v>
      </c>
      <c r="J90" s="240" t="str">
        <f t="shared" si="9"/>
        <v>PROFESSION LIBERALE</v>
      </c>
      <c r="K90" s="240" t="str">
        <f t="shared" si="9"/>
        <v>SNC</v>
      </c>
      <c r="L90" s="240" t="str">
        <f t="shared" si="9"/>
        <v>SCI</v>
      </c>
      <c r="M90" s="240" t="str">
        <f t="shared" si="9"/>
        <v>EARL</v>
      </c>
      <c r="N90" s="240" t="str">
        <f t="shared" si="9"/>
        <v>ETA</v>
      </c>
      <c r="O90" s="240" t="str">
        <f t="shared" si="9"/>
        <v>SCEA</v>
      </c>
      <c r="P90" s="240" t="str">
        <f t="shared" si="9"/>
        <v>GROUPEMENT</v>
      </c>
      <c r="Q90" s="138" t="str">
        <f t="shared" si="9"/>
        <v>EIRL</v>
      </c>
      <c r="R90" s="138" t="str">
        <f t="shared" si="9"/>
        <v>AUTRES</v>
      </c>
      <c r="S90" s="138"/>
      <c r="T90" s="240" t="s">
        <v>86</v>
      </c>
      <c r="U90" s="164"/>
      <c r="V90" s="164"/>
      <c r="W90" s="164"/>
      <c r="X90" s="164"/>
      <c r="Y90" s="164"/>
      <c r="Z90" s="164"/>
      <c r="AA90" s="164"/>
      <c r="AB90" s="164"/>
      <c r="AC90" s="164"/>
      <c r="AE90" s="164"/>
      <c r="AF90" s="164"/>
      <c r="AG90" s="164"/>
      <c r="AH90" s="164"/>
      <c r="AI90" s="164"/>
      <c r="AJ90" s="164"/>
      <c r="AK90" s="164"/>
      <c r="AL90" s="164"/>
      <c r="AM90" s="164"/>
      <c r="AN90" s="164"/>
      <c r="AO90" s="164"/>
      <c r="AP90" s="164"/>
      <c r="AQ90" s="164"/>
      <c r="AR90" s="164"/>
      <c r="AS90" s="164"/>
      <c r="AT90" s="164"/>
      <c r="AU90" s="164"/>
      <c r="AV90" s="164"/>
      <c r="AW90" s="164"/>
      <c r="AX90" s="164"/>
    </row>
    <row r="91" spans="2:50" x14ac:dyDescent="0.25">
      <c r="B91" s="280"/>
      <c r="C91" s="146" t="s">
        <v>109</v>
      </c>
      <c r="D91" s="138">
        <f>COUNTIFS($I$3:$I$60,"&lt;&gt;",$E$3:$E$60,DATE(Paramètres!A4,Paramètres!D15,Paramètres!C15),$D$3:$D$60,"ACS")</f>
        <v>2</v>
      </c>
      <c r="E91" s="147">
        <f>COUNTIFS($I$3:$I$60,"&lt;&gt;",$E$3:$E$60,DATE(Paramètres!A4,Paramètres!D15,Paramètres!C15),$F$3:$F$60,"SARL")</f>
        <v>1</v>
      </c>
      <c r="F91" s="138">
        <f>+COUNTIFS($I$3:$I$60,"&lt;&gt;",$E$3:$E$60,DATE(Paramètres!A4,Paramètres!D15,Paramètres!C15),$F$3:$F$60,"EURL")</f>
        <v>1</v>
      </c>
      <c r="G91" s="148">
        <f>COUNTIFS($I$3:$I$60,"&lt;&gt;",$E$3:$E$60,DATE(Paramètres!A4,Paramètres!D15,Paramètres!C15),$F$3:$F$60,"SAS",$D$3:$D$60,"ACS")</f>
        <v>0</v>
      </c>
      <c r="H91" s="138">
        <f>COUNTIFS($I$3:$I$60,"&lt;&gt;",$E$3:$E$60,DATE(Paramètres!A4,Paramètres!D15,Paramètres!C15),$F$3:$F$60,"INDIVIDUEL",$D$3:$D$60,"ACS")</f>
        <v>0</v>
      </c>
      <c r="I91" s="138">
        <f>+COUNTIFS($I$3:$I$60,"&lt;&gt;",$E$3:$E$60,DATE(Paramètres!A4,Paramètres!D15,Paramètres!C15),$F$3:$F$60,"ASSOCIATION")</f>
        <v>0</v>
      </c>
      <c r="J91" s="138"/>
      <c r="K91" s="138">
        <f>COUNTIFS($I$3:$I$60,"&lt;&gt;",$E$3:$E$60,DATE(Paramètres!A4,Paramètres!D15,Paramètres!C15),$F$3:$F$60,"SNC")</f>
        <v>0</v>
      </c>
      <c r="L91" s="138">
        <f>COUNTIFS($I$3:$I$60,"&lt;&gt;",$E$3:$E$60,DATE(Paramètres!A4,Paramètres!D15,Paramètres!C15),$F$3:$F$60,"SCI")</f>
        <v>0</v>
      </c>
      <c r="M91" s="149"/>
      <c r="N91" s="150"/>
      <c r="O91" s="151"/>
      <c r="P91" s="138">
        <f>COUNTIFS($I$3:$I$60,"&lt;&gt;",$E$3:$E$60,DATE(Paramètres!A4,Paramètres!D15,Paramètres!C15),$F$3:$F$60,"GROUPEMENT")</f>
        <v>0</v>
      </c>
      <c r="Q91" s="138">
        <f>COUNTIFS($I$3:$I$60,"&lt;&gt;",$E$3:$E$60,DATE(Paramètres!A4,Paramètres!D15,Paramètres!C15),$F$3:$F$60,"EIRL")</f>
        <v>0</v>
      </c>
      <c r="R91" s="138">
        <f>COUNTIFS($I$3:$I$60,"&lt;&gt;",$E$3:$E$60,DATE(Paramètres!A4,Paramètres!D15,Paramètres!C15),$F$3:$F$60,"AUTRES")</f>
        <v>0</v>
      </c>
      <c r="S91" s="138"/>
      <c r="T91" s="138">
        <f>+SUM(E91:P91)</f>
        <v>2</v>
      </c>
      <c r="U91" s="164"/>
      <c r="V91" s="164"/>
      <c r="W91" s="164"/>
      <c r="X91" s="164"/>
      <c r="Y91" s="164"/>
      <c r="Z91" s="164"/>
      <c r="AA91" s="164"/>
      <c r="AB91" s="164"/>
      <c r="AC91" s="164"/>
      <c r="AE91" s="164"/>
      <c r="AF91" s="164"/>
      <c r="AG91" s="164"/>
      <c r="AH91" s="164"/>
      <c r="AI91" s="164"/>
      <c r="AJ91" s="164"/>
      <c r="AK91" s="164"/>
      <c r="AL91" s="164"/>
      <c r="AM91" s="164"/>
      <c r="AN91" s="164"/>
      <c r="AO91" s="164"/>
      <c r="AP91" s="164"/>
      <c r="AQ91" s="164"/>
      <c r="AR91" s="164"/>
      <c r="AS91" s="164"/>
      <c r="AT91" s="164"/>
      <c r="AU91" s="164"/>
      <c r="AV91" s="164"/>
      <c r="AW91" s="164"/>
      <c r="AX91" s="164"/>
    </row>
    <row r="92" spans="2:50" x14ac:dyDescent="0.25">
      <c r="B92" s="280"/>
      <c r="C92" s="146" t="s">
        <v>121</v>
      </c>
      <c r="D92" s="138">
        <f>COUNTIFS($I$3:$I$60,"&lt;&gt;",$E$3:$E$60,DATE(Paramètres!A4,Paramètres!D15,Paramètres!C15),$D$3:$D$60,"BNC")</f>
        <v>0</v>
      </c>
      <c r="E92" s="153"/>
      <c r="F92" s="138"/>
      <c r="G92" s="154"/>
      <c r="H92" s="155"/>
      <c r="I92" s="151"/>
      <c r="J92" s="138">
        <f>COUNTIFS($I$3:$I$60,"&lt;&gt;",$E$3:$E$60,DATE(Paramètres!A4,Paramètres!D15,Paramètres!C15),$D$3:$D$60,"BNC")</f>
        <v>0</v>
      </c>
      <c r="K92" s="149"/>
      <c r="L92" s="150"/>
      <c r="M92" s="150"/>
      <c r="N92" s="150"/>
      <c r="O92" s="150"/>
      <c r="P92" s="151"/>
      <c r="Q92" s="138"/>
      <c r="R92" s="138"/>
      <c r="S92" s="138"/>
      <c r="T92" s="138">
        <f>+SUM(E92:P92)</f>
        <v>0</v>
      </c>
      <c r="U92" s="164"/>
      <c r="V92" s="164"/>
      <c r="W92" s="164"/>
      <c r="X92" s="164"/>
      <c r="Y92" s="164"/>
      <c r="Z92" s="164"/>
      <c r="AA92" s="164"/>
      <c r="AB92" s="164"/>
      <c r="AC92" s="164"/>
      <c r="AE92" s="164"/>
      <c r="AF92" s="164"/>
      <c r="AG92" s="164"/>
      <c r="AH92" s="164"/>
      <c r="AI92" s="164"/>
      <c r="AJ92" s="164"/>
      <c r="AK92" s="164"/>
      <c r="AL92" s="164"/>
      <c r="AM92" s="164"/>
      <c r="AN92" s="164"/>
      <c r="AO92" s="164"/>
      <c r="AP92" s="164"/>
      <c r="AQ92" s="164"/>
      <c r="AR92" s="164"/>
      <c r="AS92" s="164"/>
      <c r="AT92" s="164"/>
      <c r="AU92" s="164"/>
      <c r="AV92" s="164"/>
      <c r="AW92" s="164"/>
      <c r="AX92" s="164"/>
    </row>
    <row r="93" spans="2:50" x14ac:dyDescent="0.25">
      <c r="B93" s="280"/>
      <c r="C93" s="138" t="s">
        <v>122</v>
      </c>
      <c r="D93" s="138">
        <f>COUNTIFS($I$3:$I$60,"&lt;&gt;",$E$3:$E$60,DATE(Paramètres!A4,Paramètres!D15,Paramètres!C15),$D$3:$D$60,"AGRI")</f>
        <v>0</v>
      </c>
      <c r="E93" s="153"/>
      <c r="F93" s="138"/>
      <c r="G93" s="154">
        <f>COUNTIFS($I$3:$I$60,"&lt;&gt;",$E$3:$E$60,DATE(Paramètres!A4,Paramètres!D15,Paramètres!C15),$F$3:$F$60,"SAS",$D$3:$D$60,"AGRI")</f>
        <v>0</v>
      </c>
      <c r="H93" s="138">
        <f>COUNTIFS($I$3:$I$60,"&lt;&gt;",$E$3:$E$60,DATE(Paramètres!A4,Paramètres!D15,Paramètres!C15),$F$3:$F$60,"INDIVIDUEL",$D$3:$D$60,"AGRI")</f>
        <v>0</v>
      </c>
      <c r="I93" s="152"/>
      <c r="J93" s="149"/>
      <c r="K93" s="150"/>
      <c r="L93" s="151"/>
      <c r="M93" s="138">
        <f>COUNTIFS($I$3:$I$60,"&lt;&gt;",$AZ$3:$AZ$60,"X",$E$3:$E$60,DATE(Paramètres!A4,Paramètres!D15,Paramètres!C15),$F$3:$F$60,"EARL")</f>
        <v>0</v>
      </c>
      <c r="N93" s="138">
        <f>COUNTIFS($I$3:$I$60,"&lt;&gt;",$E$3:$E$60,DATE(Paramètres!A4,Paramètres!D15,Paramètres!C15),$F$3:$F$60,"ETA")</f>
        <v>0</v>
      </c>
      <c r="O93" s="138">
        <f>COUNTIFS($I$3:$I$60,"&lt;&gt;",$E$3:$E$60,DATE(Paramètres!A4,Paramètres!D15,Paramètres!C15),$F$3:$F$60,"SCEA")</f>
        <v>0</v>
      </c>
      <c r="P93" s="138"/>
      <c r="Q93" s="138"/>
      <c r="R93" s="138"/>
      <c r="S93" s="138"/>
      <c r="T93" s="138">
        <f>+SUM(E93:P93)</f>
        <v>0</v>
      </c>
      <c r="U93" s="164"/>
      <c r="V93" s="164"/>
      <c r="W93" s="164"/>
      <c r="X93" s="164"/>
      <c r="Y93" s="164"/>
      <c r="Z93" s="164"/>
      <c r="AA93" s="164"/>
      <c r="AB93" s="164"/>
      <c r="AC93" s="164"/>
      <c r="AE93" s="164"/>
      <c r="AF93" s="164"/>
      <c r="AG93" s="164"/>
      <c r="AH93" s="164"/>
      <c r="AI93" s="164"/>
      <c r="AJ93" s="164"/>
      <c r="AK93" s="164"/>
      <c r="AL93" s="164"/>
      <c r="AM93" s="164"/>
      <c r="AN93" s="164"/>
      <c r="AO93" s="164"/>
      <c r="AP93" s="164"/>
      <c r="AQ93" s="164"/>
      <c r="AR93" s="164"/>
      <c r="AS93" s="164"/>
      <c r="AT93" s="164"/>
      <c r="AU93" s="164"/>
      <c r="AV93" s="164"/>
      <c r="AW93" s="164"/>
      <c r="AX93" s="164"/>
    </row>
    <row r="94" spans="2:50" x14ac:dyDescent="0.25">
      <c r="B94" s="280" t="s">
        <v>123</v>
      </c>
      <c r="C94" s="280"/>
      <c r="D94" s="138">
        <f t="shared" ref="D94:R94" si="10">+SUM(D91:D93)</f>
        <v>2</v>
      </c>
      <c r="E94" s="152">
        <f t="shared" si="10"/>
        <v>1</v>
      </c>
      <c r="F94" s="152">
        <f t="shared" si="10"/>
        <v>1</v>
      </c>
      <c r="G94" s="152">
        <f t="shared" si="10"/>
        <v>0</v>
      </c>
      <c r="H94" s="152">
        <f t="shared" si="10"/>
        <v>0</v>
      </c>
      <c r="I94" s="152">
        <f t="shared" si="10"/>
        <v>0</v>
      </c>
      <c r="J94" s="152">
        <f t="shared" si="10"/>
        <v>0</v>
      </c>
      <c r="K94" s="152">
        <f t="shared" si="10"/>
        <v>0</v>
      </c>
      <c r="L94" s="152">
        <f t="shared" si="10"/>
        <v>0</v>
      </c>
      <c r="M94" s="152">
        <f t="shared" si="10"/>
        <v>0</v>
      </c>
      <c r="N94" s="152">
        <f t="shared" si="10"/>
        <v>0</v>
      </c>
      <c r="O94" s="152">
        <f t="shared" si="10"/>
        <v>0</v>
      </c>
      <c r="P94" s="152">
        <f t="shared" si="10"/>
        <v>0</v>
      </c>
      <c r="Q94" s="152">
        <f t="shared" si="10"/>
        <v>0</v>
      </c>
      <c r="R94" s="152">
        <f t="shared" si="10"/>
        <v>0</v>
      </c>
      <c r="S94" s="152"/>
      <c r="T94" s="138">
        <f>+SUM(T91:T93)</f>
        <v>2</v>
      </c>
      <c r="U94" s="164"/>
      <c r="V94" s="164"/>
      <c r="W94" s="164"/>
      <c r="X94" s="164"/>
      <c r="Y94" s="164"/>
      <c r="Z94" s="164"/>
      <c r="AA94" s="164"/>
      <c r="AB94" s="164"/>
      <c r="AC94" s="164"/>
      <c r="AE94" s="164"/>
      <c r="AF94" s="164"/>
      <c r="AG94" s="164"/>
      <c r="AH94" s="164"/>
      <c r="AI94" s="164"/>
      <c r="AJ94" s="164"/>
      <c r="AK94" s="164"/>
      <c r="AL94" s="164"/>
      <c r="AM94" s="164"/>
      <c r="AN94" s="164"/>
      <c r="AO94" s="164"/>
      <c r="AP94" s="164"/>
      <c r="AQ94" s="164"/>
      <c r="AR94" s="164"/>
      <c r="AS94" s="164"/>
      <c r="AT94" s="164"/>
      <c r="AU94" s="164"/>
      <c r="AV94" s="164"/>
      <c r="AW94" s="164"/>
      <c r="AX94" s="164"/>
    </row>
    <row r="95" spans="2:50" x14ac:dyDescent="0.25">
      <c r="B95" s="137"/>
      <c r="C95" s="137"/>
      <c r="D95" s="137"/>
      <c r="E95" s="137"/>
      <c r="F95" s="137"/>
      <c r="G95" s="137"/>
      <c r="H95" s="137"/>
      <c r="I95" s="137"/>
      <c r="J95" s="137"/>
      <c r="K95" s="137"/>
      <c r="L95" s="137"/>
      <c r="M95" s="137"/>
      <c r="N95" s="137"/>
      <c r="O95" s="137"/>
      <c r="P95" s="137"/>
      <c r="Q95" s="137"/>
      <c r="R95" s="137"/>
      <c r="S95" s="137"/>
      <c r="T95" s="137"/>
      <c r="U95" s="164"/>
      <c r="V95" s="164"/>
      <c r="W95" s="164"/>
      <c r="X95" s="164"/>
      <c r="Y95" s="164"/>
      <c r="Z95" s="164"/>
      <c r="AA95" s="164"/>
      <c r="AB95" s="164"/>
      <c r="AC95" s="164"/>
      <c r="AE95" s="164"/>
      <c r="AF95" s="164"/>
      <c r="AG95" s="164"/>
      <c r="AH95" s="164"/>
      <c r="AI95" s="164"/>
      <c r="AJ95" s="164"/>
      <c r="AK95" s="164"/>
      <c r="AL95" s="164"/>
      <c r="AM95" s="164"/>
      <c r="AN95" s="164"/>
      <c r="AO95" s="164"/>
      <c r="AP95" s="164"/>
      <c r="AQ95" s="164"/>
      <c r="AR95" s="164"/>
      <c r="AS95" s="164"/>
      <c r="AT95" s="164"/>
      <c r="AU95" s="164"/>
      <c r="AV95" s="164"/>
      <c r="AW95" s="164"/>
      <c r="AX95" s="164"/>
    </row>
    <row r="96" spans="2:50" x14ac:dyDescent="0.25">
      <c r="B96" s="280" t="s">
        <v>40</v>
      </c>
      <c r="C96" s="138"/>
      <c r="D96" s="138"/>
      <c r="E96" s="140" t="str">
        <f t="shared" ref="E96:R96" si="11">E65</f>
        <v>SARL</v>
      </c>
      <c r="F96" s="138" t="str">
        <f t="shared" si="11"/>
        <v>EURL</v>
      </c>
      <c r="G96" s="141" t="str">
        <f t="shared" si="11"/>
        <v>SAS</v>
      </c>
      <c r="H96" s="142" t="str">
        <f t="shared" si="11"/>
        <v>INDIVIDUEL</v>
      </c>
      <c r="I96" s="142" t="str">
        <f t="shared" si="11"/>
        <v>ASSOCIATION</v>
      </c>
      <c r="J96" s="240" t="str">
        <f t="shared" si="11"/>
        <v>PROFESSION LIBERALE</v>
      </c>
      <c r="K96" s="240" t="str">
        <f t="shared" si="11"/>
        <v>SNC</v>
      </c>
      <c r="L96" s="240" t="str">
        <f t="shared" si="11"/>
        <v>SCI</v>
      </c>
      <c r="M96" s="240" t="str">
        <f t="shared" si="11"/>
        <v>EARL</v>
      </c>
      <c r="N96" s="240" t="str">
        <f t="shared" si="11"/>
        <v>ETA</v>
      </c>
      <c r="O96" s="240" t="str">
        <f t="shared" si="11"/>
        <v>SCEA</v>
      </c>
      <c r="P96" s="240" t="str">
        <f t="shared" si="11"/>
        <v>GROUPEMENT</v>
      </c>
      <c r="Q96" s="138" t="str">
        <f t="shared" si="11"/>
        <v>EIRL</v>
      </c>
      <c r="R96" s="138" t="str">
        <f t="shared" si="11"/>
        <v>AUTRES</v>
      </c>
      <c r="S96" s="138"/>
      <c r="T96" s="240" t="s">
        <v>86</v>
      </c>
      <c r="U96" s="164"/>
      <c r="V96" s="164"/>
      <c r="W96" s="164"/>
      <c r="X96" s="164"/>
      <c r="Y96" s="164"/>
      <c r="Z96" s="164"/>
      <c r="AA96" s="164"/>
      <c r="AB96" s="164"/>
      <c r="AC96" s="164"/>
      <c r="AE96" s="164"/>
      <c r="AF96" s="164"/>
      <c r="AG96" s="164"/>
      <c r="AH96" s="164"/>
      <c r="AI96" s="164"/>
      <c r="AJ96" s="164"/>
      <c r="AK96" s="164"/>
      <c r="AL96" s="164"/>
      <c r="AM96" s="164"/>
      <c r="AN96" s="164"/>
      <c r="AO96" s="164"/>
      <c r="AP96" s="164"/>
      <c r="AQ96" s="164"/>
      <c r="AR96" s="164"/>
      <c r="AS96" s="164"/>
      <c r="AT96" s="164"/>
      <c r="AU96" s="164"/>
      <c r="AV96" s="164"/>
      <c r="AW96" s="164"/>
      <c r="AX96" s="164"/>
    </row>
    <row r="97" spans="2:50" x14ac:dyDescent="0.25">
      <c r="B97" s="280"/>
      <c r="C97" s="146" t="s">
        <v>109</v>
      </c>
      <c r="D97" s="138">
        <f>+D85-D91</f>
        <v>0</v>
      </c>
      <c r="E97" s="152">
        <f>+E85-E91</f>
        <v>0</v>
      </c>
      <c r="F97" s="152">
        <f t="shared" ref="F97:R97" si="12">+F85-F91</f>
        <v>0</v>
      </c>
      <c r="G97" s="152">
        <f t="shared" si="12"/>
        <v>0</v>
      </c>
      <c r="H97" s="152">
        <f t="shared" si="12"/>
        <v>0</v>
      </c>
      <c r="I97" s="152">
        <f t="shared" si="12"/>
        <v>0</v>
      </c>
      <c r="J97" s="152">
        <f t="shared" si="12"/>
        <v>0</v>
      </c>
      <c r="K97" s="152">
        <f t="shared" si="12"/>
        <v>0</v>
      </c>
      <c r="L97" s="152">
        <f t="shared" si="12"/>
        <v>0</v>
      </c>
      <c r="M97" s="152">
        <f t="shared" si="12"/>
        <v>0</v>
      </c>
      <c r="N97" s="152">
        <f t="shared" si="12"/>
        <v>0</v>
      </c>
      <c r="O97" s="152">
        <f t="shared" si="12"/>
        <v>0</v>
      </c>
      <c r="P97" s="152">
        <f t="shared" si="12"/>
        <v>0</v>
      </c>
      <c r="Q97" s="152">
        <f t="shared" si="12"/>
        <v>0</v>
      </c>
      <c r="R97" s="152">
        <f t="shared" si="12"/>
        <v>0</v>
      </c>
      <c r="S97" s="152"/>
      <c r="T97" s="138">
        <f>+SUM(E97:P97)</f>
        <v>0</v>
      </c>
      <c r="U97" s="164"/>
      <c r="V97" s="164"/>
      <c r="W97" s="164"/>
      <c r="X97" s="164"/>
      <c r="Y97" s="164"/>
      <c r="Z97" s="164"/>
      <c r="AA97" s="164"/>
      <c r="AB97" s="164"/>
      <c r="AC97" s="164"/>
      <c r="AE97" s="164"/>
      <c r="AF97" s="164"/>
      <c r="AG97" s="164"/>
      <c r="AH97" s="164"/>
      <c r="AI97" s="164"/>
      <c r="AJ97" s="164"/>
      <c r="AK97" s="164"/>
      <c r="AL97" s="164"/>
      <c r="AM97" s="164"/>
      <c r="AN97" s="164"/>
      <c r="AO97" s="164"/>
      <c r="AP97" s="164"/>
      <c r="AQ97" s="164"/>
      <c r="AR97" s="164"/>
      <c r="AS97" s="164"/>
      <c r="AT97" s="164"/>
      <c r="AU97" s="164"/>
      <c r="AV97" s="164"/>
      <c r="AW97" s="164"/>
      <c r="AX97" s="164"/>
    </row>
    <row r="98" spans="2:50" x14ac:dyDescent="0.25">
      <c r="B98" s="280"/>
      <c r="C98" s="146" t="s">
        <v>121</v>
      </c>
      <c r="D98" s="138">
        <f>+D86-D92</f>
        <v>0</v>
      </c>
      <c r="E98" s="138">
        <f t="shared" ref="E98:R100" si="13">+E86-E92</f>
        <v>0</v>
      </c>
      <c r="F98" s="138">
        <f t="shared" si="13"/>
        <v>0</v>
      </c>
      <c r="G98" s="138">
        <f t="shared" si="13"/>
        <v>0</v>
      </c>
      <c r="H98" s="138">
        <f t="shared" si="13"/>
        <v>0</v>
      </c>
      <c r="I98" s="138">
        <f t="shared" si="13"/>
        <v>0</v>
      </c>
      <c r="J98" s="138">
        <f t="shared" si="13"/>
        <v>0</v>
      </c>
      <c r="K98" s="138">
        <f t="shared" si="13"/>
        <v>0</v>
      </c>
      <c r="L98" s="138">
        <f t="shared" si="13"/>
        <v>0</v>
      </c>
      <c r="M98" s="138">
        <f t="shared" si="13"/>
        <v>0</v>
      </c>
      <c r="N98" s="138">
        <f t="shared" si="13"/>
        <v>0</v>
      </c>
      <c r="O98" s="138">
        <f t="shared" si="13"/>
        <v>0</v>
      </c>
      <c r="P98" s="138">
        <f t="shared" si="13"/>
        <v>0</v>
      </c>
      <c r="Q98" s="138">
        <f t="shared" si="13"/>
        <v>0</v>
      </c>
      <c r="R98" s="138">
        <f t="shared" si="13"/>
        <v>0</v>
      </c>
      <c r="S98" s="138"/>
      <c r="T98" s="138">
        <f>+SUM(E98:P98)</f>
        <v>0</v>
      </c>
      <c r="U98" s="164"/>
      <c r="V98" s="164"/>
      <c r="W98" s="164"/>
      <c r="X98" s="164"/>
      <c r="Y98" s="164"/>
      <c r="Z98" s="164"/>
      <c r="AA98" s="164"/>
      <c r="AB98" s="164"/>
      <c r="AC98" s="164"/>
      <c r="AE98" s="164"/>
      <c r="AF98" s="164"/>
      <c r="AG98" s="164"/>
      <c r="AH98" s="164"/>
      <c r="AI98" s="164"/>
      <c r="AJ98" s="164"/>
      <c r="AK98" s="164"/>
      <c r="AL98" s="164"/>
      <c r="AM98" s="164"/>
      <c r="AN98" s="164"/>
      <c r="AO98" s="164"/>
      <c r="AP98" s="164"/>
      <c r="AQ98" s="164"/>
      <c r="AR98" s="164"/>
      <c r="AS98" s="164"/>
      <c r="AT98" s="164"/>
      <c r="AU98" s="164"/>
      <c r="AV98" s="164"/>
      <c r="AW98" s="164"/>
      <c r="AX98" s="164"/>
    </row>
    <row r="99" spans="2:50" x14ac:dyDescent="0.25">
      <c r="B99" s="280"/>
      <c r="C99" s="138" t="s">
        <v>122</v>
      </c>
      <c r="D99" s="138">
        <f>+D87-D93</f>
        <v>0</v>
      </c>
      <c r="E99" s="138">
        <f t="shared" si="13"/>
        <v>0</v>
      </c>
      <c r="F99" s="138">
        <f t="shared" si="13"/>
        <v>0</v>
      </c>
      <c r="G99" s="138">
        <f t="shared" si="13"/>
        <v>0</v>
      </c>
      <c r="H99" s="138">
        <f t="shared" si="13"/>
        <v>0</v>
      </c>
      <c r="I99" s="138">
        <f t="shared" si="13"/>
        <v>0</v>
      </c>
      <c r="J99" s="138">
        <f t="shared" si="13"/>
        <v>0</v>
      </c>
      <c r="K99" s="138">
        <f t="shared" si="13"/>
        <v>0</v>
      </c>
      <c r="L99" s="138">
        <f t="shared" si="13"/>
        <v>0</v>
      </c>
      <c r="M99" s="138">
        <f t="shared" si="13"/>
        <v>0</v>
      </c>
      <c r="N99" s="138">
        <f t="shared" si="13"/>
        <v>0</v>
      </c>
      <c r="O99" s="138">
        <f t="shared" si="13"/>
        <v>0</v>
      </c>
      <c r="P99" s="138">
        <f t="shared" si="13"/>
        <v>0</v>
      </c>
      <c r="Q99" s="138">
        <f t="shared" si="13"/>
        <v>0</v>
      </c>
      <c r="R99" s="138">
        <f t="shared" si="13"/>
        <v>0</v>
      </c>
      <c r="S99" s="138"/>
      <c r="T99" s="138">
        <f>+SUM(E99:P99)</f>
        <v>0</v>
      </c>
      <c r="U99" s="164"/>
      <c r="V99" s="164"/>
      <c r="W99" s="164"/>
      <c r="X99" s="164"/>
      <c r="Y99" s="164"/>
      <c r="Z99" s="164"/>
      <c r="AA99" s="164"/>
      <c r="AB99" s="164"/>
      <c r="AC99" s="164"/>
      <c r="AE99" s="164"/>
      <c r="AF99" s="164"/>
      <c r="AG99" s="164"/>
      <c r="AH99" s="164"/>
      <c r="AI99" s="164"/>
      <c r="AJ99" s="164"/>
      <c r="AK99" s="164"/>
      <c r="AL99" s="164"/>
      <c r="AM99" s="164"/>
      <c r="AN99" s="164"/>
      <c r="AO99" s="164"/>
      <c r="AP99" s="164"/>
      <c r="AQ99" s="164"/>
      <c r="AR99" s="164"/>
      <c r="AS99" s="164"/>
      <c r="AT99" s="164"/>
      <c r="AU99" s="164"/>
      <c r="AV99" s="164"/>
      <c r="AW99" s="164"/>
      <c r="AX99" s="164"/>
    </row>
    <row r="100" spans="2:50" x14ac:dyDescent="0.25">
      <c r="B100" s="280" t="s">
        <v>123</v>
      </c>
      <c r="C100" s="280"/>
      <c r="D100" s="138">
        <f>+D88-D94</f>
        <v>0</v>
      </c>
      <c r="E100" s="138">
        <f t="shared" si="13"/>
        <v>0</v>
      </c>
      <c r="F100" s="138">
        <f t="shared" si="13"/>
        <v>0</v>
      </c>
      <c r="G100" s="138">
        <f t="shared" si="13"/>
        <v>0</v>
      </c>
      <c r="H100" s="138">
        <f t="shared" si="13"/>
        <v>0</v>
      </c>
      <c r="I100" s="138">
        <f t="shared" si="13"/>
        <v>0</v>
      </c>
      <c r="J100" s="138">
        <f t="shared" si="13"/>
        <v>0</v>
      </c>
      <c r="K100" s="138">
        <f t="shared" si="13"/>
        <v>0</v>
      </c>
      <c r="L100" s="138">
        <f t="shared" si="13"/>
        <v>0</v>
      </c>
      <c r="M100" s="138">
        <f t="shared" si="13"/>
        <v>0</v>
      </c>
      <c r="N100" s="138">
        <f t="shared" si="13"/>
        <v>0</v>
      </c>
      <c r="O100" s="138">
        <f t="shared" si="13"/>
        <v>0</v>
      </c>
      <c r="P100" s="138">
        <f t="shared" si="13"/>
        <v>0</v>
      </c>
      <c r="Q100" s="138">
        <f t="shared" si="13"/>
        <v>0</v>
      </c>
      <c r="R100" s="138">
        <f t="shared" si="13"/>
        <v>0</v>
      </c>
      <c r="S100" s="138"/>
      <c r="T100" s="138">
        <f>+SUM(T97:T99)</f>
        <v>0</v>
      </c>
      <c r="U100" s="164"/>
      <c r="V100" s="164"/>
      <c r="W100" s="164"/>
      <c r="X100" s="164"/>
      <c r="Y100" s="164"/>
      <c r="Z100" s="164"/>
      <c r="AA100" s="164"/>
      <c r="AB100" s="164"/>
      <c r="AC100" s="164"/>
      <c r="AE100" s="164"/>
      <c r="AF100" s="164"/>
      <c r="AG100" s="164"/>
      <c r="AH100" s="164"/>
      <c r="AI100" s="164"/>
      <c r="AJ100" s="164"/>
      <c r="AK100" s="164"/>
      <c r="AL100" s="164"/>
      <c r="AM100" s="164"/>
      <c r="AN100" s="164"/>
      <c r="AO100" s="164"/>
      <c r="AP100" s="164"/>
      <c r="AQ100" s="164"/>
      <c r="AR100" s="164"/>
      <c r="AS100" s="164"/>
      <c r="AT100" s="164"/>
      <c r="AU100" s="164"/>
      <c r="AV100" s="164"/>
      <c r="AW100" s="164"/>
      <c r="AX100" s="164"/>
    </row>
    <row r="101" spans="2:50" x14ac:dyDescent="0.25">
      <c r="U101" s="164"/>
      <c r="V101" s="164"/>
      <c r="W101" s="164"/>
      <c r="X101" s="164"/>
      <c r="Y101" s="164"/>
      <c r="Z101" s="164"/>
      <c r="AA101" s="164"/>
      <c r="AB101" s="164"/>
      <c r="AC101" s="164"/>
      <c r="AE101" s="164"/>
      <c r="AF101" s="164"/>
      <c r="AG101" s="164"/>
      <c r="AH101" s="164"/>
      <c r="AI101" s="164"/>
      <c r="AJ101" s="164"/>
      <c r="AK101" s="164"/>
      <c r="AL101" s="164"/>
      <c r="AM101" s="164"/>
      <c r="AN101" s="164"/>
      <c r="AO101" s="164"/>
      <c r="AP101" s="164"/>
      <c r="AQ101" s="164"/>
      <c r="AR101" s="164"/>
      <c r="AS101" s="164"/>
      <c r="AT101" s="164"/>
      <c r="AU101" s="164"/>
      <c r="AV101" s="164"/>
      <c r="AW101" s="164"/>
      <c r="AX101" s="164"/>
    </row>
    <row r="102" spans="2:50" x14ac:dyDescent="0.25">
      <c r="B102" s="89" t="s">
        <v>133</v>
      </c>
      <c r="U102" s="164"/>
      <c r="V102" s="164"/>
      <c r="W102" s="164"/>
      <c r="X102" s="164"/>
      <c r="Y102" s="164"/>
      <c r="Z102" s="164"/>
      <c r="AA102" s="164"/>
      <c r="AB102" s="164"/>
      <c r="AC102" s="164"/>
      <c r="AE102" s="164"/>
      <c r="AF102" s="164"/>
      <c r="AG102" s="164"/>
      <c r="AH102" s="164"/>
      <c r="AI102" s="164"/>
      <c r="AJ102" s="164"/>
      <c r="AK102" s="164"/>
      <c r="AL102" s="164"/>
      <c r="AM102" s="164"/>
      <c r="AN102" s="164"/>
      <c r="AO102" s="164"/>
      <c r="AP102" s="164"/>
      <c r="AQ102" s="164"/>
      <c r="AR102" s="164"/>
      <c r="AS102" s="164"/>
      <c r="AT102" s="164"/>
      <c r="AU102" s="164"/>
      <c r="AV102" s="164"/>
      <c r="AW102" s="164"/>
      <c r="AX102" s="164"/>
    </row>
    <row r="103" spans="2:50" x14ac:dyDescent="0.25">
      <c r="U103" s="164"/>
      <c r="V103" s="164"/>
      <c r="W103" s="164"/>
      <c r="X103" s="164"/>
      <c r="Y103" s="164"/>
      <c r="Z103" s="164"/>
      <c r="AA103" s="164"/>
      <c r="AB103" s="164"/>
      <c r="AC103" s="164"/>
      <c r="AE103" s="164"/>
      <c r="AF103" s="164"/>
      <c r="AG103" s="164"/>
      <c r="AH103" s="164"/>
      <c r="AI103" s="164"/>
      <c r="AJ103" s="164"/>
      <c r="AK103" s="164"/>
      <c r="AL103" s="164"/>
      <c r="AM103" s="164"/>
      <c r="AN103" s="164"/>
      <c r="AO103" s="164"/>
      <c r="AP103" s="164"/>
      <c r="AQ103" s="164"/>
      <c r="AR103" s="164"/>
      <c r="AS103" s="164"/>
      <c r="AT103" s="164"/>
      <c r="AU103" s="164"/>
      <c r="AV103" s="164"/>
      <c r="AW103" s="164"/>
      <c r="AX103" s="164"/>
    </row>
    <row r="104" spans="2:50" x14ac:dyDescent="0.25">
      <c r="B104" s="274" t="s">
        <v>120</v>
      </c>
      <c r="C104" s="122"/>
      <c r="D104" s="122"/>
      <c r="E104" s="157" t="str">
        <f t="shared" ref="E104:R104" si="14">E65</f>
        <v>SARL</v>
      </c>
      <c r="F104" s="121" t="str">
        <f t="shared" si="14"/>
        <v>EURL</v>
      </c>
      <c r="G104" s="158" t="str">
        <f t="shared" si="14"/>
        <v>SAS</v>
      </c>
      <c r="H104" s="158" t="str">
        <f t="shared" si="14"/>
        <v>INDIVIDUEL</v>
      </c>
      <c r="I104" s="158" t="str">
        <f t="shared" si="14"/>
        <v>ASSOCIATION</v>
      </c>
      <c r="J104" s="157" t="str">
        <f t="shared" si="14"/>
        <v>PROFESSION LIBERALE</v>
      </c>
      <c r="K104" s="157" t="str">
        <f t="shared" si="14"/>
        <v>SNC</v>
      </c>
      <c r="L104" s="157" t="str">
        <f t="shared" si="14"/>
        <v>SCI</v>
      </c>
      <c r="M104" s="157" t="str">
        <f t="shared" si="14"/>
        <v>EARL</v>
      </c>
      <c r="N104" s="157" t="str">
        <f t="shared" si="14"/>
        <v>ETA</v>
      </c>
      <c r="O104" s="157" t="str">
        <f t="shared" si="14"/>
        <v>SCEA</v>
      </c>
      <c r="P104" s="157" t="str">
        <f t="shared" si="14"/>
        <v>GROUPEMENT</v>
      </c>
      <c r="Q104" s="121" t="str">
        <f t="shared" si="14"/>
        <v>EIRL</v>
      </c>
      <c r="R104" s="121" t="str">
        <f t="shared" si="14"/>
        <v>AUTRES</v>
      </c>
      <c r="S104" s="121"/>
      <c r="T104" s="157" t="s">
        <v>86</v>
      </c>
      <c r="U104" s="164"/>
      <c r="V104" s="164"/>
      <c r="W104" s="164"/>
      <c r="X104" s="164"/>
      <c r="Y104" s="164"/>
      <c r="Z104" s="164"/>
      <c r="AA104" s="164"/>
      <c r="AB104" s="164"/>
      <c r="AC104" s="164"/>
      <c r="AE104" s="164"/>
      <c r="AF104" s="164"/>
      <c r="AG104" s="164"/>
      <c r="AH104" s="164"/>
      <c r="AI104" s="164"/>
      <c r="AJ104" s="164"/>
      <c r="AK104" s="164"/>
      <c r="AL104" s="164"/>
      <c r="AM104" s="164"/>
      <c r="AN104" s="164"/>
      <c r="AO104" s="164"/>
      <c r="AP104" s="164"/>
      <c r="AQ104" s="164"/>
      <c r="AR104" s="164"/>
      <c r="AS104" s="164"/>
      <c r="AT104" s="164"/>
      <c r="AU104" s="164"/>
      <c r="AV104" s="164"/>
      <c r="AW104" s="164"/>
      <c r="AX104" s="164"/>
    </row>
    <row r="105" spans="2:50" x14ac:dyDescent="0.25">
      <c r="B105" s="275"/>
      <c r="C105" s="120" t="s">
        <v>109</v>
      </c>
      <c r="D105" s="122">
        <f>+D66-D85</f>
        <v>1</v>
      </c>
      <c r="E105" s="122">
        <f t="shared" ref="E105:R107" si="15">+E66-E85</f>
        <v>0</v>
      </c>
      <c r="F105" s="122">
        <f t="shared" si="15"/>
        <v>0</v>
      </c>
      <c r="G105" s="122">
        <f t="shared" si="15"/>
        <v>0</v>
      </c>
      <c r="H105" s="122">
        <f t="shared" si="15"/>
        <v>0</v>
      </c>
      <c r="I105" s="122">
        <f t="shared" si="15"/>
        <v>0</v>
      </c>
      <c r="J105" s="122">
        <f t="shared" si="15"/>
        <v>0</v>
      </c>
      <c r="K105" s="122">
        <f t="shared" si="15"/>
        <v>0</v>
      </c>
      <c r="L105" s="122">
        <f t="shared" si="15"/>
        <v>0</v>
      </c>
      <c r="M105" s="122">
        <f t="shared" si="15"/>
        <v>0</v>
      </c>
      <c r="N105" s="122">
        <f t="shared" si="15"/>
        <v>0</v>
      </c>
      <c r="O105" s="122">
        <f t="shared" si="15"/>
        <v>0</v>
      </c>
      <c r="P105" s="122">
        <f t="shared" si="15"/>
        <v>0</v>
      </c>
      <c r="Q105" s="122">
        <f t="shared" si="15"/>
        <v>1</v>
      </c>
      <c r="R105" s="122">
        <f t="shared" si="15"/>
        <v>0</v>
      </c>
      <c r="S105" s="122"/>
      <c r="T105" s="122">
        <f>+SUM(E105:P105)</f>
        <v>0</v>
      </c>
      <c r="U105" s="164"/>
      <c r="V105" s="164"/>
      <c r="W105" s="164"/>
      <c r="X105" s="164"/>
      <c r="Y105" s="164"/>
      <c r="Z105" s="164"/>
      <c r="AA105" s="164"/>
      <c r="AB105" s="164"/>
      <c r="AC105" s="164"/>
      <c r="AE105" s="164"/>
      <c r="AF105" s="164"/>
      <c r="AG105" s="164"/>
      <c r="AH105" s="164"/>
      <c r="AI105" s="164"/>
      <c r="AJ105" s="164"/>
      <c r="AK105" s="164"/>
      <c r="AL105" s="164"/>
      <c r="AM105" s="164"/>
      <c r="AN105" s="164"/>
      <c r="AO105" s="164"/>
      <c r="AP105" s="164"/>
      <c r="AQ105" s="164"/>
      <c r="AR105" s="164"/>
      <c r="AS105" s="164"/>
      <c r="AT105" s="164"/>
      <c r="AU105" s="164"/>
      <c r="AV105" s="164"/>
      <c r="AW105" s="164"/>
      <c r="AX105" s="164"/>
    </row>
    <row r="106" spans="2:50" x14ac:dyDescent="0.25">
      <c r="B106" s="275"/>
      <c r="C106" s="120" t="s">
        <v>121</v>
      </c>
      <c r="D106" s="122">
        <f>+D67-D86</f>
        <v>0</v>
      </c>
      <c r="E106" s="122">
        <f t="shared" si="15"/>
        <v>0</v>
      </c>
      <c r="F106" s="122">
        <f t="shared" si="15"/>
        <v>0</v>
      </c>
      <c r="G106" s="122">
        <f t="shared" si="15"/>
        <v>0</v>
      </c>
      <c r="H106" s="122">
        <f t="shared" si="15"/>
        <v>0</v>
      </c>
      <c r="I106" s="122">
        <f t="shared" si="15"/>
        <v>0</v>
      </c>
      <c r="J106" s="122">
        <f t="shared" si="15"/>
        <v>0</v>
      </c>
      <c r="K106" s="122">
        <f t="shared" si="15"/>
        <v>0</v>
      </c>
      <c r="L106" s="122">
        <f t="shared" si="15"/>
        <v>0</v>
      </c>
      <c r="M106" s="122">
        <f t="shared" si="15"/>
        <v>0</v>
      </c>
      <c r="N106" s="122">
        <f t="shared" si="15"/>
        <v>0</v>
      </c>
      <c r="O106" s="122">
        <f t="shared" si="15"/>
        <v>0</v>
      </c>
      <c r="P106" s="122">
        <f t="shared" si="15"/>
        <v>0</v>
      </c>
      <c r="Q106" s="122">
        <f t="shared" si="15"/>
        <v>0</v>
      </c>
      <c r="R106" s="122">
        <f t="shared" si="15"/>
        <v>0</v>
      </c>
      <c r="S106" s="122"/>
      <c r="T106" s="122">
        <f>+SUM(E106:P106)</f>
        <v>0</v>
      </c>
      <c r="U106" s="164"/>
      <c r="V106" s="164"/>
      <c r="W106" s="164"/>
      <c r="X106" s="164"/>
      <c r="Y106" s="164"/>
      <c r="Z106" s="164"/>
      <c r="AA106" s="164"/>
      <c r="AB106" s="164"/>
      <c r="AC106" s="164"/>
      <c r="AE106" s="164"/>
      <c r="AF106" s="164"/>
      <c r="AG106" s="164"/>
      <c r="AH106" s="164"/>
      <c r="AI106" s="164"/>
      <c r="AJ106" s="164"/>
      <c r="AK106" s="164"/>
      <c r="AL106" s="164"/>
      <c r="AM106" s="164"/>
      <c r="AN106" s="164"/>
      <c r="AO106" s="164"/>
      <c r="AP106" s="164"/>
      <c r="AQ106" s="164"/>
      <c r="AR106" s="164"/>
      <c r="AS106" s="164"/>
      <c r="AT106" s="164"/>
      <c r="AU106" s="164"/>
      <c r="AV106" s="164"/>
      <c r="AW106" s="164"/>
      <c r="AX106" s="164"/>
    </row>
    <row r="107" spans="2:50" x14ac:dyDescent="0.25">
      <c r="B107" s="276"/>
      <c r="C107" s="122" t="s">
        <v>122</v>
      </c>
      <c r="D107" s="122">
        <f>+D68-D87</f>
        <v>0</v>
      </c>
      <c r="E107" s="122">
        <f t="shared" si="15"/>
        <v>0</v>
      </c>
      <c r="F107" s="122">
        <f t="shared" si="15"/>
        <v>0</v>
      </c>
      <c r="G107" s="122">
        <f t="shared" si="15"/>
        <v>0</v>
      </c>
      <c r="H107" s="122">
        <f t="shared" si="15"/>
        <v>0</v>
      </c>
      <c r="I107" s="122">
        <f t="shared" si="15"/>
        <v>0</v>
      </c>
      <c r="J107" s="122">
        <f t="shared" si="15"/>
        <v>0</v>
      </c>
      <c r="K107" s="122">
        <f t="shared" si="15"/>
        <v>0</v>
      </c>
      <c r="L107" s="122">
        <f t="shared" si="15"/>
        <v>0</v>
      </c>
      <c r="M107" s="122">
        <f t="shared" si="15"/>
        <v>0</v>
      </c>
      <c r="N107" s="122">
        <f t="shared" si="15"/>
        <v>0</v>
      </c>
      <c r="O107" s="122">
        <f t="shared" si="15"/>
        <v>0</v>
      </c>
      <c r="P107" s="122">
        <f t="shared" si="15"/>
        <v>0</v>
      </c>
      <c r="Q107" s="122">
        <f t="shared" si="15"/>
        <v>0</v>
      </c>
      <c r="R107" s="122">
        <f t="shared" si="15"/>
        <v>0</v>
      </c>
      <c r="S107" s="122"/>
      <c r="T107" s="122">
        <f>+SUM(E107:P107)</f>
        <v>0</v>
      </c>
      <c r="U107" s="164"/>
      <c r="V107" s="164"/>
      <c r="W107" s="164"/>
      <c r="X107" s="164"/>
      <c r="Y107" s="164"/>
      <c r="Z107" s="164"/>
      <c r="AA107" s="164"/>
      <c r="AB107" s="164"/>
      <c r="AC107" s="164"/>
      <c r="AE107" s="164"/>
      <c r="AF107" s="164"/>
      <c r="AG107" s="164"/>
      <c r="AH107" s="164"/>
      <c r="AI107" s="164"/>
      <c r="AJ107" s="164"/>
      <c r="AK107" s="164"/>
      <c r="AL107" s="164"/>
      <c r="AM107" s="164"/>
      <c r="AN107" s="164"/>
      <c r="AO107" s="164"/>
      <c r="AP107" s="164"/>
      <c r="AQ107" s="164"/>
      <c r="AR107" s="164"/>
      <c r="AS107" s="164"/>
      <c r="AT107" s="164"/>
      <c r="AU107" s="164"/>
      <c r="AV107" s="164"/>
      <c r="AW107" s="164"/>
      <c r="AX107" s="164"/>
    </row>
    <row r="108" spans="2:50" x14ac:dyDescent="0.25">
      <c r="B108" s="277" t="s">
        <v>123</v>
      </c>
      <c r="C108" s="277"/>
      <c r="D108" s="122">
        <f t="shared" ref="D108:R108" si="16">+SUM(D105:D107)</f>
        <v>1</v>
      </c>
      <c r="E108" s="122">
        <f t="shared" si="16"/>
        <v>0</v>
      </c>
      <c r="F108" s="122">
        <f t="shared" si="16"/>
        <v>0</v>
      </c>
      <c r="G108" s="122">
        <f t="shared" si="16"/>
        <v>0</v>
      </c>
      <c r="H108" s="122">
        <f t="shared" si="16"/>
        <v>0</v>
      </c>
      <c r="I108" s="122">
        <f t="shared" si="16"/>
        <v>0</v>
      </c>
      <c r="J108" s="122">
        <f t="shared" si="16"/>
        <v>0</v>
      </c>
      <c r="K108" s="122">
        <f t="shared" si="16"/>
        <v>0</v>
      </c>
      <c r="L108" s="122">
        <f t="shared" si="16"/>
        <v>0</v>
      </c>
      <c r="M108" s="122">
        <f t="shared" si="16"/>
        <v>0</v>
      </c>
      <c r="N108" s="122">
        <f t="shared" si="16"/>
        <v>0</v>
      </c>
      <c r="O108" s="122">
        <f t="shared" si="16"/>
        <v>0</v>
      </c>
      <c r="P108" s="122">
        <f t="shared" si="16"/>
        <v>0</v>
      </c>
      <c r="Q108" s="122">
        <f t="shared" si="16"/>
        <v>1</v>
      </c>
      <c r="R108" s="122">
        <f t="shared" si="16"/>
        <v>0</v>
      </c>
      <c r="S108" s="122"/>
      <c r="T108" s="122">
        <f>+SUM(T105:T107)</f>
        <v>0</v>
      </c>
      <c r="U108" s="164"/>
      <c r="V108" s="164"/>
      <c r="W108" s="164"/>
      <c r="X108" s="164"/>
      <c r="Y108" s="164"/>
      <c r="Z108" s="164"/>
      <c r="AA108" s="164"/>
      <c r="AB108" s="164"/>
      <c r="AC108" s="164"/>
      <c r="AE108" s="164"/>
      <c r="AF108" s="164"/>
      <c r="AG108" s="164"/>
      <c r="AH108" s="164"/>
      <c r="AI108" s="164"/>
      <c r="AJ108" s="164"/>
      <c r="AK108" s="164"/>
      <c r="AL108" s="164"/>
      <c r="AM108" s="164"/>
      <c r="AN108" s="164"/>
      <c r="AO108" s="164"/>
      <c r="AP108" s="164"/>
      <c r="AQ108" s="164"/>
      <c r="AR108" s="164"/>
      <c r="AS108" s="164"/>
      <c r="AT108" s="164"/>
      <c r="AU108" s="164"/>
      <c r="AV108" s="164"/>
      <c r="AW108" s="164"/>
      <c r="AX108" s="164"/>
    </row>
    <row r="109" spans="2:50" x14ac:dyDescent="0.25">
      <c r="B109" s="90"/>
      <c r="C109" s="90"/>
      <c r="D109" s="90"/>
      <c r="E109" s="90"/>
      <c r="G109" s="90"/>
      <c r="H109" s="90"/>
      <c r="I109" s="90"/>
      <c r="J109" s="90"/>
      <c r="K109" s="90"/>
      <c r="L109" s="90"/>
      <c r="M109" s="90"/>
      <c r="N109" s="90"/>
      <c r="O109" s="90"/>
      <c r="P109" s="90"/>
      <c r="T109" s="90"/>
      <c r="U109" s="164"/>
      <c r="V109" s="164"/>
      <c r="W109" s="164"/>
      <c r="X109" s="164"/>
      <c r="Y109" s="164"/>
      <c r="Z109" s="164"/>
      <c r="AA109" s="164"/>
      <c r="AB109" s="164"/>
      <c r="AC109" s="164"/>
      <c r="AE109" s="164"/>
      <c r="AF109" s="164"/>
      <c r="AG109" s="164"/>
      <c r="AH109" s="164"/>
      <c r="AI109" s="164"/>
      <c r="AJ109" s="164"/>
      <c r="AK109" s="164"/>
      <c r="AL109" s="164"/>
      <c r="AM109" s="164"/>
      <c r="AN109" s="164"/>
      <c r="AO109" s="164"/>
      <c r="AP109" s="164"/>
      <c r="AQ109" s="164"/>
      <c r="AR109" s="164"/>
      <c r="AS109" s="164"/>
      <c r="AT109" s="164"/>
      <c r="AU109" s="164"/>
      <c r="AV109" s="164"/>
      <c r="AW109" s="164"/>
      <c r="AX109" s="164"/>
    </row>
    <row r="110" spans="2:50" x14ac:dyDescent="0.25">
      <c r="B110" s="278">
        <v>44196</v>
      </c>
      <c r="C110" s="122"/>
      <c r="D110" s="122"/>
      <c r="E110" s="128" t="str">
        <f t="shared" ref="E110:R110" si="17">E65</f>
        <v>SARL</v>
      </c>
      <c r="F110" s="121" t="str">
        <f t="shared" si="17"/>
        <v>EURL</v>
      </c>
      <c r="G110" s="127" t="str">
        <f t="shared" si="17"/>
        <v>SAS</v>
      </c>
      <c r="H110" s="127" t="str">
        <f t="shared" si="17"/>
        <v>INDIVIDUEL</v>
      </c>
      <c r="I110" s="127" t="str">
        <f t="shared" si="17"/>
        <v>ASSOCIATION</v>
      </c>
      <c r="J110" s="128" t="str">
        <f t="shared" si="17"/>
        <v>PROFESSION LIBERALE</v>
      </c>
      <c r="K110" s="128" t="str">
        <f t="shared" si="17"/>
        <v>SNC</v>
      </c>
      <c r="L110" s="128" t="str">
        <f t="shared" si="17"/>
        <v>SCI</v>
      </c>
      <c r="M110" s="128" t="str">
        <f t="shared" si="17"/>
        <v>EARL</v>
      </c>
      <c r="N110" s="128" t="str">
        <f t="shared" si="17"/>
        <v>ETA</v>
      </c>
      <c r="O110" s="128" t="str">
        <f t="shared" si="17"/>
        <v>SCEA</v>
      </c>
      <c r="P110" s="128" t="str">
        <f t="shared" si="17"/>
        <v>GROUPEMENT</v>
      </c>
      <c r="Q110" s="128" t="str">
        <f t="shared" si="17"/>
        <v>EIRL</v>
      </c>
      <c r="R110" s="121" t="str">
        <f t="shared" si="17"/>
        <v>AUTRES</v>
      </c>
      <c r="S110" s="121"/>
      <c r="T110" s="128" t="s">
        <v>86</v>
      </c>
      <c r="U110" s="164"/>
      <c r="V110" s="164"/>
      <c r="W110" s="164"/>
      <c r="X110" s="164"/>
      <c r="Y110" s="164"/>
      <c r="Z110" s="164"/>
      <c r="AA110" s="164"/>
      <c r="AB110" s="164"/>
      <c r="AC110" s="164"/>
      <c r="AE110" s="164"/>
      <c r="AF110" s="164"/>
      <c r="AG110" s="164"/>
      <c r="AH110" s="164"/>
      <c r="AI110" s="164"/>
      <c r="AJ110" s="164"/>
      <c r="AK110" s="164"/>
      <c r="AL110" s="164"/>
      <c r="AM110" s="164"/>
      <c r="AN110" s="164"/>
      <c r="AO110" s="164"/>
      <c r="AP110" s="164"/>
      <c r="AQ110" s="164"/>
      <c r="AR110" s="164"/>
      <c r="AS110" s="164"/>
      <c r="AT110" s="164"/>
      <c r="AU110" s="164"/>
      <c r="AV110" s="164"/>
      <c r="AW110" s="164"/>
      <c r="AX110" s="164"/>
    </row>
    <row r="111" spans="2:50" x14ac:dyDescent="0.25">
      <c r="B111" s="275"/>
      <c r="C111" s="120" t="s">
        <v>109</v>
      </c>
      <c r="D111" s="122">
        <f>+D72-D91</f>
        <v>1</v>
      </c>
      <c r="E111" s="122">
        <f t="shared" ref="E111:R113" si="18">+E72-E91</f>
        <v>0</v>
      </c>
      <c r="F111" s="122">
        <f t="shared" si="18"/>
        <v>0</v>
      </c>
      <c r="G111" s="122">
        <f t="shared" si="18"/>
        <v>0</v>
      </c>
      <c r="H111" s="122">
        <f t="shared" si="18"/>
        <v>0</v>
      </c>
      <c r="I111" s="122">
        <f t="shared" si="18"/>
        <v>0</v>
      </c>
      <c r="J111" s="122">
        <f t="shared" si="18"/>
        <v>0</v>
      </c>
      <c r="K111" s="122">
        <f t="shared" si="18"/>
        <v>0</v>
      </c>
      <c r="L111" s="122">
        <f t="shared" si="18"/>
        <v>0</v>
      </c>
      <c r="M111" s="122">
        <f t="shared" si="18"/>
        <v>0</v>
      </c>
      <c r="N111" s="122">
        <f t="shared" si="18"/>
        <v>0</v>
      </c>
      <c r="O111" s="122">
        <f t="shared" si="18"/>
        <v>0</v>
      </c>
      <c r="P111" s="122">
        <f t="shared" si="18"/>
        <v>0</v>
      </c>
      <c r="Q111" s="122">
        <f t="shared" si="18"/>
        <v>1</v>
      </c>
      <c r="R111" s="122">
        <f t="shared" si="18"/>
        <v>0</v>
      </c>
      <c r="S111" s="122"/>
      <c r="T111" s="122">
        <f>+SUM(E111:P111)</f>
        <v>0</v>
      </c>
      <c r="U111" s="164"/>
      <c r="V111" s="164"/>
      <c r="W111" s="164"/>
      <c r="X111" s="164"/>
      <c r="Y111" s="164"/>
      <c r="Z111" s="164"/>
      <c r="AA111" s="164"/>
      <c r="AB111" s="164"/>
      <c r="AC111" s="164"/>
      <c r="AE111" s="164"/>
      <c r="AF111" s="164"/>
      <c r="AG111" s="164"/>
      <c r="AH111" s="164"/>
      <c r="AI111" s="164"/>
      <c r="AJ111" s="164"/>
      <c r="AK111" s="164"/>
      <c r="AL111" s="164"/>
      <c r="AM111" s="164"/>
      <c r="AN111" s="164"/>
      <c r="AO111" s="164"/>
      <c r="AP111" s="164"/>
      <c r="AQ111" s="164"/>
      <c r="AR111" s="164"/>
      <c r="AS111" s="164"/>
      <c r="AT111" s="164"/>
      <c r="AU111" s="164"/>
      <c r="AV111" s="164"/>
      <c r="AW111" s="164"/>
      <c r="AX111" s="164"/>
    </row>
    <row r="112" spans="2:50" x14ac:dyDescent="0.25">
      <c r="B112" s="275"/>
      <c r="C112" s="120" t="s">
        <v>121</v>
      </c>
      <c r="D112" s="122">
        <f>+D73-D92</f>
        <v>0</v>
      </c>
      <c r="E112" s="122">
        <f t="shared" si="18"/>
        <v>0</v>
      </c>
      <c r="F112" s="122">
        <f t="shared" si="18"/>
        <v>0</v>
      </c>
      <c r="G112" s="122">
        <f t="shared" si="18"/>
        <v>0</v>
      </c>
      <c r="H112" s="122">
        <f t="shared" si="18"/>
        <v>0</v>
      </c>
      <c r="I112" s="122">
        <f t="shared" si="18"/>
        <v>0</v>
      </c>
      <c r="J112" s="122">
        <f t="shared" si="18"/>
        <v>0</v>
      </c>
      <c r="K112" s="122">
        <f t="shared" si="18"/>
        <v>0</v>
      </c>
      <c r="L112" s="122">
        <f t="shared" si="18"/>
        <v>0</v>
      </c>
      <c r="M112" s="122">
        <f t="shared" si="18"/>
        <v>0</v>
      </c>
      <c r="N112" s="122">
        <f t="shared" si="18"/>
        <v>0</v>
      </c>
      <c r="O112" s="122">
        <f t="shared" si="18"/>
        <v>0</v>
      </c>
      <c r="P112" s="122">
        <f t="shared" si="18"/>
        <v>0</v>
      </c>
      <c r="Q112" s="122">
        <f t="shared" si="18"/>
        <v>0</v>
      </c>
      <c r="R112" s="122">
        <f t="shared" si="18"/>
        <v>0</v>
      </c>
      <c r="S112" s="122"/>
      <c r="T112" s="122">
        <f>+SUM(E112:P112)</f>
        <v>0</v>
      </c>
      <c r="U112" s="164"/>
      <c r="V112" s="164"/>
      <c r="W112" s="164"/>
      <c r="X112" s="164"/>
      <c r="Y112" s="164"/>
      <c r="Z112" s="164"/>
      <c r="AA112" s="164"/>
      <c r="AB112" s="164"/>
      <c r="AC112" s="164"/>
      <c r="AE112" s="164"/>
      <c r="AF112" s="164"/>
      <c r="AG112" s="164"/>
      <c r="AH112" s="164"/>
      <c r="AI112" s="164"/>
      <c r="AJ112" s="164"/>
      <c r="AK112" s="164"/>
      <c r="AL112" s="164"/>
      <c r="AM112" s="164"/>
      <c r="AN112" s="164"/>
      <c r="AO112" s="164"/>
      <c r="AP112" s="164"/>
      <c r="AQ112" s="164"/>
      <c r="AR112" s="164"/>
      <c r="AS112" s="164"/>
      <c r="AT112" s="164"/>
      <c r="AU112" s="164"/>
      <c r="AV112" s="164"/>
      <c r="AW112" s="164"/>
      <c r="AX112" s="164"/>
    </row>
    <row r="113" spans="2:50" x14ac:dyDescent="0.25">
      <c r="B113" s="276"/>
      <c r="C113" s="122" t="s">
        <v>122</v>
      </c>
      <c r="D113" s="122">
        <f>+D74-D93</f>
        <v>0</v>
      </c>
      <c r="E113" s="122">
        <f t="shared" si="18"/>
        <v>0</v>
      </c>
      <c r="F113" s="122">
        <f t="shared" si="18"/>
        <v>0</v>
      </c>
      <c r="G113" s="122">
        <f t="shared" si="18"/>
        <v>0</v>
      </c>
      <c r="H113" s="122">
        <f t="shared" si="18"/>
        <v>0</v>
      </c>
      <c r="I113" s="122">
        <f t="shared" si="18"/>
        <v>0</v>
      </c>
      <c r="J113" s="122">
        <f t="shared" si="18"/>
        <v>0</v>
      </c>
      <c r="K113" s="122">
        <f t="shared" si="18"/>
        <v>0</v>
      </c>
      <c r="L113" s="122">
        <f t="shared" si="18"/>
        <v>0</v>
      </c>
      <c r="M113" s="122">
        <f t="shared" si="18"/>
        <v>0</v>
      </c>
      <c r="N113" s="122">
        <f t="shared" si="18"/>
        <v>0</v>
      </c>
      <c r="O113" s="122">
        <f t="shared" si="18"/>
        <v>0</v>
      </c>
      <c r="P113" s="122">
        <f t="shared" si="18"/>
        <v>0</v>
      </c>
      <c r="Q113" s="122">
        <f t="shared" si="18"/>
        <v>0</v>
      </c>
      <c r="R113" s="122">
        <f t="shared" si="18"/>
        <v>0</v>
      </c>
      <c r="S113" s="122"/>
      <c r="T113" s="122">
        <f>+SUM(E113:P113)</f>
        <v>0</v>
      </c>
      <c r="U113" s="164"/>
      <c r="V113" s="164"/>
      <c r="W113" s="164"/>
      <c r="X113" s="164"/>
      <c r="Y113" s="164"/>
      <c r="Z113" s="164"/>
      <c r="AA113" s="164"/>
      <c r="AB113" s="164"/>
      <c r="AC113" s="164"/>
      <c r="AE113" s="164"/>
      <c r="AF113" s="164"/>
      <c r="AG113" s="164"/>
      <c r="AH113" s="164"/>
      <c r="AI113" s="164"/>
      <c r="AJ113" s="164"/>
      <c r="AK113" s="164"/>
      <c r="AL113" s="164"/>
      <c r="AM113" s="164"/>
      <c r="AN113" s="164"/>
      <c r="AO113" s="164"/>
      <c r="AP113" s="164"/>
      <c r="AQ113" s="164"/>
      <c r="AR113" s="164"/>
      <c r="AS113" s="164"/>
      <c r="AT113" s="164"/>
      <c r="AU113" s="164"/>
      <c r="AV113" s="164"/>
      <c r="AW113" s="164"/>
      <c r="AX113" s="164"/>
    </row>
    <row r="114" spans="2:50" x14ac:dyDescent="0.25">
      <c r="B114" s="277" t="s">
        <v>123</v>
      </c>
      <c r="C114" s="277"/>
      <c r="D114" s="122">
        <f t="shared" ref="D114:R114" si="19">+SUM(D111:D113)</f>
        <v>1</v>
      </c>
      <c r="E114" s="122">
        <f t="shared" si="19"/>
        <v>0</v>
      </c>
      <c r="F114" s="122">
        <f t="shared" si="19"/>
        <v>0</v>
      </c>
      <c r="G114" s="122">
        <f t="shared" si="19"/>
        <v>0</v>
      </c>
      <c r="H114" s="122">
        <f t="shared" si="19"/>
        <v>0</v>
      </c>
      <c r="I114" s="122">
        <f t="shared" si="19"/>
        <v>0</v>
      </c>
      <c r="J114" s="122">
        <f t="shared" si="19"/>
        <v>0</v>
      </c>
      <c r="K114" s="122">
        <f t="shared" si="19"/>
        <v>0</v>
      </c>
      <c r="L114" s="122">
        <f t="shared" si="19"/>
        <v>0</v>
      </c>
      <c r="M114" s="122">
        <f t="shared" si="19"/>
        <v>0</v>
      </c>
      <c r="N114" s="122">
        <f t="shared" si="19"/>
        <v>0</v>
      </c>
      <c r="O114" s="122">
        <f t="shared" si="19"/>
        <v>0</v>
      </c>
      <c r="P114" s="122">
        <f t="shared" si="19"/>
        <v>0</v>
      </c>
      <c r="Q114" s="122">
        <f t="shared" si="19"/>
        <v>1</v>
      </c>
      <c r="R114" s="122">
        <f t="shared" si="19"/>
        <v>0</v>
      </c>
      <c r="S114" s="122"/>
      <c r="T114" s="122">
        <f>+SUM(T111:T113)</f>
        <v>0</v>
      </c>
      <c r="U114" s="164"/>
      <c r="V114" s="164"/>
      <c r="W114" s="164"/>
      <c r="X114" s="164"/>
      <c r="Y114" s="164"/>
      <c r="Z114" s="164"/>
      <c r="AA114" s="164"/>
      <c r="AB114" s="164"/>
      <c r="AC114" s="164"/>
      <c r="AE114" s="164"/>
      <c r="AF114" s="164"/>
      <c r="AG114" s="164"/>
      <c r="AH114" s="164"/>
      <c r="AI114" s="164"/>
      <c r="AJ114" s="164"/>
      <c r="AK114" s="164"/>
      <c r="AL114" s="164"/>
      <c r="AM114" s="164"/>
      <c r="AN114" s="164"/>
      <c r="AO114" s="164"/>
      <c r="AP114" s="164"/>
      <c r="AQ114" s="164"/>
      <c r="AR114" s="164"/>
      <c r="AS114" s="164"/>
      <c r="AT114" s="164"/>
      <c r="AU114" s="164"/>
      <c r="AV114" s="164"/>
      <c r="AW114" s="164"/>
      <c r="AX114" s="164"/>
    </row>
    <row r="115" spans="2:50" x14ac:dyDescent="0.25">
      <c r="B115" s="90"/>
      <c r="C115" s="90"/>
      <c r="D115" s="90"/>
      <c r="E115" s="90"/>
      <c r="G115" s="90"/>
      <c r="H115" s="90"/>
      <c r="I115" s="90"/>
      <c r="J115" s="90"/>
      <c r="K115" s="90"/>
      <c r="L115" s="90"/>
      <c r="M115" s="90"/>
      <c r="N115" s="90"/>
      <c r="O115" s="90"/>
      <c r="P115" s="90"/>
      <c r="T115" s="90"/>
      <c r="U115" s="164"/>
      <c r="V115" s="164"/>
      <c r="W115" s="164"/>
      <c r="X115" s="164"/>
      <c r="Y115" s="164"/>
      <c r="Z115" s="164"/>
      <c r="AA115" s="164"/>
      <c r="AB115" s="164"/>
      <c r="AC115" s="164"/>
      <c r="AE115" s="164"/>
      <c r="AF115" s="164"/>
      <c r="AG115" s="164"/>
      <c r="AH115" s="164"/>
      <c r="AI115" s="164"/>
      <c r="AJ115" s="164"/>
      <c r="AK115" s="164"/>
      <c r="AL115" s="164"/>
      <c r="AM115" s="164"/>
      <c r="AN115" s="164"/>
      <c r="AO115" s="164"/>
      <c r="AP115" s="164"/>
      <c r="AQ115" s="164"/>
      <c r="AR115" s="164"/>
      <c r="AS115" s="164"/>
      <c r="AT115" s="164"/>
      <c r="AU115" s="164"/>
      <c r="AV115" s="164"/>
      <c r="AW115" s="164"/>
      <c r="AX115" s="164"/>
    </row>
    <row r="116" spans="2:50" x14ac:dyDescent="0.25">
      <c r="B116" s="278" t="s">
        <v>40</v>
      </c>
      <c r="C116" s="122"/>
      <c r="D116" s="122"/>
      <c r="E116" s="125" t="str">
        <f t="shared" ref="E116:R116" si="20">E65</f>
        <v>SARL</v>
      </c>
      <c r="F116" s="121" t="str">
        <f t="shared" si="20"/>
        <v>EURL</v>
      </c>
      <c r="G116" s="126" t="str">
        <f t="shared" si="20"/>
        <v>SAS</v>
      </c>
      <c r="H116" s="127" t="str">
        <f t="shared" si="20"/>
        <v>INDIVIDUEL</v>
      </c>
      <c r="I116" s="127" t="str">
        <f t="shared" si="20"/>
        <v>ASSOCIATION</v>
      </c>
      <c r="J116" s="128" t="str">
        <f t="shared" si="20"/>
        <v>PROFESSION LIBERALE</v>
      </c>
      <c r="K116" s="128" t="str">
        <f t="shared" si="20"/>
        <v>SNC</v>
      </c>
      <c r="L116" s="128" t="str">
        <f t="shared" si="20"/>
        <v>SCI</v>
      </c>
      <c r="M116" s="128" t="str">
        <f t="shared" si="20"/>
        <v>EARL</v>
      </c>
      <c r="N116" s="128" t="str">
        <f t="shared" si="20"/>
        <v>ETA</v>
      </c>
      <c r="O116" s="128" t="str">
        <f t="shared" si="20"/>
        <v>SCEA</v>
      </c>
      <c r="P116" s="128" t="str">
        <f t="shared" si="20"/>
        <v>GROUPEMENT</v>
      </c>
      <c r="Q116" s="128" t="str">
        <f t="shared" si="20"/>
        <v>EIRL</v>
      </c>
      <c r="R116" s="121" t="str">
        <f t="shared" si="20"/>
        <v>AUTRES</v>
      </c>
      <c r="S116" s="121"/>
      <c r="T116" s="128" t="s">
        <v>86</v>
      </c>
      <c r="U116" s="164"/>
      <c r="V116" s="164"/>
      <c r="W116" s="164"/>
      <c r="X116" s="164"/>
      <c r="Y116" s="164"/>
      <c r="Z116" s="164"/>
      <c r="AA116" s="164"/>
      <c r="AB116" s="164"/>
      <c r="AC116" s="164"/>
      <c r="AE116" s="164"/>
      <c r="AF116" s="164"/>
      <c r="AG116" s="164"/>
      <c r="AH116" s="164"/>
      <c r="AI116" s="164"/>
      <c r="AJ116" s="164"/>
      <c r="AK116" s="164"/>
      <c r="AL116" s="164"/>
      <c r="AM116" s="164"/>
      <c r="AN116" s="164"/>
      <c r="AO116" s="164"/>
      <c r="AP116" s="164"/>
      <c r="AQ116" s="164"/>
      <c r="AR116" s="164"/>
      <c r="AS116" s="164"/>
      <c r="AT116" s="164"/>
      <c r="AU116" s="164"/>
      <c r="AV116" s="164"/>
      <c r="AW116" s="164"/>
      <c r="AX116" s="164"/>
    </row>
    <row r="117" spans="2:50" x14ac:dyDescent="0.25">
      <c r="B117" s="275"/>
      <c r="C117" s="120" t="s">
        <v>109</v>
      </c>
      <c r="D117" s="122">
        <f>+D105-D111</f>
        <v>0</v>
      </c>
      <c r="E117" s="122">
        <f t="shared" ref="E117:R120" si="21">+E105-E111</f>
        <v>0</v>
      </c>
      <c r="F117" s="122">
        <f t="shared" si="21"/>
        <v>0</v>
      </c>
      <c r="G117" s="122">
        <f t="shared" si="21"/>
        <v>0</v>
      </c>
      <c r="H117" s="122">
        <f t="shared" si="21"/>
        <v>0</v>
      </c>
      <c r="I117" s="122">
        <f t="shared" si="21"/>
        <v>0</v>
      </c>
      <c r="J117" s="122">
        <f t="shared" si="21"/>
        <v>0</v>
      </c>
      <c r="K117" s="122">
        <f t="shared" si="21"/>
        <v>0</v>
      </c>
      <c r="L117" s="122">
        <f t="shared" si="21"/>
        <v>0</v>
      </c>
      <c r="M117" s="122">
        <f t="shared" si="21"/>
        <v>0</v>
      </c>
      <c r="N117" s="122">
        <f t="shared" si="21"/>
        <v>0</v>
      </c>
      <c r="O117" s="122">
        <f t="shared" si="21"/>
        <v>0</v>
      </c>
      <c r="P117" s="122">
        <f t="shared" si="21"/>
        <v>0</v>
      </c>
      <c r="Q117" s="122">
        <f t="shared" si="21"/>
        <v>0</v>
      </c>
      <c r="R117" s="122">
        <f t="shared" si="21"/>
        <v>0</v>
      </c>
      <c r="S117" s="122"/>
      <c r="T117" s="122">
        <f>+SUM(E117:P117)</f>
        <v>0</v>
      </c>
      <c r="U117" s="164"/>
      <c r="V117" s="164"/>
      <c r="W117" s="164"/>
      <c r="X117" s="164"/>
      <c r="Y117" s="164"/>
      <c r="Z117" s="164"/>
      <c r="AA117" s="164"/>
      <c r="AB117" s="164"/>
      <c r="AC117" s="164"/>
      <c r="AE117" s="164"/>
      <c r="AF117" s="164"/>
      <c r="AG117" s="164"/>
      <c r="AH117" s="164"/>
      <c r="AI117" s="164"/>
      <c r="AJ117" s="164"/>
      <c r="AK117" s="164"/>
      <c r="AL117" s="164"/>
      <c r="AM117" s="164"/>
      <c r="AN117" s="164"/>
      <c r="AO117" s="164"/>
      <c r="AP117" s="164"/>
      <c r="AQ117" s="164"/>
      <c r="AR117" s="164"/>
      <c r="AS117" s="164"/>
      <c r="AT117" s="164"/>
      <c r="AU117" s="164"/>
      <c r="AV117" s="164"/>
      <c r="AW117" s="164"/>
      <c r="AX117" s="164"/>
    </row>
    <row r="118" spans="2:50" x14ac:dyDescent="0.25">
      <c r="B118" s="275"/>
      <c r="C118" s="120" t="s">
        <v>121</v>
      </c>
      <c r="D118" s="122">
        <f>+D106-D112</f>
        <v>0</v>
      </c>
      <c r="E118" s="122">
        <f t="shared" si="21"/>
        <v>0</v>
      </c>
      <c r="F118" s="122">
        <f t="shared" si="21"/>
        <v>0</v>
      </c>
      <c r="G118" s="122">
        <f t="shared" si="21"/>
        <v>0</v>
      </c>
      <c r="H118" s="122">
        <f t="shared" si="21"/>
        <v>0</v>
      </c>
      <c r="I118" s="122">
        <f t="shared" si="21"/>
        <v>0</v>
      </c>
      <c r="J118" s="122">
        <f t="shared" si="21"/>
        <v>0</v>
      </c>
      <c r="K118" s="122">
        <f t="shared" si="21"/>
        <v>0</v>
      </c>
      <c r="L118" s="122">
        <f t="shared" si="21"/>
        <v>0</v>
      </c>
      <c r="M118" s="122">
        <f t="shared" si="21"/>
        <v>0</v>
      </c>
      <c r="N118" s="122">
        <f t="shared" si="21"/>
        <v>0</v>
      </c>
      <c r="O118" s="122">
        <f t="shared" si="21"/>
        <v>0</v>
      </c>
      <c r="P118" s="122">
        <f t="shared" si="21"/>
        <v>0</v>
      </c>
      <c r="Q118" s="122">
        <f t="shared" si="21"/>
        <v>0</v>
      </c>
      <c r="R118" s="122">
        <f t="shared" si="21"/>
        <v>0</v>
      </c>
      <c r="S118" s="122"/>
      <c r="T118" s="122">
        <f>+SUM(E118:P118)</f>
        <v>0</v>
      </c>
      <c r="U118" s="164"/>
      <c r="V118" s="164"/>
      <c r="W118" s="164"/>
      <c r="X118" s="164"/>
      <c r="Y118" s="164"/>
      <c r="Z118" s="164"/>
      <c r="AA118" s="164"/>
      <c r="AB118" s="164"/>
      <c r="AC118" s="164"/>
      <c r="AE118" s="164"/>
      <c r="AF118" s="164"/>
      <c r="AG118" s="164"/>
      <c r="AH118" s="164"/>
      <c r="AI118" s="164"/>
      <c r="AJ118" s="164"/>
      <c r="AK118" s="164"/>
      <c r="AL118" s="164"/>
      <c r="AM118" s="164"/>
      <c r="AN118" s="164"/>
      <c r="AO118" s="164"/>
      <c r="AP118" s="164"/>
      <c r="AQ118" s="164"/>
      <c r="AR118" s="164"/>
      <c r="AS118" s="164"/>
      <c r="AT118" s="164"/>
      <c r="AU118" s="164"/>
      <c r="AV118" s="164"/>
      <c r="AW118" s="164"/>
      <c r="AX118" s="164"/>
    </row>
    <row r="119" spans="2:50" x14ac:dyDescent="0.25">
      <c r="B119" s="276"/>
      <c r="C119" s="122" t="s">
        <v>122</v>
      </c>
      <c r="D119" s="122">
        <f>+D107-D113</f>
        <v>0</v>
      </c>
      <c r="E119" s="122">
        <f t="shared" si="21"/>
        <v>0</v>
      </c>
      <c r="F119" s="122">
        <f t="shared" si="21"/>
        <v>0</v>
      </c>
      <c r="G119" s="122">
        <f t="shared" si="21"/>
        <v>0</v>
      </c>
      <c r="H119" s="122">
        <f t="shared" si="21"/>
        <v>0</v>
      </c>
      <c r="I119" s="122">
        <f t="shared" si="21"/>
        <v>0</v>
      </c>
      <c r="J119" s="122">
        <f t="shared" si="21"/>
        <v>0</v>
      </c>
      <c r="K119" s="122">
        <f t="shared" si="21"/>
        <v>0</v>
      </c>
      <c r="L119" s="122">
        <f t="shared" si="21"/>
        <v>0</v>
      </c>
      <c r="M119" s="122">
        <f t="shared" si="21"/>
        <v>0</v>
      </c>
      <c r="N119" s="122">
        <f t="shared" si="21"/>
        <v>0</v>
      </c>
      <c r="O119" s="122">
        <f t="shared" si="21"/>
        <v>0</v>
      </c>
      <c r="P119" s="122">
        <f t="shared" si="21"/>
        <v>0</v>
      </c>
      <c r="Q119" s="122">
        <f t="shared" si="21"/>
        <v>0</v>
      </c>
      <c r="R119" s="122">
        <f t="shared" si="21"/>
        <v>0</v>
      </c>
      <c r="S119" s="122"/>
      <c r="T119" s="122">
        <f>+SUM(E119:P119)</f>
        <v>0</v>
      </c>
      <c r="U119" s="164"/>
      <c r="V119" s="164"/>
      <c r="W119" s="164"/>
      <c r="X119" s="164"/>
      <c r="Y119" s="164"/>
      <c r="Z119" s="164"/>
      <c r="AA119" s="164"/>
      <c r="AB119" s="164"/>
      <c r="AC119" s="164"/>
      <c r="AE119" s="164"/>
      <c r="AF119" s="164"/>
      <c r="AG119" s="164"/>
      <c r="AH119" s="164"/>
      <c r="AI119" s="164"/>
      <c r="AJ119" s="164"/>
      <c r="AK119" s="164"/>
      <c r="AL119" s="164"/>
      <c r="AM119" s="164"/>
      <c r="AN119" s="164"/>
      <c r="AO119" s="164"/>
      <c r="AP119" s="164"/>
      <c r="AQ119" s="164"/>
      <c r="AR119" s="164"/>
      <c r="AS119" s="164"/>
      <c r="AT119" s="164"/>
      <c r="AU119" s="164"/>
      <c r="AV119" s="164"/>
      <c r="AW119" s="164"/>
      <c r="AX119" s="164"/>
    </row>
    <row r="120" spans="2:50" x14ac:dyDescent="0.25">
      <c r="B120" s="277" t="s">
        <v>123</v>
      </c>
      <c r="C120" s="277"/>
      <c r="D120" s="122">
        <f>+D108-D114</f>
        <v>0</v>
      </c>
      <c r="E120" s="122">
        <f t="shared" si="21"/>
        <v>0</v>
      </c>
      <c r="F120" s="122">
        <f t="shared" si="21"/>
        <v>0</v>
      </c>
      <c r="G120" s="122">
        <f t="shared" si="21"/>
        <v>0</v>
      </c>
      <c r="H120" s="122">
        <f t="shared" si="21"/>
        <v>0</v>
      </c>
      <c r="I120" s="122">
        <f t="shared" si="21"/>
        <v>0</v>
      </c>
      <c r="J120" s="122">
        <f t="shared" si="21"/>
        <v>0</v>
      </c>
      <c r="K120" s="122">
        <f t="shared" si="21"/>
        <v>0</v>
      </c>
      <c r="L120" s="122">
        <f t="shared" si="21"/>
        <v>0</v>
      </c>
      <c r="M120" s="122">
        <f t="shared" si="21"/>
        <v>0</v>
      </c>
      <c r="N120" s="122">
        <f t="shared" si="21"/>
        <v>0</v>
      </c>
      <c r="O120" s="122">
        <f t="shared" si="21"/>
        <v>0</v>
      </c>
      <c r="P120" s="122">
        <f t="shared" si="21"/>
        <v>0</v>
      </c>
      <c r="Q120" s="122">
        <f t="shared" si="21"/>
        <v>0</v>
      </c>
      <c r="R120" s="122">
        <f t="shared" si="21"/>
        <v>0</v>
      </c>
      <c r="S120" s="122"/>
      <c r="T120" s="122">
        <f>+SUM(T117:T119)</f>
        <v>0</v>
      </c>
      <c r="U120" s="164"/>
      <c r="V120" s="164"/>
      <c r="W120" s="164"/>
      <c r="X120" s="164"/>
      <c r="Y120" s="164"/>
      <c r="Z120" s="164"/>
      <c r="AA120" s="164"/>
      <c r="AB120" s="164"/>
      <c r="AC120" s="164"/>
      <c r="AE120" s="164"/>
      <c r="AF120" s="164"/>
      <c r="AG120" s="164"/>
      <c r="AH120" s="164"/>
      <c r="AI120" s="164"/>
      <c r="AJ120" s="164"/>
      <c r="AK120" s="164"/>
      <c r="AL120" s="164"/>
      <c r="AM120" s="164"/>
      <c r="AN120" s="164"/>
      <c r="AO120" s="164"/>
      <c r="AP120" s="164"/>
      <c r="AQ120" s="164"/>
      <c r="AR120" s="164"/>
      <c r="AS120" s="164"/>
      <c r="AT120" s="164"/>
      <c r="AU120" s="164"/>
      <c r="AV120" s="164"/>
      <c r="AW120" s="164"/>
      <c r="AX120" s="164"/>
    </row>
    <row r="121" spans="2:50" x14ac:dyDescent="0.25">
      <c r="U121" s="164"/>
      <c r="V121" s="164"/>
      <c r="W121" s="164"/>
      <c r="X121" s="164"/>
      <c r="Y121" s="164"/>
      <c r="Z121" s="164"/>
      <c r="AA121" s="164"/>
      <c r="AB121" s="164"/>
      <c r="AC121" s="164"/>
      <c r="AE121" s="164"/>
      <c r="AF121" s="164"/>
      <c r="AG121" s="164"/>
      <c r="AH121" s="164"/>
      <c r="AI121" s="164"/>
      <c r="AJ121" s="164"/>
      <c r="AK121" s="164"/>
      <c r="AL121" s="164"/>
      <c r="AM121" s="164"/>
      <c r="AN121" s="164"/>
      <c r="AO121" s="164"/>
      <c r="AP121" s="164"/>
      <c r="AQ121" s="164"/>
      <c r="AR121" s="164"/>
      <c r="AS121" s="164"/>
      <c r="AT121" s="164"/>
      <c r="AU121" s="164"/>
      <c r="AV121" s="164"/>
      <c r="AW121" s="164"/>
      <c r="AX121" s="164"/>
    </row>
    <row r="122" spans="2:50" x14ac:dyDescent="0.25">
      <c r="U122" s="164"/>
      <c r="V122" s="164"/>
      <c r="W122" s="164"/>
      <c r="X122" s="164"/>
      <c r="Y122" s="164"/>
      <c r="Z122" s="164"/>
      <c r="AA122" s="164"/>
      <c r="AB122" s="164"/>
      <c r="AC122" s="164"/>
      <c r="AE122" s="164"/>
      <c r="AF122" s="164"/>
      <c r="AG122" s="164"/>
      <c r="AH122" s="164"/>
      <c r="AI122" s="164"/>
      <c r="AJ122" s="164"/>
      <c r="AK122" s="164"/>
      <c r="AL122" s="164"/>
      <c r="AM122" s="164"/>
      <c r="AN122" s="164"/>
      <c r="AO122" s="164"/>
      <c r="AP122" s="164"/>
      <c r="AQ122" s="164"/>
      <c r="AR122" s="164"/>
      <c r="AS122" s="164"/>
      <c r="AT122" s="164"/>
      <c r="AU122" s="164"/>
      <c r="AV122" s="164"/>
      <c r="AW122" s="164"/>
      <c r="AX122" s="164"/>
    </row>
    <row r="123" spans="2:50" x14ac:dyDescent="0.25">
      <c r="U123" s="164"/>
      <c r="V123" s="164"/>
      <c r="W123" s="164"/>
      <c r="X123" s="164"/>
      <c r="Y123" s="164"/>
      <c r="Z123" s="164"/>
      <c r="AA123" s="164"/>
      <c r="AB123" s="164"/>
      <c r="AC123" s="164"/>
      <c r="AE123" s="164"/>
      <c r="AF123" s="164"/>
      <c r="AG123" s="164"/>
      <c r="AH123" s="164"/>
      <c r="AI123" s="164"/>
      <c r="AJ123" s="164"/>
      <c r="AK123" s="164"/>
      <c r="AL123" s="164"/>
      <c r="AM123" s="164"/>
      <c r="AN123" s="164"/>
      <c r="AO123" s="164"/>
      <c r="AP123" s="164"/>
      <c r="AQ123" s="164"/>
      <c r="AR123" s="164"/>
      <c r="AS123" s="164"/>
      <c r="AT123" s="164"/>
      <c r="AU123" s="164"/>
      <c r="AV123" s="164"/>
      <c r="AW123" s="164"/>
      <c r="AX123" s="164"/>
    </row>
    <row r="124" spans="2:50" x14ac:dyDescent="0.25">
      <c r="U124" s="164"/>
      <c r="V124" s="164"/>
      <c r="W124" s="164"/>
      <c r="X124" s="164"/>
      <c r="Y124" s="164"/>
      <c r="Z124" s="164"/>
      <c r="AA124" s="164"/>
      <c r="AB124" s="164"/>
      <c r="AC124" s="164"/>
      <c r="AE124" s="164"/>
      <c r="AF124" s="164"/>
      <c r="AG124" s="164"/>
      <c r="AH124" s="164"/>
      <c r="AI124" s="164"/>
      <c r="AJ124" s="164"/>
      <c r="AK124" s="164"/>
      <c r="AL124" s="164"/>
      <c r="AM124" s="164"/>
      <c r="AN124" s="164"/>
      <c r="AO124" s="164"/>
      <c r="AP124" s="164"/>
      <c r="AQ124" s="164"/>
      <c r="AR124" s="164"/>
      <c r="AS124" s="164"/>
      <c r="AT124" s="164"/>
      <c r="AU124" s="164"/>
      <c r="AV124" s="164"/>
      <c r="AW124" s="164"/>
      <c r="AX124" s="164"/>
    </row>
    <row r="125" spans="2:50" x14ac:dyDescent="0.25">
      <c r="U125" s="164"/>
      <c r="V125" s="164"/>
      <c r="W125" s="164"/>
      <c r="X125" s="164"/>
      <c r="Y125" s="164"/>
      <c r="Z125" s="164"/>
      <c r="AA125" s="164"/>
      <c r="AB125" s="164"/>
      <c r="AC125" s="164"/>
      <c r="AE125" s="164"/>
      <c r="AF125" s="164"/>
      <c r="AG125" s="164"/>
      <c r="AH125" s="164"/>
      <c r="AI125" s="164"/>
      <c r="AJ125" s="164"/>
      <c r="AK125" s="164"/>
      <c r="AL125" s="164"/>
      <c r="AM125" s="164"/>
      <c r="AN125" s="164"/>
      <c r="AO125" s="164"/>
      <c r="AP125" s="164"/>
      <c r="AQ125" s="164"/>
      <c r="AR125" s="164"/>
      <c r="AS125" s="164"/>
      <c r="AT125" s="164"/>
      <c r="AU125" s="164"/>
      <c r="AV125" s="164"/>
      <c r="AW125" s="164"/>
      <c r="AX125" s="164"/>
    </row>
    <row r="126" spans="2:50" x14ac:dyDescent="0.25">
      <c r="U126" s="164"/>
      <c r="V126" s="164"/>
      <c r="W126" s="164"/>
      <c r="X126" s="164"/>
      <c r="Y126" s="164"/>
      <c r="Z126" s="164"/>
      <c r="AA126" s="164"/>
      <c r="AB126" s="164"/>
      <c r="AC126" s="164"/>
      <c r="AE126" s="164"/>
      <c r="AF126" s="164"/>
      <c r="AG126" s="164"/>
      <c r="AH126" s="164"/>
      <c r="AI126" s="164"/>
      <c r="AJ126" s="164"/>
      <c r="AK126" s="164"/>
      <c r="AL126" s="164"/>
      <c r="AM126" s="164"/>
      <c r="AN126" s="164"/>
      <c r="AO126" s="164"/>
      <c r="AP126" s="164"/>
      <c r="AQ126" s="164"/>
      <c r="AR126" s="164"/>
      <c r="AS126" s="164"/>
      <c r="AT126" s="164"/>
      <c r="AU126" s="164"/>
      <c r="AV126" s="164"/>
      <c r="AW126" s="164"/>
      <c r="AX126" s="164"/>
    </row>
    <row r="127" spans="2:50" x14ac:dyDescent="0.25">
      <c r="U127" s="164"/>
      <c r="V127" s="164"/>
      <c r="W127" s="164"/>
      <c r="X127" s="164"/>
      <c r="Y127" s="164"/>
      <c r="Z127" s="164"/>
      <c r="AA127" s="164"/>
      <c r="AB127" s="164"/>
      <c r="AC127" s="164"/>
      <c r="AE127" s="164"/>
      <c r="AF127" s="164"/>
      <c r="AG127" s="164"/>
      <c r="AH127" s="164"/>
      <c r="AI127" s="164"/>
      <c r="AJ127" s="164"/>
      <c r="AK127" s="164"/>
      <c r="AL127" s="164"/>
      <c r="AM127" s="164"/>
      <c r="AN127" s="164"/>
      <c r="AO127" s="164"/>
      <c r="AP127" s="164"/>
      <c r="AQ127" s="164"/>
      <c r="AR127" s="164"/>
      <c r="AS127" s="164"/>
      <c r="AT127" s="164"/>
      <c r="AU127" s="164"/>
      <c r="AV127" s="164"/>
      <c r="AW127" s="164"/>
      <c r="AX127" s="164"/>
    </row>
    <row r="128" spans="2:50" x14ac:dyDescent="0.25">
      <c r="U128" s="164"/>
      <c r="V128" s="164"/>
      <c r="W128" s="164"/>
      <c r="X128" s="164"/>
      <c r="Y128" s="164"/>
      <c r="Z128" s="164"/>
      <c r="AA128" s="164"/>
      <c r="AB128" s="164"/>
      <c r="AC128" s="164"/>
      <c r="AE128" s="164"/>
      <c r="AF128" s="164"/>
      <c r="AG128" s="164"/>
      <c r="AH128" s="164"/>
      <c r="AI128" s="164"/>
      <c r="AJ128" s="164"/>
      <c r="AK128" s="164"/>
      <c r="AL128" s="164"/>
      <c r="AM128" s="164"/>
      <c r="AN128" s="164"/>
      <c r="AO128" s="164"/>
      <c r="AP128" s="164"/>
      <c r="AQ128" s="164"/>
      <c r="AR128" s="164"/>
      <c r="AS128" s="164"/>
      <c r="AT128" s="164"/>
      <c r="AU128" s="164"/>
      <c r="AV128" s="164"/>
      <c r="AW128" s="164"/>
      <c r="AX128" s="164"/>
    </row>
    <row r="129" spans="21:50" x14ac:dyDescent="0.25">
      <c r="U129" s="164"/>
      <c r="V129" s="164"/>
      <c r="W129" s="164"/>
      <c r="X129" s="164"/>
      <c r="Y129" s="164"/>
      <c r="Z129" s="164"/>
      <c r="AA129" s="164"/>
      <c r="AB129" s="164"/>
      <c r="AC129" s="164"/>
      <c r="AE129" s="164"/>
      <c r="AF129" s="164"/>
      <c r="AG129" s="164"/>
      <c r="AH129" s="164"/>
      <c r="AI129" s="164"/>
      <c r="AJ129" s="164"/>
      <c r="AK129" s="164"/>
      <c r="AL129" s="164"/>
      <c r="AM129" s="164"/>
      <c r="AN129" s="164"/>
      <c r="AO129" s="164"/>
      <c r="AP129" s="164"/>
      <c r="AQ129" s="164"/>
      <c r="AR129" s="164"/>
      <c r="AS129" s="164"/>
      <c r="AT129" s="164"/>
      <c r="AU129" s="164"/>
      <c r="AV129" s="164"/>
      <c r="AW129" s="164"/>
      <c r="AX129" s="164"/>
    </row>
    <row r="130" spans="21:50" x14ac:dyDescent="0.25">
      <c r="U130" s="164"/>
      <c r="V130" s="164"/>
      <c r="W130" s="164"/>
      <c r="X130" s="164"/>
      <c r="Y130" s="164"/>
      <c r="Z130" s="164"/>
      <c r="AA130" s="164"/>
      <c r="AB130" s="164"/>
      <c r="AC130" s="164"/>
      <c r="AE130" s="164"/>
      <c r="AF130" s="164"/>
      <c r="AG130" s="164"/>
      <c r="AH130" s="164"/>
      <c r="AI130" s="164"/>
      <c r="AJ130" s="164"/>
      <c r="AK130" s="164"/>
      <c r="AL130" s="164"/>
      <c r="AM130" s="164"/>
      <c r="AN130" s="164"/>
      <c r="AO130" s="164"/>
      <c r="AP130" s="164"/>
      <c r="AQ130" s="164"/>
      <c r="AR130" s="164"/>
      <c r="AS130" s="164"/>
      <c r="AT130" s="164"/>
      <c r="AU130" s="164"/>
      <c r="AV130" s="164"/>
      <c r="AW130" s="164"/>
      <c r="AX130" s="164"/>
    </row>
    <row r="131" spans="21:50" x14ac:dyDescent="0.25">
      <c r="U131" s="164"/>
      <c r="V131" s="164"/>
      <c r="W131" s="164"/>
      <c r="X131" s="164"/>
      <c r="Y131" s="164"/>
      <c r="Z131" s="164"/>
      <c r="AA131" s="164"/>
      <c r="AB131" s="164"/>
      <c r="AC131" s="164"/>
      <c r="AE131" s="164"/>
      <c r="AF131" s="164"/>
      <c r="AG131" s="164"/>
      <c r="AH131" s="164"/>
      <c r="AI131" s="164"/>
      <c r="AJ131" s="164"/>
      <c r="AK131" s="164"/>
      <c r="AL131" s="164"/>
      <c r="AM131" s="164"/>
      <c r="AN131" s="164"/>
      <c r="AO131" s="164"/>
      <c r="AP131" s="164"/>
      <c r="AQ131" s="164"/>
      <c r="AR131" s="164"/>
      <c r="AS131" s="164"/>
      <c r="AT131" s="164"/>
      <c r="AU131" s="164"/>
      <c r="AV131" s="164"/>
      <c r="AW131" s="164"/>
      <c r="AX131" s="164"/>
    </row>
    <row r="132" spans="21:50" x14ac:dyDescent="0.25">
      <c r="U132" s="164"/>
      <c r="V132" s="164"/>
      <c r="W132" s="164"/>
      <c r="X132" s="164"/>
      <c r="Y132" s="164"/>
      <c r="Z132" s="164"/>
      <c r="AA132" s="164"/>
      <c r="AB132" s="164"/>
      <c r="AC132" s="164"/>
      <c r="AE132" s="164"/>
      <c r="AF132" s="164"/>
      <c r="AG132" s="164"/>
      <c r="AH132" s="164"/>
      <c r="AI132" s="164"/>
      <c r="AJ132" s="164"/>
      <c r="AK132" s="164"/>
      <c r="AL132" s="164"/>
      <c r="AM132" s="164"/>
      <c r="AN132" s="164"/>
      <c r="AO132" s="164"/>
      <c r="AP132" s="164"/>
      <c r="AQ132" s="164"/>
      <c r="AR132" s="164"/>
      <c r="AS132" s="164"/>
      <c r="AT132" s="164"/>
      <c r="AU132" s="164"/>
      <c r="AV132" s="164"/>
      <c r="AW132" s="164"/>
      <c r="AX132" s="164"/>
    </row>
    <row r="133" spans="21:50" x14ac:dyDescent="0.25">
      <c r="U133" s="164"/>
      <c r="V133" s="164"/>
      <c r="W133" s="164"/>
      <c r="X133" s="164"/>
      <c r="Y133" s="164"/>
      <c r="Z133" s="164"/>
      <c r="AA133" s="164"/>
      <c r="AB133" s="164"/>
      <c r="AC133" s="164"/>
      <c r="AE133" s="164"/>
      <c r="AF133" s="164"/>
      <c r="AG133" s="164"/>
      <c r="AH133" s="164"/>
      <c r="AI133" s="164"/>
      <c r="AJ133" s="164"/>
      <c r="AK133" s="164"/>
      <c r="AL133" s="164"/>
      <c r="AM133" s="164"/>
      <c r="AN133" s="164"/>
      <c r="AO133" s="164"/>
      <c r="AP133" s="164"/>
      <c r="AQ133" s="164"/>
      <c r="AR133" s="164"/>
      <c r="AS133" s="164"/>
      <c r="AT133" s="164"/>
      <c r="AU133" s="164"/>
      <c r="AV133" s="164"/>
      <c r="AW133" s="164"/>
      <c r="AX133" s="164"/>
    </row>
    <row r="134" spans="21:50" x14ac:dyDescent="0.25">
      <c r="U134" s="164"/>
      <c r="V134" s="164"/>
      <c r="W134" s="164"/>
      <c r="X134" s="164"/>
      <c r="Y134" s="164"/>
      <c r="Z134" s="164"/>
      <c r="AA134" s="164"/>
      <c r="AB134" s="164"/>
      <c r="AC134" s="164"/>
      <c r="AE134" s="164"/>
      <c r="AF134" s="164"/>
      <c r="AG134" s="164"/>
      <c r="AH134" s="164"/>
      <c r="AI134" s="164"/>
      <c r="AJ134" s="164"/>
      <c r="AK134" s="164"/>
      <c r="AL134" s="164"/>
      <c r="AM134" s="164"/>
      <c r="AN134" s="164"/>
      <c r="AO134" s="164"/>
      <c r="AP134" s="164"/>
      <c r="AQ134" s="164"/>
      <c r="AR134" s="164"/>
      <c r="AS134" s="164"/>
      <c r="AT134" s="164"/>
      <c r="AU134" s="164"/>
      <c r="AV134" s="164"/>
      <c r="AW134" s="164"/>
      <c r="AX134" s="164"/>
    </row>
    <row r="135" spans="21:50" x14ac:dyDescent="0.25">
      <c r="U135" s="164"/>
      <c r="V135" s="164"/>
      <c r="W135" s="164"/>
      <c r="X135" s="164"/>
      <c r="Y135" s="164"/>
      <c r="Z135" s="164"/>
      <c r="AA135" s="164"/>
      <c r="AB135" s="164"/>
      <c r="AC135" s="164"/>
      <c r="AE135" s="164"/>
      <c r="AF135" s="164"/>
      <c r="AG135" s="164"/>
      <c r="AH135" s="164"/>
      <c r="AI135" s="164"/>
      <c r="AJ135" s="164"/>
      <c r="AK135" s="164"/>
      <c r="AL135" s="164"/>
      <c r="AM135" s="164"/>
      <c r="AN135" s="164"/>
      <c r="AO135" s="164"/>
      <c r="AP135" s="164"/>
      <c r="AQ135" s="164"/>
      <c r="AR135" s="164"/>
      <c r="AS135" s="164"/>
      <c r="AT135" s="164"/>
      <c r="AU135" s="164"/>
      <c r="AV135" s="164"/>
      <c r="AW135" s="164"/>
      <c r="AX135" s="164"/>
    </row>
    <row r="136" spans="21:50" x14ac:dyDescent="0.25">
      <c r="U136" s="164"/>
      <c r="V136" s="164"/>
      <c r="W136" s="164"/>
      <c r="X136" s="164"/>
      <c r="Y136" s="164"/>
      <c r="Z136" s="164"/>
      <c r="AA136" s="164"/>
      <c r="AB136" s="164"/>
      <c r="AC136" s="164"/>
      <c r="AE136" s="164"/>
      <c r="AF136" s="164"/>
      <c r="AG136" s="164"/>
      <c r="AH136" s="164"/>
      <c r="AI136" s="164"/>
      <c r="AJ136" s="164"/>
      <c r="AK136" s="164"/>
      <c r="AL136" s="164"/>
      <c r="AM136" s="164"/>
      <c r="AN136" s="164"/>
      <c r="AO136" s="164"/>
      <c r="AP136" s="164"/>
      <c r="AQ136" s="164"/>
      <c r="AR136" s="164"/>
      <c r="AS136" s="164"/>
      <c r="AT136" s="164"/>
      <c r="AU136" s="164"/>
      <c r="AV136" s="164"/>
      <c r="AW136" s="164"/>
      <c r="AX136" s="164"/>
    </row>
    <row r="137" spans="21:50" x14ac:dyDescent="0.25">
      <c r="U137" s="164"/>
      <c r="V137" s="164"/>
      <c r="W137" s="164"/>
      <c r="X137" s="164"/>
      <c r="Y137" s="164"/>
      <c r="Z137" s="164"/>
      <c r="AA137" s="164"/>
      <c r="AB137" s="164"/>
      <c r="AC137" s="164"/>
      <c r="AE137" s="164"/>
      <c r="AF137" s="164"/>
      <c r="AG137" s="164"/>
      <c r="AH137" s="164"/>
      <c r="AI137" s="164"/>
      <c r="AJ137" s="164"/>
      <c r="AK137" s="164"/>
      <c r="AL137" s="164"/>
      <c r="AM137" s="164"/>
      <c r="AN137" s="164"/>
      <c r="AO137" s="164"/>
      <c r="AP137" s="164"/>
      <c r="AQ137" s="164"/>
      <c r="AR137" s="164"/>
      <c r="AS137" s="164"/>
      <c r="AT137" s="164"/>
      <c r="AU137" s="164"/>
      <c r="AV137" s="164"/>
      <c r="AW137" s="164"/>
      <c r="AX137" s="164"/>
    </row>
    <row r="138" spans="21:50" x14ac:dyDescent="0.25">
      <c r="U138" s="164"/>
      <c r="V138" s="164"/>
      <c r="W138" s="164"/>
      <c r="X138" s="164"/>
      <c r="Y138" s="164"/>
      <c r="Z138" s="164"/>
      <c r="AA138" s="164"/>
      <c r="AB138" s="164"/>
      <c r="AC138" s="164"/>
      <c r="AE138" s="164"/>
      <c r="AF138" s="164"/>
      <c r="AG138" s="164"/>
      <c r="AH138" s="164"/>
      <c r="AI138" s="164"/>
      <c r="AJ138" s="164"/>
      <c r="AK138" s="164"/>
      <c r="AL138" s="164"/>
      <c r="AM138" s="164"/>
      <c r="AN138" s="164"/>
      <c r="AO138" s="164"/>
      <c r="AP138" s="164"/>
      <c r="AQ138" s="164"/>
      <c r="AR138" s="164"/>
      <c r="AS138" s="164"/>
      <c r="AT138" s="164"/>
      <c r="AU138" s="164"/>
      <c r="AV138" s="164"/>
      <c r="AW138" s="164"/>
      <c r="AX138" s="164"/>
    </row>
    <row r="139" spans="21:50" x14ac:dyDescent="0.25">
      <c r="U139" s="164"/>
      <c r="V139" s="164"/>
      <c r="W139" s="164"/>
      <c r="X139" s="164"/>
      <c r="Y139" s="164"/>
      <c r="Z139" s="164"/>
      <c r="AA139" s="164"/>
      <c r="AB139" s="164"/>
      <c r="AC139" s="164"/>
      <c r="AE139" s="164"/>
      <c r="AF139" s="164"/>
      <c r="AG139" s="164"/>
      <c r="AH139" s="164"/>
      <c r="AI139" s="164"/>
      <c r="AJ139" s="164"/>
      <c r="AK139" s="164"/>
      <c r="AL139" s="164"/>
      <c r="AM139" s="164"/>
      <c r="AN139" s="164"/>
      <c r="AO139" s="164"/>
      <c r="AP139" s="164"/>
      <c r="AQ139" s="164"/>
      <c r="AR139" s="164"/>
      <c r="AS139" s="164"/>
      <c r="AT139" s="164"/>
      <c r="AU139" s="164"/>
      <c r="AV139" s="164"/>
      <c r="AW139" s="164"/>
      <c r="AX139" s="164"/>
    </row>
    <row r="140" spans="21:50" x14ac:dyDescent="0.25">
      <c r="U140" s="164"/>
      <c r="V140" s="164"/>
      <c r="W140" s="164"/>
      <c r="X140" s="164"/>
      <c r="Y140" s="164"/>
      <c r="Z140" s="164"/>
      <c r="AA140" s="164"/>
      <c r="AB140" s="164"/>
      <c r="AC140" s="164"/>
      <c r="AE140" s="164"/>
      <c r="AF140" s="164"/>
      <c r="AG140" s="164"/>
      <c r="AH140" s="164"/>
      <c r="AI140" s="164"/>
      <c r="AJ140" s="164"/>
      <c r="AK140" s="164"/>
      <c r="AL140" s="164"/>
      <c r="AM140" s="164"/>
      <c r="AN140" s="164"/>
      <c r="AO140" s="164"/>
      <c r="AP140" s="164"/>
      <c r="AQ140" s="164"/>
      <c r="AR140" s="164"/>
      <c r="AS140" s="164"/>
      <c r="AT140" s="164"/>
      <c r="AU140" s="164"/>
      <c r="AV140" s="164"/>
      <c r="AW140" s="164"/>
      <c r="AX140" s="164"/>
    </row>
    <row r="141" spans="21:50" x14ac:dyDescent="0.25">
      <c r="U141" s="164"/>
      <c r="V141" s="164"/>
      <c r="W141" s="164"/>
      <c r="X141" s="164"/>
      <c r="Y141" s="164"/>
      <c r="Z141" s="164"/>
      <c r="AA141" s="164"/>
      <c r="AB141" s="164"/>
      <c r="AC141" s="164"/>
      <c r="AE141" s="164"/>
      <c r="AF141" s="164"/>
      <c r="AG141" s="164"/>
      <c r="AH141" s="164"/>
      <c r="AI141" s="164"/>
      <c r="AJ141" s="164"/>
      <c r="AK141" s="164"/>
      <c r="AL141" s="164"/>
      <c r="AM141" s="164"/>
      <c r="AN141" s="164"/>
      <c r="AO141" s="164"/>
      <c r="AP141" s="164"/>
      <c r="AQ141" s="164"/>
      <c r="AR141" s="164"/>
      <c r="AS141" s="164"/>
      <c r="AT141" s="164"/>
      <c r="AU141" s="164"/>
      <c r="AV141" s="164"/>
      <c r="AW141" s="164"/>
      <c r="AX141" s="164"/>
    </row>
    <row r="142" spans="21:50" x14ac:dyDescent="0.25">
      <c r="U142" s="164"/>
      <c r="V142" s="164"/>
      <c r="W142" s="164"/>
      <c r="X142" s="164"/>
      <c r="Y142" s="164"/>
      <c r="Z142" s="164"/>
      <c r="AA142" s="164"/>
      <c r="AB142" s="164"/>
      <c r="AC142" s="164"/>
      <c r="AE142" s="164"/>
      <c r="AF142" s="164"/>
      <c r="AG142" s="164"/>
      <c r="AH142" s="164"/>
      <c r="AI142" s="164"/>
      <c r="AJ142" s="164"/>
      <c r="AK142" s="164"/>
      <c r="AL142" s="164"/>
      <c r="AM142" s="164"/>
      <c r="AN142" s="164"/>
      <c r="AO142" s="164"/>
      <c r="AP142" s="164"/>
      <c r="AQ142" s="164"/>
      <c r="AR142" s="164"/>
      <c r="AS142" s="164"/>
      <c r="AT142" s="164"/>
      <c r="AU142" s="164"/>
      <c r="AV142" s="164"/>
      <c r="AW142" s="164"/>
      <c r="AX142" s="164"/>
    </row>
    <row r="143" spans="21:50" x14ac:dyDescent="0.25">
      <c r="U143" s="164"/>
      <c r="V143" s="164"/>
      <c r="W143" s="164"/>
      <c r="X143" s="164"/>
      <c r="Y143" s="164"/>
      <c r="Z143" s="164"/>
      <c r="AA143" s="164"/>
      <c r="AB143" s="164"/>
      <c r="AC143" s="164"/>
      <c r="AE143" s="164"/>
      <c r="AF143" s="164"/>
      <c r="AG143" s="164"/>
      <c r="AH143" s="164"/>
      <c r="AI143" s="164"/>
      <c r="AJ143" s="164"/>
      <c r="AK143" s="164"/>
      <c r="AL143" s="164"/>
      <c r="AM143" s="164"/>
      <c r="AN143" s="164"/>
      <c r="AO143" s="164"/>
      <c r="AP143" s="164"/>
      <c r="AQ143" s="164"/>
      <c r="AR143" s="164"/>
      <c r="AS143" s="164"/>
      <c r="AT143" s="164"/>
      <c r="AU143" s="164"/>
      <c r="AV143" s="164"/>
      <c r="AW143" s="164"/>
      <c r="AX143" s="164"/>
    </row>
    <row r="144" spans="21:50" x14ac:dyDescent="0.25">
      <c r="U144" s="164"/>
      <c r="V144" s="164"/>
      <c r="W144" s="164"/>
      <c r="X144" s="164"/>
      <c r="Y144" s="164"/>
      <c r="Z144" s="164"/>
      <c r="AA144" s="164"/>
      <c r="AB144" s="164"/>
      <c r="AC144" s="164"/>
      <c r="AE144" s="164"/>
      <c r="AF144" s="164"/>
      <c r="AG144" s="164"/>
      <c r="AH144" s="164"/>
      <c r="AI144" s="164"/>
      <c r="AJ144" s="164"/>
      <c r="AK144" s="164"/>
      <c r="AL144" s="164"/>
      <c r="AM144" s="164"/>
      <c r="AN144" s="164"/>
      <c r="AO144" s="164"/>
      <c r="AP144" s="164"/>
      <c r="AQ144" s="164"/>
      <c r="AR144" s="164"/>
      <c r="AS144" s="164"/>
      <c r="AT144" s="164"/>
      <c r="AU144" s="164"/>
      <c r="AV144" s="164"/>
      <c r="AW144" s="164"/>
      <c r="AX144" s="164"/>
    </row>
    <row r="145" spans="21:50" x14ac:dyDescent="0.25">
      <c r="U145" s="164"/>
      <c r="V145" s="164"/>
      <c r="W145" s="164"/>
      <c r="X145" s="164"/>
      <c r="Y145" s="164"/>
      <c r="Z145" s="164"/>
      <c r="AA145" s="164"/>
      <c r="AB145" s="164"/>
      <c r="AC145" s="164"/>
      <c r="AE145" s="164"/>
      <c r="AF145" s="164"/>
      <c r="AG145" s="164"/>
      <c r="AH145" s="164"/>
      <c r="AI145" s="164"/>
      <c r="AJ145" s="164"/>
      <c r="AK145" s="164"/>
      <c r="AL145" s="164"/>
      <c r="AM145" s="164"/>
      <c r="AN145" s="164"/>
      <c r="AO145" s="164"/>
      <c r="AP145" s="164"/>
      <c r="AQ145" s="164"/>
      <c r="AR145" s="164"/>
      <c r="AS145" s="164"/>
      <c r="AT145" s="164"/>
      <c r="AU145" s="164"/>
      <c r="AV145" s="164"/>
      <c r="AW145" s="164"/>
      <c r="AX145" s="164"/>
    </row>
    <row r="146" spans="21:50" x14ac:dyDescent="0.25">
      <c r="U146" s="164"/>
      <c r="V146" s="164"/>
      <c r="W146" s="164"/>
      <c r="X146" s="164"/>
      <c r="Y146" s="164"/>
      <c r="Z146" s="164"/>
      <c r="AA146" s="164"/>
      <c r="AB146" s="164"/>
      <c r="AC146" s="164"/>
      <c r="AE146" s="164"/>
      <c r="AF146" s="164"/>
      <c r="AG146" s="164"/>
      <c r="AH146" s="164"/>
      <c r="AI146" s="164"/>
      <c r="AJ146" s="164"/>
      <c r="AK146" s="164"/>
      <c r="AL146" s="164"/>
      <c r="AM146" s="164"/>
      <c r="AN146" s="164"/>
      <c r="AO146" s="164"/>
      <c r="AP146" s="164"/>
      <c r="AQ146" s="164"/>
      <c r="AR146" s="164"/>
      <c r="AS146" s="164"/>
      <c r="AT146" s="164"/>
      <c r="AU146" s="164"/>
      <c r="AV146" s="164"/>
      <c r="AW146" s="164"/>
      <c r="AX146" s="164"/>
    </row>
    <row r="147" spans="21:50" x14ac:dyDescent="0.25">
      <c r="U147" s="164"/>
      <c r="V147" s="164"/>
      <c r="W147" s="164"/>
      <c r="X147" s="164"/>
      <c r="Y147" s="164"/>
      <c r="Z147" s="164"/>
      <c r="AA147" s="164"/>
      <c r="AB147" s="164"/>
      <c r="AC147" s="164"/>
      <c r="AE147" s="164"/>
      <c r="AF147" s="164"/>
      <c r="AG147" s="164"/>
      <c r="AH147" s="164"/>
      <c r="AI147" s="164"/>
      <c r="AJ147" s="164"/>
      <c r="AK147" s="164"/>
      <c r="AL147" s="164"/>
      <c r="AM147" s="164"/>
      <c r="AN147" s="164"/>
      <c r="AO147" s="164"/>
      <c r="AP147" s="164"/>
      <c r="AQ147" s="164"/>
      <c r="AR147" s="164"/>
      <c r="AS147" s="164"/>
      <c r="AT147" s="164"/>
      <c r="AU147" s="164"/>
      <c r="AV147" s="164"/>
      <c r="AW147" s="164"/>
      <c r="AX147" s="164"/>
    </row>
    <row r="148" spans="21:50" x14ac:dyDescent="0.25">
      <c r="U148" s="164"/>
      <c r="V148" s="164"/>
      <c r="W148" s="164"/>
      <c r="X148" s="164"/>
      <c r="Y148" s="164"/>
      <c r="Z148" s="164"/>
      <c r="AA148" s="164"/>
      <c r="AB148" s="164"/>
      <c r="AC148" s="164"/>
      <c r="AE148" s="164"/>
      <c r="AF148" s="164"/>
      <c r="AG148" s="164"/>
      <c r="AH148" s="164"/>
      <c r="AI148" s="164"/>
      <c r="AJ148" s="164"/>
      <c r="AK148" s="164"/>
      <c r="AL148" s="164"/>
      <c r="AM148" s="164"/>
      <c r="AN148" s="164"/>
      <c r="AO148" s="164"/>
      <c r="AP148" s="164"/>
      <c r="AQ148" s="164"/>
      <c r="AR148" s="164"/>
      <c r="AS148" s="164"/>
      <c r="AT148" s="164"/>
      <c r="AU148" s="164"/>
      <c r="AV148" s="164"/>
      <c r="AW148" s="164"/>
      <c r="AX148" s="164"/>
    </row>
    <row r="149" spans="21:50" x14ac:dyDescent="0.25">
      <c r="U149" s="164"/>
      <c r="V149" s="164"/>
      <c r="W149" s="164"/>
      <c r="X149" s="164"/>
      <c r="Y149" s="164"/>
      <c r="Z149" s="164"/>
      <c r="AA149" s="164"/>
      <c r="AB149" s="164"/>
      <c r="AC149" s="164"/>
      <c r="AE149" s="164"/>
      <c r="AF149" s="164"/>
      <c r="AG149" s="164"/>
      <c r="AH149" s="164"/>
      <c r="AI149" s="164"/>
      <c r="AJ149" s="164"/>
      <c r="AK149" s="164"/>
      <c r="AL149" s="164"/>
      <c r="AM149" s="164"/>
      <c r="AN149" s="164"/>
      <c r="AO149" s="164"/>
      <c r="AP149" s="164"/>
      <c r="AQ149" s="164"/>
      <c r="AR149" s="164"/>
      <c r="AS149" s="164"/>
      <c r="AT149" s="164"/>
      <c r="AU149" s="164"/>
      <c r="AV149" s="164"/>
      <c r="AW149" s="164"/>
      <c r="AX149" s="164"/>
    </row>
    <row r="150" spans="21:50" x14ac:dyDescent="0.25">
      <c r="U150" s="164"/>
      <c r="V150" s="164"/>
      <c r="W150" s="164"/>
      <c r="X150" s="164"/>
      <c r="Y150" s="164"/>
      <c r="Z150" s="164"/>
      <c r="AA150" s="164"/>
      <c r="AB150" s="164"/>
      <c r="AC150" s="164"/>
      <c r="AE150" s="164"/>
      <c r="AF150" s="164"/>
      <c r="AG150" s="164"/>
      <c r="AH150" s="164"/>
      <c r="AI150" s="164"/>
      <c r="AJ150" s="164"/>
      <c r="AK150" s="164"/>
      <c r="AL150" s="164"/>
      <c r="AM150" s="164"/>
      <c r="AN150" s="164"/>
      <c r="AO150" s="164"/>
      <c r="AP150" s="164"/>
      <c r="AQ150" s="164"/>
      <c r="AR150" s="164"/>
      <c r="AS150" s="164"/>
      <c r="AT150" s="164"/>
      <c r="AU150" s="164"/>
      <c r="AV150" s="164"/>
      <c r="AW150" s="164"/>
      <c r="AX150" s="164"/>
    </row>
    <row r="151" spans="21:50" x14ac:dyDescent="0.25">
      <c r="U151" s="164"/>
      <c r="V151" s="164"/>
      <c r="W151" s="164"/>
      <c r="X151" s="164"/>
      <c r="Y151" s="164"/>
      <c r="Z151" s="164"/>
      <c r="AA151" s="164"/>
      <c r="AB151" s="164"/>
      <c r="AC151" s="164"/>
      <c r="AE151" s="164"/>
      <c r="AF151" s="164"/>
      <c r="AG151" s="164"/>
      <c r="AH151" s="164"/>
      <c r="AI151" s="164"/>
      <c r="AJ151" s="164"/>
      <c r="AK151" s="164"/>
      <c r="AL151" s="164"/>
      <c r="AM151" s="164"/>
      <c r="AN151" s="164"/>
      <c r="AO151" s="164"/>
      <c r="AP151" s="164"/>
      <c r="AQ151" s="164"/>
      <c r="AR151" s="164"/>
      <c r="AS151" s="164"/>
      <c r="AT151" s="164"/>
      <c r="AU151" s="164"/>
      <c r="AV151" s="164"/>
      <c r="AW151" s="164"/>
      <c r="AX151" s="164"/>
    </row>
    <row r="152" spans="21:50" x14ac:dyDescent="0.25">
      <c r="U152" s="164"/>
      <c r="V152" s="164"/>
      <c r="W152" s="164"/>
      <c r="X152" s="164"/>
      <c r="Y152" s="164"/>
      <c r="Z152" s="164"/>
      <c r="AA152" s="164"/>
      <c r="AB152" s="164"/>
      <c r="AC152" s="164"/>
      <c r="AE152" s="164"/>
      <c r="AF152" s="164"/>
      <c r="AG152" s="164"/>
      <c r="AH152" s="164"/>
      <c r="AI152" s="164"/>
      <c r="AJ152" s="164"/>
      <c r="AK152" s="164"/>
      <c r="AL152" s="164"/>
      <c r="AM152" s="164"/>
      <c r="AN152" s="164"/>
      <c r="AO152" s="164"/>
      <c r="AP152" s="164"/>
      <c r="AQ152" s="164"/>
      <c r="AR152" s="164"/>
      <c r="AS152" s="164"/>
      <c r="AT152" s="164"/>
      <c r="AU152" s="164"/>
      <c r="AV152" s="164"/>
      <c r="AW152" s="164"/>
      <c r="AX152" s="164"/>
    </row>
    <row r="153" spans="21:50" x14ac:dyDescent="0.25">
      <c r="U153" s="164"/>
      <c r="V153" s="164"/>
      <c r="W153" s="164"/>
      <c r="X153" s="164"/>
      <c r="Y153" s="164"/>
      <c r="Z153" s="164"/>
      <c r="AA153" s="164"/>
      <c r="AB153" s="164"/>
      <c r="AC153" s="164"/>
      <c r="AE153" s="164"/>
      <c r="AF153" s="164"/>
      <c r="AG153" s="164"/>
      <c r="AH153" s="164"/>
      <c r="AI153" s="164"/>
      <c r="AJ153" s="164"/>
      <c r="AK153" s="164"/>
      <c r="AL153" s="164"/>
      <c r="AM153" s="164"/>
      <c r="AN153" s="164"/>
      <c r="AO153" s="164"/>
      <c r="AP153" s="164"/>
      <c r="AQ153" s="164"/>
      <c r="AR153" s="164"/>
      <c r="AS153" s="164"/>
      <c r="AT153" s="164"/>
      <c r="AU153" s="164"/>
      <c r="AV153" s="164"/>
      <c r="AW153" s="164"/>
      <c r="AX153" s="164"/>
    </row>
    <row r="154" spans="21:50" x14ac:dyDescent="0.25">
      <c r="U154" s="164"/>
      <c r="V154" s="164"/>
      <c r="W154" s="164"/>
      <c r="X154" s="164"/>
      <c r="Y154" s="164"/>
      <c r="Z154" s="164"/>
      <c r="AA154" s="164"/>
      <c r="AB154" s="164"/>
      <c r="AC154" s="164"/>
      <c r="AE154" s="164"/>
      <c r="AF154" s="164"/>
      <c r="AG154" s="164"/>
      <c r="AH154" s="164"/>
      <c r="AI154" s="164"/>
      <c r="AJ154" s="164"/>
      <c r="AK154" s="164"/>
      <c r="AL154" s="164"/>
      <c r="AM154" s="164"/>
      <c r="AN154" s="164"/>
      <c r="AO154" s="164"/>
      <c r="AP154" s="164"/>
      <c r="AQ154" s="164"/>
      <c r="AR154" s="164"/>
      <c r="AS154" s="164"/>
      <c r="AT154" s="164"/>
      <c r="AU154" s="164"/>
      <c r="AV154" s="164"/>
      <c r="AW154" s="164"/>
      <c r="AX154" s="164"/>
    </row>
    <row r="155" spans="21:50" x14ac:dyDescent="0.25">
      <c r="U155" s="164"/>
      <c r="V155" s="164"/>
      <c r="W155" s="164"/>
      <c r="X155" s="164"/>
      <c r="Y155" s="164"/>
      <c r="Z155" s="164"/>
      <c r="AA155" s="164"/>
      <c r="AB155" s="164"/>
      <c r="AC155" s="164"/>
      <c r="AE155" s="164"/>
      <c r="AF155" s="164"/>
      <c r="AG155" s="164"/>
      <c r="AH155" s="164"/>
      <c r="AI155" s="164"/>
      <c r="AJ155" s="164"/>
      <c r="AK155" s="164"/>
      <c r="AL155" s="164"/>
      <c r="AM155" s="164"/>
      <c r="AN155" s="164"/>
      <c r="AO155" s="164"/>
      <c r="AP155" s="164"/>
      <c r="AQ155" s="164"/>
      <c r="AR155" s="164"/>
      <c r="AS155" s="164"/>
      <c r="AT155" s="164"/>
      <c r="AU155" s="164"/>
      <c r="AV155" s="164"/>
      <c r="AW155" s="164"/>
      <c r="AX155" s="164"/>
    </row>
    <row r="156" spans="21:50" x14ac:dyDescent="0.25">
      <c r="U156" s="164"/>
      <c r="V156" s="164"/>
      <c r="W156" s="164"/>
      <c r="X156" s="164"/>
      <c r="Y156" s="164"/>
      <c r="Z156" s="164"/>
      <c r="AA156" s="164"/>
      <c r="AB156" s="164"/>
      <c r="AC156" s="164"/>
      <c r="AE156" s="164"/>
      <c r="AF156" s="164"/>
      <c r="AG156" s="164"/>
      <c r="AH156" s="164"/>
      <c r="AI156" s="164"/>
      <c r="AJ156" s="164"/>
      <c r="AK156" s="164"/>
      <c r="AL156" s="164"/>
      <c r="AM156" s="164"/>
      <c r="AN156" s="164"/>
      <c r="AO156" s="164"/>
      <c r="AP156" s="164"/>
      <c r="AQ156" s="164"/>
      <c r="AR156" s="164"/>
      <c r="AS156" s="164"/>
      <c r="AT156" s="164"/>
      <c r="AU156" s="164"/>
      <c r="AV156" s="164"/>
      <c r="AW156" s="164"/>
      <c r="AX156" s="164"/>
    </row>
    <row r="157" spans="21:50" x14ac:dyDescent="0.25">
      <c r="U157" s="164"/>
      <c r="V157" s="164"/>
      <c r="W157" s="164"/>
      <c r="X157" s="164"/>
      <c r="Y157" s="164"/>
      <c r="Z157" s="164"/>
      <c r="AA157" s="164"/>
      <c r="AB157" s="164"/>
      <c r="AC157" s="164"/>
      <c r="AE157" s="164"/>
      <c r="AF157" s="164"/>
      <c r="AG157" s="164"/>
      <c r="AH157" s="164"/>
      <c r="AI157" s="164"/>
      <c r="AJ157" s="164"/>
      <c r="AK157" s="164"/>
      <c r="AL157" s="164"/>
      <c r="AM157" s="164"/>
      <c r="AN157" s="164"/>
      <c r="AO157" s="164"/>
      <c r="AP157" s="164"/>
      <c r="AQ157" s="164"/>
      <c r="AR157" s="164"/>
      <c r="AS157" s="164"/>
      <c r="AT157" s="164"/>
      <c r="AU157" s="164"/>
      <c r="AV157" s="164"/>
      <c r="AW157" s="164"/>
      <c r="AX157" s="164"/>
    </row>
    <row r="158" spans="21:50" x14ac:dyDescent="0.25">
      <c r="U158" s="164"/>
      <c r="V158" s="164"/>
      <c r="W158" s="164"/>
      <c r="X158" s="164"/>
      <c r="Y158" s="164"/>
      <c r="Z158" s="164"/>
      <c r="AA158" s="164"/>
      <c r="AB158" s="164"/>
      <c r="AC158" s="164"/>
      <c r="AE158" s="164"/>
      <c r="AF158" s="164"/>
      <c r="AG158" s="164"/>
      <c r="AH158" s="164"/>
      <c r="AI158" s="164"/>
      <c r="AJ158" s="164"/>
      <c r="AK158" s="164"/>
      <c r="AL158" s="164"/>
      <c r="AM158" s="164"/>
      <c r="AN158" s="164"/>
      <c r="AO158" s="164"/>
      <c r="AP158" s="164"/>
      <c r="AQ158" s="164"/>
      <c r="AR158" s="164"/>
      <c r="AS158" s="164"/>
      <c r="AT158" s="164"/>
      <c r="AU158" s="164"/>
      <c r="AV158" s="164"/>
      <c r="AW158" s="164"/>
      <c r="AX158" s="164"/>
    </row>
    <row r="159" spans="21:50" x14ac:dyDescent="0.25">
      <c r="U159" s="164"/>
      <c r="V159" s="164"/>
      <c r="W159" s="164"/>
      <c r="X159" s="164"/>
      <c r="Y159" s="164"/>
      <c r="Z159" s="164"/>
      <c r="AA159" s="164"/>
      <c r="AB159" s="164"/>
      <c r="AC159" s="164"/>
      <c r="AE159" s="164"/>
      <c r="AF159" s="164"/>
      <c r="AG159" s="164"/>
      <c r="AH159" s="164"/>
      <c r="AI159" s="164"/>
      <c r="AJ159" s="164"/>
      <c r="AK159" s="164"/>
      <c r="AL159" s="164"/>
      <c r="AM159" s="164"/>
      <c r="AN159" s="164"/>
      <c r="AO159" s="164"/>
      <c r="AP159" s="164"/>
      <c r="AQ159" s="164"/>
      <c r="AR159" s="164"/>
      <c r="AS159" s="164"/>
      <c r="AT159" s="164"/>
      <c r="AU159" s="164"/>
      <c r="AV159" s="164"/>
      <c r="AW159" s="164"/>
      <c r="AX159" s="164"/>
    </row>
    <row r="160" spans="21:50" x14ac:dyDescent="0.25">
      <c r="U160" s="164"/>
      <c r="V160" s="164"/>
      <c r="W160" s="164"/>
      <c r="X160" s="164"/>
      <c r="Y160" s="164"/>
      <c r="Z160" s="164"/>
      <c r="AA160" s="164"/>
      <c r="AB160" s="164"/>
      <c r="AC160" s="164"/>
      <c r="AE160" s="164"/>
      <c r="AF160" s="164"/>
      <c r="AG160" s="164"/>
      <c r="AH160" s="164"/>
      <c r="AI160" s="164"/>
      <c r="AJ160" s="164"/>
      <c r="AK160" s="164"/>
      <c r="AL160" s="164"/>
      <c r="AM160" s="164"/>
      <c r="AN160" s="164"/>
      <c r="AO160" s="164"/>
      <c r="AP160" s="164"/>
      <c r="AQ160" s="164"/>
      <c r="AR160" s="164"/>
      <c r="AS160" s="164"/>
      <c r="AT160" s="164"/>
      <c r="AU160" s="164"/>
      <c r="AV160" s="164"/>
      <c r="AW160" s="164"/>
      <c r="AX160" s="164"/>
    </row>
    <row r="161" spans="21:50" x14ac:dyDescent="0.25">
      <c r="U161" s="164"/>
      <c r="V161" s="164"/>
      <c r="W161" s="164"/>
      <c r="X161" s="164"/>
      <c r="Y161" s="164"/>
      <c r="Z161" s="164"/>
      <c r="AA161" s="164"/>
      <c r="AB161" s="164"/>
      <c r="AC161" s="164"/>
      <c r="AE161" s="164"/>
      <c r="AF161" s="164"/>
      <c r="AG161" s="164"/>
      <c r="AH161" s="164"/>
      <c r="AI161" s="164"/>
      <c r="AJ161" s="164"/>
      <c r="AK161" s="164"/>
      <c r="AL161" s="164"/>
      <c r="AM161" s="164"/>
      <c r="AN161" s="164"/>
      <c r="AO161" s="164"/>
      <c r="AP161" s="164"/>
      <c r="AQ161" s="164"/>
      <c r="AR161" s="164"/>
      <c r="AS161" s="164"/>
      <c r="AT161" s="164"/>
      <c r="AU161" s="164"/>
      <c r="AV161" s="164"/>
      <c r="AW161" s="164"/>
      <c r="AX161" s="164"/>
    </row>
    <row r="162" spans="21:50" x14ac:dyDescent="0.25">
      <c r="U162" s="164"/>
      <c r="V162" s="164"/>
      <c r="W162" s="164"/>
      <c r="X162" s="164"/>
      <c r="Y162" s="164"/>
      <c r="Z162" s="164"/>
      <c r="AA162" s="164"/>
      <c r="AB162" s="164"/>
      <c r="AC162" s="164"/>
      <c r="AE162" s="164"/>
      <c r="AF162" s="164"/>
      <c r="AG162" s="164"/>
      <c r="AH162" s="164"/>
      <c r="AI162" s="164"/>
      <c r="AJ162" s="164"/>
      <c r="AK162" s="164"/>
      <c r="AL162" s="164"/>
      <c r="AM162" s="164"/>
      <c r="AN162" s="164"/>
      <c r="AO162" s="164"/>
      <c r="AP162" s="164"/>
      <c r="AQ162" s="164"/>
      <c r="AR162" s="164"/>
      <c r="AS162" s="164"/>
      <c r="AT162" s="164"/>
      <c r="AU162" s="164"/>
      <c r="AV162" s="164"/>
      <c r="AW162" s="164"/>
      <c r="AX162" s="164"/>
    </row>
    <row r="163" spans="21:50" x14ac:dyDescent="0.25">
      <c r="U163" s="164"/>
      <c r="V163" s="164"/>
      <c r="W163" s="164"/>
      <c r="X163" s="164"/>
      <c r="Y163" s="164"/>
      <c r="Z163" s="164"/>
      <c r="AA163" s="164"/>
      <c r="AB163" s="164"/>
      <c r="AC163" s="164"/>
      <c r="AE163" s="164"/>
      <c r="AF163" s="164"/>
      <c r="AG163" s="164"/>
      <c r="AH163" s="164"/>
      <c r="AI163" s="164"/>
      <c r="AJ163" s="164"/>
      <c r="AK163" s="164"/>
      <c r="AL163" s="164"/>
      <c r="AM163" s="164"/>
      <c r="AN163" s="164"/>
      <c r="AO163" s="164"/>
      <c r="AP163" s="164"/>
      <c r="AQ163" s="164"/>
      <c r="AR163" s="164"/>
      <c r="AS163" s="164"/>
      <c r="AT163" s="164"/>
      <c r="AU163" s="164"/>
      <c r="AV163" s="164"/>
      <c r="AW163" s="164"/>
      <c r="AX163" s="164"/>
    </row>
    <row r="164" spans="21:50" x14ac:dyDescent="0.25">
      <c r="U164" s="164"/>
      <c r="V164" s="164"/>
      <c r="W164" s="164"/>
      <c r="X164" s="164"/>
      <c r="Y164" s="164"/>
      <c r="Z164" s="164"/>
      <c r="AA164" s="164"/>
      <c r="AB164" s="164"/>
      <c r="AC164" s="164"/>
      <c r="AE164" s="164"/>
      <c r="AF164" s="164"/>
      <c r="AG164" s="164"/>
      <c r="AH164" s="164"/>
      <c r="AI164" s="164"/>
      <c r="AJ164" s="164"/>
      <c r="AK164" s="164"/>
      <c r="AL164" s="164"/>
      <c r="AM164" s="164"/>
      <c r="AN164" s="164"/>
      <c r="AO164" s="164"/>
      <c r="AP164" s="164"/>
      <c r="AQ164" s="164"/>
      <c r="AR164" s="164"/>
      <c r="AS164" s="164"/>
      <c r="AT164" s="164"/>
      <c r="AU164" s="164"/>
      <c r="AV164" s="164"/>
      <c r="AW164" s="164"/>
      <c r="AX164" s="164"/>
    </row>
    <row r="165" spans="21:50" x14ac:dyDescent="0.25">
      <c r="U165" s="164"/>
      <c r="V165" s="164"/>
      <c r="W165" s="164"/>
      <c r="X165" s="164"/>
      <c r="Y165" s="164"/>
      <c r="Z165" s="164"/>
      <c r="AA165" s="164"/>
      <c r="AB165" s="164"/>
      <c r="AC165" s="164"/>
      <c r="AE165" s="164"/>
      <c r="AF165" s="164"/>
      <c r="AG165" s="164"/>
      <c r="AH165" s="164"/>
      <c r="AI165" s="164"/>
      <c r="AJ165" s="164"/>
      <c r="AK165" s="164"/>
      <c r="AL165" s="164"/>
      <c r="AM165" s="164"/>
      <c r="AN165" s="164"/>
      <c r="AO165" s="164"/>
      <c r="AP165" s="164"/>
      <c r="AQ165" s="164"/>
      <c r="AR165" s="164"/>
      <c r="AS165" s="164"/>
      <c r="AT165" s="164"/>
      <c r="AU165" s="164"/>
      <c r="AV165" s="164"/>
      <c r="AW165" s="164"/>
      <c r="AX165" s="164"/>
    </row>
    <row r="166" spans="21:50" x14ac:dyDescent="0.25">
      <c r="U166" s="164"/>
      <c r="V166" s="164"/>
      <c r="W166" s="164"/>
      <c r="X166" s="164"/>
      <c r="Y166" s="164"/>
      <c r="Z166" s="164"/>
      <c r="AA166" s="164"/>
      <c r="AB166" s="164"/>
      <c r="AC166" s="164"/>
      <c r="AE166" s="164"/>
      <c r="AF166" s="164"/>
      <c r="AG166" s="164"/>
      <c r="AH166" s="164"/>
      <c r="AI166" s="164"/>
      <c r="AJ166" s="164"/>
      <c r="AK166" s="164"/>
      <c r="AL166" s="164"/>
      <c r="AM166" s="164"/>
      <c r="AN166" s="164"/>
      <c r="AO166" s="164"/>
      <c r="AP166" s="164"/>
      <c r="AQ166" s="164"/>
      <c r="AR166" s="164"/>
      <c r="AS166" s="164"/>
      <c r="AT166" s="164"/>
      <c r="AU166" s="164"/>
      <c r="AV166" s="164"/>
      <c r="AW166" s="164"/>
      <c r="AX166" s="164"/>
    </row>
    <row r="167" spans="21:50" x14ac:dyDescent="0.25">
      <c r="U167" s="164"/>
      <c r="V167" s="164"/>
      <c r="W167" s="164"/>
      <c r="X167" s="164"/>
      <c r="Y167" s="164"/>
      <c r="Z167" s="164"/>
      <c r="AA167" s="164"/>
      <c r="AB167" s="164"/>
      <c r="AC167" s="164"/>
      <c r="AE167" s="164"/>
      <c r="AF167" s="164"/>
      <c r="AG167" s="164"/>
      <c r="AH167" s="164"/>
      <c r="AI167" s="164"/>
      <c r="AJ167" s="164"/>
      <c r="AK167" s="164"/>
      <c r="AL167" s="164"/>
      <c r="AM167" s="164"/>
      <c r="AN167" s="164"/>
      <c r="AO167" s="164"/>
      <c r="AP167" s="164"/>
      <c r="AQ167" s="164"/>
      <c r="AR167" s="164"/>
      <c r="AS167" s="164"/>
      <c r="AT167" s="164"/>
      <c r="AU167" s="164"/>
      <c r="AV167" s="164"/>
      <c r="AW167" s="164"/>
      <c r="AX167" s="164"/>
    </row>
    <row r="168" spans="21:50" x14ac:dyDescent="0.25">
      <c r="U168" s="164"/>
      <c r="V168" s="164"/>
      <c r="W168" s="164"/>
      <c r="X168" s="164"/>
      <c r="Y168" s="164"/>
      <c r="Z168" s="164"/>
      <c r="AA168" s="164"/>
      <c r="AB168" s="164"/>
      <c r="AC168" s="164"/>
      <c r="AE168" s="164"/>
      <c r="AF168" s="164"/>
      <c r="AG168" s="164"/>
      <c r="AH168" s="164"/>
      <c r="AI168" s="164"/>
      <c r="AJ168" s="164"/>
      <c r="AK168" s="164"/>
      <c r="AL168" s="164"/>
      <c r="AM168" s="164"/>
      <c r="AN168" s="164"/>
      <c r="AO168" s="164"/>
      <c r="AP168" s="164"/>
      <c r="AQ168" s="164"/>
      <c r="AR168" s="164"/>
      <c r="AS168" s="164"/>
      <c r="AT168" s="164"/>
      <c r="AU168" s="164"/>
      <c r="AV168" s="164"/>
      <c r="AW168" s="164"/>
      <c r="AX168" s="164"/>
    </row>
    <row r="169" spans="21:50" x14ac:dyDescent="0.25">
      <c r="U169" s="164"/>
      <c r="V169" s="164"/>
      <c r="W169" s="164"/>
      <c r="X169" s="164"/>
      <c r="Y169" s="164"/>
      <c r="Z169" s="164"/>
      <c r="AA169" s="164"/>
      <c r="AB169" s="164"/>
      <c r="AC169" s="164"/>
      <c r="AE169" s="164"/>
      <c r="AF169" s="164"/>
      <c r="AG169" s="164"/>
      <c r="AH169" s="164"/>
      <c r="AI169" s="164"/>
      <c r="AJ169" s="164"/>
      <c r="AK169" s="164"/>
      <c r="AL169" s="164"/>
      <c r="AM169" s="164"/>
      <c r="AN169" s="164"/>
      <c r="AO169" s="164"/>
      <c r="AP169" s="164"/>
      <c r="AQ169" s="164"/>
      <c r="AR169" s="164"/>
      <c r="AS169" s="164"/>
      <c r="AT169" s="164"/>
      <c r="AU169" s="164"/>
      <c r="AV169" s="164"/>
      <c r="AW169" s="164"/>
      <c r="AX169" s="164"/>
    </row>
    <row r="170" spans="21:50" x14ac:dyDescent="0.25">
      <c r="U170" s="164"/>
      <c r="V170" s="164"/>
      <c r="W170" s="164"/>
      <c r="X170" s="164"/>
      <c r="Y170" s="164"/>
      <c r="Z170" s="164"/>
      <c r="AA170" s="164"/>
      <c r="AB170" s="164"/>
      <c r="AC170" s="164"/>
      <c r="AE170" s="164"/>
      <c r="AF170" s="164"/>
      <c r="AG170" s="164"/>
      <c r="AH170" s="164"/>
      <c r="AI170" s="164"/>
      <c r="AJ170" s="164"/>
      <c r="AK170" s="164"/>
      <c r="AL170" s="164"/>
      <c r="AM170" s="164"/>
      <c r="AN170" s="164"/>
      <c r="AO170" s="164"/>
      <c r="AP170" s="164"/>
      <c r="AQ170" s="164"/>
      <c r="AR170" s="164"/>
      <c r="AS170" s="164"/>
      <c r="AT170" s="164"/>
      <c r="AU170" s="164"/>
      <c r="AV170" s="164"/>
      <c r="AW170" s="164"/>
      <c r="AX170" s="164"/>
    </row>
    <row r="171" spans="21:50" x14ac:dyDescent="0.25">
      <c r="U171" s="164"/>
      <c r="V171" s="164"/>
      <c r="W171" s="164"/>
      <c r="X171" s="164"/>
      <c r="Y171" s="164"/>
      <c r="Z171" s="164"/>
      <c r="AA171" s="164"/>
      <c r="AB171" s="164"/>
      <c r="AC171" s="164"/>
      <c r="AE171" s="164"/>
      <c r="AF171" s="164"/>
      <c r="AG171" s="164"/>
      <c r="AH171" s="164"/>
      <c r="AI171" s="164"/>
      <c r="AJ171" s="164"/>
      <c r="AK171" s="164"/>
      <c r="AL171" s="164"/>
      <c r="AM171" s="164"/>
      <c r="AN171" s="164"/>
      <c r="AO171" s="164"/>
      <c r="AP171" s="164"/>
      <c r="AQ171" s="164"/>
      <c r="AR171" s="164"/>
      <c r="AS171" s="164"/>
      <c r="AT171" s="164"/>
      <c r="AU171" s="164"/>
      <c r="AV171" s="164"/>
      <c r="AW171" s="164"/>
      <c r="AX171" s="164"/>
    </row>
    <row r="172" spans="21:50" x14ac:dyDescent="0.25">
      <c r="U172" s="164"/>
      <c r="V172" s="164"/>
      <c r="W172" s="164"/>
      <c r="X172" s="164"/>
      <c r="Y172" s="164"/>
      <c r="Z172" s="164"/>
      <c r="AA172" s="164"/>
      <c r="AB172" s="164"/>
      <c r="AC172" s="164"/>
      <c r="AE172" s="164"/>
      <c r="AF172" s="164"/>
      <c r="AG172" s="164"/>
      <c r="AH172" s="164"/>
      <c r="AI172" s="164"/>
      <c r="AJ172" s="164"/>
      <c r="AK172" s="164"/>
      <c r="AL172" s="164"/>
      <c r="AM172" s="164"/>
      <c r="AN172" s="164"/>
      <c r="AO172" s="164"/>
      <c r="AP172" s="164"/>
      <c r="AQ172" s="164"/>
      <c r="AR172" s="164"/>
      <c r="AS172" s="164"/>
      <c r="AT172" s="164"/>
      <c r="AU172" s="164"/>
      <c r="AV172" s="164"/>
      <c r="AW172" s="164"/>
      <c r="AX172" s="164"/>
    </row>
    <row r="173" spans="21:50" x14ac:dyDescent="0.25">
      <c r="U173" s="164"/>
      <c r="V173" s="164"/>
      <c r="W173" s="164"/>
      <c r="X173" s="164"/>
      <c r="Y173" s="164"/>
      <c r="Z173" s="164"/>
      <c r="AA173" s="164"/>
      <c r="AB173" s="164"/>
      <c r="AC173" s="164"/>
      <c r="AE173" s="164"/>
      <c r="AF173" s="164"/>
      <c r="AG173" s="164"/>
      <c r="AH173" s="164"/>
      <c r="AI173" s="164"/>
      <c r="AJ173" s="164"/>
      <c r="AK173" s="164"/>
      <c r="AL173" s="164"/>
      <c r="AM173" s="164"/>
      <c r="AN173" s="164"/>
      <c r="AO173" s="164"/>
      <c r="AP173" s="164"/>
      <c r="AQ173" s="164"/>
      <c r="AR173" s="164"/>
      <c r="AS173" s="164"/>
      <c r="AT173" s="164"/>
      <c r="AU173" s="164"/>
      <c r="AV173" s="164"/>
      <c r="AW173" s="164"/>
      <c r="AX173" s="164"/>
    </row>
    <row r="174" spans="21:50" x14ac:dyDescent="0.25">
      <c r="U174" s="164"/>
      <c r="V174" s="164"/>
      <c r="W174" s="164"/>
      <c r="X174" s="164"/>
      <c r="Y174" s="164"/>
      <c r="Z174" s="164"/>
      <c r="AA174" s="164"/>
      <c r="AB174" s="164"/>
      <c r="AC174" s="164"/>
      <c r="AE174" s="164"/>
      <c r="AF174" s="164"/>
      <c r="AG174" s="164"/>
      <c r="AH174" s="164"/>
      <c r="AI174" s="164"/>
      <c r="AJ174" s="164"/>
      <c r="AK174" s="164"/>
      <c r="AL174" s="164"/>
      <c r="AM174" s="164"/>
      <c r="AN174" s="164"/>
      <c r="AO174" s="164"/>
      <c r="AP174" s="164"/>
      <c r="AQ174" s="164"/>
      <c r="AR174" s="164"/>
      <c r="AS174" s="164"/>
      <c r="AT174" s="164"/>
      <c r="AU174" s="164"/>
      <c r="AV174" s="164"/>
      <c r="AW174" s="164"/>
      <c r="AX174" s="164"/>
    </row>
    <row r="175" spans="21:50" x14ac:dyDescent="0.25">
      <c r="U175" s="164"/>
      <c r="V175" s="164"/>
      <c r="W175" s="164"/>
      <c r="X175" s="164"/>
      <c r="Y175" s="164"/>
      <c r="Z175" s="164"/>
      <c r="AA175" s="164"/>
      <c r="AB175" s="164"/>
      <c r="AC175" s="164"/>
      <c r="AE175" s="164"/>
      <c r="AF175" s="164"/>
      <c r="AG175" s="164"/>
      <c r="AH175" s="164"/>
      <c r="AI175" s="164"/>
      <c r="AJ175" s="164"/>
      <c r="AK175" s="164"/>
      <c r="AL175" s="164"/>
      <c r="AM175" s="164"/>
      <c r="AN175" s="164"/>
      <c r="AO175" s="164"/>
      <c r="AP175" s="164"/>
      <c r="AQ175" s="164"/>
      <c r="AR175" s="164"/>
      <c r="AS175" s="164"/>
      <c r="AT175" s="164"/>
      <c r="AU175" s="164"/>
      <c r="AV175" s="164"/>
      <c r="AW175" s="164"/>
      <c r="AX175" s="164"/>
    </row>
    <row r="176" spans="21:50" x14ac:dyDescent="0.25">
      <c r="U176" s="164"/>
      <c r="V176" s="164"/>
      <c r="W176" s="164"/>
      <c r="X176" s="164"/>
      <c r="Y176" s="164"/>
      <c r="Z176" s="164"/>
      <c r="AA176" s="164"/>
      <c r="AB176" s="164"/>
      <c r="AC176" s="164"/>
      <c r="AE176" s="164"/>
      <c r="AF176" s="164"/>
      <c r="AG176" s="164"/>
      <c r="AH176" s="164"/>
      <c r="AI176" s="164"/>
      <c r="AJ176" s="164"/>
      <c r="AK176" s="164"/>
      <c r="AL176" s="164"/>
      <c r="AM176" s="164"/>
      <c r="AN176" s="164"/>
      <c r="AO176" s="164"/>
      <c r="AP176" s="164"/>
      <c r="AQ176" s="164"/>
      <c r="AR176" s="164"/>
      <c r="AS176" s="164"/>
      <c r="AT176" s="164"/>
      <c r="AU176" s="164"/>
      <c r="AV176" s="164"/>
      <c r="AW176" s="164"/>
      <c r="AX176" s="164"/>
    </row>
    <row r="177" spans="21:50" x14ac:dyDescent="0.25">
      <c r="U177" s="164"/>
      <c r="V177" s="164"/>
      <c r="W177" s="164"/>
      <c r="X177" s="164"/>
      <c r="Y177" s="164"/>
      <c r="Z177" s="164"/>
      <c r="AA177" s="164"/>
      <c r="AB177" s="164"/>
      <c r="AC177" s="164"/>
      <c r="AE177" s="164"/>
      <c r="AF177" s="164"/>
      <c r="AG177" s="164"/>
      <c r="AH177" s="164"/>
      <c r="AI177" s="164"/>
      <c r="AJ177" s="164"/>
      <c r="AK177" s="164"/>
      <c r="AL177" s="164"/>
      <c r="AM177" s="164"/>
      <c r="AN177" s="164"/>
      <c r="AO177" s="164"/>
      <c r="AP177" s="164"/>
      <c r="AQ177" s="164"/>
      <c r="AR177" s="164"/>
      <c r="AS177" s="164"/>
      <c r="AT177" s="164"/>
      <c r="AU177" s="164"/>
      <c r="AV177" s="164"/>
      <c r="AW177" s="164"/>
      <c r="AX177" s="164"/>
    </row>
    <row r="178" spans="21:50" x14ac:dyDescent="0.25">
      <c r="U178" s="164"/>
      <c r="V178" s="164"/>
      <c r="W178" s="164"/>
      <c r="X178" s="164"/>
      <c r="Y178" s="164"/>
      <c r="Z178" s="164"/>
      <c r="AA178" s="164"/>
      <c r="AB178" s="164"/>
      <c r="AC178" s="164"/>
      <c r="AE178" s="164"/>
      <c r="AF178" s="164"/>
      <c r="AG178" s="164"/>
      <c r="AH178" s="164"/>
      <c r="AI178" s="164"/>
      <c r="AJ178" s="164"/>
      <c r="AK178" s="164"/>
      <c r="AL178" s="164"/>
      <c r="AM178" s="164"/>
      <c r="AN178" s="164"/>
      <c r="AO178" s="164"/>
      <c r="AP178" s="164"/>
      <c r="AQ178" s="164"/>
      <c r="AR178" s="164"/>
      <c r="AS178" s="164"/>
      <c r="AT178" s="164"/>
      <c r="AU178" s="164"/>
      <c r="AV178" s="164"/>
      <c r="AW178" s="164"/>
      <c r="AX178" s="164"/>
    </row>
    <row r="179" spans="21:50" x14ac:dyDescent="0.25">
      <c r="U179" s="164"/>
      <c r="V179" s="164"/>
      <c r="W179" s="164"/>
      <c r="X179" s="164"/>
      <c r="Y179" s="164"/>
      <c r="Z179" s="164"/>
      <c r="AA179" s="164"/>
      <c r="AB179" s="164"/>
      <c r="AC179" s="164"/>
      <c r="AE179" s="164"/>
      <c r="AF179" s="164"/>
      <c r="AG179" s="164"/>
      <c r="AH179" s="164"/>
      <c r="AI179" s="164"/>
      <c r="AJ179" s="164"/>
      <c r="AK179" s="164"/>
      <c r="AL179" s="164"/>
      <c r="AM179" s="164"/>
      <c r="AN179" s="164"/>
      <c r="AO179" s="164"/>
      <c r="AP179" s="164"/>
      <c r="AQ179" s="164"/>
      <c r="AR179" s="164"/>
      <c r="AS179" s="164"/>
      <c r="AT179" s="164"/>
      <c r="AU179" s="164"/>
      <c r="AV179" s="164"/>
      <c r="AW179" s="164"/>
      <c r="AX179" s="164"/>
    </row>
    <row r="180" spans="21:50" x14ac:dyDescent="0.25">
      <c r="U180" s="164"/>
      <c r="V180" s="164"/>
      <c r="W180" s="164"/>
      <c r="X180" s="164"/>
      <c r="Y180" s="164"/>
      <c r="Z180" s="164"/>
      <c r="AA180" s="164"/>
      <c r="AB180" s="164"/>
      <c r="AC180" s="164"/>
      <c r="AE180" s="164"/>
      <c r="AF180" s="164"/>
      <c r="AG180" s="164"/>
      <c r="AH180" s="164"/>
      <c r="AI180" s="164"/>
      <c r="AJ180" s="164"/>
      <c r="AK180" s="164"/>
      <c r="AL180" s="164"/>
      <c r="AM180" s="164"/>
      <c r="AN180" s="164"/>
      <c r="AO180" s="164"/>
      <c r="AP180" s="164"/>
      <c r="AQ180" s="164"/>
      <c r="AR180" s="164"/>
      <c r="AS180" s="164"/>
      <c r="AT180" s="164"/>
      <c r="AU180" s="164"/>
      <c r="AV180" s="164"/>
      <c r="AW180" s="164"/>
      <c r="AX180" s="164"/>
    </row>
    <row r="181" spans="21:50" x14ac:dyDescent="0.25">
      <c r="U181" s="164"/>
      <c r="V181" s="164"/>
      <c r="W181" s="164"/>
      <c r="X181" s="164"/>
      <c r="Y181" s="164"/>
      <c r="Z181" s="164"/>
      <c r="AA181" s="164"/>
      <c r="AB181" s="164"/>
      <c r="AC181" s="164"/>
      <c r="AE181" s="164"/>
      <c r="AF181" s="164"/>
      <c r="AG181" s="164"/>
      <c r="AH181" s="164"/>
      <c r="AI181" s="164"/>
      <c r="AJ181" s="164"/>
      <c r="AK181" s="164"/>
      <c r="AL181" s="164"/>
      <c r="AM181" s="164"/>
      <c r="AN181" s="164"/>
      <c r="AO181" s="164"/>
      <c r="AP181" s="164"/>
      <c r="AQ181" s="164"/>
      <c r="AR181" s="164"/>
      <c r="AS181" s="164"/>
      <c r="AT181" s="164"/>
      <c r="AU181" s="164"/>
      <c r="AV181" s="164"/>
      <c r="AW181" s="164"/>
      <c r="AX181" s="164"/>
    </row>
    <row r="182" spans="21:50" x14ac:dyDescent="0.25">
      <c r="U182" s="164"/>
      <c r="V182" s="164"/>
      <c r="W182" s="164"/>
      <c r="X182" s="164"/>
      <c r="Y182" s="164"/>
      <c r="Z182" s="164"/>
      <c r="AA182" s="164"/>
      <c r="AB182" s="164"/>
      <c r="AC182" s="164"/>
      <c r="AE182" s="164"/>
      <c r="AF182" s="164"/>
      <c r="AG182" s="164"/>
      <c r="AH182" s="164"/>
      <c r="AI182" s="164"/>
      <c r="AJ182" s="164"/>
      <c r="AK182" s="164"/>
      <c r="AL182" s="164"/>
      <c r="AM182" s="164"/>
      <c r="AN182" s="164"/>
      <c r="AO182" s="164"/>
      <c r="AP182" s="164"/>
      <c r="AQ182" s="164"/>
      <c r="AR182" s="164"/>
      <c r="AS182" s="164"/>
      <c r="AT182" s="164"/>
      <c r="AU182" s="164"/>
      <c r="AV182" s="164"/>
      <c r="AW182" s="164"/>
      <c r="AX182" s="164"/>
    </row>
    <row r="183" spans="21:50" x14ac:dyDescent="0.25">
      <c r="U183" s="164"/>
      <c r="V183" s="164"/>
      <c r="W183" s="164"/>
      <c r="X183" s="164"/>
      <c r="Y183" s="164"/>
      <c r="Z183" s="164"/>
      <c r="AA183" s="164"/>
      <c r="AB183" s="164"/>
      <c r="AC183" s="164"/>
      <c r="AE183" s="164"/>
      <c r="AF183" s="164"/>
      <c r="AG183" s="164"/>
      <c r="AH183" s="164"/>
      <c r="AI183" s="164"/>
      <c r="AJ183" s="164"/>
      <c r="AK183" s="164"/>
      <c r="AL183" s="164"/>
      <c r="AM183" s="164"/>
      <c r="AN183" s="164"/>
      <c r="AO183" s="164"/>
      <c r="AP183" s="164"/>
      <c r="AQ183" s="164"/>
      <c r="AR183" s="164"/>
      <c r="AS183" s="164"/>
      <c r="AT183" s="164"/>
      <c r="AU183" s="164"/>
      <c r="AV183" s="164"/>
      <c r="AW183" s="164"/>
      <c r="AX183" s="164"/>
    </row>
  </sheetData>
  <sheetProtection formatColumns="0" deleteColumns="0" deleteRows="0" selectLockedCells="1"/>
  <mergeCells count="18">
    <mergeCell ref="B81:C81"/>
    <mergeCell ref="B65:B68"/>
    <mergeCell ref="B69:C69"/>
    <mergeCell ref="B71:B74"/>
    <mergeCell ref="B75:C75"/>
    <mergeCell ref="B77:B80"/>
    <mergeCell ref="B120:C120"/>
    <mergeCell ref="B84:B87"/>
    <mergeCell ref="B88:C88"/>
    <mergeCell ref="B90:B93"/>
    <mergeCell ref="B94:C94"/>
    <mergeCell ref="B96:B99"/>
    <mergeCell ref="B100:C100"/>
    <mergeCell ref="B104:B107"/>
    <mergeCell ref="B108:C108"/>
    <mergeCell ref="B110:B113"/>
    <mergeCell ref="B114:C114"/>
    <mergeCell ref="B116:B119"/>
  </mergeCells>
  <conditionalFormatting sqref="P3:P60">
    <cfRule type="expression" dxfId="295" priority="6">
      <formula>AND(P3&lt;&gt;"",P3&lt;&gt;"OUI")</formula>
    </cfRule>
  </conditionalFormatting>
  <conditionalFormatting sqref="AL3:AM60 S3:AH60">
    <cfRule type="expression" dxfId="294" priority="5" stopIfTrue="1">
      <formula>$AH3&lt;&gt;0</formula>
    </cfRule>
  </conditionalFormatting>
  <conditionalFormatting sqref="A6:E60 C3:E5 A3:A5">
    <cfRule type="expression" dxfId="293" priority="7" stopIfTrue="1">
      <formula>AND($I3&lt;&gt;"",AND($J3="",AND($AY3="",$AZ3="")))</formula>
    </cfRule>
    <cfRule type="expression" dxfId="292" priority="8" stopIfTrue="1">
      <formula>AND($J3&lt;&gt;"",AND($AY3="",$AZ3=""))</formula>
    </cfRule>
    <cfRule type="expression" dxfId="291" priority="9" stopIfTrue="1">
      <formula>AND($AY3&lt;&gt;"",$AZ3="")</formula>
    </cfRule>
    <cfRule type="expression" dxfId="290" priority="10" stopIfTrue="1">
      <formula>$AZ3="X"</formula>
    </cfRule>
  </conditionalFormatting>
  <conditionalFormatting sqref="B3:B5">
    <cfRule type="expression" dxfId="3" priority="1" stopIfTrue="1">
      <formula>AND($I3&lt;&gt;"",AND($J3="",AND($AY3="",$AZ3="")))</formula>
    </cfRule>
    <cfRule type="expression" dxfId="2" priority="2" stopIfTrue="1">
      <formula>AND($J3&lt;&gt;"",AND($AY3="",$AZ3=""))</formula>
    </cfRule>
    <cfRule type="expression" dxfId="1" priority="3" stopIfTrue="1">
      <formula>AND($AY3&lt;&gt;"",$AZ3="")</formula>
    </cfRule>
    <cfRule type="expression" dxfId="0" priority="4" stopIfTrue="1">
      <formula>$AZ3="X"</formula>
    </cfRule>
  </conditionalFormatting>
  <dataValidations count="11">
    <dataValidation type="list" allowBlank="1" showInputMessage="1" showErrorMessage="1" sqref="H3:H60">
      <formula1>"MENSUELLE,TRIMESTRIELLE,EXERCICE,ANNUELLE"</formula1>
    </dataValidation>
    <dataValidation type="list" allowBlank="1" showInputMessage="1" showErrorMessage="1" sqref="BG3:BI60">
      <formula1>"OUI,NON,N/C"</formula1>
    </dataValidation>
    <dataValidation type="list" allowBlank="1" showInputMessage="1" showErrorMessage="1" sqref="AL3:AL60">
      <formula1>"ABONNE COURT,ABONNE LONG"</formula1>
    </dataValidation>
    <dataValidation type="list" allowBlank="1" showInputMessage="1" showErrorMessage="1" sqref="P3:P60">
      <formula1>"OUI,NON,A TERMINER,A FAIRE"</formula1>
    </dataValidation>
    <dataValidation type="list" allowBlank="1" showInputMessage="1" showErrorMessage="1" sqref="AY3:BA60">
      <formula1>"X"</formula1>
    </dataValidation>
    <dataValidation type="list" allowBlank="1" showInputMessage="1" showErrorMessage="1" sqref="R3:R60">
      <formula1>"OUI,NON,A FAIRE,N/A"</formula1>
    </dataValidation>
    <dataValidation type="list" allowBlank="1" showInputMessage="1" showErrorMessage="1" sqref="Q3:Q60 AM3:AM60">
      <formula1>"OUI,NON"</formula1>
    </dataValidation>
    <dataValidation type="list" allowBlank="1" showInputMessage="1" showErrorMessage="1" sqref="O3:O60">
      <formula1>"COMPTABLE,CONSEILLER"</formula1>
    </dataValidation>
    <dataValidation type="list" allowBlank="1" showInputMessage="1" showErrorMessage="1" sqref="M3:N60">
      <formula1>"OUI,NON,A FAIRE"</formula1>
    </dataValidation>
    <dataValidation type="list" allowBlank="1" showInputMessage="1" showErrorMessage="1" sqref="JW3:JW60 TS3:TS60 ADO3:ADO60 ANK3:ANK60 AXG3:AXG60 BHC3:BHC60 BQY3:BQY60 CAU3:CAU60 CKQ3:CKQ60 CUM3:CUM60 DEI3:DEI60 DOE3:DOE60 DYA3:DYA60 EHW3:EHW60 ERS3:ERS60 FBO3:FBO60 FLK3:FLK60 FVG3:FVG60 GFC3:GFC60 GOY3:GOY60 GYU3:GYU60 HIQ3:HIQ60 HSM3:HSM60 ICI3:ICI60 IME3:IME60 IWA3:IWA60 JFW3:JFW60 JPS3:JPS60 JZO3:JZO60 KJK3:KJK60 KTG3:KTG60 LDC3:LDC60 LMY3:LMY60 LWU3:LWU60 MGQ3:MGQ60 MQM3:MQM60 NAI3:NAI60 NKE3:NKE60 NUA3:NUA60 ODW3:ODW60 ONS3:ONS60 OXO3:OXO60 PHK3:PHK60 PRG3:PRG60 QBC3:QBC60 QKY3:QKY60 QUU3:QUU60 REQ3:REQ60 ROM3:ROM60 RYI3:RYI60 SIE3:SIE60 SSA3:SSA60 TBW3:TBW60 TLS3:TLS60 TVO3:TVO60 UFK3:UFK60 UPG3:UPG60 UZC3:UZC60 VIY3:VIY60 VSU3:VSU60 WCQ3:WCQ60 WMM3:WMM60 WWI3:WWI60 G65539:G65596 JV65539:JV65596 TR65539:TR65596 ADN65539:ADN65596 ANJ65539:ANJ65596 AXF65539:AXF65596 BHB65539:BHB65596 BQX65539:BQX65596 CAT65539:CAT65596 CKP65539:CKP65596 CUL65539:CUL65596 DEH65539:DEH65596 DOD65539:DOD65596 DXZ65539:DXZ65596 EHV65539:EHV65596 ERR65539:ERR65596 FBN65539:FBN65596 FLJ65539:FLJ65596 FVF65539:FVF65596 GFB65539:GFB65596 GOX65539:GOX65596 GYT65539:GYT65596 HIP65539:HIP65596 HSL65539:HSL65596 ICH65539:ICH65596 IMD65539:IMD65596 IVZ65539:IVZ65596 JFV65539:JFV65596 JPR65539:JPR65596 JZN65539:JZN65596 KJJ65539:KJJ65596 KTF65539:KTF65596 LDB65539:LDB65596 LMX65539:LMX65596 LWT65539:LWT65596 MGP65539:MGP65596 MQL65539:MQL65596 NAH65539:NAH65596 NKD65539:NKD65596 NTZ65539:NTZ65596 ODV65539:ODV65596 ONR65539:ONR65596 OXN65539:OXN65596 PHJ65539:PHJ65596 PRF65539:PRF65596 QBB65539:QBB65596 QKX65539:QKX65596 QUT65539:QUT65596 REP65539:REP65596 ROL65539:ROL65596 RYH65539:RYH65596 SID65539:SID65596 SRZ65539:SRZ65596 TBV65539:TBV65596 TLR65539:TLR65596 TVN65539:TVN65596 UFJ65539:UFJ65596 UPF65539:UPF65596 UZB65539:UZB65596 VIX65539:VIX65596 VST65539:VST65596 WCP65539:WCP65596 WML65539:WML65596 WWH65539:WWH65596 G131075:G131132 JV131075:JV131132 TR131075:TR131132 ADN131075:ADN131132 ANJ131075:ANJ131132 AXF131075:AXF131132 BHB131075:BHB131132 BQX131075:BQX131132 CAT131075:CAT131132 CKP131075:CKP131132 CUL131075:CUL131132 DEH131075:DEH131132 DOD131075:DOD131132 DXZ131075:DXZ131132 EHV131075:EHV131132 ERR131075:ERR131132 FBN131075:FBN131132 FLJ131075:FLJ131132 FVF131075:FVF131132 GFB131075:GFB131132 GOX131075:GOX131132 GYT131075:GYT131132 HIP131075:HIP131132 HSL131075:HSL131132 ICH131075:ICH131132 IMD131075:IMD131132 IVZ131075:IVZ131132 JFV131075:JFV131132 JPR131075:JPR131132 JZN131075:JZN131132 KJJ131075:KJJ131132 KTF131075:KTF131132 LDB131075:LDB131132 LMX131075:LMX131132 LWT131075:LWT131132 MGP131075:MGP131132 MQL131075:MQL131132 NAH131075:NAH131132 NKD131075:NKD131132 NTZ131075:NTZ131132 ODV131075:ODV131132 ONR131075:ONR131132 OXN131075:OXN131132 PHJ131075:PHJ131132 PRF131075:PRF131132 QBB131075:QBB131132 QKX131075:QKX131132 QUT131075:QUT131132 REP131075:REP131132 ROL131075:ROL131132 RYH131075:RYH131132 SID131075:SID131132 SRZ131075:SRZ131132 TBV131075:TBV131132 TLR131075:TLR131132 TVN131075:TVN131132 UFJ131075:UFJ131132 UPF131075:UPF131132 UZB131075:UZB131132 VIX131075:VIX131132 VST131075:VST131132 WCP131075:WCP131132 WML131075:WML131132 WWH131075:WWH131132 G196611:G196668 JV196611:JV196668 TR196611:TR196668 ADN196611:ADN196668 ANJ196611:ANJ196668 AXF196611:AXF196668 BHB196611:BHB196668 BQX196611:BQX196668 CAT196611:CAT196668 CKP196611:CKP196668 CUL196611:CUL196668 DEH196611:DEH196668 DOD196611:DOD196668 DXZ196611:DXZ196668 EHV196611:EHV196668 ERR196611:ERR196668 FBN196611:FBN196668 FLJ196611:FLJ196668 FVF196611:FVF196668 GFB196611:GFB196668 GOX196611:GOX196668 GYT196611:GYT196668 HIP196611:HIP196668 HSL196611:HSL196668 ICH196611:ICH196668 IMD196611:IMD196668 IVZ196611:IVZ196668 JFV196611:JFV196668 JPR196611:JPR196668 JZN196611:JZN196668 KJJ196611:KJJ196668 KTF196611:KTF196668 LDB196611:LDB196668 LMX196611:LMX196668 LWT196611:LWT196668 MGP196611:MGP196668 MQL196611:MQL196668 NAH196611:NAH196668 NKD196611:NKD196668 NTZ196611:NTZ196668 ODV196611:ODV196668 ONR196611:ONR196668 OXN196611:OXN196668 PHJ196611:PHJ196668 PRF196611:PRF196668 QBB196611:QBB196668 QKX196611:QKX196668 QUT196611:QUT196668 REP196611:REP196668 ROL196611:ROL196668 RYH196611:RYH196668 SID196611:SID196668 SRZ196611:SRZ196668 TBV196611:TBV196668 TLR196611:TLR196668 TVN196611:TVN196668 UFJ196611:UFJ196668 UPF196611:UPF196668 UZB196611:UZB196668 VIX196611:VIX196668 VST196611:VST196668 WCP196611:WCP196668 WML196611:WML196668 WWH196611:WWH196668 G262147:G262204 JV262147:JV262204 TR262147:TR262204 ADN262147:ADN262204 ANJ262147:ANJ262204 AXF262147:AXF262204 BHB262147:BHB262204 BQX262147:BQX262204 CAT262147:CAT262204 CKP262147:CKP262204 CUL262147:CUL262204 DEH262147:DEH262204 DOD262147:DOD262204 DXZ262147:DXZ262204 EHV262147:EHV262204 ERR262147:ERR262204 FBN262147:FBN262204 FLJ262147:FLJ262204 FVF262147:FVF262204 GFB262147:GFB262204 GOX262147:GOX262204 GYT262147:GYT262204 HIP262147:HIP262204 HSL262147:HSL262204 ICH262147:ICH262204 IMD262147:IMD262204 IVZ262147:IVZ262204 JFV262147:JFV262204 JPR262147:JPR262204 JZN262147:JZN262204 KJJ262147:KJJ262204 KTF262147:KTF262204 LDB262147:LDB262204 LMX262147:LMX262204 LWT262147:LWT262204 MGP262147:MGP262204 MQL262147:MQL262204 NAH262147:NAH262204 NKD262147:NKD262204 NTZ262147:NTZ262204 ODV262147:ODV262204 ONR262147:ONR262204 OXN262147:OXN262204 PHJ262147:PHJ262204 PRF262147:PRF262204 QBB262147:QBB262204 QKX262147:QKX262204 QUT262147:QUT262204 REP262147:REP262204 ROL262147:ROL262204 RYH262147:RYH262204 SID262147:SID262204 SRZ262147:SRZ262204 TBV262147:TBV262204 TLR262147:TLR262204 TVN262147:TVN262204 UFJ262147:UFJ262204 UPF262147:UPF262204 UZB262147:UZB262204 VIX262147:VIX262204 VST262147:VST262204 WCP262147:WCP262204 WML262147:WML262204 WWH262147:WWH262204 G327683:G327740 JV327683:JV327740 TR327683:TR327740 ADN327683:ADN327740 ANJ327683:ANJ327740 AXF327683:AXF327740 BHB327683:BHB327740 BQX327683:BQX327740 CAT327683:CAT327740 CKP327683:CKP327740 CUL327683:CUL327740 DEH327683:DEH327740 DOD327683:DOD327740 DXZ327683:DXZ327740 EHV327683:EHV327740 ERR327683:ERR327740 FBN327683:FBN327740 FLJ327683:FLJ327740 FVF327683:FVF327740 GFB327683:GFB327740 GOX327683:GOX327740 GYT327683:GYT327740 HIP327683:HIP327740 HSL327683:HSL327740 ICH327683:ICH327740 IMD327683:IMD327740 IVZ327683:IVZ327740 JFV327683:JFV327740 JPR327683:JPR327740 JZN327683:JZN327740 KJJ327683:KJJ327740 KTF327683:KTF327740 LDB327683:LDB327740 LMX327683:LMX327740 LWT327683:LWT327740 MGP327683:MGP327740 MQL327683:MQL327740 NAH327683:NAH327740 NKD327683:NKD327740 NTZ327683:NTZ327740 ODV327683:ODV327740 ONR327683:ONR327740 OXN327683:OXN327740 PHJ327683:PHJ327740 PRF327683:PRF327740 QBB327683:QBB327740 QKX327683:QKX327740 QUT327683:QUT327740 REP327683:REP327740 ROL327683:ROL327740 RYH327683:RYH327740 SID327683:SID327740 SRZ327683:SRZ327740 TBV327683:TBV327740 TLR327683:TLR327740 TVN327683:TVN327740 UFJ327683:UFJ327740 UPF327683:UPF327740 UZB327683:UZB327740 VIX327683:VIX327740 VST327683:VST327740 WCP327683:WCP327740 WML327683:WML327740 WWH327683:WWH327740 G393219:G393276 JV393219:JV393276 TR393219:TR393276 ADN393219:ADN393276 ANJ393219:ANJ393276 AXF393219:AXF393276 BHB393219:BHB393276 BQX393219:BQX393276 CAT393219:CAT393276 CKP393219:CKP393276 CUL393219:CUL393276 DEH393219:DEH393276 DOD393219:DOD393276 DXZ393219:DXZ393276 EHV393219:EHV393276 ERR393219:ERR393276 FBN393219:FBN393276 FLJ393219:FLJ393276 FVF393219:FVF393276 GFB393219:GFB393276 GOX393219:GOX393276 GYT393219:GYT393276 HIP393219:HIP393276 HSL393219:HSL393276 ICH393219:ICH393276 IMD393219:IMD393276 IVZ393219:IVZ393276 JFV393219:JFV393276 JPR393219:JPR393276 JZN393219:JZN393276 KJJ393219:KJJ393276 KTF393219:KTF393276 LDB393219:LDB393276 LMX393219:LMX393276 LWT393219:LWT393276 MGP393219:MGP393276 MQL393219:MQL393276 NAH393219:NAH393276 NKD393219:NKD393276 NTZ393219:NTZ393276 ODV393219:ODV393276 ONR393219:ONR393276 OXN393219:OXN393276 PHJ393219:PHJ393276 PRF393219:PRF393276 QBB393219:QBB393276 QKX393219:QKX393276 QUT393219:QUT393276 REP393219:REP393276 ROL393219:ROL393276 RYH393219:RYH393276 SID393219:SID393276 SRZ393219:SRZ393276 TBV393219:TBV393276 TLR393219:TLR393276 TVN393219:TVN393276 UFJ393219:UFJ393276 UPF393219:UPF393276 UZB393219:UZB393276 VIX393219:VIX393276 VST393219:VST393276 WCP393219:WCP393276 WML393219:WML393276 WWH393219:WWH393276 G458755:G458812 JV458755:JV458812 TR458755:TR458812 ADN458755:ADN458812 ANJ458755:ANJ458812 AXF458755:AXF458812 BHB458755:BHB458812 BQX458755:BQX458812 CAT458755:CAT458812 CKP458755:CKP458812 CUL458755:CUL458812 DEH458755:DEH458812 DOD458755:DOD458812 DXZ458755:DXZ458812 EHV458755:EHV458812 ERR458755:ERR458812 FBN458755:FBN458812 FLJ458755:FLJ458812 FVF458755:FVF458812 GFB458755:GFB458812 GOX458755:GOX458812 GYT458755:GYT458812 HIP458755:HIP458812 HSL458755:HSL458812 ICH458755:ICH458812 IMD458755:IMD458812 IVZ458755:IVZ458812 JFV458755:JFV458812 JPR458755:JPR458812 JZN458755:JZN458812 KJJ458755:KJJ458812 KTF458755:KTF458812 LDB458755:LDB458812 LMX458755:LMX458812 LWT458755:LWT458812 MGP458755:MGP458812 MQL458755:MQL458812 NAH458755:NAH458812 NKD458755:NKD458812 NTZ458755:NTZ458812 ODV458755:ODV458812 ONR458755:ONR458812 OXN458755:OXN458812 PHJ458755:PHJ458812 PRF458755:PRF458812 QBB458755:QBB458812 QKX458755:QKX458812 QUT458755:QUT458812 REP458755:REP458812 ROL458755:ROL458812 RYH458755:RYH458812 SID458755:SID458812 SRZ458755:SRZ458812 TBV458755:TBV458812 TLR458755:TLR458812 TVN458755:TVN458812 UFJ458755:UFJ458812 UPF458755:UPF458812 UZB458755:UZB458812 VIX458755:VIX458812 VST458755:VST458812 WCP458755:WCP458812 WML458755:WML458812 WWH458755:WWH458812 G524291:G524348 JV524291:JV524348 TR524291:TR524348 ADN524291:ADN524348 ANJ524291:ANJ524348 AXF524291:AXF524348 BHB524291:BHB524348 BQX524291:BQX524348 CAT524291:CAT524348 CKP524291:CKP524348 CUL524291:CUL524348 DEH524291:DEH524348 DOD524291:DOD524348 DXZ524291:DXZ524348 EHV524291:EHV524348 ERR524291:ERR524348 FBN524291:FBN524348 FLJ524291:FLJ524348 FVF524291:FVF524348 GFB524291:GFB524348 GOX524291:GOX524348 GYT524291:GYT524348 HIP524291:HIP524348 HSL524291:HSL524348 ICH524291:ICH524348 IMD524291:IMD524348 IVZ524291:IVZ524348 JFV524291:JFV524348 JPR524291:JPR524348 JZN524291:JZN524348 KJJ524291:KJJ524348 KTF524291:KTF524348 LDB524291:LDB524348 LMX524291:LMX524348 LWT524291:LWT524348 MGP524291:MGP524348 MQL524291:MQL524348 NAH524291:NAH524348 NKD524291:NKD524348 NTZ524291:NTZ524348 ODV524291:ODV524348 ONR524291:ONR524348 OXN524291:OXN524348 PHJ524291:PHJ524348 PRF524291:PRF524348 QBB524291:QBB524348 QKX524291:QKX524348 QUT524291:QUT524348 REP524291:REP524348 ROL524291:ROL524348 RYH524291:RYH524348 SID524291:SID524348 SRZ524291:SRZ524348 TBV524291:TBV524348 TLR524291:TLR524348 TVN524291:TVN524348 UFJ524291:UFJ524348 UPF524291:UPF524348 UZB524291:UZB524348 VIX524291:VIX524348 VST524291:VST524348 WCP524291:WCP524348 WML524291:WML524348 WWH524291:WWH524348 G589827:G589884 JV589827:JV589884 TR589827:TR589884 ADN589827:ADN589884 ANJ589827:ANJ589884 AXF589827:AXF589884 BHB589827:BHB589884 BQX589827:BQX589884 CAT589827:CAT589884 CKP589827:CKP589884 CUL589827:CUL589884 DEH589827:DEH589884 DOD589827:DOD589884 DXZ589827:DXZ589884 EHV589827:EHV589884 ERR589827:ERR589884 FBN589827:FBN589884 FLJ589827:FLJ589884 FVF589827:FVF589884 GFB589827:GFB589884 GOX589827:GOX589884 GYT589827:GYT589884 HIP589827:HIP589884 HSL589827:HSL589884 ICH589827:ICH589884 IMD589827:IMD589884 IVZ589827:IVZ589884 JFV589827:JFV589884 JPR589827:JPR589884 JZN589827:JZN589884 KJJ589827:KJJ589884 KTF589827:KTF589884 LDB589827:LDB589884 LMX589827:LMX589884 LWT589827:LWT589884 MGP589827:MGP589884 MQL589827:MQL589884 NAH589827:NAH589884 NKD589827:NKD589884 NTZ589827:NTZ589884 ODV589827:ODV589884 ONR589827:ONR589884 OXN589827:OXN589884 PHJ589827:PHJ589884 PRF589827:PRF589884 QBB589827:QBB589884 QKX589827:QKX589884 QUT589827:QUT589884 REP589827:REP589884 ROL589827:ROL589884 RYH589827:RYH589884 SID589827:SID589884 SRZ589827:SRZ589884 TBV589827:TBV589884 TLR589827:TLR589884 TVN589827:TVN589884 UFJ589827:UFJ589884 UPF589827:UPF589884 UZB589827:UZB589884 VIX589827:VIX589884 VST589827:VST589884 WCP589827:WCP589884 WML589827:WML589884 WWH589827:WWH589884 G655363:G655420 JV655363:JV655420 TR655363:TR655420 ADN655363:ADN655420 ANJ655363:ANJ655420 AXF655363:AXF655420 BHB655363:BHB655420 BQX655363:BQX655420 CAT655363:CAT655420 CKP655363:CKP655420 CUL655363:CUL655420 DEH655363:DEH655420 DOD655363:DOD655420 DXZ655363:DXZ655420 EHV655363:EHV655420 ERR655363:ERR655420 FBN655363:FBN655420 FLJ655363:FLJ655420 FVF655363:FVF655420 GFB655363:GFB655420 GOX655363:GOX655420 GYT655363:GYT655420 HIP655363:HIP655420 HSL655363:HSL655420 ICH655363:ICH655420 IMD655363:IMD655420 IVZ655363:IVZ655420 JFV655363:JFV655420 JPR655363:JPR655420 JZN655363:JZN655420 KJJ655363:KJJ655420 KTF655363:KTF655420 LDB655363:LDB655420 LMX655363:LMX655420 LWT655363:LWT655420 MGP655363:MGP655420 MQL655363:MQL655420 NAH655363:NAH655420 NKD655363:NKD655420 NTZ655363:NTZ655420 ODV655363:ODV655420 ONR655363:ONR655420 OXN655363:OXN655420 PHJ655363:PHJ655420 PRF655363:PRF655420 QBB655363:QBB655420 QKX655363:QKX655420 QUT655363:QUT655420 REP655363:REP655420 ROL655363:ROL655420 RYH655363:RYH655420 SID655363:SID655420 SRZ655363:SRZ655420 TBV655363:TBV655420 TLR655363:TLR655420 TVN655363:TVN655420 UFJ655363:UFJ655420 UPF655363:UPF655420 UZB655363:UZB655420 VIX655363:VIX655420 VST655363:VST655420 WCP655363:WCP655420 WML655363:WML655420 WWH655363:WWH655420 G720899:G720956 JV720899:JV720956 TR720899:TR720956 ADN720899:ADN720956 ANJ720899:ANJ720956 AXF720899:AXF720956 BHB720899:BHB720956 BQX720899:BQX720956 CAT720899:CAT720956 CKP720899:CKP720956 CUL720899:CUL720956 DEH720899:DEH720956 DOD720899:DOD720956 DXZ720899:DXZ720956 EHV720899:EHV720956 ERR720899:ERR720956 FBN720899:FBN720956 FLJ720899:FLJ720956 FVF720899:FVF720956 GFB720899:GFB720956 GOX720899:GOX720956 GYT720899:GYT720956 HIP720899:HIP720956 HSL720899:HSL720956 ICH720899:ICH720956 IMD720899:IMD720956 IVZ720899:IVZ720956 JFV720899:JFV720956 JPR720899:JPR720956 JZN720899:JZN720956 KJJ720899:KJJ720956 KTF720899:KTF720956 LDB720899:LDB720956 LMX720899:LMX720956 LWT720899:LWT720956 MGP720899:MGP720956 MQL720899:MQL720956 NAH720899:NAH720956 NKD720899:NKD720956 NTZ720899:NTZ720956 ODV720899:ODV720956 ONR720899:ONR720956 OXN720899:OXN720956 PHJ720899:PHJ720956 PRF720899:PRF720956 QBB720899:QBB720956 QKX720899:QKX720956 QUT720899:QUT720956 REP720899:REP720956 ROL720899:ROL720956 RYH720899:RYH720956 SID720899:SID720956 SRZ720899:SRZ720956 TBV720899:TBV720956 TLR720899:TLR720956 TVN720899:TVN720956 UFJ720899:UFJ720956 UPF720899:UPF720956 UZB720899:UZB720956 VIX720899:VIX720956 VST720899:VST720956 WCP720899:WCP720956 WML720899:WML720956 WWH720899:WWH720956 G786435:G786492 JV786435:JV786492 TR786435:TR786492 ADN786435:ADN786492 ANJ786435:ANJ786492 AXF786435:AXF786492 BHB786435:BHB786492 BQX786435:BQX786492 CAT786435:CAT786492 CKP786435:CKP786492 CUL786435:CUL786492 DEH786435:DEH786492 DOD786435:DOD786492 DXZ786435:DXZ786492 EHV786435:EHV786492 ERR786435:ERR786492 FBN786435:FBN786492 FLJ786435:FLJ786492 FVF786435:FVF786492 GFB786435:GFB786492 GOX786435:GOX786492 GYT786435:GYT786492 HIP786435:HIP786492 HSL786435:HSL786492 ICH786435:ICH786492 IMD786435:IMD786492 IVZ786435:IVZ786492 JFV786435:JFV786492 JPR786435:JPR786492 JZN786435:JZN786492 KJJ786435:KJJ786492 KTF786435:KTF786492 LDB786435:LDB786492 LMX786435:LMX786492 LWT786435:LWT786492 MGP786435:MGP786492 MQL786435:MQL786492 NAH786435:NAH786492 NKD786435:NKD786492 NTZ786435:NTZ786492 ODV786435:ODV786492 ONR786435:ONR786492 OXN786435:OXN786492 PHJ786435:PHJ786492 PRF786435:PRF786492 QBB786435:QBB786492 QKX786435:QKX786492 QUT786435:QUT786492 REP786435:REP786492 ROL786435:ROL786492 RYH786435:RYH786492 SID786435:SID786492 SRZ786435:SRZ786492 TBV786435:TBV786492 TLR786435:TLR786492 TVN786435:TVN786492 UFJ786435:UFJ786492 UPF786435:UPF786492 UZB786435:UZB786492 VIX786435:VIX786492 VST786435:VST786492 WCP786435:WCP786492 WML786435:WML786492 WWH786435:WWH786492 G851971:G852028 JV851971:JV852028 TR851971:TR852028 ADN851971:ADN852028 ANJ851971:ANJ852028 AXF851971:AXF852028 BHB851971:BHB852028 BQX851971:BQX852028 CAT851971:CAT852028 CKP851971:CKP852028 CUL851971:CUL852028 DEH851971:DEH852028 DOD851971:DOD852028 DXZ851971:DXZ852028 EHV851971:EHV852028 ERR851971:ERR852028 FBN851971:FBN852028 FLJ851971:FLJ852028 FVF851971:FVF852028 GFB851971:GFB852028 GOX851971:GOX852028 GYT851971:GYT852028 HIP851971:HIP852028 HSL851971:HSL852028 ICH851971:ICH852028 IMD851971:IMD852028 IVZ851971:IVZ852028 JFV851971:JFV852028 JPR851971:JPR852028 JZN851971:JZN852028 KJJ851971:KJJ852028 KTF851971:KTF852028 LDB851971:LDB852028 LMX851971:LMX852028 LWT851971:LWT852028 MGP851971:MGP852028 MQL851971:MQL852028 NAH851971:NAH852028 NKD851971:NKD852028 NTZ851971:NTZ852028 ODV851971:ODV852028 ONR851971:ONR852028 OXN851971:OXN852028 PHJ851971:PHJ852028 PRF851971:PRF852028 QBB851971:QBB852028 QKX851971:QKX852028 QUT851971:QUT852028 REP851971:REP852028 ROL851971:ROL852028 RYH851971:RYH852028 SID851971:SID852028 SRZ851971:SRZ852028 TBV851971:TBV852028 TLR851971:TLR852028 TVN851971:TVN852028 UFJ851971:UFJ852028 UPF851971:UPF852028 UZB851971:UZB852028 VIX851971:VIX852028 VST851971:VST852028 WCP851971:WCP852028 WML851971:WML852028 WWH851971:WWH852028 G917507:G917564 JV917507:JV917564 TR917507:TR917564 ADN917507:ADN917564 ANJ917507:ANJ917564 AXF917507:AXF917564 BHB917507:BHB917564 BQX917507:BQX917564 CAT917507:CAT917564 CKP917507:CKP917564 CUL917507:CUL917564 DEH917507:DEH917564 DOD917507:DOD917564 DXZ917507:DXZ917564 EHV917507:EHV917564 ERR917507:ERR917564 FBN917507:FBN917564 FLJ917507:FLJ917564 FVF917507:FVF917564 GFB917507:GFB917564 GOX917507:GOX917564 GYT917507:GYT917564 HIP917507:HIP917564 HSL917507:HSL917564 ICH917507:ICH917564 IMD917507:IMD917564 IVZ917507:IVZ917564 JFV917507:JFV917564 JPR917507:JPR917564 JZN917507:JZN917564 KJJ917507:KJJ917564 KTF917507:KTF917564 LDB917507:LDB917564 LMX917507:LMX917564 LWT917507:LWT917564 MGP917507:MGP917564 MQL917507:MQL917564 NAH917507:NAH917564 NKD917507:NKD917564 NTZ917507:NTZ917564 ODV917507:ODV917564 ONR917507:ONR917564 OXN917507:OXN917564 PHJ917507:PHJ917564 PRF917507:PRF917564 QBB917507:QBB917564 QKX917507:QKX917564 QUT917507:QUT917564 REP917507:REP917564 ROL917507:ROL917564 RYH917507:RYH917564 SID917507:SID917564 SRZ917507:SRZ917564 TBV917507:TBV917564 TLR917507:TLR917564 TVN917507:TVN917564 UFJ917507:UFJ917564 UPF917507:UPF917564 UZB917507:UZB917564 VIX917507:VIX917564 VST917507:VST917564 WCP917507:WCP917564 WML917507:WML917564 WWH917507:WWH917564 G983043:G983100 JV983043:JV983100 TR983043:TR983100 ADN983043:ADN983100 ANJ983043:ANJ983100 AXF983043:AXF983100 BHB983043:BHB983100 BQX983043:BQX983100 CAT983043:CAT983100 CKP983043:CKP983100 CUL983043:CUL983100 DEH983043:DEH983100 DOD983043:DOD983100 DXZ983043:DXZ983100 EHV983043:EHV983100 ERR983043:ERR983100 FBN983043:FBN983100 FLJ983043:FLJ983100 FVF983043:FVF983100 GFB983043:GFB983100 GOX983043:GOX983100 GYT983043:GYT983100 HIP983043:HIP983100 HSL983043:HSL983100 ICH983043:ICH983100 IMD983043:IMD983100 IVZ983043:IVZ983100 JFV983043:JFV983100 JPR983043:JPR983100 JZN983043:JZN983100 KJJ983043:KJJ983100 KTF983043:KTF983100 LDB983043:LDB983100 LMX983043:LMX983100 LWT983043:LWT983100 MGP983043:MGP983100 MQL983043:MQL983100 NAH983043:NAH983100 NKD983043:NKD983100 NTZ983043:NTZ983100 ODV983043:ODV983100 ONR983043:ONR983100 OXN983043:OXN983100 PHJ983043:PHJ983100 PRF983043:PRF983100 QBB983043:QBB983100 QKX983043:QKX983100 QUT983043:QUT983100 REP983043:REP983100 ROL983043:ROL983100 RYH983043:RYH983100 SID983043:SID983100 SRZ983043:SRZ983100 TBV983043:TBV983100 TLR983043:TLR983100 TVN983043:TVN983100 UFJ983043:UFJ983100 UPF983043:UPF983100 UZB983043:UZB983100 VIX983043:VIX983100 VST983043:VST983100 WCP983043:WCP983100 WML983043:WML983100 WWH983043:WWH983100 G3:G60">
      <formula1>"IS,IR,"</formula1>
    </dataValidation>
    <dataValidation type="list" allowBlank="1" showInputMessage="1" showErrorMessage="1" sqref="D3:D60 JT3:JT60 TP3:TP60 ADL3:ADL60 ANH3:ANH60 AXD3:AXD60 BGZ3:BGZ60 BQV3:BQV60 CAR3:CAR60 CKN3:CKN60 CUJ3:CUJ60 DEF3:DEF60 DOB3:DOB60 DXX3:DXX60 EHT3:EHT60 ERP3:ERP60 FBL3:FBL60 FLH3:FLH60 FVD3:FVD60 GEZ3:GEZ60 GOV3:GOV60 GYR3:GYR60 HIN3:HIN60 HSJ3:HSJ60 ICF3:ICF60 IMB3:IMB60 IVX3:IVX60 JFT3:JFT60 JPP3:JPP60 JZL3:JZL60 KJH3:KJH60 KTD3:KTD60 LCZ3:LCZ60 LMV3:LMV60 LWR3:LWR60 MGN3:MGN60 MQJ3:MQJ60 NAF3:NAF60 NKB3:NKB60 NTX3:NTX60 ODT3:ODT60 ONP3:ONP60 OXL3:OXL60 PHH3:PHH60 PRD3:PRD60 QAZ3:QAZ60 QKV3:QKV60 QUR3:QUR60 REN3:REN60 ROJ3:ROJ60 RYF3:RYF60 SIB3:SIB60 SRX3:SRX60 TBT3:TBT60 TLP3:TLP60 TVL3:TVL60 UFH3:UFH60 UPD3:UPD60 UYZ3:UYZ60 VIV3:VIV60 VSR3:VSR60 WCN3:WCN60 WMJ3:WMJ60 WWF3:WWF60 D65539:D65596 JS65539:JS65596 TO65539:TO65596 ADK65539:ADK65596 ANG65539:ANG65596 AXC65539:AXC65596 BGY65539:BGY65596 BQU65539:BQU65596 CAQ65539:CAQ65596 CKM65539:CKM65596 CUI65539:CUI65596 DEE65539:DEE65596 DOA65539:DOA65596 DXW65539:DXW65596 EHS65539:EHS65596 ERO65539:ERO65596 FBK65539:FBK65596 FLG65539:FLG65596 FVC65539:FVC65596 GEY65539:GEY65596 GOU65539:GOU65596 GYQ65539:GYQ65596 HIM65539:HIM65596 HSI65539:HSI65596 ICE65539:ICE65596 IMA65539:IMA65596 IVW65539:IVW65596 JFS65539:JFS65596 JPO65539:JPO65596 JZK65539:JZK65596 KJG65539:KJG65596 KTC65539:KTC65596 LCY65539:LCY65596 LMU65539:LMU65596 LWQ65539:LWQ65596 MGM65539:MGM65596 MQI65539:MQI65596 NAE65539:NAE65596 NKA65539:NKA65596 NTW65539:NTW65596 ODS65539:ODS65596 ONO65539:ONO65596 OXK65539:OXK65596 PHG65539:PHG65596 PRC65539:PRC65596 QAY65539:QAY65596 QKU65539:QKU65596 QUQ65539:QUQ65596 REM65539:REM65596 ROI65539:ROI65596 RYE65539:RYE65596 SIA65539:SIA65596 SRW65539:SRW65596 TBS65539:TBS65596 TLO65539:TLO65596 TVK65539:TVK65596 UFG65539:UFG65596 UPC65539:UPC65596 UYY65539:UYY65596 VIU65539:VIU65596 VSQ65539:VSQ65596 WCM65539:WCM65596 WMI65539:WMI65596 WWE65539:WWE65596 D131075:D131132 JS131075:JS131132 TO131075:TO131132 ADK131075:ADK131132 ANG131075:ANG131132 AXC131075:AXC131132 BGY131075:BGY131132 BQU131075:BQU131132 CAQ131075:CAQ131132 CKM131075:CKM131132 CUI131075:CUI131132 DEE131075:DEE131132 DOA131075:DOA131132 DXW131075:DXW131132 EHS131075:EHS131132 ERO131075:ERO131132 FBK131075:FBK131132 FLG131075:FLG131132 FVC131075:FVC131132 GEY131075:GEY131132 GOU131075:GOU131132 GYQ131075:GYQ131132 HIM131075:HIM131132 HSI131075:HSI131132 ICE131075:ICE131132 IMA131075:IMA131132 IVW131075:IVW131132 JFS131075:JFS131132 JPO131075:JPO131132 JZK131075:JZK131132 KJG131075:KJG131132 KTC131075:KTC131132 LCY131075:LCY131132 LMU131075:LMU131132 LWQ131075:LWQ131132 MGM131075:MGM131132 MQI131075:MQI131132 NAE131075:NAE131132 NKA131075:NKA131132 NTW131075:NTW131132 ODS131075:ODS131132 ONO131075:ONO131132 OXK131075:OXK131132 PHG131075:PHG131132 PRC131075:PRC131132 QAY131075:QAY131132 QKU131075:QKU131132 QUQ131075:QUQ131132 REM131075:REM131132 ROI131075:ROI131132 RYE131075:RYE131132 SIA131075:SIA131132 SRW131075:SRW131132 TBS131075:TBS131132 TLO131075:TLO131132 TVK131075:TVK131132 UFG131075:UFG131132 UPC131075:UPC131132 UYY131075:UYY131132 VIU131075:VIU131132 VSQ131075:VSQ131132 WCM131075:WCM131132 WMI131075:WMI131132 WWE131075:WWE131132 D196611:D196668 JS196611:JS196668 TO196611:TO196668 ADK196611:ADK196668 ANG196611:ANG196668 AXC196611:AXC196668 BGY196611:BGY196668 BQU196611:BQU196668 CAQ196611:CAQ196668 CKM196611:CKM196668 CUI196611:CUI196668 DEE196611:DEE196668 DOA196611:DOA196668 DXW196611:DXW196668 EHS196611:EHS196668 ERO196611:ERO196668 FBK196611:FBK196668 FLG196611:FLG196668 FVC196611:FVC196668 GEY196611:GEY196668 GOU196611:GOU196668 GYQ196611:GYQ196668 HIM196611:HIM196668 HSI196611:HSI196668 ICE196611:ICE196668 IMA196611:IMA196668 IVW196611:IVW196668 JFS196611:JFS196668 JPO196611:JPO196668 JZK196611:JZK196668 KJG196611:KJG196668 KTC196611:KTC196668 LCY196611:LCY196668 LMU196611:LMU196668 LWQ196611:LWQ196668 MGM196611:MGM196668 MQI196611:MQI196668 NAE196611:NAE196668 NKA196611:NKA196668 NTW196611:NTW196668 ODS196611:ODS196668 ONO196611:ONO196668 OXK196611:OXK196668 PHG196611:PHG196668 PRC196611:PRC196668 QAY196611:QAY196668 QKU196611:QKU196668 QUQ196611:QUQ196668 REM196611:REM196668 ROI196611:ROI196668 RYE196611:RYE196668 SIA196611:SIA196668 SRW196611:SRW196668 TBS196611:TBS196668 TLO196611:TLO196668 TVK196611:TVK196668 UFG196611:UFG196668 UPC196611:UPC196668 UYY196611:UYY196668 VIU196611:VIU196668 VSQ196611:VSQ196668 WCM196611:WCM196668 WMI196611:WMI196668 WWE196611:WWE196668 D262147:D262204 JS262147:JS262204 TO262147:TO262204 ADK262147:ADK262204 ANG262147:ANG262204 AXC262147:AXC262204 BGY262147:BGY262204 BQU262147:BQU262204 CAQ262147:CAQ262204 CKM262147:CKM262204 CUI262147:CUI262204 DEE262147:DEE262204 DOA262147:DOA262204 DXW262147:DXW262204 EHS262147:EHS262204 ERO262147:ERO262204 FBK262147:FBK262204 FLG262147:FLG262204 FVC262147:FVC262204 GEY262147:GEY262204 GOU262147:GOU262204 GYQ262147:GYQ262204 HIM262147:HIM262204 HSI262147:HSI262204 ICE262147:ICE262204 IMA262147:IMA262204 IVW262147:IVW262204 JFS262147:JFS262204 JPO262147:JPO262204 JZK262147:JZK262204 KJG262147:KJG262204 KTC262147:KTC262204 LCY262147:LCY262204 LMU262147:LMU262204 LWQ262147:LWQ262204 MGM262147:MGM262204 MQI262147:MQI262204 NAE262147:NAE262204 NKA262147:NKA262204 NTW262147:NTW262204 ODS262147:ODS262204 ONO262147:ONO262204 OXK262147:OXK262204 PHG262147:PHG262204 PRC262147:PRC262204 QAY262147:QAY262204 QKU262147:QKU262204 QUQ262147:QUQ262204 REM262147:REM262204 ROI262147:ROI262204 RYE262147:RYE262204 SIA262147:SIA262204 SRW262147:SRW262204 TBS262147:TBS262204 TLO262147:TLO262204 TVK262147:TVK262204 UFG262147:UFG262204 UPC262147:UPC262204 UYY262147:UYY262204 VIU262147:VIU262204 VSQ262147:VSQ262204 WCM262147:WCM262204 WMI262147:WMI262204 WWE262147:WWE262204 D327683:D327740 JS327683:JS327740 TO327683:TO327740 ADK327683:ADK327740 ANG327683:ANG327740 AXC327683:AXC327740 BGY327683:BGY327740 BQU327683:BQU327740 CAQ327683:CAQ327740 CKM327683:CKM327740 CUI327683:CUI327740 DEE327683:DEE327740 DOA327683:DOA327740 DXW327683:DXW327740 EHS327683:EHS327740 ERO327683:ERO327740 FBK327683:FBK327740 FLG327683:FLG327740 FVC327683:FVC327740 GEY327683:GEY327740 GOU327683:GOU327740 GYQ327683:GYQ327740 HIM327683:HIM327740 HSI327683:HSI327740 ICE327683:ICE327740 IMA327683:IMA327740 IVW327683:IVW327740 JFS327683:JFS327740 JPO327683:JPO327740 JZK327683:JZK327740 KJG327683:KJG327740 KTC327683:KTC327740 LCY327683:LCY327740 LMU327683:LMU327740 LWQ327683:LWQ327740 MGM327683:MGM327740 MQI327683:MQI327740 NAE327683:NAE327740 NKA327683:NKA327740 NTW327683:NTW327740 ODS327683:ODS327740 ONO327683:ONO327740 OXK327683:OXK327740 PHG327683:PHG327740 PRC327683:PRC327740 QAY327683:QAY327740 QKU327683:QKU327740 QUQ327683:QUQ327740 REM327683:REM327740 ROI327683:ROI327740 RYE327683:RYE327740 SIA327683:SIA327740 SRW327683:SRW327740 TBS327683:TBS327740 TLO327683:TLO327740 TVK327683:TVK327740 UFG327683:UFG327740 UPC327683:UPC327740 UYY327683:UYY327740 VIU327683:VIU327740 VSQ327683:VSQ327740 WCM327683:WCM327740 WMI327683:WMI327740 WWE327683:WWE327740 D393219:D393276 JS393219:JS393276 TO393219:TO393276 ADK393219:ADK393276 ANG393219:ANG393276 AXC393219:AXC393276 BGY393219:BGY393276 BQU393219:BQU393276 CAQ393219:CAQ393276 CKM393219:CKM393276 CUI393219:CUI393276 DEE393219:DEE393276 DOA393219:DOA393276 DXW393219:DXW393276 EHS393219:EHS393276 ERO393219:ERO393276 FBK393219:FBK393276 FLG393219:FLG393276 FVC393219:FVC393276 GEY393219:GEY393276 GOU393219:GOU393276 GYQ393219:GYQ393276 HIM393219:HIM393276 HSI393219:HSI393276 ICE393219:ICE393276 IMA393219:IMA393276 IVW393219:IVW393276 JFS393219:JFS393276 JPO393219:JPO393276 JZK393219:JZK393276 KJG393219:KJG393276 KTC393219:KTC393276 LCY393219:LCY393276 LMU393219:LMU393276 LWQ393219:LWQ393276 MGM393219:MGM393276 MQI393219:MQI393276 NAE393219:NAE393276 NKA393219:NKA393276 NTW393219:NTW393276 ODS393219:ODS393276 ONO393219:ONO393276 OXK393219:OXK393276 PHG393219:PHG393276 PRC393219:PRC393276 QAY393219:QAY393276 QKU393219:QKU393276 QUQ393219:QUQ393276 REM393219:REM393276 ROI393219:ROI393276 RYE393219:RYE393276 SIA393219:SIA393276 SRW393219:SRW393276 TBS393219:TBS393276 TLO393219:TLO393276 TVK393219:TVK393276 UFG393219:UFG393276 UPC393219:UPC393276 UYY393219:UYY393276 VIU393219:VIU393276 VSQ393219:VSQ393276 WCM393219:WCM393276 WMI393219:WMI393276 WWE393219:WWE393276 D458755:D458812 JS458755:JS458812 TO458755:TO458812 ADK458755:ADK458812 ANG458755:ANG458812 AXC458755:AXC458812 BGY458755:BGY458812 BQU458755:BQU458812 CAQ458755:CAQ458812 CKM458755:CKM458812 CUI458755:CUI458812 DEE458755:DEE458812 DOA458755:DOA458812 DXW458755:DXW458812 EHS458755:EHS458812 ERO458755:ERO458812 FBK458755:FBK458812 FLG458755:FLG458812 FVC458755:FVC458812 GEY458755:GEY458812 GOU458755:GOU458812 GYQ458755:GYQ458812 HIM458755:HIM458812 HSI458755:HSI458812 ICE458755:ICE458812 IMA458755:IMA458812 IVW458755:IVW458812 JFS458755:JFS458812 JPO458755:JPO458812 JZK458755:JZK458812 KJG458755:KJG458812 KTC458755:KTC458812 LCY458755:LCY458812 LMU458755:LMU458812 LWQ458755:LWQ458812 MGM458755:MGM458812 MQI458755:MQI458812 NAE458755:NAE458812 NKA458755:NKA458812 NTW458755:NTW458812 ODS458755:ODS458812 ONO458755:ONO458812 OXK458755:OXK458812 PHG458755:PHG458812 PRC458755:PRC458812 QAY458755:QAY458812 QKU458755:QKU458812 QUQ458755:QUQ458812 REM458755:REM458812 ROI458755:ROI458812 RYE458755:RYE458812 SIA458755:SIA458812 SRW458755:SRW458812 TBS458755:TBS458812 TLO458755:TLO458812 TVK458755:TVK458812 UFG458755:UFG458812 UPC458755:UPC458812 UYY458755:UYY458812 VIU458755:VIU458812 VSQ458755:VSQ458812 WCM458755:WCM458812 WMI458755:WMI458812 WWE458755:WWE458812 D524291:D524348 JS524291:JS524348 TO524291:TO524348 ADK524291:ADK524348 ANG524291:ANG524348 AXC524291:AXC524348 BGY524291:BGY524348 BQU524291:BQU524348 CAQ524291:CAQ524348 CKM524291:CKM524348 CUI524291:CUI524348 DEE524291:DEE524348 DOA524291:DOA524348 DXW524291:DXW524348 EHS524291:EHS524348 ERO524291:ERO524348 FBK524291:FBK524348 FLG524291:FLG524348 FVC524291:FVC524348 GEY524291:GEY524348 GOU524291:GOU524348 GYQ524291:GYQ524348 HIM524291:HIM524348 HSI524291:HSI524348 ICE524291:ICE524348 IMA524291:IMA524348 IVW524291:IVW524348 JFS524291:JFS524348 JPO524291:JPO524348 JZK524291:JZK524348 KJG524291:KJG524348 KTC524291:KTC524348 LCY524291:LCY524348 LMU524291:LMU524348 LWQ524291:LWQ524348 MGM524291:MGM524348 MQI524291:MQI524348 NAE524291:NAE524348 NKA524291:NKA524348 NTW524291:NTW524348 ODS524291:ODS524348 ONO524291:ONO524348 OXK524291:OXK524348 PHG524291:PHG524348 PRC524291:PRC524348 QAY524291:QAY524348 QKU524291:QKU524348 QUQ524291:QUQ524348 REM524291:REM524348 ROI524291:ROI524348 RYE524291:RYE524348 SIA524291:SIA524348 SRW524291:SRW524348 TBS524291:TBS524348 TLO524291:TLO524348 TVK524291:TVK524348 UFG524291:UFG524348 UPC524291:UPC524348 UYY524291:UYY524348 VIU524291:VIU524348 VSQ524291:VSQ524348 WCM524291:WCM524348 WMI524291:WMI524348 WWE524291:WWE524348 D589827:D589884 JS589827:JS589884 TO589827:TO589884 ADK589827:ADK589884 ANG589827:ANG589884 AXC589827:AXC589884 BGY589827:BGY589884 BQU589827:BQU589884 CAQ589827:CAQ589884 CKM589827:CKM589884 CUI589827:CUI589884 DEE589827:DEE589884 DOA589827:DOA589884 DXW589827:DXW589884 EHS589827:EHS589884 ERO589827:ERO589884 FBK589827:FBK589884 FLG589827:FLG589884 FVC589827:FVC589884 GEY589827:GEY589884 GOU589827:GOU589884 GYQ589827:GYQ589884 HIM589827:HIM589884 HSI589827:HSI589884 ICE589827:ICE589884 IMA589827:IMA589884 IVW589827:IVW589884 JFS589827:JFS589884 JPO589827:JPO589884 JZK589827:JZK589884 KJG589827:KJG589884 KTC589827:KTC589884 LCY589827:LCY589884 LMU589827:LMU589884 LWQ589827:LWQ589884 MGM589827:MGM589884 MQI589827:MQI589884 NAE589827:NAE589884 NKA589827:NKA589884 NTW589827:NTW589884 ODS589827:ODS589884 ONO589827:ONO589884 OXK589827:OXK589884 PHG589827:PHG589884 PRC589827:PRC589884 QAY589827:QAY589884 QKU589827:QKU589884 QUQ589827:QUQ589884 REM589827:REM589884 ROI589827:ROI589884 RYE589827:RYE589884 SIA589827:SIA589884 SRW589827:SRW589884 TBS589827:TBS589884 TLO589827:TLO589884 TVK589827:TVK589884 UFG589827:UFG589884 UPC589827:UPC589884 UYY589827:UYY589884 VIU589827:VIU589884 VSQ589827:VSQ589884 WCM589827:WCM589884 WMI589827:WMI589884 WWE589827:WWE589884 D655363:D655420 JS655363:JS655420 TO655363:TO655420 ADK655363:ADK655420 ANG655363:ANG655420 AXC655363:AXC655420 BGY655363:BGY655420 BQU655363:BQU655420 CAQ655363:CAQ655420 CKM655363:CKM655420 CUI655363:CUI655420 DEE655363:DEE655420 DOA655363:DOA655420 DXW655363:DXW655420 EHS655363:EHS655420 ERO655363:ERO655420 FBK655363:FBK655420 FLG655363:FLG655420 FVC655363:FVC655420 GEY655363:GEY655420 GOU655363:GOU655420 GYQ655363:GYQ655420 HIM655363:HIM655420 HSI655363:HSI655420 ICE655363:ICE655420 IMA655363:IMA655420 IVW655363:IVW655420 JFS655363:JFS655420 JPO655363:JPO655420 JZK655363:JZK655420 KJG655363:KJG655420 KTC655363:KTC655420 LCY655363:LCY655420 LMU655363:LMU655420 LWQ655363:LWQ655420 MGM655363:MGM655420 MQI655363:MQI655420 NAE655363:NAE655420 NKA655363:NKA655420 NTW655363:NTW655420 ODS655363:ODS655420 ONO655363:ONO655420 OXK655363:OXK655420 PHG655363:PHG655420 PRC655363:PRC655420 QAY655363:QAY655420 QKU655363:QKU655420 QUQ655363:QUQ655420 REM655363:REM655420 ROI655363:ROI655420 RYE655363:RYE655420 SIA655363:SIA655420 SRW655363:SRW655420 TBS655363:TBS655420 TLO655363:TLO655420 TVK655363:TVK655420 UFG655363:UFG655420 UPC655363:UPC655420 UYY655363:UYY655420 VIU655363:VIU655420 VSQ655363:VSQ655420 WCM655363:WCM655420 WMI655363:WMI655420 WWE655363:WWE655420 D720899:D720956 JS720899:JS720956 TO720899:TO720956 ADK720899:ADK720956 ANG720899:ANG720956 AXC720899:AXC720956 BGY720899:BGY720956 BQU720899:BQU720956 CAQ720899:CAQ720956 CKM720899:CKM720956 CUI720899:CUI720956 DEE720899:DEE720956 DOA720899:DOA720956 DXW720899:DXW720956 EHS720899:EHS720956 ERO720899:ERO720956 FBK720899:FBK720956 FLG720899:FLG720956 FVC720899:FVC720956 GEY720899:GEY720956 GOU720899:GOU720956 GYQ720899:GYQ720956 HIM720899:HIM720956 HSI720899:HSI720956 ICE720899:ICE720956 IMA720899:IMA720956 IVW720899:IVW720956 JFS720899:JFS720956 JPO720899:JPO720956 JZK720899:JZK720956 KJG720899:KJG720956 KTC720899:KTC720956 LCY720899:LCY720956 LMU720899:LMU720956 LWQ720899:LWQ720956 MGM720899:MGM720956 MQI720899:MQI720956 NAE720899:NAE720956 NKA720899:NKA720956 NTW720899:NTW720956 ODS720899:ODS720956 ONO720899:ONO720956 OXK720899:OXK720956 PHG720899:PHG720956 PRC720899:PRC720956 QAY720899:QAY720956 QKU720899:QKU720956 QUQ720899:QUQ720956 REM720899:REM720956 ROI720899:ROI720956 RYE720899:RYE720956 SIA720899:SIA720956 SRW720899:SRW720956 TBS720899:TBS720956 TLO720899:TLO720956 TVK720899:TVK720956 UFG720899:UFG720956 UPC720899:UPC720956 UYY720899:UYY720956 VIU720899:VIU720956 VSQ720899:VSQ720956 WCM720899:WCM720956 WMI720899:WMI720956 WWE720899:WWE720956 D786435:D786492 JS786435:JS786492 TO786435:TO786492 ADK786435:ADK786492 ANG786435:ANG786492 AXC786435:AXC786492 BGY786435:BGY786492 BQU786435:BQU786492 CAQ786435:CAQ786492 CKM786435:CKM786492 CUI786435:CUI786492 DEE786435:DEE786492 DOA786435:DOA786492 DXW786435:DXW786492 EHS786435:EHS786492 ERO786435:ERO786492 FBK786435:FBK786492 FLG786435:FLG786492 FVC786435:FVC786492 GEY786435:GEY786492 GOU786435:GOU786492 GYQ786435:GYQ786492 HIM786435:HIM786492 HSI786435:HSI786492 ICE786435:ICE786492 IMA786435:IMA786492 IVW786435:IVW786492 JFS786435:JFS786492 JPO786435:JPO786492 JZK786435:JZK786492 KJG786435:KJG786492 KTC786435:KTC786492 LCY786435:LCY786492 LMU786435:LMU786492 LWQ786435:LWQ786492 MGM786435:MGM786492 MQI786435:MQI786492 NAE786435:NAE786492 NKA786435:NKA786492 NTW786435:NTW786492 ODS786435:ODS786492 ONO786435:ONO786492 OXK786435:OXK786492 PHG786435:PHG786492 PRC786435:PRC786492 QAY786435:QAY786492 QKU786435:QKU786492 QUQ786435:QUQ786492 REM786435:REM786492 ROI786435:ROI786492 RYE786435:RYE786492 SIA786435:SIA786492 SRW786435:SRW786492 TBS786435:TBS786492 TLO786435:TLO786492 TVK786435:TVK786492 UFG786435:UFG786492 UPC786435:UPC786492 UYY786435:UYY786492 VIU786435:VIU786492 VSQ786435:VSQ786492 WCM786435:WCM786492 WMI786435:WMI786492 WWE786435:WWE786492 D851971:D852028 JS851971:JS852028 TO851971:TO852028 ADK851971:ADK852028 ANG851971:ANG852028 AXC851971:AXC852028 BGY851971:BGY852028 BQU851971:BQU852028 CAQ851971:CAQ852028 CKM851971:CKM852028 CUI851971:CUI852028 DEE851971:DEE852028 DOA851971:DOA852028 DXW851971:DXW852028 EHS851971:EHS852028 ERO851971:ERO852028 FBK851971:FBK852028 FLG851971:FLG852028 FVC851971:FVC852028 GEY851971:GEY852028 GOU851971:GOU852028 GYQ851971:GYQ852028 HIM851971:HIM852028 HSI851971:HSI852028 ICE851971:ICE852028 IMA851971:IMA852028 IVW851971:IVW852028 JFS851971:JFS852028 JPO851971:JPO852028 JZK851971:JZK852028 KJG851971:KJG852028 KTC851971:KTC852028 LCY851971:LCY852028 LMU851971:LMU852028 LWQ851971:LWQ852028 MGM851971:MGM852028 MQI851971:MQI852028 NAE851971:NAE852028 NKA851971:NKA852028 NTW851971:NTW852028 ODS851971:ODS852028 ONO851971:ONO852028 OXK851971:OXK852028 PHG851971:PHG852028 PRC851971:PRC852028 QAY851971:QAY852028 QKU851971:QKU852028 QUQ851971:QUQ852028 REM851971:REM852028 ROI851971:ROI852028 RYE851971:RYE852028 SIA851971:SIA852028 SRW851971:SRW852028 TBS851971:TBS852028 TLO851971:TLO852028 TVK851971:TVK852028 UFG851971:UFG852028 UPC851971:UPC852028 UYY851971:UYY852028 VIU851971:VIU852028 VSQ851971:VSQ852028 WCM851971:WCM852028 WMI851971:WMI852028 WWE851971:WWE852028 D917507:D917564 JS917507:JS917564 TO917507:TO917564 ADK917507:ADK917564 ANG917507:ANG917564 AXC917507:AXC917564 BGY917507:BGY917564 BQU917507:BQU917564 CAQ917507:CAQ917564 CKM917507:CKM917564 CUI917507:CUI917564 DEE917507:DEE917564 DOA917507:DOA917564 DXW917507:DXW917564 EHS917507:EHS917564 ERO917507:ERO917564 FBK917507:FBK917564 FLG917507:FLG917564 FVC917507:FVC917564 GEY917507:GEY917564 GOU917507:GOU917564 GYQ917507:GYQ917564 HIM917507:HIM917564 HSI917507:HSI917564 ICE917507:ICE917564 IMA917507:IMA917564 IVW917507:IVW917564 JFS917507:JFS917564 JPO917507:JPO917564 JZK917507:JZK917564 KJG917507:KJG917564 KTC917507:KTC917564 LCY917507:LCY917564 LMU917507:LMU917564 LWQ917507:LWQ917564 MGM917507:MGM917564 MQI917507:MQI917564 NAE917507:NAE917564 NKA917507:NKA917564 NTW917507:NTW917564 ODS917507:ODS917564 ONO917507:ONO917564 OXK917507:OXK917564 PHG917507:PHG917564 PRC917507:PRC917564 QAY917507:QAY917564 QKU917507:QKU917564 QUQ917507:QUQ917564 REM917507:REM917564 ROI917507:ROI917564 RYE917507:RYE917564 SIA917507:SIA917564 SRW917507:SRW917564 TBS917507:TBS917564 TLO917507:TLO917564 TVK917507:TVK917564 UFG917507:UFG917564 UPC917507:UPC917564 UYY917507:UYY917564 VIU917507:VIU917564 VSQ917507:VSQ917564 WCM917507:WCM917564 WMI917507:WMI917564 WWE917507:WWE917564 D983043:D983100 JS983043:JS983100 TO983043:TO983100 ADK983043:ADK983100 ANG983043:ANG983100 AXC983043:AXC983100 BGY983043:BGY983100 BQU983043:BQU983100 CAQ983043:CAQ983100 CKM983043:CKM983100 CUI983043:CUI983100 DEE983043:DEE983100 DOA983043:DOA983100 DXW983043:DXW983100 EHS983043:EHS983100 ERO983043:ERO983100 FBK983043:FBK983100 FLG983043:FLG983100 FVC983043:FVC983100 GEY983043:GEY983100 GOU983043:GOU983100 GYQ983043:GYQ983100 HIM983043:HIM983100 HSI983043:HSI983100 ICE983043:ICE983100 IMA983043:IMA983100 IVW983043:IVW983100 JFS983043:JFS983100 JPO983043:JPO983100 JZK983043:JZK983100 KJG983043:KJG983100 KTC983043:KTC983100 LCY983043:LCY983100 LMU983043:LMU983100 LWQ983043:LWQ983100 MGM983043:MGM983100 MQI983043:MQI983100 NAE983043:NAE983100 NKA983043:NKA983100 NTW983043:NTW983100 ODS983043:ODS983100 ONO983043:ONO983100 OXK983043:OXK983100 PHG983043:PHG983100 PRC983043:PRC983100 QAY983043:QAY983100 QKU983043:QKU983100 QUQ983043:QUQ983100 REM983043:REM983100 ROI983043:ROI983100 RYE983043:RYE983100 SIA983043:SIA983100 SRW983043:SRW983100 TBS983043:TBS983100 TLO983043:TLO983100 TVK983043:TVK983100 UFG983043:UFG983100 UPC983043:UPC983100 UYY983043:UYY983100 VIU983043:VIU983100 VSQ983043:VSQ983100 WCM983043:WCM983100 WMI983043:WMI983100 WWE983043:WWE983100">
      <formula1>"ACS,AGRI,BNC,"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Paramètres!$O$6:$O$16</xm:f>
          </x14:formula1>
          <xm:sqref>AK3:AK60</xm:sqref>
        </x14:dataValidation>
        <x14:dataValidation type="list" allowBlank="1" showInputMessage="1" showErrorMessage="1">
          <x14:formula1>
            <xm:f>Paramètres!$O$4:$O$16</xm:f>
          </x14:formula1>
          <xm:sqref>BF3:BF60</xm:sqref>
        </x14:dataValidation>
        <x14:dataValidation type="list" allowBlank="1" showInputMessage="1" showErrorMessage="1">
          <x14:formula1>
            <xm:f>Paramètres!$N$4:$N$13</xm:f>
          </x14:formula1>
          <xm:sqref>BE3:BE60</xm:sqref>
        </x14:dataValidation>
        <x14:dataValidation type="list" allowBlank="1" showInputMessage="1" showErrorMessage="1">
          <x14:formula1>
            <xm:f>Paramètres!$K$4:$K$9</xm:f>
          </x14:formula1>
          <xm:sqref>AJ3</xm:sqref>
        </x14:dataValidation>
        <x14:dataValidation type="list" allowBlank="1" showInputMessage="1" showErrorMessage="1">
          <x14:formula1>
            <xm:f>Paramètres!$L$4:$L$11</xm:f>
          </x14:formula1>
          <xm:sqref>A3:A60</xm:sqref>
        </x14:dataValidation>
        <x14:dataValidation type="list" allowBlank="1" showInputMessage="1" showErrorMessage="1">
          <x14:formula1>
            <xm:f>Paramètres!$K$4:$K$8</xm:f>
          </x14:formula1>
          <xm:sqref>AJ4:AJ60</xm:sqref>
        </x14:dataValidation>
        <x14:dataValidation type="list" allowBlank="1" showInputMessage="1" showErrorMessage="1">
          <x14:formula1>
            <xm:f>Paramètres!$J$4:$J$7</xm:f>
          </x14:formula1>
          <xm:sqref>AI3:AI60</xm:sqref>
        </x14:dataValidation>
        <x14:dataValidation type="list" allowBlank="1" showInputMessage="1" showErrorMessage="1">
          <x14:formula1>
            <xm:f>Paramètres!$F$4:$F$17</xm:f>
          </x14:formula1>
          <xm:sqref>F3:F52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L183"/>
  <sheetViews>
    <sheetView zoomScale="85" zoomScaleNormal="85" workbookViewId="0">
      <pane xSplit="5" ySplit="2" topLeftCell="F3" activePane="bottomRight" state="frozen"/>
      <selection pane="topRight" activeCell="F1" sqref="F1"/>
      <selection pane="bottomLeft" activeCell="A3" sqref="A3"/>
      <selection pane="bottomRight" activeCell="A3" sqref="A3:A5"/>
    </sheetView>
  </sheetViews>
  <sheetFormatPr baseColWidth="10" defaultRowHeight="15" x14ac:dyDescent="0.25"/>
  <cols>
    <col min="1" max="1" width="24.42578125" style="89" bestFit="1" customWidth="1"/>
    <col min="2" max="2" width="15.42578125" style="89" customWidth="1"/>
    <col min="3" max="3" width="33.7109375" style="89" customWidth="1"/>
    <col min="4" max="4" width="19" style="89" customWidth="1"/>
    <col min="5" max="5" width="19.85546875" style="89" customWidth="1"/>
    <col min="6" max="6" width="18.5703125" style="89" customWidth="1"/>
    <col min="7" max="7" width="19.7109375" style="89" customWidth="1"/>
    <col min="8" max="8" width="14.85546875" style="89" customWidth="1"/>
    <col min="9" max="9" width="16.85546875" style="89" customWidth="1"/>
    <col min="10" max="12" width="11.42578125" style="89" customWidth="1"/>
    <col min="13" max="13" width="18.140625" style="89" customWidth="1"/>
    <col min="14" max="14" width="11.42578125" style="89" customWidth="1"/>
    <col min="15" max="15" width="12.5703125" style="89" customWidth="1"/>
    <col min="16" max="16" width="25" style="89" customWidth="1"/>
    <col min="17" max="17" width="16.5703125" style="89" customWidth="1"/>
    <col min="18" max="18" width="24" style="89" customWidth="1"/>
    <col min="19" max="19" width="16.5703125" style="89" customWidth="1"/>
    <col min="20" max="21" width="20" style="89" customWidth="1"/>
    <col min="22" max="22" width="20.85546875" style="89" customWidth="1"/>
    <col min="23" max="23" width="11.42578125" style="89" customWidth="1"/>
    <col min="24" max="24" width="23.7109375" style="89" customWidth="1"/>
    <col min="25" max="25" width="14" style="89" customWidth="1"/>
    <col min="26" max="26" width="13.28515625" style="89" customWidth="1"/>
    <col min="27" max="28" width="18.5703125" style="89" customWidth="1"/>
    <col min="29" max="29" width="18" style="89" customWidth="1"/>
    <col min="30" max="30" width="11.42578125" style="241" customWidth="1"/>
    <col min="31" max="32" width="18" style="89" customWidth="1"/>
    <col min="33" max="33" width="11.42578125" style="89" customWidth="1"/>
    <col min="34" max="35" width="18.7109375" style="241" customWidth="1"/>
    <col min="36" max="36" width="20" style="241" customWidth="1"/>
    <col min="37" max="37" width="18" style="89" customWidth="1"/>
    <col min="38" max="43" width="19" style="89" customWidth="1"/>
    <col min="44" max="44" width="11.42578125" style="241" customWidth="1"/>
    <col min="45" max="49" width="11.42578125" style="89" customWidth="1"/>
    <col min="50" max="50" width="15.140625" style="89" customWidth="1"/>
    <col min="51" max="51" width="14" style="89" customWidth="1"/>
    <col min="52" max="52" width="15.140625" style="89" customWidth="1"/>
    <col min="53" max="53" width="11.42578125" style="89" customWidth="1"/>
    <col min="54" max="54" width="22.28515625" style="89" customWidth="1"/>
    <col min="55" max="56" width="29.5703125" style="89" customWidth="1"/>
    <col min="57" max="57" width="30.85546875" style="89" customWidth="1"/>
    <col min="58" max="62" width="11.42578125" style="89" customWidth="1"/>
    <col min="63" max="76" width="30.7109375" style="89" customWidth="1"/>
    <col min="77" max="112" width="11.42578125" style="89" customWidth="1"/>
    <col min="113" max="116" width="11.42578125" style="89" hidden="1" customWidth="1"/>
    <col min="117" max="276" width="11.42578125" style="89"/>
    <col min="277" max="277" width="15.5703125" style="89" bestFit="1" customWidth="1"/>
    <col min="278" max="278" width="33.7109375" style="89" customWidth="1"/>
    <col min="279" max="279" width="19" style="89" customWidth="1"/>
    <col min="280" max="280" width="19.85546875" style="89" customWidth="1"/>
    <col min="281" max="281" width="18.5703125" style="89" customWidth="1"/>
    <col min="282" max="282" width="19.7109375" style="89" customWidth="1"/>
    <col min="283" max="283" width="14.85546875" style="89" customWidth="1"/>
    <col min="284" max="284" width="16.85546875" style="89" customWidth="1"/>
    <col min="285" max="287" width="11.42578125" style="89" customWidth="1"/>
    <col min="288" max="288" width="18.140625" style="89" customWidth="1"/>
    <col min="289" max="289" width="11.42578125" style="89" customWidth="1"/>
    <col min="290" max="290" width="12.5703125" style="89" customWidth="1"/>
    <col min="291" max="291" width="25" style="89" customWidth="1"/>
    <col min="292" max="292" width="16.5703125" style="89" bestFit="1" customWidth="1"/>
    <col min="293" max="293" width="24" style="89" customWidth="1"/>
    <col min="294" max="294" width="11.42578125" style="89" customWidth="1"/>
    <col min="295" max="295" width="20" style="89" customWidth="1"/>
    <col min="296" max="296" width="11.42578125" style="89" customWidth="1"/>
    <col min="297" max="297" width="19" style="89" customWidth="1"/>
    <col min="298" max="301" width="11.42578125" style="89" customWidth="1"/>
    <col min="302" max="302" width="15.140625" style="89" customWidth="1"/>
    <col min="303" max="303" width="14" style="89" customWidth="1"/>
    <col min="304" max="304" width="15.140625" style="89" customWidth="1"/>
    <col min="305" max="305" width="11.42578125" style="89" customWidth="1"/>
    <col min="306" max="306" width="51.7109375" style="89" customWidth="1"/>
    <col min="307" max="308" width="29.5703125" style="89" customWidth="1"/>
    <col min="309" max="309" width="44.42578125" style="89" customWidth="1"/>
    <col min="310" max="310" width="36.28515625" style="89" customWidth="1"/>
    <col min="311" max="311" width="27.42578125" style="89" bestFit="1" customWidth="1"/>
    <col min="312" max="532" width="11.42578125" style="89"/>
    <col min="533" max="533" width="15.5703125" style="89" bestFit="1" customWidth="1"/>
    <col min="534" max="534" width="33.7109375" style="89" customWidth="1"/>
    <col min="535" max="535" width="19" style="89" customWidth="1"/>
    <col min="536" max="536" width="19.85546875" style="89" customWidth="1"/>
    <col min="537" max="537" width="18.5703125" style="89" customWidth="1"/>
    <col min="538" max="538" width="19.7109375" style="89" customWidth="1"/>
    <col min="539" max="539" width="14.85546875" style="89" customWidth="1"/>
    <col min="540" max="540" width="16.85546875" style="89" customWidth="1"/>
    <col min="541" max="543" width="11.42578125" style="89" customWidth="1"/>
    <col min="544" max="544" width="18.140625" style="89" customWidth="1"/>
    <col min="545" max="545" width="11.42578125" style="89" customWidth="1"/>
    <col min="546" max="546" width="12.5703125" style="89" customWidth="1"/>
    <col min="547" max="547" width="25" style="89" customWidth="1"/>
    <col min="548" max="548" width="16.5703125" style="89" bestFit="1" customWidth="1"/>
    <col min="549" max="549" width="24" style="89" customWidth="1"/>
    <col min="550" max="550" width="11.42578125" style="89" customWidth="1"/>
    <col min="551" max="551" width="20" style="89" customWidth="1"/>
    <col min="552" max="552" width="11.42578125" style="89" customWidth="1"/>
    <col min="553" max="553" width="19" style="89" customWidth="1"/>
    <col min="554" max="557" width="11.42578125" style="89" customWidth="1"/>
    <col min="558" max="558" width="15.140625" style="89" customWidth="1"/>
    <col min="559" max="559" width="14" style="89" customWidth="1"/>
    <col min="560" max="560" width="15.140625" style="89" customWidth="1"/>
    <col min="561" max="561" width="11.42578125" style="89" customWidth="1"/>
    <col min="562" max="562" width="51.7109375" style="89" customWidth="1"/>
    <col min="563" max="564" width="29.5703125" style="89" customWidth="1"/>
    <col min="565" max="565" width="44.42578125" style="89" customWidth="1"/>
    <col min="566" max="566" width="36.28515625" style="89" customWidth="1"/>
    <col min="567" max="567" width="27.42578125" style="89" bestFit="1" customWidth="1"/>
    <col min="568" max="788" width="11.42578125" style="89"/>
    <col min="789" max="789" width="15.5703125" style="89" bestFit="1" customWidth="1"/>
    <col min="790" max="790" width="33.7109375" style="89" customWidth="1"/>
    <col min="791" max="791" width="19" style="89" customWidth="1"/>
    <col min="792" max="792" width="19.85546875" style="89" customWidth="1"/>
    <col min="793" max="793" width="18.5703125" style="89" customWidth="1"/>
    <col min="794" max="794" width="19.7109375" style="89" customWidth="1"/>
    <col min="795" max="795" width="14.85546875" style="89" customWidth="1"/>
    <col min="796" max="796" width="16.85546875" style="89" customWidth="1"/>
    <col min="797" max="799" width="11.42578125" style="89" customWidth="1"/>
    <col min="800" max="800" width="18.140625" style="89" customWidth="1"/>
    <col min="801" max="801" width="11.42578125" style="89" customWidth="1"/>
    <col min="802" max="802" width="12.5703125" style="89" customWidth="1"/>
    <col min="803" max="803" width="25" style="89" customWidth="1"/>
    <col min="804" max="804" width="16.5703125" style="89" bestFit="1" customWidth="1"/>
    <col min="805" max="805" width="24" style="89" customWidth="1"/>
    <col min="806" max="806" width="11.42578125" style="89" customWidth="1"/>
    <col min="807" max="807" width="20" style="89" customWidth="1"/>
    <col min="808" max="808" width="11.42578125" style="89" customWidth="1"/>
    <col min="809" max="809" width="19" style="89" customWidth="1"/>
    <col min="810" max="813" width="11.42578125" style="89" customWidth="1"/>
    <col min="814" max="814" width="15.140625" style="89" customWidth="1"/>
    <col min="815" max="815" width="14" style="89" customWidth="1"/>
    <col min="816" max="816" width="15.140625" style="89" customWidth="1"/>
    <col min="817" max="817" width="11.42578125" style="89" customWidth="1"/>
    <col min="818" max="818" width="51.7109375" style="89" customWidth="1"/>
    <col min="819" max="820" width="29.5703125" style="89" customWidth="1"/>
    <col min="821" max="821" width="44.42578125" style="89" customWidth="1"/>
    <col min="822" max="822" width="36.28515625" style="89" customWidth="1"/>
    <col min="823" max="823" width="27.42578125" style="89" bestFit="1" customWidth="1"/>
    <col min="824" max="1044" width="11.42578125" style="89"/>
    <col min="1045" max="1045" width="15.5703125" style="89" bestFit="1" customWidth="1"/>
    <col min="1046" max="1046" width="33.7109375" style="89" customWidth="1"/>
    <col min="1047" max="1047" width="19" style="89" customWidth="1"/>
    <col min="1048" max="1048" width="19.85546875" style="89" customWidth="1"/>
    <col min="1049" max="1049" width="18.5703125" style="89" customWidth="1"/>
    <col min="1050" max="1050" width="19.7109375" style="89" customWidth="1"/>
    <col min="1051" max="1051" width="14.85546875" style="89" customWidth="1"/>
    <col min="1052" max="1052" width="16.85546875" style="89" customWidth="1"/>
    <col min="1053" max="1055" width="11.42578125" style="89" customWidth="1"/>
    <col min="1056" max="1056" width="18.140625" style="89" customWidth="1"/>
    <col min="1057" max="1057" width="11.42578125" style="89" customWidth="1"/>
    <col min="1058" max="1058" width="12.5703125" style="89" customWidth="1"/>
    <col min="1059" max="1059" width="25" style="89" customWidth="1"/>
    <col min="1060" max="1060" width="16.5703125" style="89" bestFit="1" customWidth="1"/>
    <col min="1061" max="1061" width="24" style="89" customWidth="1"/>
    <col min="1062" max="1062" width="11.42578125" style="89" customWidth="1"/>
    <col min="1063" max="1063" width="20" style="89" customWidth="1"/>
    <col min="1064" max="1064" width="11.42578125" style="89" customWidth="1"/>
    <col min="1065" max="1065" width="19" style="89" customWidth="1"/>
    <col min="1066" max="1069" width="11.42578125" style="89" customWidth="1"/>
    <col min="1070" max="1070" width="15.140625" style="89" customWidth="1"/>
    <col min="1071" max="1071" width="14" style="89" customWidth="1"/>
    <col min="1072" max="1072" width="15.140625" style="89" customWidth="1"/>
    <col min="1073" max="1073" width="11.42578125" style="89" customWidth="1"/>
    <col min="1074" max="1074" width="51.7109375" style="89" customWidth="1"/>
    <col min="1075" max="1076" width="29.5703125" style="89" customWidth="1"/>
    <col min="1077" max="1077" width="44.42578125" style="89" customWidth="1"/>
    <col min="1078" max="1078" width="36.28515625" style="89" customWidth="1"/>
    <col min="1079" max="1079" width="27.42578125" style="89" bestFit="1" customWidth="1"/>
    <col min="1080" max="1300" width="11.42578125" style="89"/>
    <col min="1301" max="1301" width="15.5703125" style="89" bestFit="1" customWidth="1"/>
    <col min="1302" max="1302" width="33.7109375" style="89" customWidth="1"/>
    <col min="1303" max="1303" width="19" style="89" customWidth="1"/>
    <col min="1304" max="1304" width="19.85546875" style="89" customWidth="1"/>
    <col min="1305" max="1305" width="18.5703125" style="89" customWidth="1"/>
    <col min="1306" max="1306" width="19.7109375" style="89" customWidth="1"/>
    <col min="1307" max="1307" width="14.85546875" style="89" customWidth="1"/>
    <col min="1308" max="1308" width="16.85546875" style="89" customWidth="1"/>
    <col min="1309" max="1311" width="11.42578125" style="89" customWidth="1"/>
    <col min="1312" max="1312" width="18.140625" style="89" customWidth="1"/>
    <col min="1313" max="1313" width="11.42578125" style="89" customWidth="1"/>
    <col min="1314" max="1314" width="12.5703125" style="89" customWidth="1"/>
    <col min="1315" max="1315" width="25" style="89" customWidth="1"/>
    <col min="1316" max="1316" width="16.5703125" style="89" bestFit="1" customWidth="1"/>
    <col min="1317" max="1317" width="24" style="89" customWidth="1"/>
    <col min="1318" max="1318" width="11.42578125" style="89" customWidth="1"/>
    <col min="1319" max="1319" width="20" style="89" customWidth="1"/>
    <col min="1320" max="1320" width="11.42578125" style="89" customWidth="1"/>
    <col min="1321" max="1321" width="19" style="89" customWidth="1"/>
    <col min="1322" max="1325" width="11.42578125" style="89" customWidth="1"/>
    <col min="1326" max="1326" width="15.140625" style="89" customWidth="1"/>
    <col min="1327" max="1327" width="14" style="89" customWidth="1"/>
    <col min="1328" max="1328" width="15.140625" style="89" customWidth="1"/>
    <col min="1329" max="1329" width="11.42578125" style="89" customWidth="1"/>
    <col min="1330" max="1330" width="51.7109375" style="89" customWidth="1"/>
    <col min="1331" max="1332" width="29.5703125" style="89" customWidth="1"/>
    <col min="1333" max="1333" width="44.42578125" style="89" customWidth="1"/>
    <col min="1334" max="1334" width="36.28515625" style="89" customWidth="1"/>
    <col min="1335" max="1335" width="27.42578125" style="89" bestFit="1" customWidth="1"/>
    <col min="1336" max="1556" width="11.42578125" style="89"/>
    <col min="1557" max="1557" width="15.5703125" style="89" bestFit="1" customWidth="1"/>
    <col min="1558" max="1558" width="33.7109375" style="89" customWidth="1"/>
    <col min="1559" max="1559" width="19" style="89" customWidth="1"/>
    <col min="1560" max="1560" width="19.85546875" style="89" customWidth="1"/>
    <col min="1561" max="1561" width="18.5703125" style="89" customWidth="1"/>
    <col min="1562" max="1562" width="19.7109375" style="89" customWidth="1"/>
    <col min="1563" max="1563" width="14.85546875" style="89" customWidth="1"/>
    <col min="1564" max="1564" width="16.85546875" style="89" customWidth="1"/>
    <col min="1565" max="1567" width="11.42578125" style="89" customWidth="1"/>
    <col min="1568" max="1568" width="18.140625" style="89" customWidth="1"/>
    <col min="1569" max="1569" width="11.42578125" style="89" customWidth="1"/>
    <col min="1570" max="1570" width="12.5703125" style="89" customWidth="1"/>
    <col min="1571" max="1571" width="25" style="89" customWidth="1"/>
    <col min="1572" max="1572" width="16.5703125" style="89" bestFit="1" customWidth="1"/>
    <col min="1573" max="1573" width="24" style="89" customWidth="1"/>
    <col min="1574" max="1574" width="11.42578125" style="89" customWidth="1"/>
    <col min="1575" max="1575" width="20" style="89" customWidth="1"/>
    <col min="1576" max="1576" width="11.42578125" style="89" customWidth="1"/>
    <col min="1577" max="1577" width="19" style="89" customWidth="1"/>
    <col min="1578" max="1581" width="11.42578125" style="89" customWidth="1"/>
    <col min="1582" max="1582" width="15.140625" style="89" customWidth="1"/>
    <col min="1583" max="1583" width="14" style="89" customWidth="1"/>
    <col min="1584" max="1584" width="15.140625" style="89" customWidth="1"/>
    <col min="1585" max="1585" width="11.42578125" style="89" customWidth="1"/>
    <col min="1586" max="1586" width="51.7109375" style="89" customWidth="1"/>
    <col min="1587" max="1588" width="29.5703125" style="89" customWidth="1"/>
    <col min="1589" max="1589" width="44.42578125" style="89" customWidth="1"/>
    <col min="1590" max="1590" width="36.28515625" style="89" customWidth="1"/>
    <col min="1591" max="1591" width="27.42578125" style="89" bestFit="1" customWidth="1"/>
    <col min="1592" max="1812" width="11.42578125" style="89"/>
    <col min="1813" max="1813" width="15.5703125" style="89" bestFit="1" customWidth="1"/>
    <col min="1814" max="1814" width="33.7109375" style="89" customWidth="1"/>
    <col min="1815" max="1815" width="19" style="89" customWidth="1"/>
    <col min="1816" max="1816" width="19.85546875" style="89" customWidth="1"/>
    <col min="1817" max="1817" width="18.5703125" style="89" customWidth="1"/>
    <col min="1818" max="1818" width="19.7109375" style="89" customWidth="1"/>
    <col min="1819" max="1819" width="14.85546875" style="89" customWidth="1"/>
    <col min="1820" max="1820" width="16.85546875" style="89" customWidth="1"/>
    <col min="1821" max="1823" width="11.42578125" style="89" customWidth="1"/>
    <col min="1824" max="1824" width="18.140625" style="89" customWidth="1"/>
    <col min="1825" max="1825" width="11.42578125" style="89" customWidth="1"/>
    <col min="1826" max="1826" width="12.5703125" style="89" customWidth="1"/>
    <col min="1827" max="1827" width="25" style="89" customWidth="1"/>
    <col min="1828" max="1828" width="16.5703125" style="89" bestFit="1" customWidth="1"/>
    <col min="1829" max="1829" width="24" style="89" customWidth="1"/>
    <col min="1830" max="1830" width="11.42578125" style="89" customWidth="1"/>
    <col min="1831" max="1831" width="20" style="89" customWidth="1"/>
    <col min="1832" max="1832" width="11.42578125" style="89" customWidth="1"/>
    <col min="1833" max="1833" width="19" style="89" customWidth="1"/>
    <col min="1834" max="1837" width="11.42578125" style="89" customWidth="1"/>
    <col min="1838" max="1838" width="15.140625" style="89" customWidth="1"/>
    <col min="1839" max="1839" width="14" style="89" customWidth="1"/>
    <col min="1840" max="1840" width="15.140625" style="89" customWidth="1"/>
    <col min="1841" max="1841" width="11.42578125" style="89" customWidth="1"/>
    <col min="1842" max="1842" width="51.7109375" style="89" customWidth="1"/>
    <col min="1843" max="1844" width="29.5703125" style="89" customWidth="1"/>
    <col min="1845" max="1845" width="44.42578125" style="89" customWidth="1"/>
    <col min="1846" max="1846" width="36.28515625" style="89" customWidth="1"/>
    <col min="1847" max="1847" width="27.42578125" style="89" bestFit="1" customWidth="1"/>
    <col min="1848" max="2068" width="11.42578125" style="89"/>
    <col min="2069" max="2069" width="15.5703125" style="89" bestFit="1" customWidth="1"/>
    <col min="2070" max="2070" width="33.7109375" style="89" customWidth="1"/>
    <col min="2071" max="2071" width="19" style="89" customWidth="1"/>
    <col min="2072" max="2072" width="19.85546875" style="89" customWidth="1"/>
    <col min="2073" max="2073" width="18.5703125" style="89" customWidth="1"/>
    <col min="2074" max="2074" width="19.7109375" style="89" customWidth="1"/>
    <col min="2075" max="2075" width="14.85546875" style="89" customWidth="1"/>
    <col min="2076" max="2076" width="16.85546875" style="89" customWidth="1"/>
    <col min="2077" max="2079" width="11.42578125" style="89" customWidth="1"/>
    <col min="2080" max="2080" width="18.140625" style="89" customWidth="1"/>
    <col min="2081" max="2081" width="11.42578125" style="89" customWidth="1"/>
    <col min="2082" max="2082" width="12.5703125" style="89" customWidth="1"/>
    <col min="2083" max="2083" width="25" style="89" customWidth="1"/>
    <col min="2084" max="2084" width="16.5703125" style="89" bestFit="1" customWidth="1"/>
    <col min="2085" max="2085" width="24" style="89" customWidth="1"/>
    <col min="2086" max="2086" width="11.42578125" style="89" customWidth="1"/>
    <col min="2087" max="2087" width="20" style="89" customWidth="1"/>
    <col min="2088" max="2088" width="11.42578125" style="89" customWidth="1"/>
    <col min="2089" max="2089" width="19" style="89" customWidth="1"/>
    <col min="2090" max="2093" width="11.42578125" style="89" customWidth="1"/>
    <col min="2094" max="2094" width="15.140625" style="89" customWidth="1"/>
    <col min="2095" max="2095" width="14" style="89" customWidth="1"/>
    <col min="2096" max="2096" width="15.140625" style="89" customWidth="1"/>
    <col min="2097" max="2097" width="11.42578125" style="89" customWidth="1"/>
    <col min="2098" max="2098" width="51.7109375" style="89" customWidth="1"/>
    <col min="2099" max="2100" width="29.5703125" style="89" customWidth="1"/>
    <col min="2101" max="2101" width="44.42578125" style="89" customWidth="1"/>
    <col min="2102" max="2102" width="36.28515625" style="89" customWidth="1"/>
    <col min="2103" max="2103" width="27.42578125" style="89" bestFit="1" customWidth="1"/>
    <col min="2104" max="2324" width="11.42578125" style="89"/>
    <col min="2325" max="2325" width="15.5703125" style="89" bestFit="1" customWidth="1"/>
    <col min="2326" max="2326" width="33.7109375" style="89" customWidth="1"/>
    <col min="2327" max="2327" width="19" style="89" customWidth="1"/>
    <col min="2328" max="2328" width="19.85546875" style="89" customWidth="1"/>
    <col min="2329" max="2329" width="18.5703125" style="89" customWidth="1"/>
    <col min="2330" max="2330" width="19.7109375" style="89" customWidth="1"/>
    <col min="2331" max="2331" width="14.85546875" style="89" customWidth="1"/>
    <col min="2332" max="2332" width="16.85546875" style="89" customWidth="1"/>
    <col min="2333" max="2335" width="11.42578125" style="89" customWidth="1"/>
    <col min="2336" max="2336" width="18.140625" style="89" customWidth="1"/>
    <col min="2337" max="2337" width="11.42578125" style="89" customWidth="1"/>
    <col min="2338" max="2338" width="12.5703125" style="89" customWidth="1"/>
    <col min="2339" max="2339" width="25" style="89" customWidth="1"/>
    <col min="2340" max="2340" width="16.5703125" style="89" bestFit="1" customWidth="1"/>
    <col min="2341" max="2341" width="24" style="89" customWidth="1"/>
    <col min="2342" max="2342" width="11.42578125" style="89" customWidth="1"/>
    <col min="2343" max="2343" width="20" style="89" customWidth="1"/>
    <col min="2344" max="2344" width="11.42578125" style="89" customWidth="1"/>
    <col min="2345" max="2345" width="19" style="89" customWidth="1"/>
    <col min="2346" max="2349" width="11.42578125" style="89" customWidth="1"/>
    <col min="2350" max="2350" width="15.140625" style="89" customWidth="1"/>
    <col min="2351" max="2351" width="14" style="89" customWidth="1"/>
    <col min="2352" max="2352" width="15.140625" style="89" customWidth="1"/>
    <col min="2353" max="2353" width="11.42578125" style="89" customWidth="1"/>
    <col min="2354" max="2354" width="51.7109375" style="89" customWidth="1"/>
    <col min="2355" max="2356" width="29.5703125" style="89" customWidth="1"/>
    <col min="2357" max="2357" width="44.42578125" style="89" customWidth="1"/>
    <col min="2358" max="2358" width="36.28515625" style="89" customWidth="1"/>
    <col min="2359" max="2359" width="27.42578125" style="89" bestFit="1" customWidth="1"/>
    <col min="2360" max="2580" width="11.42578125" style="89"/>
    <col min="2581" max="2581" width="15.5703125" style="89" bestFit="1" customWidth="1"/>
    <col min="2582" max="2582" width="33.7109375" style="89" customWidth="1"/>
    <col min="2583" max="2583" width="19" style="89" customWidth="1"/>
    <col min="2584" max="2584" width="19.85546875" style="89" customWidth="1"/>
    <col min="2585" max="2585" width="18.5703125" style="89" customWidth="1"/>
    <col min="2586" max="2586" width="19.7109375" style="89" customWidth="1"/>
    <col min="2587" max="2587" width="14.85546875" style="89" customWidth="1"/>
    <col min="2588" max="2588" width="16.85546875" style="89" customWidth="1"/>
    <col min="2589" max="2591" width="11.42578125" style="89" customWidth="1"/>
    <col min="2592" max="2592" width="18.140625" style="89" customWidth="1"/>
    <col min="2593" max="2593" width="11.42578125" style="89" customWidth="1"/>
    <col min="2594" max="2594" width="12.5703125" style="89" customWidth="1"/>
    <col min="2595" max="2595" width="25" style="89" customWidth="1"/>
    <col min="2596" max="2596" width="16.5703125" style="89" bestFit="1" customWidth="1"/>
    <col min="2597" max="2597" width="24" style="89" customWidth="1"/>
    <col min="2598" max="2598" width="11.42578125" style="89" customWidth="1"/>
    <col min="2599" max="2599" width="20" style="89" customWidth="1"/>
    <col min="2600" max="2600" width="11.42578125" style="89" customWidth="1"/>
    <col min="2601" max="2601" width="19" style="89" customWidth="1"/>
    <col min="2602" max="2605" width="11.42578125" style="89" customWidth="1"/>
    <col min="2606" max="2606" width="15.140625" style="89" customWidth="1"/>
    <col min="2607" max="2607" width="14" style="89" customWidth="1"/>
    <col min="2608" max="2608" width="15.140625" style="89" customWidth="1"/>
    <col min="2609" max="2609" width="11.42578125" style="89" customWidth="1"/>
    <col min="2610" max="2610" width="51.7109375" style="89" customWidth="1"/>
    <col min="2611" max="2612" width="29.5703125" style="89" customWidth="1"/>
    <col min="2613" max="2613" width="44.42578125" style="89" customWidth="1"/>
    <col min="2614" max="2614" width="36.28515625" style="89" customWidth="1"/>
    <col min="2615" max="2615" width="27.42578125" style="89" bestFit="1" customWidth="1"/>
    <col min="2616" max="2836" width="11.42578125" style="89"/>
    <col min="2837" max="2837" width="15.5703125" style="89" bestFit="1" customWidth="1"/>
    <col min="2838" max="2838" width="33.7109375" style="89" customWidth="1"/>
    <col min="2839" max="2839" width="19" style="89" customWidth="1"/>
    <col min="2840" max="2840" width="19.85546875" style="89" customWidth="1"/>
    <col min="2841" max="2841" width="18.5703125" style="89" customWidth="1"/>
    <col min="2842" max="2842" width="19.7109375" style="89" customWidth="1"/>
    <col min="2843" max="2843" width="14.85546875" style="89" customWidth="1"/>
    <col min="2844" max="2844" width="16.85546875" style="89" customWidth="1"/>
    <col min="2845" max="2847" width="11.42578125" style="89" customWidth="1"/>
    <col min="2848" max="2848" width="18.140625" style="89" customWidth="1"/>
    <col min="2849" max="2849" width="11.42578125" style="89" customWidth="1"/>
    <col min="2850" max="2850" width="12.5703125" style="89" customWidth="1"/>
    <col min="2851" max="2851" width="25" style="89" customWidth="1"/>
    <col min="2852" max="2852" width="16.5703125" style="89" bestFit="1" customWidth="1"/>
    <col min="2853" max="2853" width="24" style="89" customWidth="1"/>
    <col min="2854" max="2854" width="11.42578125" style="89" customWidth="1"/>
    <col min="2855" max="2855" width="20" style="89" customWidth="1"/>
    <col min="2856" max="2856" width="11.42578125" style="89" customWidth="1"/>
    <col min="2857" max="2857" width="19" style="89" customWidth="1"/>
    <col min="2858" max="2861" width="11.42578125" style="89" customWidth="1"/>
    <col min="2862" max="2862" width="15.140625" style="89" customWidth="1"/>
    <col min="2863" max="2863" width="14" style="89" customWidth="1"/>
    <col min="2864" max="2864" width="15.140625" style="89" customWidth="1"/>
    <col min="2865" max="2865" width="11.42578125" style="89" customWidth="1"/>
    <col min="2866" max="2866" width="51.7109375" style="89" customWidth="1"/>
    <col min="2867" max="2868" width="29.5703125" style="89" customWidth="1"/>
    <col min="2869" max="2869" width="44.42578125" style="89" customWidth="1"/>
    <col min="2870" max="2870" width="36.28515625" style="89" customWidth="1"/>
    <col min="2871" max="2871" width="27.42578125" style="89" bestFit="1" customWidth="1"/>
    <col min="2872" max="3092" width="11.42578125" style="89"/>
    <col min="3093" max="3093" width="15.5703125" style="89" bestFit="1" customWidth="1"/>
    <col min="3094" max="3094" width="33.7109375" style="89" customWidth="1"/>
    <col min="3095" max="3095" width="19" style="89" customWidth="1"/>
    <col min="3096" max="3096" width="19.85546875" style="89" customWidth="1"/>
    <col min="3097" max="3097" width="18.5703125" style="89" customWidth="1"/>
    <col min="3098" max="3098" width="19.7109375" style="89" customWidth="1"/>
    <col min="3099" max="3099" width="14.85546875" style="89" customWidth="1"/>
    <col min="3100" max="3100" width="16.85546875" style="89" customWidth="1"/>
    <col min="3101" max="3103" width="11.42578125" style="89" customWidth="1"/>
    <col min="3104" max="3104" width="18.140625" style="89" customWidth="1"/>
    <col min="3105" max="3105" width="11.42578125" style="89" customWidth="1"/>
    <col min="3106" max="3106" width="12.5703125" style="89" customWidth="1"/>
    <col min="3107" max="3107" width="25" style="89" customWidth="1"/>
    <col min="3108" max="3108" width="16.5703125" style="89" bestFit="1" customWidth="1"/>
    <col min="3109" max="3109" width="24" style="89" customWidth="1"/>
    <col min="3110" max="3110" width="11.42578125" style="89" customWidth="1"/>
    <col min="3111" max="3111" width="20" style="89" customWidth="1"/>
    <col min="3112" max="3112" width="11.42578125" style="89" customWidth="1"/>
    <col min="3113" max="3113" width="19" style="89" customWidth="1"/>
    <col min="3114" max="3117" width="11.42578125" style="89" customWidth="1"/>
    <col min="3118" max="3118" width="15.140625" style="89" customWidth="1"/>
    <col min="3119" max="3119" width="14" style="89" customWidth="1"/>
    <col min="3120" max="3120" width="15.140625" style="89" customWidth="1"/>
    <col min="3121" max="3121" width="11.42578125" style="89" customWidth="1"/>
    <col min="3122" max="3122" width="51.7109375" style="89" customWidth="1"/>
    <col min="3123" max="3124" width="29.5703125" style="89" customWidth="1"/>
    <col min="3125" max="3125" width="44.42578125" style="89" customWidth="1"/>
    <col min="3126" max="3126" width="36.28515625" style="89" customWidth="1"/>
    <col min="3127" max="3127" width="27.42578125" style="89" bestFit="1" customWidth="1"/>
    <col min="3128" max="3348" width="11.42578125" style="89"/>
    <col min="3349" max="3349" width="15.5703125" style="89" bestFit="1" customWidth="1"/>
    <col min="3350" max="3350" width="33.7109375" style="89" customWidth="1"/>
    <col min="3351" max="3351" width="19" style="89" customWidth="1"/>
    <col min="3352" max="3352" width="19.85546875" style="89" customWidth="1"/>
    <col min="3353" max="3353" width="18.5703125" style="89" customWidth="1"/>
    <col min="3354" max="3354" width="19.7109375" style="89" customWidth="1"/>
    <col min="3355" max="3355" width="14.85546875" style="89" customWidth="1"/>
    <col min="3356" max="3356" width="16.85546875" style="89" customWidth="1"/>
    <col min="3357" max="3359" width="11.42578125" style="89" customWidth="1"/>
    <col min="3360" max="3360" width="18.140625" style="89" customWidth="1"/>
    <col min="3361" max="3361" width="11.42578125" style="89" customWidth="1"/>
    <col min="3362" max="3362" width="12.5703125" style="89" customWidth="1"/>
    <col min="3363" max="3363" width="25" style="89" customWidth="1"/>
    <col min="3364" max="3364" width="16.5703125" style="89" bestFit="1" customWidth="1"/>
    <col min="3365" max="3365" width="24" style="89" customWidth="1"/>
    <col min="3366" max="3366" width="11.42578125" style="89" customWidth="1"/>
    <col min="3367" max="3367" width="20" style="89" customWidth="1"/>
    <col min="3368" max="3368" width="11.42578125" style="89" customWidth="1"/>
    <col min="3369" max="3369" width="19" style="89" customWidth="1"/>
    <col min="3370" max="3373" width="11.42578125" style="89" customWidth="1"/>
    <col min="3374" max="3374" width="15.140625" style="89" customWidth="1"/>
    <col min="3375" max="3375" width="14" style="89" customWidth="1"/>
    <col min="3376" max="3376" width="15.140625" style="89" customWidth="1"/>
    <col min="3377" max="3377" width="11.42578125" style="89" customWidth="1"/>
    <col min="3378" max="3378" width="51.7109375" style="89" customWidth="1"/>
    <col min="3379" max="3380" width="29.5703125" style="89" customWidth="1"/>
    <col min="3381" max="3381" width="44.42578125" style="89" customWidth="1"/>
    <col min="3382" max="3382" width="36.28515625" style="89" customWidth="1"/>
    <col min="3383" max="3383" width="27.42578125" style="89" bestFit="1" customWidth="1"/>
    <col min="3384" max="3604" width="11.42578125" style="89"/>
    <col min="3605" max="3605" width="15.5703125" style="89" bestFit="1" customWidth="1"/>
    <col min="3606" max="3606" width="33.7109375" style="89" customWidth="1"/>
    <col min="3607" max="3607" width="19" style="89" customWidth="1"/>
    <col min="3608" max="3608" width="19.85546875" style="89" customWidth="1"/>
    <col min="3609" max="3609" width="18.5703125" style="89" customWidth="1"/>
    <col min="3610" max="3610" width="19.7109375" style="89" customWidth="1"/>
    <col min="3611" max="3611" width="14.85546875" style="89" customWidth="1"/>
    <col min="3612" max="3612" width="16.85546875" style="89" customWidth="1"/>
    <col min="3613" max="3615" width="11.42578125" style="89" customWidth="1"/>
    <col min="3616" max="3616" width="18.140625" style="89" customWidth="1"/>
    <col min="3617" max="3617" width="11.42578125" style="89" customWidth="1"/>
    <col min="3618" max="3618" width="12.5703125" style="89" customWidth="1"/>
    <col min="3619" max="3619" width="25" style="89" customWidth="1"/>
    <col min="3620" max="3620" width="16.5703125" style="89" bestFit="1" customWidth="1"/>
    <col min="3621" max="3621" width="24" style="89" customWidth="1"/>
    <col min="3622" max="3622" width="11.42578125" style="89" customWidth="1"/>
    <col min="3623" max="3623" width="20" style="89" customWidth="1"/>
    <col min="3624" max="3624" width="11.42578125" style="89" customWidth="1"/>
    <col min="3625" max="3625" width="19" style="89" customWidth="1"/>
    <col min="3626" max="3629" width="11.42578125" style="89" customWidth="1"/>
    <col min="3630" max="3630" width="15.140625" style="89" customWidth="1"/>
    <col min="3631" max="3631" width="14" style="89" customWidth="1"/>
    <col min="3632" max="3632" width="15.140625" style="89" customWidth="1"/>
    <col min="3633" max="3633" width="11.42578125" style="89" customWidth="1"/>
    <col min="3634" max="3634" width="51.7109375" style="89" customWidth="1"/>
    <col min="3635" max="3636" width="29.5703125" style="89" customWidth="1"/>
    <col min="3637" max="3637" width="44.42578125" style="89" customWidth="1"/>
    <col min="3638" max="3638" width="36.28515625" style="89" customWidth="1"/>
    <col min="3639" max="3639" width="27.42578125" style="89" bestFit="1" customWidth="1"/>
    <col min="3640" max="3860" width="11.42578125" style="89"/>
    <col min="3861" max="3861" width="15.5703125" style="89" bestFit="1" customWidth="1"/>
    <col min="3862" max="3862" width="33.7109375" style="89" customWidth="1"/>
    <col min="3863" max="3863" width="19" style="89" customWidth="1"/>
    <col min="3864" max="3864" width="19.85546875" style="89" customWidth="1"/>
    <col min="3865" max="3865" width="18.5703125" style="89" customWidth="1"/>
    <col min="3866" max="3866" width="19.7109375" style="89" customWidth="1"/>
    <col min="3867" max="3867" width="14.85546875" style="89" customWidth="1"/>
    <col min="3868" max="3868" width="16.85546875" style="89" customWidth="1"/>
    <col min="3869" max="3871" width="11.42578125" style="89" customWidth="1"/>
    <col min="3872" max="3872" width="18.140625" style="89" customWidth="1"/>
    <col min="3873" max="3873" width="11.42578125" style="89" customWidth="1"/>
    <col min="3874" max="3874" width="12.5703125" style="89" customWidth="1"/>
    <col min="3875" max="3875" width="25" style="89" customWidth="1"/>
    <col min="3876" max="3876" width="16.5703125" style="89" bestFit="1" customWidth="1"/>
    <col min="3877" max="3877" width="24" style="89" customWidth="1"/>
    <col min="3878" max="3878" width="11.42578125" style="89" customWidth="1"/>
    <col min="3879" max="3879" width="20" style="89" customWidth="1"/>
    <col min="3880" max="3880" width="11.42578125" style="89" customWidth="1"/>
    <col min="3881" max="3881" width="19" style="89" customWidth="1"/>
    <col min="3882" max="3885" width="11.42578125" style="89" customWidth="1"/>
    <col min="3886" max="3886" width="15.140625" style="89" customWidth="1"/>
    <col min="3887" max="3887" width="14" style="89" customWidth="1"/>
    <col min="3888" max="3888" width="15.140625" style="89" customWidth="1"/>
    <col min="3889" max="3889" width="11.42578125" style="89" customWidth="1"/>
    <col min="3890" max="3890" width="51.7109375" style="89" customWidth="1"/>
    <col min="3891" max="3892" width="29.5703125" style="89" customWidth="1"/>
    <col min="3893" max="3893" width="44.42578125" style="89" customWidth="1"/>
    <col min="3894" max="3894" width="36.28515625" style="89" customWidth="1"/>
    <col min="3895" max="3895" width="27.42578125" style="89" bestFit="1" customWidth="1"/>
    <col min="3896" max="4116" width="11.42578125" style="89"/>
    <col min="4117" max="4117" width="15.5703125" style="89" bestFit="1" customWidth="1"/>
    <col min="4118" max="4118" width="33.7109375" style="89" customWidth="1"/>
    <col min="4119" max="4119" width="19" style="89" customWidth="1"/>
    <col min="4120" max="4120" width="19.85546875" style="89" customWidth="1"/>
    <col min="4121" max="4121" width="18.5703125" style="89" customWidth="1"/>
    <col min="4122" max="4122" width="19.7109375" style="89" customWidth="1"/>
    <col min="4123" max="4123" width="14.85546875" style="89" customWidth="1"/>
    <col min="4124" max="4124" width="16.85546875" style="89" customWidth="1"/>
    <col min="4125" max="4127" width="11.42578125" style="89" customWidth="1"/>
    <col min="4128" max="4128" width="18.140625" style="89" customWidth="1"/>
    <col min="4129" max="4129" width="11.42578125" style="89" customWidth="1"/>
    <col min="4130" max="4130" width="12.5703125" style="89" customWidth="1"/>
    <col min="4131" max="4131" width="25" style="89" customWidth="1"/>
    <col min="4132" max="4132" width="16.5703125" style="89" bestFit="1" customWidth="1"/>
    <col min="4133" max="4133" width="24" style="89" customWidth="1"/>
    <col min="4134" max="4134" width="11.42578125" style="89" customWidth="1"/>
    <col min="4135" max="4135" width="20" style="89" customWidth="1"/>
    <col min="4136" max="4136" width="11.42578125" style="89" customWidth="1"/>
    <col min="4137" max="4137" width="19" style="89" customWidth="1"/>
    <col min="4138" max="4141" width="11.42578125" style="89" customWidth="1"/>
    <col min="4142" max="4142" width="15.140625" style="89" customWidth="1"/>
    <col min="4143" max="4143" width="14" style="89" customWidth="1"/>
    <col min="4144" max="4144" width="15.140625" style="89" customWidth="1"/>
    <col min="4145" max="4145" width="11.42578125" style="89" customWidth="1"/>
    <col min="4146" max="4146" width="51.7109375" style="89" customWidth="1"/>
    <col min="4147" max="4148" width="29.5703125" style="89" customWidth="1"/>
    <col min="4149" max="4149" width="44.42578125" style="89" customWidth="1"/>
    <col min="4150" max="4150" width="36.28515625" style="89" customWidth="1"/>
    <col min="4151" max="4151" width="27.42578125" style="89" bestFit="1" customWidth="1"/>
    <col min="4152" max="4372" width="11.42578125" style="89"/>
    <col min="4373" max="4373" width="15.5703125" style="89" bestFit="1" customWidth="1"/>
    <col min="4374" max="4374" width="33.7109375" style="89" customWidth="1"/>
    <col min="4375" max="4375" width="19" style="89" customWidth="1"/>
    <col min="4376" max="4376" width="19.85546875" style="89" customWidth="1"/>
    <col min="4377" max="4377" width="18.5703125" style="89" customWidth="1"/>
    <col min="4378" max="4378" width="19.7109375" style="89" customWidth="1"/>
    <col min="4379" max="4379" width="14.85546875" style="89" customWidth="1"/>
    <col min="4380" max="4380" width="16.85546875" style="89" customWidth="1"/>
    <col min="4381" max="4383" width="11.42578125" style="89" customWidth="1"/>
    <col min="4384" max="4384" width="18.140625" style="89" customWidth="1"/>
    <col min="4385" max="4385" width="11.42578125" style="89" customWidth="1"/>
    <col min="4386" max="4386" width="12.5703125" style="89" customWidth="1"/>
    <col min="4387" max="4387" width="25" style="89" customWidth="1"/>
    <col min="4388" max="4388" width="16.5703125" style="89" bestFit="1" customWidth="1"/>
    <col min="4389" max="4389" width="24" style="89" customWidth="1"/>
    <col min="4390" max="4390" width="11.42578125" style="89" customWidth="1"/>
    <col min="4391" max="4391" width="20" style="89" customWidth="1"/>
    <col min="4392" max="4392" width="11.42578125" style="89" customWidth="1"/>
    <col min="4393" max="4393" width="19" style="89" customWidth="1"/>
    <col min="4394" max="4397" width="11.42578125" style="89" customWidth="1"/>
    <col min="4398" max="4398" width="15.140625" style="89" customWidth="1"/>
    <col min="4399" max="4399" width="14" style="89" customWidth="1"/>
    <col min="4400" max="4400" width="15.140625" style="89" customWidth="1"/>
    <col min="4401" max="4401" width="11.42578125" style="89" customWidth="1"/>
    <col min="4402" max="4402" width="51.7109375" style="89" customWidth="1"/>
    <col min="4403" max="4404" width="29.5703125" style="89" customWidth="1"/>
    <col min="4405" max="4405" width="44.42578125" style="89" customWidth="1"/>
    <col min="4406" max="4406" width="36.28515625" style="89" customWidth="1"/>
    <col min="4407" max="4407" width="27.42578125" style="89" bestFit="1" customWidth="1"/>
    <col min="4408" max="4628" width="11.42578125" style="89"/>
    <col min="4629" max="4629" width="15.5703125" style="89" bestFit="1" customWidth="1"/>
    <col min="4630" max="4630" width="33.7109375" style="89" customWidth="1"/>
    <col min="4631" max="4631" width="19" style="89" customWidth="1"/>
    <col min="4632" max="4632" width="19.85546875" style="89" customWidth="1"/>
    <col min="4633" max="4633" width="18.5703125" style="89" customWidth="1"/>
    <col min="4634" max="4634" width="19.7109375" style="89" customWidth="1"/>
    <col min="4635" max="4635" width="14.85546875" style="89" customWidth="1"/>
    <col min="4636" max="4636" width="16.85546875" style="89" customWidth="1"/>
    <col min="4637" max="4639" width="11.42578125" style="89" customWidth="1"/>
    <col min="4640" max="4640" width="18.140625" style="89" customWidth="1"/>
    <col min="4641" max="4641" width="11.42578125" style="89" customWidth="1"/>
    <col min="4642" max="4642" width="12.5703125" style="89" customWidth="1"/>
    <col min="4643" max="4643" width="25" style="89" customWidth="1"/>
    <col min="4644" max="4644" width="16.5703125" style="89" bestFit="1" customWidth="1"/>
    <col min="4645" max="4645" width="24" style="89" customWidth="1"/>
    <col min="4646" max="4646" width="11.42578125" style="89" customWidth="1"/>
    <col min="4647" max="4647" width="20" style="89" customWidth="1"/>
    <col min="4648" max="4648" width="11.42578125" style="89" customWidth="1"/>
    <col min="4649" max="4649" width="19" style="89" customWidth="1"/>
    <col min="4650" max="4653" width="11.42578125" style="89" customWidth="1"/>
    <col min="4654" max="4654" width="15.140625" style="89" customWidth="1"/>
    <col min="4655" max="4655" width="14" style="89" customWidth="1"/>
    <col min="4656" max="4656" width="15.140625" style="89" customWidth="1"/>
    <col min="4657" max="4657" width="11.42578125" style="89" customWidth="1"/>
    <col min="4658" max="4658" width="51.7109375" style="89" customWidth="1"/>
    <col min="4659" max="4660" width="29.5703125" style="89" customWidth="1"/>
    <col min="4661" max="4661" width="44.42578125" style="89" customWidth="1"/>
    <col min="4662" max="4662" width="36.28515625" style="89" customWidth="1"/>
    <col min="4663" max="4663" width="27.42578125" style="89" bestFit="1" customWidth="1"/>
    <col min="4664" max="4884" width="11.42578125" style="89"/>
    <col min="4885" max="4885" width="15.5703125" style="89" bestFit="1" customWidth="1"/>
    <col min="4886" max="4886" width="33.7109375" style="89" customWidth="1"/>
    <col min="4887" max="4887" width="19" style="89" customWidth="1"/>
    <col min="4888" max="4888" width="19.85546875" style="89" customWidth="1"/>
    <col min="4889" max="4889" width="18.5703125" style="89" customWidth="1"/>
    <col min="4890" max="4890" width="19.7109375" style="89" customWidth="1"/>
    <col min="4891" max="4891" width="14.85546875" style="89" customWidth="1"/>
    <col min="4892" max="4892" width="16.85546875" style="89" customWidth="1"/>
    <col min="4893" max="4895" width="11.42578125" style="89" customWidth="1"/>
    <col min="4896" max="4896" width="18.140625" style="89" customWidth="1"/>
    <col min="4897" max="4897" width="11.42578125" style="89" customWidth="1"/>
    <col min="4898" max="4898" width="12.5703125" style="89" customWidth="1"/>
    <col min="4899" max="4899" width="25" style="89" customWidth="1"/>
    <col min="4900" max="4900" width="16.5703125" style="89" bestFit="1" customWidth="1"/>
    <col min="4901" max="4901" width="24" style="89" customWidth="1"/>
    <col min="4902" max="4902" width="11.42578125" style="89" customWidth="1"/>
    <col min="4903" max="4903" width="20" style="89" customWidth="1"/>
    <col min="4904" max="4904" width="11.42578125" style="89" customWidth="1"/>
    <col min="4905" max="4905" width="19" style="89" customWidth="1"/>
    <col min="4906" max="4909" width="11.42578125" style="89" customWidth="1"/>
    <col min="4910" max="4910" width="15.140625" style="89" customWidth="1"/>
    <col min="4911" max="4911" width="14" style="89" customWidth="1"/>
    <col min="4912" max="4912" width="15.140625" style="89" customWidth="1"/>
    <col min="4913" max="4913" width="11.42578125" style="89" customWidth="1"/>
    <col min="4914" max="4914" width="51.7109375" style="89" customWidth="1"/>
    <col min="4915" max="4916" width="29.5703125" style="89" customWidth="1"/>
    <col min="4917" max="4917" width="44.42578125" style="89" customWidth="1"/>
    <col min="4918" max="4918" width="36.28515625" style="89" customWidth="1"/>
    <col min="4919" max="4919" width="27.42578125" style="89" bestFit="1" customWidth="1"/>
    <col min="4920" max="5140" width="11.42578125" style="89"/>
    <col min="5141" max="5141" width="15.5703125" style="89" bestFit="1" customWidth="1"/>
    <col min="5142" max="5142" width="33.7109375" style="89" customWidth="1"/>
    <col min="5143" max="5143" width="19" style="89" customWidth="1"/>
    <col min="5144" max="5144" width="19.85546875" style="89" customWidth="1"/>
    <col min="5145" max="5145" width="18.5703125" style="89" customWidth="1"/>
    <col min="5146" max="5146" width="19.7109375" style="89" customWidth="1"/>
    <col min="5147" max="5147" width="14.85546875" style="89" customWidth="1"/>
    <col min="5148" max="5148" width="16.85546875" style="89" customWidth="1"/>
    <col min="5149" max="5151" width="11.42578125" style="89" customWidth="1"/>
    <col min="5152" max="5152" width="18.140625" style="89" customWidth="1"/>
    <col min="5153" max="5153" width="11.42578125" style="89" customWidth="1"/>
    <col min="5154" max="5154" width="12.5703125" style="89" customWidth="1"/>
    <col min="5155" max="5155" width="25" style="89" customWidth="1"/>
    <col min="5156" max="5156" width="16.5703125" style="89" bestFit="1" customWidth="1"/>
    <col min="5157" max="5157" width="24" style="89" customWidth="1"/>
    <col min="5158" max="5158" width="11.42578125" style="89" customWidth="1"/>
    <col min="5159" max="5159" width="20" style="89" customWidth="1"/>
    <col min="5160" max="5160" width="11.42578125" style="89" customWidth="1"/>
    <col min="5161" max="5161" width="19" style="89" customWidth="1"/>
    <col min="5162" max="5165" width="11.42578125" style="89" customWidth="1"/>
    <col min="5166" max="5166" width="15.140625" style="89" customWidth="1"/>
    <col min="5167" max="5167" width="14" style="89" customWidth="1"/>
    <col min="5168" max="5168" width="15.140625" style="89" customWidth="1"/>
    <col min="5169" max="5169" width="11.42578125" style="89" customWidth="1"/>
    <col min="5170" max="5170" width="51.7109375" style="89" customWidth="1"/>
    <col min="5171" max="5172" width="29.5703125" style="89" customWidth="1"/>
    <col min="5173" max="5173" width="44.42578125" style="89" customWidth="1"/>
    <col min="5174" max="5174" width="36.28515625" style="89" customWidth="1"/>
    <col min="5175" max="5175" width="27.42578125" style="89" bestFit="1" customWidth="1"/>
    <col min="5176" max="5396" width="11.42578125" style="89"/>
    <col min="5397" max="5397" width="15.5703125" style="89" bestFit="1" customWidth="1"/>
    <col min="5398" max="5398" width="33.7109375" style="89" customWidth="1"/>
    <col min="5399" max="5399" width="19" style="89" customWidth="1"/>
    <col min="5400" max="5400" width="19.85546875" style="89" customWidth="1"/>
    <col min="5401" max="5401" width="18.5703125" style="89" customWidth="1"/>
    <col min="5402" max="5402" width="19.7109375" style="89" customWidth="1"/>
    <col min="5403" max="5403" width="14.85546875" style="89" customWidth="1"/>
    <col min="5404" max="5404" width="16.85546875" style="89" customWidth="1"/>
    <col min="5405" max="5407" width="11.42578125" style="89" customWidth="1"/>
    <col min="5408" max="5408" width="18.140625" style="89" customWidth="1"/>
    <col min="5409" max="5409" width="11.42578125" style="89" customWidth="1"/>
    <col min="5410" max="5410" width="12.5703125" style="89" customWidth="1"/>
    <col min="5411" max="5411" width="25" style="89" customWidth="1"/>
    <col min="5412" max="5412" width="16.5703125" style="89" bestFit="1" customWidth="1"/>
    <col min="5413" max="5413" width="24" style="89" customWidth="1"/>
    <col min="5414" max="5414" width="11.42578125" style="89" customWidth="1"/>
    <col min="5415" max="5415" width="20" style="89" customWidth="1"/>
    <col min="5416" max="5416" width="11.42578125" style="89" customWidth="1"/>
    <col min="5417" max="5417" width="19" style="89" customWidth="1"/>
    <col min="5418" max="5421" width="11.42578125" style="89" customWidth="1"/>
    <col min="5422" max="5422" width="15.140625" style="89" customWidth="1"/>
    <col min="5423" max="5423" width="14" style="89" customWidth="1"/>
    <col min="5424" max="5424" width="15.140625" style="89" customWidth="1"/>
    <col min="5425" max="5425" width="11.42578125" style="89" customWidth="1"/>
    <col min="5426" max="5426" width="51.7109375" style="89" customWidth="1"/>
    <col min="5427" max="5428" width="29.5703125" style="89" customWidth="1"/>
    <col min="5429" max="5429" width="44.42578125" style="89" customWidth="1"/>
    <col min="5430" max="5430" width="36.28515625" style="89" customWidth="1"/>
    <col min="5431" max="5431" width="27.42578125" style="89" bestFit="1" customWidth="1"/>
    <col min="5432" max="5652" width="11.42578125" style="89"/>
    <col min="5653" max="5653" width="15.5703125" style="89" bestFit="1" customWidth="1"/>
    <col min="5654" max="5654" width="33.7109375" style="89" customWidth="1"/>
    <col min="5655" max="5655" width="19" style="89" customWidth="1"/>
    <col min="5656" max="5656" width="19.85546875" style="89" customWidth="1"/>
    <col min="5657" max="5657" width="18.5703125" style="89" customWidth="1"/>
    <col min="5658" max="5658" width="19.7109375" style="89" customWidth="1"/>
    <col min="5659" max="5659" width="14.85546875" style="89" customWidth="1"/>
    <col min="5660" max="5660" width="16.85546875" style="89" customWidth="1"/>
    <col min="5661" max="5663" width="11.42578125" style="89" customWidth="1"/>
    <col min="5664" max="5664" width="18.140625" style="89" customWidth="1"/>
    <col min="5665" max="5665" width="11.42578125" style="89" customWidth="1"/>
    <col min="5666" max="5666" width="12.5703125" style="89" customWidth="1"/>
    <col min="5667" max="5667" width="25" style="89" customWidth="1"/>
    <col min="5668" max="5668" width="16.5703125" style="89" bestFit="1" customWidth="1"/>
    <col min="5669" max="5669" width="24" style="89" customWidth="1"/>
    <col min="5670" max="5670" width="11.42578125" style="89" customWidth="1"/>
    <col min="5671" max="5671" width="20" style="89" customWidth="1"/>
    <col min="5672" max="5672" width="11.42578125" style="89" customWidth="1"/>
    <col min="5673" max="5673" width="19" style="89" customWidth="1"/>
    <col min="5674" max="5677" width="11.42578125" style="89" customWidth="1"/>
    <col min="5678" max="5678" width="15.140625" style="89" customWidth="1"/>
    <col min="5679" max="5679" width="14" style="89" customWidth="1"/>
    <col min="5680" max="5680" width="15.140625" style="89" customWidth="1"/>
    <col min="5681" max="5681" width="11.42578125" style="89" customWidth="1"/>
    <col min="5682" max="5682" width="51.7109375" style="89" customWidth="1"/>
    <col min="5683" max="5684" width="29.5703125" style="89" customWidth="1"/>
    <col min="5685" max="5685" width="44.42578125" style="89" customWidth="1"/>
    <col min="5686" max="5686" width="36.28515625" style="89" customWidth="1"/>
    <col min="5687" max="5687" width="27.42578125" style="89" bestFit="1" customWidth="1"/>
    <col min="5688" max="5908" width="11.42578125" style="89"/>
    <col min="5909" max="5909" width="15.5703125" style="89" bestFit="1" customWidth="1"/>
    <col min="5910" max="5910" width="33.7109375" style="89" customWidth="1"/>
    <col min="5911" max="5911" width="19" style="89" customWidth="1"/>
    <col min="5912" max="5912" width="19.85546875" style="89" customWidth="1"/>
    <col min="5913" max="5913" width="18.5703125" style="89" customWidth="1"/>
    <col min="5914" max="5914" width="19.7109375" style="89" customWidth="1"/>
    <col min="5915" max="5915" width="14.85546875" style="89" customWidth="1"/>
    <col min="5916" max="5916" width="16.85546875" style="89" customWidth="1"/>
    <col min="5917" max="5919" width="11.42578125" style="89" customWidth="1"/>
    <col min="5920" max="5920" width="18.140625" style="89" customWidth="1"/>
    <col min="5921" max="5921" width="11.42578125" style="89" customWidth="1"/>
    <col min="5922" max="5922" width="12.5703125" style="89" customWidth="1"/>
    <col min="5923" max="5923" width="25" style="89" customWidth="1"/>
    <col min="5924" max="5924" width="16.5703125" style="89" bestFit="1" customWidth="1"/>
    <col min="5925" max="5925" width="24" style="89" customWidth="1"/>
    <col min="5926" max="5926" width="11.42578125" style="89" customWidth="1"/>
    <col min="5927" max="5927" width="20" style="89" customWidth="1"/>
    <col min="5928" max="5928" width="11.42578125" style="89" customWidth="1"/>
    <col min="5929" max="5929" width="19" style="89" customWidth="1"/>
    <col min="5930" max="5933" width="11.42578125" style="89" customWidth="1"/>
    <col min="5934" max="5934" width="15.140625" style="89" customWidth="1"/>
    <col min="5935" max="5935" width="14" style="89" customWidth="1"/>
    <col min="5936" max="5936" width="15.140625" style="89" customWidth="1"/>
    <col min="5937" max="5937" width="11.42578125" style="89" customWidth="1"/>
    <col min="5938" max="5938" width="51.7109375" style="89" customWidth="1"/>
    <col min="5939" max="5940" width="29.5703125" style="89" customWidth="1"/>
    <col min="5941" max="5941" width="44.42578125" style="89" customWidth="1"/>
    <col min="5942" max="5942" width="36.28515625" style="89" customWidth="1"/>
    <col min="5943" max="5943" width="27.42578125" style="89" bestFit="1" customWidth="1"/>
    <col min="5944" max="6164" width="11.42578125" style="89"/>
    <col min="6165" max="6165" width="15.5703125" style="89" bestFit="1" customWidth="1"/>
    <col min="6166" max="6166" width="33.7109375" style="89" customWidth="1"/>
    <col min="6167" max="6167" width="19" style="89" customWidth="1"/>
    <col min="6168" max="6168" width="19.85546875" style="89" customWidth="1"/>
    <col min="6169" max="6169" width="18.5703125" style="89" customWidth="1"/>
    <col min="6170" max="6170" width="19.7109375" style="89" customWidth="1"/>
    <col min="6171" max="6171" width="14.85546875" style="89" customWidth="1"/>
    <col min="6172" max="6172" width="16.85546875" style="89" customWidth="1"/>
    <col min="6173" max="6175" width="11.42578125" style="89" customWidth="1"/>
    <col min="6176" max="6176" width="18.140625" style="89" customWidth="1"/>
    <col min="6177" max="6177" width="11.42578125" style="89" customWidth="1"/>
    <col min="6178" max="6178" width="12.5703125" style="89" customWidth="1"/>
    <col min="6179" max="6179" width="25" style="89" customWidth="1"/>
    <col min="6180" max="6180" width="16.5703125" style="89" bestFit="1" customWidth="1"/>
    <col min="6181" max="6181" width="24" style="89" customWidth="1"/>
    <col min="6182" max="6182" width="11.42578125" style="89" customWidth="1"/>
    <col min="6183" max="6183" width="20" style="89" customWidth="1"/>
    <col min="6184" max="6184" width="11.42578125" style="89" customWidth="1"/>
    <col min="6185" max="6185" width="19" style="89" customWidth="1"/>
    <col min="6186" max="6189" width="11.42578125" style="89" customWidth="1"/>
    <col min="6190" max="6190" width="15.140625" style="89" customWidth="1"/>
    <col min="6191" max="6191" width="14" style="89" customWidth="1"/>
    <col min="6192" max="6192" width="15.140625" style="89" customWidth="1"/>
    <col min="6193" max="6193" width="11.42578125" style="89" customWidth="1"/>
    <col min="6194" max="6194" width="51.7109375" style="89" customWidth="1"/>
    <col min="6195" max="6196" width="29.5703125" style="89" customWidth="1"/>
    <col min="6197" max="6197" width="44.42578125" style="89" customWidth="1"/>
    <col min="6198" max="6198" width="36.28515625" style="89" customWidth="1"/>
    <col min="6199" max="6199" width="27.42578125" style="89" bestFit="1" customWidth="1"/>
    <col min="6200" max="6420" width="11.42578125" style="89"/>
    <col min="6421" max="6421" width="15.5703125" style="89" bestFit="1" customWidth="1"/>
    <col min="6422" max="6422" width="33.7109375" style="89" customWidth="1"/>
    <col min="6423" max="6423" width="19" style="89" customWidth="1"/>
    <col min="6424" max="6424" width="19.85546875" style="89" customWidth="1"/>
    <col min="6425" max="6425" width="18.5703125" style="89" customWidth="1"/>
    <col min="6426" max="6426" width="19.7109375" style="89" customWidth="1"/>
    <col min="6427" max="6427" width="14.85546875" style="89" customWidth="1"/>
    <col min="6428" max="6428" width="16.85546875" style="89" customWidth="1"/>
    <col min="6429" max="6431" width="11.42578125" style="89" customWidth="1"/>
    <col min="6432" max="6432" width="18.140625" style="89" customWidth="1"/>
    <col min="6433" max="6433" width="11.42578125" style="89" customWidth="1"/>
    <col min="6434" max="6434" width="12.5703125" style="89" customWidth="1"/>
    <col min="6435" max="6435" width="25" style="89" customWidth="1"/>
    <col min="6436" max="6436" width="16.5703125" style="89" bestFit="1" customWidth="1"/>
    <col min="6437" max="6437" width="24" style="89" customWidth="1"/>
    <col min="6438" max="6438" width="11.42578125" style="89" customWidth="1"/>
    <col min="6439" max="6439" width="20" style="89" customWidth="1"/>
    <col min="6440" max="6440" width="11.42578125" style="89" customWidth="1"/>
    <col min="6441" max="6441" width="19" style="89" customWidth="1"/>
    <col min="6442" max="6445" width="11.42578125" style="89" customWidth="1"/>
    <col min="6446" max="6446" width="15.140625" style="89" customWidth="1"/>
    <col min="6447" max="6447" width="14" style="89" customWidth="1"/>
    <col min="6448" max="6448" width="15.140625" style="89" customWidth="1"/>
    <col min="6449" max="6449" width="11.42578125" style="89" customWidth="1"/>
    <col min="6450" max="6450" width="51.7109375" style="89" customWidth="1"/>
    <col min="6451" max="6452" width="29.5703125" style="89" customWidth="1"/>
    <col min="6453" max="6453" width="44.42578125" style="89" customWidth="1"/>
    <col min="6454" max="6454" width="36.28515625" style="89" customWidth="1"/>
    <col min="6455" max="6455" width="27.42578125" style="89" bestFit="1" customWidth="1"/>
    <col min="6456" max="6676" width="11.42578125" style="89"/>
    <col min="6677" max="6677" width="15.5703125" style="89" bestFit="1" customWidth="1"/>
    <col min="6678" max="6678" width="33.7109375" style="89" customWidth="1"/>
    <col min="6679" max="6679" width="19" style="89" customWidth="1"/>
    <col min="6680" max="6680" width="19.85546875" style="89" customWidth="1"/>
    <col min="6681" max="6681" width="18.5703125" style="89" customWidth="1"/>
    <col min="6682" max="6682" width="19.7109375" style="89" customWidth="1"/>
    <col min="6683" max="6683" width="14.85546875" style="89" customWidth="1"/>
    <col min="6684" max="6684" width="16.85546875" style="89" customWidth="1"/>
    <col min="6685" max="6687" width="11.42578125" style="89" customWidth="1"/>
    <col min="6688" max="6688" width="18.140625" style="89" customWidth="1"/>
    <col min="6689" max="6689" width="11.42578125" style="89" customWidth="1"/>
    <col min="6690" max="6690" width="12.5703125" style="89" customWidth="1"/>
    <col min="6691" max="6691" width="25" style="89" customWidth="1"/>
    <col min="6692" max="6692" width="16.5703125" style="89" bestFit="1" customWidth="1"/>
    <col min="6693" max="6693" width="24" style="89" customWidth="1"/>
    <col min="6694" max="6694" width="11.42578125" style="89" customWidth="1"/>
    <col min="6695" max="6695" width="20" style="89" customWidth="1"/>
    <col min="6696" max="6696" width="11.42578125" style="89" customWidth="1"/>
    <col min="6697" max="6697" width="19" style="89" customWidth="1"/>
    <col min="6698" max="6701" width="11.42578125" style="89" customWidth="1"/>
    <col min="6702" max="6702" width="15.140625" style="89" customWidth="1"/>
    <col min="6703" max="6703" width="14" style="89" customWidth="1"/>
    <col min="6704" max="6704" width="15.140625" style="89" customWidth="1"/>
    <col min="6705" max="6705" width="11.42578125" style="89" customWidth="1"/>
    <col min="6706" max="6706" width="51.7109375" style="89" customWidth="1"/>
    <col min="6707" max="6708" width="29.5703125" style="89" customWidth="1"/>
    <col min="6709" max="6709" width="44.42578125" style="89" customWidth="1"/>
    <col min="6710" max="6710" width="36.28515625" style="89" customWidth="1"/>
    <col min="6711" max="6711" width="27.42578125" style="89" bestFit="1" customWidth="1"/>
    <col min="6712" max="6932" width="11.42578125" style="89"/>
    <col min="6933" max="6933" width="15.5703125" style="89" bestFit="1" customWidth="1"/>
    <col min="6934" max="6934" width="33.7109375" style="89" customWidth="1"/>
    <col min="6935" max="6935" width="19" style="89" customWidth="1"/>
    <col min="6936" max="6936" width="19.85546875" style="89" customWidth="1"/>
    <col min="6937" max="6937" width="18.5703125" style="89" customWidth="1"/>
    <col min="6938" max="6938" width="19.7109375" style="89" customWidth="1"/>
    <col min="6939" max="6939" width="14.85546875" style="89" customWidth="1"/>
    <col min="6940" max="6940" width="16.85546875" style="89" customWidth="1"/>
    <col min="6941" max="6943" width="11.42578125" style="89" customWidth="1"/>
    <col min="6944" max="6944" width="18.140625" style="89" customWidth="1"/>
    <col min="6945" max="6945" width="11.42578125" style="89" customWidth="1"/>
    <col min="6946" max="6946" width="12.5703125" style="89" customWidth="1"/>
    <col min="6947" max="6947" width="25" style="89" customWidth="1"/>
    <col min="6948" max="6948" width="16.5703125" style="89" bestFit="1" customWidth="1"/>
    <col min="6949" max="6949" width="24" style="89" customWidth="1"/>
    <col min="6950" max="6950" width="11.42578125" style="89" customWidth="1"/>
    <col min="6951" max="6951" width="20" style="89" customWidth="1"/>
    <col min="6952" max="6952" width="11.42578125" style="89" customWidth="1"/>
    <col min="6953" max="6953" width="19" style="89" customWidth="1"/>
    <col min="6954" max="6957" width="11.42578125" style="89" customWidth="1"/>
    <col min="6958" max="6958" width="15.140625" style="89" customWidth="1"/>
    <col min="6959" max="6959" width="14" style="89" customWidth="1"/>
    <col min="6960" max="6960" width="15.140625" style="89" customWidth="1"/>
    <col min="6961" max="6961" width="11.42578125" style="89" customWidth="1"/>
    <col min="6962" max="6962" width="51.7109375" style="89" customWidth="1"/>
    <col min="6963" max="6964" width="29.5703125" style="89" customWidth="1"/>
    <col min="6965" max="6965" width="44.42578125" style="89" customWidth="1"/>
    <col min="6966" max="6966" width="36.28515625" style="89" customWidth="1"/>
    <col min="6967" max="6967" width="27.42578125" style="89" bestFit="1" customWidth="1"/>
    <col min="6968" max="7188" width="11.42578125" style="89"/>
    <col min="7189" max="7189" width="15.5703125" style="89" bestFit="1" customWidth="1"/>
    <col min="7190" max="7190" width="33.7109375" style="89" customWidth="1"/>
    <col min="7191" max="7191" width="19" style="89" customWidth="1"/>
    <col min="7192" max="7192" width="19.85546875" style="89" customWidth="1"/>
    <col min="7193" max="7193" width="18.5703125" style="89" customWidth="1"/>
    <col min="7194" max="7194" width="19.7109375" style="89" customWidth="1"/>
    <col min="7195" max="7195" width="14.85546875" style="89" customWidth="1"/>
    <col min="7196" max="7196" width="16.85546875" style="89" customWidth="1"/>
    <col min="7197" max="7199" width="11.42578125" style="89" customWidth="1"/>
    <col min="7200" max="7200" width="18.140625" style="89" customWidth="1"/>
    <col min="7201" max="7201" width="11.42578125" style="89" customWidth="1"/>
    <col min="7202" max="7202" width="12.5703125" style="89" customWidth="1"/>
    <col min="7203" max="7203" width="25" style="89" customWidth="1"/>
    <col min="7204" max="7204" width="16.5703125" style="89" bestFit="1" customWidth="1"/>
    <col min="7205" max="7205" width="24" style="89" customWidth="1"/>
    <col min="7206" max="7206" width="11.42578125" style="89" customWidth="1"/>
    <col min="7207" max="7207" width="20" style="89" customWidth="1"/>
    <col min="7208" max="7208" width="11.42578125" style="89" customWidth="1"/>
    <col min="7209" max="7209" width="19" style="89" customWidth="1"/>
    <col min="7210" max="7213" width="11.42578125" style="89" customWidth="1"/>
    <col min="7214" max="7214" width="15.140625" style="89" customWidth="1"/>
    <col min="7215" max="7215" width="14" style="89" customWidth="1"/>
    <col min="7216" max="7216" width="15.140625" style="89" customWidth="1"/>
    <col min="7217" max="7217" width="11.42578125" style="89" customWidth="1"/>
    <col min="7218" max="7218" width="51.7109375" style="89" customWidth="1"/>
    <col min="7219" max="7220" width="29.5703125" style="89" customWidth="1"/>
    <col min="7221" max="7221" width="44.42578125" style="89" customWidth="1"/>
    <col min="7222" max="7222" width="36.28515625" style="89" customWidth="1"/>
    <col min="7223" max="7223" width="27.42578125" style="89" bestFit="1" customWidth="1"/>
    <col min="7224" max="7444" width="11.42578125" style="89"/>
    <col min="7445" max="7445" width="15.5703125" style="89" bestFit="1" customWidth="1"/>
    <col min="7446" max="7446" width="33.7109375" style="89" customWidth="1"/>
    <col min="7447" max="7447" width="19" style="89" customWidth="1"/>
    <col min="7448" max="7448" width="19.85546875" style="89" customWidth="1"/>
    <col min="7449" max="7449" width="18.5703125" style="89" customWidth="1"/>
    <col min="7450" max="7450" width="19.7109375" style="89" customWidth="1"/>
    <col min="7451" max="7451" width="14.85546875" style="89" customWidth="1"/>
    <col min="7452" max="7452" width="16.85546875" style="89" customWidth="1"/>
    <col min="7453" max="7455" width="11.42578125" style="89" customWidth="1"/>
    <col min="7456" max="7456" width="18.140625" style="89" customWidth="1"/>
    <col min="7457" max="7457" width="11.42578125" style="89" customWidth="1"/>
    <col min="7458" max="7458" width="12.5703125" style="89" customWidth="1"/>
    <col min="7459" max="7459" width="25" style="89" customWidth="1"/>
    <col min="7460" max="7460" width="16.5703125" style="89" bestFit="1" customWidth="1"/>
    <col min="7461" max="7461" width="24" style="89" customWidth="1"/>
    <col min="7462" max="7462" width="11.42578125" style="89" customWidth="1"/>
    <col min="7463" max="7463" width="20" style="89" customWidth="1"/>
    <col min="7464" max="7464" width="11.42578125" style="89" customWidth="1"/>
    <col min="7465" max="7465" width="19" style="89" customWidth="1"/>
    <col min="7466" max="7469" width="11.42578125" style="89" customWidth="1"/>
    <col min="7470" max="7470" width="15.140625" style="89" customWidth="1"/>
    <col min="7471" max="7471" width="14" style="89" customWidth="1"/>
    <col min="7472" max="7472" width="15.140625" style="89" customWidth="1"/>
    <col min="7473" max="7473" width="11.42578125" style="89" customWidth="1"/>
    <col min="7474" max="7474" width="51.7109375" style="89" customWidth="1"/>
    <col min="7475" max="7476" width="29.5703125" style="89" customWidth="1"/>
    <col min="7477" max="7477" width="44.42578125" style="89" customWidth="1"/>
    <col min="7478" max="7478" width="36.28515625" style="89" customWidth="1"/>
    <col min="7479" max="7479" width="27.42578125" style="89" bestFit="1" customWidth="1"/>
    <col min="7480" max="7700" width="11.42578125" style="89"/>
    <col min="7701" max="7701" width="15.5703125" style="89" bestFit="1" customWidth="1"/>
    <col min="7702" max="7702" width="33.7109375" style="89" customWidth="1"/>
    <col min="7703" max="7703" width="19" style="89" customWidth="1"/>
    <col min="7704" max="7704" width="19.85546875" style="89" customWidth="1"/>
    <col min="7705" max="7705" width="18.5703125" style="89" customWidth="1"/>
    <col min="7706" max="7706" width="19.7109375" style="89" customWidth="1"/>
    <col min="7707" max="7707" width="14.85546875" style="89" customWidth="1"/>
    <col min="7708" max="7708" width="16.85546875" style="89" customWidth="1"/>
    <col min="7709" max="7711" width="11.42578125" style="89" customWidth="1"/>
    <col min="7712" max="7712" width="18.140625" style="89" customWidth="1"/>
    <col min="7713" max="7713" width="11.42578125" style="89" customWidth="1"/>
    <col min="7714" max="7714" width="12.5703125" style="89" customWidth="1"/>
    <col min="7715" max="7715" width="25" style="89" customWidth="1"/>
    <col min="7716" max="7716" width="16.5703125" style="89" bestFit="1" customWidth="1"/>
    <col min="7717" max="7717" width="24" style="89" customWidth="1"/>
    <col min="7718" max="7718" width="11.42578125" style="89" customWidth="1"/>
    <col min="7719" max="7719" width="20" style="89" customWidth="1"/>
    <col min="7720" max="7720" width="11.42578125" style="89" customWidth="1"/>
    <col min="7721" max="7721" width="19" style="89" customWidth="1"/>
    <col min="7722" max="7725" width="11.42578125" style="89" customWidth="1"/>
    <col min="7726" max="7726" width="15.140625" style="89" customWidth="1"/>
    <col min="7727" max="7727" width="14" style="89" customWidth="1"/>
    <col min="7728" max="7728" width="15.140625" style="89" customWidth="1"/>
    <col min="7729" max="7729" width="11.42578125" style="89" customWidth="1"/>
    <col min="7730" max="7730" width="51.7109375" style="89" customWidth="1"/>
    <col min="7731" max="7732" width="29.5703125" style="89" customWidth="1"/>
    <col min="7733" max="7733" width="44.42578125" style="89" customWidth="1"/>
    <col min="7734" max="7734" width="36.28515625" style="89" customWidth="1"/>
    <col min="7735" max="7735" width="27.42578125" style="89" bestFit="1" customWidth="1"/>
    <col min="7736" max="7956" width="11.42578125" style="89"/>
    <col min="7957" max="7957" width="15.5703125" style="89" bestFit="1" customWidth="1"/>
    <col min="7958" max="7958" width="33.7109375" style="89" customWidth="1"/>
    <col min="7959" max="7959" width="19" style="89" customWidth="1"/>
    <col min="7960" max="7960" width="19.85546875" style="89" customWidth="1"/>
    <col min="7961" max="7961" width="18.5703125" style="89" customWidth="1"/>
    <col min="7962" max="7962" width="19.7109375" style="89" customWidth="1"/>
    <col min="7963" max="7963" width="14.85546875" style="89" customWidth="1"/>
    <col min="7964" max="7964" width="16.85546875" style="89" customWidth="1"/>
    <col min="7965" max="7967" width="11.42578125" style="89" customWidth="1"/>
    <col min="7968" max="7968" width="18.140625" style="89" customWidth="1"/>
    <col min="7969" max="7969" width="11.42578125" style="89" customWidth="1"/>
    <col min="7970" max="7970" width="12.5703125" style="89" customWidth="1"/>
    <col min="7971" max="7971" width="25" style="89" customWidth="1"/>
    <col min="7972" max="7972" width="16.5703125" style="89" bestFit="1" customWidth="1"/>
    <col min="7973" max="7973" width="24" style="89" customWidth="1"/>
    <col min="7974" max="7974" width="11.42578125" style="89" customWidth="1"/>
    <col min="7975" max="7975" width="20" style="89" customWidth="1"/>
    <col min="7976" max="7976" width="11.42578125" style="89" customWidth="1"/>
    <col min="7977" max="7977" width="19" style="89" customWidth="1"/>
    <col min="7978" max="7981" width="11.42578125" style="89" customWidth="1"/>
    <col min="7982" max="7982" width="15.140625" style="89" customWidth="1"/>
    <col min="7983" max="7983" width="14" style="89" customWidth="1"/>
    <col min="7984" max="7984" width="15.140625" style="89" customWidth="1"/>
    <col min="7985" max="7985" width="11.42578125" style="89" customWidth="1"/>
    <col min="7986" max="7986" width="51.7109375" style="89" customWidth="1"/>
    <col min="7987" max="7988" width="29.5703125" style="89" customWidth="1"/>
    <col min="7989" max="7989" width="44.42578125" style="89" customWidth="1"/>
    <col min="7990" max="7990" width="36.28515625" style="89" customWidth="1"/>
    <col min="7991" max="7991" width="27.42578125" style="89" bestFit="1" customWidth="1"/>
    <col min="7992" max="8212" width="11.42578125" style="89"/>
    <col min="8213" max="8213" width="15.5703125" style="89" bestFit="1" customWidth="1"/>
    <col min="8214" max="8214" width="33.7109375" style="89" customWidth="1"/>
    <col min="8215" max="8215" width="19" style="89" customWidth="1"/>
    <col min="8216" max="8216" width="19.85546875" style="89" customWidth="1"/>
    <col min="8217" max="8217" width="18.5703125" style="89" customWidth="1"/>
    <col min="8218" max="8218" width="19.7109375" style="89" customWidth="1"/>
    <col min="8219" max="8219" width="14.85546875" style="89" customWidth="1"/>
    <col min="8220" max="8220" width="16.85546875" style="89" customWidth="1"/>
    <col min="8221" max="8223" width="11.42578125" style="89" customWidth="1"/>
    <col min="8224" max="8224" width="18.140625" style="89" customWidth="1"/>
    <col min="8225" max="8225" width="11.42578125" style="89" customWidth="1"/>
    <col min="8226" max="8226" width="12.5703125" style="89" customWidth="1"/>
    <col min="8227" max="8227" width="25" style="89" customWidth="1"/>
    <col min="8228" max="8228" width="16.5703125" style="89" bestFit="1" customWidth="1"/>
    <col min="8229" max="8229" width="24" style="89" customWidth="1"/>
    <col min="8230" max="8230" width="11.42578125" style="89" customWidth="1"/>
    <col min="8231" max="8231" width="20" style="89" customWidth="1"/>
    <col min="8232" max="8232" width="11.42578125" style="89" customWidth="1"/>
    <col min="8233" max="8233" width="19" style="89" customWidth="1"/>
    <col min="8234" max="8237" width="11.42578125" style="89" customWidth="1"/>
    <col min="8238" max="8238" width="15.140625" style="89" customWidth="1"/>
    <col min="8239" max="8239" width="14" style="89" customWidth="1"/>
    <col min="8240" max="8240" width="15.140625" style="89" customWidth="1"/>
    <col min="8241" max="8241" width="11.42578125" style="89" customWidth="1"/>
    <col min="8242" max="8242" width="51.7109375" style="89" customWidth="1"/>
    <col min="8243" max="8244" width="29.5703125" style="89" customWidth="1"/>
    <col min="8245" max="8245" width="44.42578125" style="89" customWidth="1"/>
    <col min="8246" max="8246" width="36.28515625" style="89" customWidth="1"/>
    <col min="8247" max="8247" width="27.42578125" style="89" bestFit="1" customWidth="1"/>
    <col min="8248" max="8468" width="11.42578125" style="89"/>
    <col min="8469" max="8469" width="15.5703125" style="89" bestFit="1" customWidth="1"/>
    <col min="8470" max="8470" width="33.7109375" style="89" customWidth="1"/>
    <col min="8471" max="8471" width="19" style="89" customWidth="1"/>
    <col min="8472" max="8472" width="19.85546875" style="89" customWidth="1"/>
    <col min="8473" max="8473" width="18.5703125" style="89" customWidth="1"/>
    <col min="8474" max="8474" width="19.7109375" style="89" customWidth="1"/>
    <col min="8475" max="8475" width="14.85546875" style="89" customWidth="1"/>
    <col min="8476" max="8476" width="16.85546875" style="89" customWidth="1"/>
    <col min="8477" max="8479" width="11.42578125" style="89" customWidth="1"/>
    <col min="8480" max="8480" width="18.140625" style="89" customWidth="1"/>
    <col min="8481" max="8481" width="11.42578125" style="89" customWidth="1"/>
    <col min="8482" max="8482" width="12.5703125" style="89" customWidth="1"/>
    <col min="8483" max="8483" width="25" style="89" customWidth="1"/>
    <col min="8484" max="8484" width="16.5703125" style="89" bestFit="1" customWidth="1"/>
    <col min="8485" max="8485" width="24" style="89" customWidth="1"/>
    <col min="8486" max="8486" width="11.42578125" style="89" customWidth="1"/>
    <col min="8487" max="8487" width="20" style="89" customWidth="1"/>
    <col min="8488" max="8488" width="11.42578125" style="89" customWidth="1"/>
    <col min="8489" max="8489" width="19" style="89" customWidth="1"/>
    <col min="8490" max="8493" width="11.42578125" style="89" customWidth="1"/>
    <col min="8494" max="8494" width="15.140625" style="89" customWidth="1"/>
    <col min="8495" max="8495" width="14" style="89" customWidth="1"/>
    <col min="8496" max="8496" width="15.140625" style="89" customWidth="1"/>
    <col min="8497" max="8497" width="11.42578125" style="89" customWidth="1"/>
    <col min="8498" max="8498" width="51.7109375" style="89" customWidth="1"/>
    <col min="8499" max="8500" width="29.5703125" style="89" customWidth="1"/>
    <col min="8501" max="8501" width="44.42578125" style="89" customWidth="1"/>
    <col min="8502" max="8502" width="36.28515625" style="89" customWidth="1"/>
    <col min="8503" max="8503" width="27.42578125" style="89" bestFit="1" customWidth="1"/>
    <col min="8504" max="8724" width="11.42578125" style="89"/>
    <col min="8725" max="8725" width="15.5703125" style="89" bestFit="1" customWidth="1"/>
    <col min="8726" max="8726" width="33.7109375" style="89" customWidth="1"/>
    <col min="8727" max="8727" width="19" style="89" customWidth="1"/>
    <col min="8728" max="8728" width="19.85546875" style="89" customWidth="1"/>
    <col min="8729" max="8729" width="18.5703125" style="89" customWidth="1"/>
    <col min="8730" max="8730" width="19.7109375" style="89" customWidth="1"/>
    <col min="8731" max="8731" width="14.85546875" style="89" customWidth="1"/>
    <col min="8732" max="8732" width="16.85546875" style="89" customWidth="1"/>
    <col min="8733" max="8735" width="11.42578125" style="89" customWidth="1"/>
    <col min="8736" max="8736" width="18.140625" style="89" customWidth="1"/>
    <col min="8737" max="8737" width="11.42578125" style="89" customWidth="1"/>
    <col min="8738" max="8738" width="12.5703125" style="89" customWidth="1"/>
    <col min="8739" max="8739" width="25" style="89" customWidth="1"/>
    <col min="8740" max="8740" width="16.5703125" style="89" bestFit="1" customWidth="1"/>
    <col min="8741" max="8741" width="24" style="89" customWidth="1"/>
    <col min="8742" max="8742" width="11.42578125" style="89" customWidth="1"/>
    <col min="8743" max="8743" width="20" style="89" customWidth="1"/>
    <col min="8744" max="8744" width="11.42578125" style="89" customWidth="1"/>
    <col min="8745" max="8745" width="19" style="89" customWidth="1"/>
    <col min="8746" max="8749" width="11.42578125" style="89" customWidth="1"/>
    <col min="8750" max="8750" width="15.140625" style="89" customWidth="1"/>
    <col min="8751" max="8751" width="14" style="89" customWidth="1"/>
    <col min="8752" max="8752" width="15.140625" style="89" customWidth="1"/>
    <col min="8753" max="8753" width="11.42578125" style="89" customWidth="1"/>
    <col min="8754" max="8754" width="51.7109375" style="89" customWidth="1"/>
    <col min="8755" max="8756" width="29.5703125" style="89" customWidth="1"/>
    <col min="8757" max="8757" width="44.42578125" style="89" customWidth="1"/>
    <col min="8758" max="8758" width="36.28515625" style="89" customWidth="1"/>
    <col min="8759" max="8759" width="27.42578125" style="89" bestFit="1" customWidth="1"/>
    <col min="8760" max="8980" width="11.42578125" style="89"/>
    <col min="8981" max="8981" width="15.5703125" style="89" bestFit="1" customWidth="1"/>
    <col min="8982" max="8982" width="33.7109375" style="89" customWidth="1"/>
    <col min="8983" max="8983" width="19" style="89" customWidth="1"/>
    <col min="8984" max="8984" width="19.85546875" style="89" customWidth="1"/>
    <col min="8985" max="8985" width="18.5703125" style="89" customWidth="1"/>
    <col min="8986" max="8986" width="19.7109375" style="89" customWidth="1"/>
    <col min="8987" max="8987" width="14.85546875" style="89" customWidth="1"/>
    <col min="8988" max="8988" width="16.85546875" style="89" customWidth="1"/>
    <col min="8989" max="8991" width="11.42578125" style="89" customWidth="1"/>
    <col min="8992" max="8992" width="18.140625" style="89" customWidth="1"/>
    <col min="8993" max="8993" width="11.42578125" style="89" customWidth="1"/>
    <col min="8994" max="8994" width="12.5703125" style="89" customWidth="1"/>
    <col min="8995" max="8995" width="25" style="89" customWidth="1"/>
    <col min="8996" max="8996" width="16.5703125" style="89" bestFit="1" customWidth="1"/>
    <col min="8997" max="8997" width="24" style="89" customWidth="1"/>
    <col min="8998" max="8998" width="11.42578125" style="89" customWidth="1"/>
    <col min="8999" max="8999" width="20" style="89" customWidth="1"/>
    <col min="9000" max="9000" width="11.42578125" style="89" customWidth="1"/>
    <col min="9001" max="9001" width="19" style="89" customWidth="1"/>
    <col min="9002" max="9005" width="11.42578125" style="89" customWidth="1"/>
    <col min="9006" max="9006" width="15.140625" style="89" customWidth="1"/>
    <col min="9007" max="9007" width="14" style="89" customWidth="1"/>
    <col min="9008" max="9008" width="15.140625" style="89" customWidth="1"/>
    <col min="9009" max="9009" width="11.42578125" style="89" customWidth="1"/>
    <col min="9010" max="9010" width="51.7109375" style="89" customWidth="1"/>
    <col min="9011" max="9012" width="29.5703125" style="89" customWidth="1"/>
    <col min="9013" max="9013" width="44.42578125" style="89" customWidth="1"/>
    <col min="9014" max="9014" width="36.28515625" style="89" customWidth="1"/>
    <col min="9015" max="9015" width="27.42578125" style="89" bestFit="1" customWidth="1"/>
    <col min="9016" max="9236" width="11.42578125" style="89"/>
    <col min="9237" max="9237" width="15.5703125" style="89" bestFit="1" customWidth="1"/>
    <col min="9238" max="9238" width="33.7109375" style="89" customWidth="1"/>
    <col min="9239" max="9239" width="19" style="89" customWidth="1"/>
    <col min="9240" max="9240" width="19.85546875" style="89" customWidth="1"/>
    <col min="9241" max="9241" width="18.5703125" style="89" customWidth="1"/>
    <col min="9242" max="9242" width="19.7109375" style="89" customWidth="1"/>
    <col min="9243" max="9243" width="14.85546875" style="89" customWidth="1"/>
    <col min="9244" max="9244" width="16.85546875" style="89" customWidth="1"/>
    <col min="9245" max="9247" width="11.42578125" style="89" customWidth="1"/>
    <col min="9248" max="9248" width="18.140625" style="89" customWidth="1"/>
    <col min="9249" max="9249" width="11.42578125" style="89" customWidth="1"/>
    <col min="9250" max="9250" width="12.5703125" style="89" customWidth="1"/>
    <col min="9251" max="9251" width="25" style="89" customWidth="1"/>
    <col min="9252" max="9252" width="16.5703125" style="89" bestFit="1" customWidth="1"/>
    <col min="9253" max="9253" width="24" style="89" customWidth="1"/>
    <col min="9254" max="9254" width="11.42578125" style="89" customWidth="1"/>
    <col min="9255" max="9255" width="20" style="89" customWidth="1"/>
    <col min="9256" max="9256" width="11.42578125" style="89" customWidth="1"/>
    <col min="9257" max="9257" width="19" style="89" customWidth="1"/>
    <col min="9258" max="9261" width="11.42578125" style="89" customWidth="1"/>
    <col min="9262" max="9262" width="15.140625" style="89" customWidth="1"/>
    <col min="9263" max="9263" width="14" style="89" customWidth="1"/>
    <col min="9264" max="9264" width="15.140625" style="89" customWidth="1"/>
    <col min="9265" max="9265" width="11.42578125" style="89" customWidth="1"/>
    <col min="9266" max="9266" width="51.7109375" style="89" customWidth="1"/>
    <col min="9267" max="9268" width="29.5703125" style="89" customWidth="1"/>
    <col min="9269" max="9269" width="44.42578125" style="89" customWidth="1"/>
    <col min="9270" max="9270" width="36.28515625" style="89" customWidth="1"/>
    <col min="9271" max="9271" width="27.42578125" style="89" bestFit="1" customWidth="1"/>
    <col min="9272" max="9492" width="11.42578125" style="89"/>
    <col min="9493" max="9493" width="15.5703125" style="89" bestFit="1" customWidth="1"/>
    <col min="9494" max="9494" width="33.7109375" style="89" customWidth="1"/>
    <col min="9495" max="9495" width="19" style="89" customWidth="1"/>
    <col min="9496" max="9496" width="19.85546875" style="89" customWidth="1"/>
    <col min="9497" max="9497" width="18.5703125" style="89" customWidth="1"/>
    <col min="9498" max="9498" width="19.7109375" style="89" customWidth="1"/>
    <col min="9499" max="9499" width="14.85546875" style="89" customWidth="1"/>
    <col min="9500" max="9500" width="16.85546875" style="89" customWidth="1"/>
    <col min="9501" max="9503" width="11.42578125" style="89" customWidth="1"/>
    <col min="9504" max="9504" width="18.140625" style="89" customWidth="1"/>
    <col min="9505" max="9505" width="11.42578125" style="89" customWidth="1"/>
    <col min="9506" max="9506" width="12.5703125" style="89" customWidth="1"/>
    <col min="9507" max="9507" width="25" style="89" customWidth="1"/>
    <col min="9508" max="9508" width="16.5703125" style="89" bestFit="1" customWidth="1"/>
    <col min="9509" max="9509" width="24" style="89" customWidth="1"/>
    <col min="9510" max="9510" width="11.42578125" style="89" customWidth="1"/>
    <col min="9511" max="9511" width="20" style="89" customWidth="1"/>
    <col min="9512" max="9512" width="11.42578125" style="89" customWidth="1"/>
    <col min="9513" max="9513" width="19" style="89" customWidth="1"/>
    <col min="9514" max="9517" width="11.42578125" style="89" customWidth="1"/>
    <col min="9518" max="9518" width="15.140625" style="89" customWidth="1"/>
    <col min="9519" max="9519" width="14" style="89" customWidth="1"/>
    <col min="9520" max="9520" width="15.140625" style="89" customWidth="1"/>
    <col min="9521" max="9521" width="11.42578125" style="89" customWidth="1"/>
    <col min="9522" max="9522" width="51.7109375" style="89" customWidth="1"/>
    <col min="9523" max="9524" width="29.5703125" style="89" customWidth="1"/>
    <col min="9525" max="9525" width="44.42578125" style="89" customWidth="1"/>
    <col min="9526" max="9526" width="36.28515625" style="89" customWidth="1"/>
    <col min="9527" max="9527" width="27.42578125" style="89" bestFit="1" customWidth="1"/>
    <col min="9528" max="9748" width="11.42578125" style="89"/>
    <col min="9749" max="9749" width="15.5703125" style="89" bestFit="1" customWidth="1"/>
    <col min="9750" max="9750" width="33.7109375" style="89" customWidth="1"/>
    <col min="9751" max="9751" width="19" style="89" customWidth="1"/>
    <col min="9752" max="9752" width="19.85546875" style="89" customWidth="1"/>
    <col min="9753" max="9753" width="18.5703125" style="89" customWidth="1"/>
    <col min="9754" max="9754" width="19.7109375" style="89" customWidth="1"/>
    <col min="9755" max="9755" width="14.85546875" style="89" customWidth="1"/>
    <col min="9756" max="9756" width="16.85546875" style="89" customWidth="1"/>
    <col min="9757" max="9759" width="11.42578125" style="89" customWidth="1"/>
    <col min="9760" max="9760" width="18.140625" style="89" customWidth="1"/>
    <col min="9761" max="9761" width="11.42578125" style="89" customWidth="1"/>
    <col min="9762" max="9762" width="12.5703125" style="89" customWidth="1"/>
    <col min="9763" max="9763" width="25" style="89" customWidth="1"/>
    <col min="9764" max="9764" width="16.5703125" style="89" bestFit="1" customWidth="1"/>
    <col min="9765" max="9765" width="24" style="89" customWidth="1"/>
    <col min="9766" max="9766" width="11.42578125" style="89" customWidth="1"/>
    <col min="9767" max="9767" width="20" style="89" customWidth="1"/>
    <col min="9768" max="9768" width="11.42578125" style="89" customWidth="1"/>
    <col min="9769" max="9769" width="19" style="89" customWidth="1"/>
    <col min="9770" max="9773" width="11.42578125" style="89" customWidth="1"/>
    <col min="9774" max="9774" width="15.140625" style="89" customWidth="1"/>
    <col min="9775" max="9775" width="14" style="89" customWidth="1"/>
    <col min="9776" max="9776" width="15.140625" style="89" customWidth="1"/>
    <col min="9777" max="9777" width="11.42578125" style="89" customWidth="1"/>
    <col min="9778" max="9778" width="51.7109375" style="89" customWidth="1"/>
    <col min="9779" max="9780" width="29.5703125" style="89" customWidth="1"/>
    <col min="9781" max="9781" width="44.42578125" style="89" customWidth="1"/>
    <col min="9782" max="9782" width="36.28515625" style="89" customWidth="1"/>
    <col min="9783" max="9783" width="27.42578125" style="89" bestFit="1" customWidth="1"/>
    <col min="9784" max="10004" width="11.42578125" style="89"/>
    <col min="10005" max="10005" width="15.5703125" style="89" bestFit="1" customWidth="1"/>
    <col min="10006" max="10006" width="33.7109375" style="89" customWidth="1"/>
    <col min="10007" max="10007" width="19" style="89" customWidth="1"/>
    <col min="10008" max="10008" width="19.85546875" style="89" customWidth="1"/>
    <col min="10009" max="10009" width="18.5703125" style="89" customWidth="1"/>
    <col min="10010" max="10010" width="19.7109375" style="89" customWidth="1"/>
    <col min="10011" max="10011" width="14.85546875" style="89" customWidth="1"/>
    <col min="10012" max="10012" width="16.85546875" style="89" customWidth="1"/>
    <col min="10013" max="10015" width="11.42578125" style="89" customWidth="1"/>
    <col min="10016" max="10016" width="18.140625" style="89" customWidth="1"/>
    <col min="10017" max="10017" width="11.42578125" style="89" customWidth="1"/>
    <col min="10018" max="10018" width="12.5703125" style="89" customWidth="1"/>
    <col min="10019" max="10019" width="25" style="89" customWidth="1"/>
    <col min="10020" max="10020" width="16.5703125" style="89" bestFit="1" customWidth="1"/>
    <col min="10021" max="10021" width="24" style="89" customWidth="1"/>
    <col min="10022" max="10022" width="11.42578125" style="89" customWidth="1"/>
    <col min="10023" max="10023" width="20" style="89" customWidth="1"/>
    <col min="10024" max="10024" width="11.42578125" style="89" customWidth="1"/>
    <col min="10025" max="10025" width="19" style="89" customWidth="1"/>
    <col min="10026" max="10029" width="11.42578125" style="89" customWidth="1"/>
    <col min="10030" max="10030" width="15.140625" style="89" customWidth="1"/>
    <col min="10031" max="10031" width="14" style="89" customWidth="1"/>
    <col min="10032" max="10032" width="15.140625" style="89" customWidth="1"/>
    <col min="10033" max="10033" width="11.42578125" style="89" customWidth="1"/>
    <col min="10034" max="10034" width="51.7109375" style="89" customWidth="1"/>
    <col min="10035" max="10036" width="29.5703125" style="89" customWidth="1"/>
    <col min="10037" max="10037" width="44.42578125" style="89" customWidth="1"/>
    <col min="10038" max="10038" width="36.28515625" style="89" customWidth="1"/>
    <col min="10039" max="10039" width="27.42578125" style="89" bestFit="1" customWidth="1"/>
    <col min="10040" max="10260" width="11.42578125" style="89"/>
    <col min="10261" max="10261" width="15.5703125" style="89" bestFit="1" customWidth="1"/>
    <col min="10262" max="10262" width="33.7109375" style="89" customWidth="1"/>
    <col min="10263" max="10263" width="19" style="89" customWidth="1"/>
    <col min="10264" max="10264" width="19.85546875" style="89" customWidth="1"/>
    <col min="10265" max="10265" width="18.5703125" style="89" customWidth="1"/>
    <col min="10266" max="10266" width="19.7109375" style="89" customWidth="1"/>
    <col min="10267" max="10267" width="14.85546875" style="89" customWidth="1"/>
    <col min="10268" max="10268" width="16.85546875" style="89" customWidth="1"/>
    <col min="10269" max="10271" width="11.42578125" style="89" customWidth="1"/>
    <col min="10272" max="10272" width="18.140625" style="89" customWidth="1"/>
    <col min="10273" max="10273" width="11.42578125" style="89" customWidth="1"/>
    <col min="10274" max="10274" width="12.5703125" style="89" customWidth="1"/>
    <col min="10275" max="10275" width="25" style="89" customWidth="1"/>
    <col min="10276" max="10276" width="16.5703125" style="89" bestFit="1" customWidth="1"/>
    <col min="10277" max="10277" width="24" style="89" customWidth="1"/>
    <col min="10278" max="10278" width="11.42578125" style="89" customWidth="1"/>
    <col min="10279" max="10279" width="20" style="89" customWidth="1"/>
    <col min="10280" max="10280" width="11.42578125" style="89" customWidth="1"/>
    <col min="10281" max="10281" width="19" style="89" customWidth="1"/>
    <col min="10282" max="10285" width="11.42578125" style="89" customWidth="1"/>
    <col min="10286" max="10286" width="15.140625" style="89" customWidth="1"/>
    <col min="10287" max="10287" width="14" style="89" customWidth="1"/>
    <col min="10288" max="10288" width="15.140625" style="89" customWidth="1"/>
    <col min="10289" max="10289" width="11.42578125" style="89" customWidth="1"/>
    <col min="10290" max="10290" width="51.7109375" style="89" customWidth="1"/>
    <col min="10291" max="10292" width="29.5703125" style="89" customWidth="1"/>
    <col min="10293" max="10293" width="44.42578125" style="89" customWidth="1"/>
    <col min="10294" max="10294" width="36.28515625" style="89" customWidth="1"/>
    <col min="10295" max="10295" width="27.42578125" style="89" bestFit="1" customWidth="1"/>
    <col min="10296" max="10516" width="11.42578125" style="89"/>
    <col min="10517" max="10517" width="15.5703125" style="89" bestFit="1" customWidth="1"/>
    <col min="10518" max="10518" width="33.7109375" style="89" customWidth="1"/>
    <col min="10519" max="10519" width="19" style="89" customWidth="1"/>
    <col min="10520" max="10520" width="19.85546875" style="89" customWidth="1"/>
    <col min="10521" max="10521" width="18.5703125" style="89" customWidth="1"/>
    <col min="10522" max="10522" width="19.7109375" style="89" customWidth="1"/>
    <col min="10523" max="10523" width="14.85546875" style="89" customWidth="1"/>
    <col min="10524" max="10524" width="16.85546875" style="89" customWidth="1"/>
    <col min="10525" max="10527" width="11.42578125" style="89" customWidth="1"/>
    <col min="10528" max="10528" width="18.140625" style="89" customWidth="1"/>
    <col min="10529" max="10529" width="11.42578125" style="89" customWidth="1"/>
    <col min="10530" max="10530" width="12.5703125" style="89" customWidth="1"/>
    <col min="10531" max="10531" width="25" style="89" customWidth="1"/>
    <col min="10532" max="10532" width="16.5703125" style="89" bestFit="1" customWidth="1"/>
    <col min="10533" max="10533" width="24" style="89" customWidth="1"/>
    <col min="10534" max="10534" width="11.42578125" style="89" customWidth="1"/>
    <col min="10535" max="10535" width="20" style="89" customWidth="1"/>
    <col min="10536" max="10536" width="11.42578125" style="89" customWidth="1"/>
    <col min="10537" max="10537" width="19" style="89" customWidth="1"/>
    <col min="10538" max="10541" width="11.42578125" style="89" customWidth="1"/>
    <col min="10542" max="10542" width="15.140625" style="89" customWidth="1"/>
    <col min="10543" max="10543" width="14" style="89" customWidth="1"/>
    <col min="10544" max="10544" width="15.140625" style="89" customWidth="1"/>
    <col min="10545" max="10545" width="11.42578125" style="89" customWidth="1"/>
    <col min="10546" max="10546" width="51.7109375" style="89" customWidth="1"/>
    <col min="10547" max="10548" width="29.5703125" style="89" customWidth="1"/>
    <col min="10549" max="10549" width="44.42578125" style="89" customWidth="1"/>
    <col min="10550" max="10550" width="36.28515625" style="89" customWidth="1"/>
    <col min="10551" max="10551" width="27.42578125" style="89" bestFit="1" customWidth="1"/>
    <col min="10552" max="10772" width="11.42578125" style="89"/>
    <col min="10773" max="10773" width="15.5703125" style="89" bestFit="1" customWidth="1"/>
    <col min="10774" max="10774" width="33.7109375" style="89" customWidth="1"/>
    <col min="10775" max="10775" width="19" style="89" customWidth="1"/>
    <col min="10776" max="10776" width="19.85546875" style="89" customWidth="1"/>
    <col min="10777" max="10777" width="18.5703125" style="89" customWidth="1"/>
    <col min="10778" max="10778" width="19.7109375" style="89" customWidth="1"/>
    <col min="10779" max="10779" width="14.85546875" style="89" customWidth="1"/>
    <col min="10780" max="10780" width="16.85546875" style="89" customWidth="1"/>
    <col min="10781" max="10783" width="11.42578125" style="89" customWidth="1"/>
    <col min="10784" max="10784" width="18.140625" style="89" customWidth="1"/>
    <col min="10785" max="10785" width="11.42578125" style="89" customWidth="1"/>
    <col min="10786" max="10786" width="12.5703125" style="89" customWidth="1"/>
    <col min="10787" max="10787" width="25" style="89" customWidth="1"/>
    <col min="10788" max="10788" width="16.5703125" style="89" bestFit="1" customWidth="1"/>
    <col min="10789" max="10789" width="24" style="89" customWidth="1"/>
    <col min="10790" max="10790" width="11.42578125" style="89" customWidth="1"/>
    <col min="10791" max="10791" width="20" style="89" customWidth="1"/>
    <col min="10792" max="10792" width="11.42578125" style="89" customWidth="1"/>
    <col min="10793" max="10793" width="19" style="89" customWidth="1"/>
    <col min="10794" max="10797" width="11.42578125" style="89" customWidth="1"/>
    <col min="10798" max="10798" width="15.140625" style="89" customWidth="1"/>
    <col min="10799" max="10799" width="14" style="89" customWidth="1"/>
    <col min="10800" max="10800" width="15.140625" style="89" customWidth="1"/>
    <col min="10801" max="10801" width="11.42578125" style="89" customWidth="1"/>
    <col min="10802" max="10802" width="51.7109375" style="89" customWidth="1"/>
    <col min="10803" max="10804" width="29.5703125" style="89" customWidth="1"/>
    <col min="10805" max="10805" width="44.42578125" style="89" customWidth="1"/>
    <col min="10806" max="10806" width="36.28515625" style="89" customWidth="1"/>
    <col min="10807" max="10807" width="27.42578125" style="89" bestFit="1" customWidth="1"/>
    <col min="10808" max="11028" width="11.42578125" style="89"/>
    <col min="11029" max="11029" width="15.5703125" style="89" bestFit="1" customWidth="1"/>
    <col min="11030" max="11030" width="33.7109375" style="89" customWidth="1"/>
    <col min="11031" max="11031" width="19" style="89" customWidth="1"/>
    <col min="11032" max="11032" width="19.85546875" style="89" customWidth="1"/>
    <col min="11033" max="11033" width="18.5703125" style="89" customWidth="1"/>
    <col min="11034" max="11034" width="19.7109375" style="89" customWidth="1"/>
    <col min="11035" max="11035" width="14.85546875" style="89" customWidth="1"/>
    <col min="11036" max="11036" width="16.85546875" style="89" customWidth="1"/>
    <col min="11037" max="11039" width="11.42578125" style="89" customWidth="1"/>
    <col min="11040" max="11040" width="18.140625" style="89" customWidth="1"/>
    <col min="11041" max="11041" width="11.42578125" style="89" customWidth="1"/>
    <col min="11042" max="11042" width="12.5703125" style="89" customWidth="1"/>
    <col min="11043" max="11043" width="25" style="89" customWidth="1"/>
    <col min="11044" max="11044" width="16.5703125" style="89" bestFit="1" customWidth="1"/>
    <col min="11045" max="11045" width="24" style="89" customWidth="1"/>
    <col min="11046" max="11046" width="11.42578125" style="89" customWidth="1"/>
    <col min="11047" max="11047" width="20" style="89" customWidth="1"/>
    <col min="11048" max="11048" width="11.42578125" style="89" customWidth="1"/>
    <col min="11049" max="11049" width="19" style="89" customWidth="1"/>
    <col min="11050" max="11053" width="11.42578125" style="89" customWidth="1"/>
    <col min="11054" max="11054" width="15.140625" style="89" customWidth="1"/>
    <col min="11055" max="11055" width="14" style="89" customWidth="1"/>
    <col min="11056" max="11056" width="15.140625" style="89" customWidth="1"/>
    <col min="11057" max="11057" width="11.42578125" style="89" customWidth="1"/>
    <col min="11058" max="11058" width="51.7109375" style="89" customWidth="1"/>
    <col min="11059" max="11060" width="29.5703125" style="89" customWidth="1"/>
    <col min="11061" max="11061" width="44.42578125" style="89" customWidth="1"/>
    <col min="11062" max="11062" width="36.28515625" style="89" customWidth="1"/>
    <col min="11063" max="11063" width="27.42578125" style="89" bestFit="1" customWidth="1"/>
    <col min="11064" max="11284" width="11.42578125" style="89"/>
    <col min="11285" max="11285" width="15.5703125" style="89" bestFit="1" customWidth="1"/>
    <col min="11286" max="11286" width="33.7109375" style="89" customWidth="1"/>
    <col min="11287" max="11287" width="19" style="89" customWidth="1"/>
    <col min="11288" max="11288" width="19.85546875" style="89" customWidth="1"/>
    <col min="11289" max="11289" width="18.5703125" style="89" customWidth="1"/>
    <col min="11290" max="11290" width="19.7109375" style="89" customWidth="1"/>
    <col min="11291" max="11291" width="14.85546875" style="89" customWidth="1"/>
    <col min="11292" max="11292" width="16.85546875" style="89" customWidth="1"/>
    <col min="11293" max="11295" width="11.42578125" style="89" customWidth="1"/>
    <col min="11296" max="11296" width="18.140625" style="89" customWidth="1"/>
    <col min="11297" max="11297" width="11.42578125" style="89" customWidth="1"/>
    <col min="11298" max="11298" width="12.5703125" style="89" customWidth="1"/>
    <col min="11299" max="11299" width="25" style="89" customWidth="1"/>
    <col min="11300" max="11300" width="16.5703125" style="89" bestFit="1" customWidth="1"/>
    <col min="11301" max="11301" width="24" style="89" customWidth="1"/>
    <col min="11302" max="11302" width="11.42578125" style="89" customWidth="1"/>
    <col min="11303" max="11303" width="20" style="89" customWidth="1"/>
    <col min="11304" max="11304" width="11.42578125" style="89" customWidth="1"/>
    <col min="11305" max="11305" width="19" style="89" customWidth="1"/>
    <col min="11306" max="11309" width="11.42578125" style="89" customWidth="1"/>
    <col min="11310" max="11310" width="15.140625" style="89" customWidth="1"/>
    <col min="11311" max="11311" width="14" style="89" customWidth="1"/>
    <col min="11312" max="11312" width="15.140625" style="89" customWidth="1"/>
    <col min="11313" max="11313" width="11.42578125" style="89" customWidth="1"/>
    <col min="11314" max="11314" width="51.7109375" style="89" customWidth="1"/>
    <col min="11315" max="11316" width="29.5703125" style="89" customWidth="1"/>
    <col min="11317" max="11317" width="44.42578125" style="89" customWidth="1"/>
    <col min="11318" max="11318" width="36.28515625" style="89" customWidth="1"/>
    <col min="11319" max="11319" width="27.42578125" style="89" bestFit="1" customWidth="1"/>
    <col min="11320" max="11540" width="11.42578125" style="89"/>
    <col min="11541" max="11541" width="15.5703125" style="89" bestFit="1" customWidth="1"/>
    <col min="11542" max="11542" width="33.7109375" style="89" customWidth="1"/>
    <col min="11543" max="11543" width="19" style="89" customWidth="1"/>
    <col min="11544" max="11544" width="19.85546875" style="89" customWidth="1"/>
    <col min="11545" max="11545" width="18.5703125" style="89" customWidth="1"/>
    <col min="11546" max="11546" width="19.7109375" style="89" customWidth="1"/>
    <col min="11547" max="11547" width="14.85546875" style="89" customWidth="1"/>
    <col min="11548" max="11548" width="16.85546875" style="89" customWidth="1"/>
    <col min="11549" max="11551" width="11.42578125" style="89" customWidth="1"/>
    <col min="11552" max="11552" width="18.140625" style="89" customWidth="1"/>
    <col min="11553" max="11553" width="11.42578125" style="89" customWidth="1"/>
    <col min="11554" max="11554" width="12.5703125" style="89" customWidth="1"/>
    <col min="11555" max="11555" width="25" style="89" customWidth="1"/>
    <col min="11556" max="11556" width="16.5703125" style="89" bestFit="1" customWidth="1"/>
    <col min="11557" max="11557" width="24" style="89" customWidth="1"/>
    <col min="11558" max="11558" width="11.42578125" style="89" customWidth="1"/>
    <col min="11559" max="11559" width="20" style="89" customWidth="1"/>
    <col min="11560" max="11560" width="11.42578125" style="89" customWidth="1"/>
    <col min="11561" max="11561" width="19" style="89" customWidth="1"/>
    <col min="11562" max="11565" width="11.42578125" style="89" customWidth="1"/>
    <col min="11566" max="11566" width="15.140625" style="89" customWidth="1"/>
    <col min="11567" max="11567" width="14" style="89" customWidth="1"/>
    <col min="11568" max="11568" width="15.140625" style="89" customWidth="1"/>
    <col min="11569" max="11569" width="11.42578125" style="89" customWidth="1"/>
    <col min="11570" max="11570" width="51.7109375" style="89" customWidth="1"/>
    <col min="11571" max="11572" width="29.5703125" style="89" customWidth="1"/>
    <col min="11573" max="11573" width="44.42578125" style="89" customWidth="1"/>
    <col min="11574" max="11574" width="36.28515625" style="89" customWidth="1"/>
    <col min="11575" max="11575" width="27.42578125" style="89" bestFit="1" customWidth="1"/>
    <col min="11576" max="11796" width="11.42578125" style="89"/>
    <col min="11797" max="11797" width="15.5703125" style="89" bestFit="1" customWidth="1"/>
    <col min="11798" max="11798" width="33.7109375" style="89" customWidth="1"/>
    <col min="11799" max="11799" width="19" style="89" customWidth="1"/>
    <col min="11800" max="11800" width="19.85546875" style="89" customWidth="1"/>
    <col min="11801" max="11801" width="18.5703125" style="89" customWidth="1"/>
    <col min="11802" max="11802" width="19.7109375" style="89" customWidth="1"/>
    <col min="11803" max="11803" width="14.85546875" style="89" customWidth="1"/>
    <col min="11804" max="11804" width="16.85546875" style="89" customWidth="1"/>
    <col min="11805" max="11807" width="11.42578125" style="89" customWidth="1"/>
    <col min="11808" max="11808" width="18.140625" style="89" customWidth="1"/>
    <col min="11809" max="11809" width="11.42578125" style="89" customWidth="1"/>
    <col min="11810" max="11810" width="12.5703125" style="89" customWidth="1"/>
    <col min="11811" max="11811" width="25" style="89" customWidth="1"/>
    <col min="11812" max="11812" width="16.5703125" style="89" bestFit="1" customWidth="1"/>
    <col min="11813" max="11813" width="24" style="89" customWidth="1"/>
    <col min="11814" max="11814" width="11.42578125" style="89" customWidth="1"/>
    <col min="11815" max="11815" width="20" style="89" customWidth="1"/>
    <col min="11816" max="11816" width="11.42578125" style="89" customWidth="1"/>
    <col min="11817" max="11817" width="19" style="89" customWidth="1"/>
    <col min="11818" max="11821" width="11.42578125" style="89" customWidth="1"/>
    <col min="11822" max="11822" width="15.140625" style="89" customWidth="1"/>
    <col min="11823" max="11823" width="14" style="89" customWidth="1"/>
    <col min="11824" max="11824" width="15.140625" style="89" customWidth="1"/>
    <col min="11825" max="11825" width="11.42578125" style="89" customWidth="1"/>
    <col min="11826" max="11826" width="51.7109375" style="89" customWidth="1"/>
    <col min="11827" max="11828" width="29.5703125" style="89" customWidth="1"/>
    <col min="11829" max="11829" width="44.42578125" style="89" customWidth="1"/>
    <col min="11830" max="11830" width="36.28515625" style="89" customWidth="1"/>
    <col min="11831" max="11831" width="27.42578125" style="89" bestFit="1" customWidth="1"/>
    <col min="11832" max="12052" width="11.42578125" style="89"/>
    <col min="12053" max="12053" width="15.5703125" style="89" bestFit="1" customWidth="1"/>
    <col min="12054" max="12054" width="33.7109375" style="89" customWidth="1"/>
    <col min="12055" max="12055" width="19" style="89" customWidth="1"/>
    <col min="12056" max="12056" width="19.85546875" style="89" customWidth="1"/>
    <col min="12057" max="12057" width="18.5703125" style="89" customWidth="1"/>
    <col min="12058" max="12058" width="19.7109375" style="89" customWidth="1"/>
    <col min="12059" max="12059" width="14.85546875" style="89" customWidth="1"/>
    <col min="12060" max="12060" width="16.85546875" style="89" customWidth="1"/>
    <col min="12061" max="12063" width="11.42578125" style="89" customWidth="1"/>
    <col min="12064" max="12064" width="18.140625" style="89" customWidth="1"/>
    <col min="12065" max="12065" width="11.42578125" style="89" customWidth="1"/>
    <col min="12066" max="12066" width="12.5703125" style="89" customWidth="1"/>
    <col min="12067" max="12067" width="25" style="89" customWidth="1"/>
    <col min="12068" max="12068" width="16.5703125" style="89" bestFit="1" customWidth="1"/>
    <col min="12069" max="12069" width="24" style="89" customWidth="1"/>
    <col min="12070" max="12070" width="11.42578125" style="89" customWidth="1"/>
    <col min="12071" max="12071" width="20" style="89" customWidth="1"/>
    <col min="12072" max="12072" width="11.42578125" style="89" customWidth="1"/>
    <col min="12073" max="12073" width="19" style="89" customWidth="1"/>
    <col min="12074" max="12077" width="11.42578125" style="89" customWidth="1"/>
    <col min="12078" max="12078" width="15.140625" style="89" customWidth="1"/>
    <col min="12079" max="12079" width="14" style="89" customWidth="1"/>
    <col min="12080" max="12080" width="15.140625" style="89" customWidth="1"/>
    <col min="12081" max="12081" width="11.42578125" style="89" customWidth="1"/>
    <col min="12082" max="12082" width="51.7109375" style="89" customWidth="1"/>
    <col min="12083" max="12084" width="29.5703125" style="89" customWidth="1"/>
    <col min="12085" max="12085" width="44.42578125" style="89" customWidth="1"/>
    <col min="12086" max="12086" width="36.28515625" style="89" customWidth="1"/>
    <col min="12087" max="12087" width="27.42578125" style="89" bestFit="1" customWidth="1"/>
    <col min="12088" max="12308" width="11.42578125" style="89"/>
    <col min="12309" max="12309" width="15.5703125" style="89" bestFit="1" customWidth="1"/>
    <col min="12310" max="12310" width="33.7109375" style="89" customWidth="1"/>
    <col min="12311" max="12311" width="19" style="89" customWidth="1"/>
    <col min="12312" max="12312" width="19.85546875" style="89" customWidth="1"/>
    <col min="12313" max="12313" width="18.5703125" style="89" customWidth="1"/>
    <col min="12314" max="12314" width="19.7109375" style="89" customWidth="1"/>
    <col min="12315" max="12315" width="14.85546875" style="89" customWidth="1"/>
    <col min="12316" max="12316" width="16.85546875" style="89" customWidth="1"/>
    <col min="12317" max="12319" width="11.42578125" style="89" customWidth="1"/>
    <col min="12320" max="12320" width="18.140625" style="89" customWidth="1"/>
    <col min="12321" max="12321" width="11.42578125" style="89" customWidth="1"/>
    <col min="12322" max="12322" width="12.5703125" style="89" customWidth="1"/>
    <col min="12323" max="12323" width="25" style="89" customWidth="1"/>
    <col min="12324" max="12324" width="16.5703125" style="89" bestFit="1" customWidth="1"/>
    <col min="12325" max="12325" width="24" style="89" customWidth="1"/>
    <col min="12326" max="12326" width="11.42578125" style="89" customWidth="1"/>
    <col min="12327" max="12327" width="20" style="89" customWidth="1"/>
    <col min="12328" max="12328" width="11.42578125" style="89" customWidth="1"/>
    <col min="12329" max="12329" width="19" style="89" customWidth="1"/>
    <col min="12330" max="12333" width="11.42578125" style="89" customWidth="1"/>
    <col min="12334" max="12334" width="15.140625" style="89" customWidth="1"/>
    <col min="12335" max="12335" width="14" style="89" customWidth="1"/>
    <col min="12336" max="12336" width="15.140625" style="89" customWidth="1"/>
    <col min="12337" max="12337" width="11.42578125" style="89" customWidth="1"/>
    <col min="12338" max="12338" width="51.7109375" style="89" customWidth="1"/>
    <col min="12339" max="12340" width="29.5703125" style="89" customWidth="1"/>
    <col min="12341" max="12341" width="44.42578125" style="89" customWidth="1"/>
    <col min="12342" max="12342" width="36.28515625" style="89" customWidth="1"/>
    <col min="12343" max="12343" width="27.42578125" style="89" bestFit="1" customWidth="1"/>
    <col min="12344" max="12564" width="11.42578125" style="89"/>
    <col min="12565" max="12565" width="15.5703125" style="89" bestFit="1" customWidth="1"/>
    <col min="12566" max="12566" width="33.7109375" style="89" customWidth="1"/>
    <col min="12567" max="12567" width="19" style="89" customWidth="1"/>
    <col min="12568" max="12568" width="19.85546875" style="89" customWidth="1"/>
    <col min="12569" max="12569" width="18.5703125" style="89" customWidth="1"/>
    <col min="12570" max="12570" width="19.7109375" style="89" customWidth="1"/>
    <col min="12571" max="12571" width="14.85546875" style="89" customWidth="1"/>
    <col min="12572" max="12572" width="16.85546875" style="89" customWidth="1"/>
    <col min="12573" max="12575" width="11.42578125" style="89" customWidth="1"/>
    <col min="12576" max="12576" width="18.140625" style="89" customWidth="1"/>
    <col min="12577" max="12577" width="11.42578125" style="89" customWidth="1"/>
    <col min="12578" max="12578" width="12.5703125" style="89" customWidth="1"/>
    <col min="12579" max="12579" width="25" style="89" customWidth="1"/>
    <col min="12580" max="12580" width="16.5703125" style="89" bestFit="1" customWidth="1"/>
    <col min="12581" max="12581" width="24" style="89" customWidth="1"/>
    <col min="12582" max="12582" width="11.42578125" style="89" customWidth="1"/>
    <col min="12583" max="12583" width="20" style="89" customWidth="1"/>
    <col min="12584" max="12584" width="11.42578125" style="89" customWidth="1"/>
    <col min="12585" max="12585" width="19" style="89" customWidth="1"/>
    <col min="12586" max="12589" width="11.42578125" style="89" customWidth="1"/>
    <col min="12590" max="12590" width="15.140625" style="89" customWidth="1"/>
    <col min="12591" max="12591" width="14" style="89" customWidth="1"/>
    <col min="12592" max="12592" width="15.140625" style="89" customWidth="1"/>
    <col min="12593" max="12593" width="11.42578125" style="89" customWidth="1"/>
    <col min="12594" max="12594" width="51.7109375" style="89" customWidth="1"/>
    <col min="12595" max="12596" width="29.5703125" style="89" customWidth="1"/>
    <col min="12597" max="12597" width="44.42578125" style="89" customWidth="1"/>
    <col min="12598" max="12598" width="36.28515625" style="89" customWidth="1"/>
    <col min="12599" max="12599" width="27.42578125" style="89" bestFit="1" customWidth="1"/>
    <col min="12600" max="12820" width="11.42578125" style="89"/>
    <col min="12821" max="12821" width="15.5703125" style="89" bestFit="1" customWidth="1"/>
    <col min="12822" max="12822" width="33.7109375" style="89" customWidth="1"/>
    <col min="12823" max="12823" width="19" style="89" customWidth="1"/>
    <col min="12824" max="12824" width="19.85546875" style="89" customWidth="1"/>
    <col min="12825" max="12825" width="18.5703125" style="89" customWidth="1"/>
    <col min="12826" max="12826" width="19.7109375" style="89" customWidth="1"/>
    <col min="12827" max="12827" width="14.85546875" style="89" customWidth="1"/>
    <col min="12828" max="12828" width="16.85546875" style="89" customWidth="1"/>
    <col min="12829" max="12831" width="11.42578125" style="89" customWidth="1"/>
    <col min="12832" max="12832" width="18.140625" style="89" customWidth="1"/>
    <col min="12833" max="12833" width="11.42578125" style="89" customWidth="1"/>
    <col min="12834" max="12834" width="12.5703125" style="89" customWidth="1"/>
    <col min="12835" max="12835" width="25" style="89" customWidth="1"/>
    <col min="12836" max="12836" width="16.5703125" style="89" bestFit="1" customWidth="1"/>
    <col min="12837" max="12837" width="24" style="89" customWidth="1"/>
    <col min="12838" max="12838" width="11.42578125" style="89" customWidth="1"/>
    <col min="12839" max="12839" width="20" style="89" customWidth="1"/>
    <col min="12840" max="12840" width="11.42578125" style="89" customWidth="1"/>
    <col min="12841" max="12841" width="19" style="89" customWidth="1"/>
    <col min="12842" max="12845" width="11.42578125" style="89" customWidth="1"/>
    <col min="12846" max="12846" width="15.140625" style="89" customWidth="1"/>
    <col min="12847" max="12847" width="14" style="89" customWidth="1"/>
    <col min="12848" max="12848" width="15.140625" style="89" customWidth="1"/>
    <col min="12849" max="12849" width="11.42578125" style="89" customWidth="1"/>
    <col min="12850" max="12850" width="51.7109375" style="89" customWidth="1"/>
    <col min="12851" max="12852" width="29.5703125" style="89" customWidth="1"/>
    <col min="12853" max="12853" width="44.42578125" style="89" customWidth="1"/>
    <col min="12854" max="12854" width="36.28515625" style="89" customWidth="1"/>
    <col min="12855" max="12855" width="27.42578125" style="89" bestFit="1" customWidth="1"/>
    <col min="12856" max="13076" width="11.42578125" style="89"/>
    <col min="13077" max="13077" width="15.5703125" style="89" bestFit="1" customWidth="1"/>
    <col min="13078" max="13078" width="33.7109375" style="89" customWidth="1"/>
    <col min="13079" max="13079" width="19" style="89" customWidth="1"/>
    <col min="13080" max="13080" width="19.85546875" style="89" customWidth="1"/>
    <col min="13081" max="13081" width="18.5703125" style="89" customWidth="1"/>
    <col min="13082" max="13082" width="19.7109375" style="89" customWidth="1"/>
    <col min="13083" max="13083" width="14.85546875" style="89" customWidth="1"/>
    <col min="13084" max="13084" width="16.85546875" style="89" customWidth="1"/>
    <col min="13085" max="13087" width="11.42578125" style="89" customWidth="1"/>
    <col min="13088" max="13088" width="18.140625" style="89" customWidth="1"/>
    <col min="13089" max="13089" width="11.42578125" style="89" customWidth="1"/>
    <col min="13090" max="13090" width="12.5703125" style="89" customWidth="1"/>
    <col min="13091" max="13091" width="25" style="89" customWidth="1"/>
    <col min="13092" max="13092" width="16.5703125" style="89" bestFit="1" customWidth="1"/>
    <col min="13093" max="13093" width="24" style="89" customWidth="1"/>
    <col min="13094" max="13094" width="11.42578125" style="89" customWidth="1"/>
    <col min="13095" max="13095" width="20" style="89" customWidth="1"/>
    <col min="13096" max="13096" width="11.42578125" style="89" customWidth="1"/>
    <col min="13097" max="13097" width="19" style="89" customWidth="1"/>
    <col min="13098" max="13101" width="11.42578125" style="89" customWidth="1"/>
    <col min="13102" max="13102" width="15.140625" style="89" customWidth="1"/>
    <col min="13103" max="13103" width="14" style="89" customWidth="1"/>
    <col min="13104" max="13104" width="15.140625" style="89" customWidth="1"/>
    <col min="13105" max="13105" width="11.42578125" style="89" customWidth="1"/>
    <col min="13106" max="13106" width="51.7109375" style="89" customWidth="1"/>
    <col min="13107" max="13108" width="29.5703125" style="89" customWidth="1"/>
    <col min="13109" max="13109" width="44.42578125" style="89" customWidth="1"/>
    <col min="13110" max="13110" width="36.28515625" style="89" customWidth="1"/>
    <col min="13111" max="13111" width="27.42578125" style="89" bestFit="1" customWidth="1"/>
    <col min="13112" max="13332" width="11.42578125" style="89"/>
    <col min="13333" max="13333" width="15.5703125" style="89" bestFit="1" customWidth="1"/>
    <col min="13334" max="13334" width="33.7109375" style="89" customWidth="1"/>
    <col min="13335" max="13335" width="19" style="89" customWidth="1"/>
    <col min="13336" max="13336" width="19.85546875" style="89" customWidth="1"/>
    <col min="13337" max="13337" width="18.5703125" style="89" customWidth="1"/>
    <col min="13338" max="13338" width="19.7109375" style="89" customWidth="1"/>
    <col min="13339" max="13339" width="14.85546875" style="89" customWidth="1"/>
    <col min="13340" max="13340" width="16.85546875" style="89" customWidth="1"/>
    <col min="13341" max="13343" width="11.42578125" style="89" customWidth="1"/>
    <col min="13344" max="13344" width="18.140625" style="89" customWidth="1"/>
    <col min="13345" max="13345" width="11.42578125" style="89" customWidth="1"/>
    <col min="13346" max="13346" width="12.5703125" style="89" customWidth="1"/>
    <col min="13347" max="13347" width="25" style="89" customWidth="1"/>
    <col min="13348" max="13348" width="16.5703125" style="89" bestFit="1" customWidth="1"/>
    <col min="13349" max="13349" width="24" style="89" customWidth="1"/>
    <col min="13350" max="13350" width="11.42578125" style="89" customWidth="1"/>
    <col min="13351" max="13351" width="20" style="89" customWidth="1"/>
    <col min="13352" max="13352" width="11.42578125" style="89" customWidth="1"/>
    <col min="13353" max="13353" width="19" style="89" customWidth="1"/>
    <col min="13354" max="13357" width="11.42578125" style="89" customWidth="1"/>
    <col min="13358" max="13358" width="15.140625" style="89" customWidth="1"/>
    <col min="13359" max="13359" width="14" style="89" customWidth="1"/>
    <col min="13360" max="13360" width="15.140625" style="89" customWidth="1"/>
    <col min="13361" max="13361" width="11.42578125" style="89" customWidth="1"/>
    <col min="13362" max="13362" width="51.7109375" style="89" customWidth="1"/>
    <col min="13363" max="13364" width="29.5703125" style="89" customWidth="1"/>
    <col min="13365" max="13365" width="44.42578125" style="89" customWidth="1"/>
    <col min="13366" max="13366" width="36.28515625" style="89" customWidth="1"/>
    <col min="13367" max="13367" width="27.42578125" style="89" bestFit="1" customWidth="1"/>
    <col min="13368" max="13588" width="11.42578125" style="89"/>
    <col min="13589" max="13589" width="15.5703125" style="89" bestFit="1" customWidth="1"/>
    <col min="13590" max="13590" width="33.7109375" style="89" customWidth="1"/>
    <col min="13591" max="13591" width="19" style="89" customWidth="1"/>
    <col min="13592" max="13592" width="19.85546875" style="89" customWidth="1"/>
    <col min="13593" max="13593" width="18.5703125" style="89" customWidth="1"/>
    <col min="13594" max="13594" width="19.7109375" style="89" customWidth="1"/>
    <col min="13595" max="13595" width="14.85546875" style="89" customWidth="1"/>
    <col min="13596" max="13596" width="16.85546875" style="89" customWidth="1"/>
    <col min="13597" max="13599" width="11.42578125" style="89" customWidth="1"/>
    <col min="13600" max="13600" width="18.140625" style="89" customWidth="1"/>
    <col min="13601" max="13601" width="11.42578125" style="89" customWidth="1"/>
    <col min="13602" max="13602" width="12.5703125" style="89" customWidth="1"/>
    <col min="13603" max="13603" width="25" style="89" customWidth="1"/>
    <col min="13604" max="13604" width="16.5703125" style="89" bestFit="1" customWidth="1"/>
    <col min="13605" max="13605" width="24" style="89" customWidth="1"/>
    <col min="13606" max="13606" width="11.42578125" style="89" customWidth="1"/>
    <col min="13607" max="13607" width="20" style="89" customWidth="1"/>
    <col min="13608" max="13608" width="11.42578125" style="89" customWidth="1"/>
    <col min="13609" max="13609" width="19" style="89" customWidth="1"/>
    <col min="13610" max="13613" width="11.42578125" style="89" customWidth="1"/>
    <col min="13614" max="13614" width="15.140625" style="89" customWidth="1"/>
    <col min="13615" max="13615" width="14" style="89" customWidth="1"/>
    <col min="13616" max="13616" width="15.140625" style="89" customWidth="1"/>
    <col min="13617" max="13617" width="11.42578125" style="89" customWidth="1"/>
    <col min="13618" max="13618" width="51.7109375" style="89" customWidth="1"/>
    <col min="13619" max="13620" width="29.5703125" style="89" customWidth="1"/>
    <col min="13621" max="13621" width="44.42578125" style="89" customWidth="1"/>
    <col min="13622" max="13622" width="36.28515625" style="89" customWidth="1"/>
    <col min="13623" max="13623" width="27.42578125" style="89" bestFit="1" customWidth="1"/>
    <col min="13624" max="13844" width="11.42578125" style="89"/>
    <col min="13845" max="13845" width="15.5703125" style="89" bestFit="1" customWidth="1"/>
    <col min="13846" max="13846" width="33.7109375" style="89" customWidth="1"/>
    <col min="13847" max="13847" width="19" style="89" customWidth="1"/>
    <col min="13848" max="13848" width="19.85546875" style="89" customWidth="1"/>
    <col min="13849" max="13849" width="18.5703125" style="89" customWidth="1"/>
    <col min="13850" max="13850" width="19.7109375" style="89" customWidth="1"/>
    <col min="13851" max="13851" width="14.85546875" style="89" customWidth="1"/>
    <col min="13852" max="13852" width="16.85546875" style="89" customWidth="1"/>
    <col min="13853" max="13855" width="11.42578125" style="89" customWidth="1"/>
    <col min="13856" max="13856" width="18.140625" style="89" customWidth="1"/>
    <col min="13857" max="13857" width="11.42578125" style="89" customWidth="1"/>
    <col min="13858" max="13858" width="12.5703125" style="89" customWidth="1"/>
    <col min="13859" max="13859" width="25" style="89" customWidth="1"/>
    <col min="13860" max="13860" width="16.5703125" style="89" bestFit="1" customWidth="1"/>
    <col min="13861" max="13861" width="24" style="89" customWidth="1"/>
    <col min="13862" max="13862" width="11.42578125" style="89" customWidth="1"/>
    <col min="13863" max="13863" width="20" style="89" customWidth="1"/>
    <col min="13864" max="13864" width="11.42578125" style="89" customWidth="1"/>
    <col min="13865" max="13865" width="19" style="89" customWidth="1"/>
    <col min="13866" max="13869" width="11.42578125" style="89" customWidth="1"/>
    <col min="13870" max="13870" width="15.140625" style="89" customWidth="1"/>
    <col min="13871" max="13871" width="14" style="89" customWidth="1"/>
    <col min="13872" max="13872" width="15.140625" style="89" customWidth="1"/>
    <col min="13873" max="13873" width="11.42578125" style="89" customWidth="1"/>
    <col min="13874" max="13874" width="51.7109375" style="89" customWidth="1"/>
    <col min="13875" max="13876" width="29.5703125" style="89" customWidth="1"/>
    <col min="13877" max="13877" width="44.42578125" style="89" customWidth="1"/>
    <col min="13878" max="13878" width="36.28515625" style="89" customWidth="1"/>
    <col min="13879" max="13879" width="27.42578125" style="89" bestFit="1" customWidth="1"/>
    <col min="13880" max="14100" width="11.42578125" style="89"/>
    <col min="14101" max="14101" width="15.5703125" style="89" bestFit="1" customWidth="1"/>
    <col min="14102" max="14102" width="33.7109375" style="89" customWidth="1"/>
    <col min="14103" max="14103" width="19" style="89" customWidth="1"/>
    <col min="14104" max="14104" width="19.85546875" style="89" customWidth="1"/>
    <col min="14105" max="14105" width="18.5703125" style="89" customWidth="1"/>
    <col min="14106" max="14106" width="19.7109375" style="89" customWidth="1"/>
    <col min="14107" max="14107" width="14.85546875" style="89" customWidth="1"/>
    <col min="14108" max="14108" width="16.85546875" style="89" customWidth="1"/>
    <col min="14109" max="14111" width="11.42578125" style="89" customWidth="1"/>
    <col min="14112" max="14112" width="18.140625" style="89" customWidth="1"/>
    <col min="14113" max="14113" width="11.42578125" style="89" customWidth="1"/>
    <col min="14114" max="14114" width="12.5703125" style="89" customWidth="1"/>
    <col min="14115" max="14115" width="25" style="89" customWidth="1"/>
    <col min="14116" max="14116" width="16.5703125" style="89" bestFit="1" customWidth="1"/>
    <col min="14117" max="14117" width="24" style="89" customWidth="1"/>
    <col min="14118" max="14118" width="11.42578125" style="89" customWidth="1"/>
    <col min="14119" max="14119" width="20" style="89" customWidth="1"/>
    <col min="14120" max="14120" width="11.42578125" style="89" customWidth="1"/>
    <col min="14121" max="14121" width="19" style="89" customWidth="1"/>
    <col min="14122" max="14125" width="11.42578125" style="89" customWidth="1"/>
    <col min="14126" max="14126" width="15.140625" style="89" customWidth="1"/>
    <col min="14127" max="14127" width="14" style="89" customWidth="1"/>
    <col min="14128" max="14128" width="15.140625" style="89" customWidth="1"/>
    <col min="14129" max="14129" width="11.42578125" style="89" customWidth="1"/>
    <col min="14130" max="14130" width="51.7109375" style="89" customWidth="1"/>
    <col min="14131" max="14132" width="29.5703125" style="89" customWidth="1"/>
    <col min="14133" max="14133" width="44.42578125" style="89" customWidth="1"/>
    <col min="14134" max="14134" width="36.28515625" style="89" customWidth="1"/>
    <col min="14135" max="14135" width="27.42578125" style="89" bestFit="1" customWidth="1"/>
    <col min="14136" max="14356" width="11.42578125" style="89"/>
    <col min="14357" max="14357" width="15.5703125" style="89" bestFit="1" customWidth="1"/>
    <col min="14358" max="14358" width="33.7109375" style="89" customWidth="1"/>
    <col min="14359" max="14359" width="19" style="89" customWidth="1"/>
    <col min="14360" max="14360" width="19.85546875" style="89" customWidth="1"/>
    <col min="14361" max="14361" width="18.5703125" style="89" customWidth="1"/>
    <col min="14362" max="14362" width="19.7109375" style="89" customWidth="1"/>
    <col min="14363" max="14363" width="14.85546875" style="89" customWidth="1"/>
    <col min="14364" max="14364" width="16.85546875" style="89" customWidth="1"/>
    <col min="14365" max="14367" width="11.42578125" style="89" customWidth="1"/>
    <col min="14368" max="14368" width="18.140625" style="89" customWidth="1"/>
    <col min="14369" max="14369" width="11.42578125" style="89" customWidth="1"/>
    <col min="14370" max="14370" width="12.5703125" style="89" customWidth="1"/>
    <col min="14371" max="14371" width="25" style="89" customWidth="1"/>
    <col min="14372" max="14372" width="16.5703125" style="89" bestFit="1" customWidth="1"/>
    <col min="14373" max="14373" width="24" style="89" customWidth="1"/>
    <col min="14374" max="14374" width="11.42578125" style="89" customWidth="1"/>
    <col min="14375" max="14375" width="20" style="89" customWidth="1"/>
    <col min="14376" max="14376" width="11.42578125" style="89" customWidth="1"/>
    <col min="14377" max="14377" width="19" style="89" customWidth="1"/>
    <col min="14378" max="14381" width="11.42578125" style="89" customWidth="1"/>
    <col min="14382" max="14382" width="15.140625" style="89" customWidth="1"/>
    <col min="14383" max="14383" width="14" style="89" customWidth="1"/>
    <col min="14384" max="14384" width="15.140625" style="89" customWidth="1"/>
    <col min="14385" max="14385" width="11.42578125" style="89" customWidth="1"/>
    <col min="14386" max="14386" width="51.7109375" style="89" customWidth="1"/>
    <col min="14387" max="14388" width="29.5703125" style="89" customWidth="1"/>
    <col min="14389" max="14389" width="44.42578125" style="89" customWidth="1"/>
    <col min="14390" max="14390" width="36.28515625" style="89" customWidth="1"/>
    <col min="14391" max="14391" width="27.42578125" style="89" bestFit="1" customWidth="1"/>
    <col min="14392" max="14612" width="11.42578125" style="89"/>
    <col min="14613" max="14613" width="15.5703125" style="89" bestFit="1" customWidth="1"/>
    <col min="14614" max="14614" width="33.7109375" style="89" customWidth="1"/>
    <col min="14615" max="14615" width="19" style="89" customWidth="1"/>
    <col min="14616" max="14616" width="19.85546875" style="89" customWidth="1"/>
    <col min="14617" max="14617" width="18.5703125" style="89" customWidth="1"/>
    <col min="14618" max="14618" width="19.7109375" style="89" customWidth="1"/>
    <col min="14619" max="14619" width="14.85546875" style="89" customWidth="1"/>
    <col min="14620" max="14620" width="16.85546875" style="89" customWidth="1"/>
    <col min="14621" max="14623" width="11.42578125" style="89" customWidth="1"/>
    <col min="14624" max="14624" width="18.140625" style="89" customWidth="1"/>
    <col min="14625" max="14625" width="11.42578125" style="89" customWidth="1"/>
    <col min="14626" max="14626" width="12.5703125" style="89" customWidth="1"/>
    <col min="14627" max="14627" width="25" style="89" customWidth="1"/>
    <col min="14628" max="14628" width="16.5703125" style="89" bestFit="1" customWidth="1"/>
    <col min="14629" max="14629" width="24" style="89" customWidth="1"/>
    <col min="14630" max="14630" width="11.42578125" style="89" customWidth="1"/>
    <col min="14631" max="14631" width="20" style="89" customWidth="1"/>
    <col min="14632" max="14632" width="11.42578125" style="89" customWidth="1"/>
    <col min="14633" max="14633" width="19" style="89" customWidth="1"/>
    <col min="14634" max="14637" width="11.42578125" style="89" customWidth="1"/>
    <col min="14638" max="14638" width="15.140625" style="89" customWidth="1"/>
    <col min="14639" max="14639" width="14" style="89" customWidth="1"/>
    <col min="14640" max="14640" width="15.140625" style="89" customWidth="1"/>
    <col min="14641" max="14641" width="11.42578125" style="89" customWidth="1"/>
    <col min="14642" max="14642" width="51.7109375" style="89" customWidth="1"/>
    <col min="14643" max="14644" width="29.5703125" style="89" customWidth="1"/>
    <col min="14645" max="14645" width="44.42578125" style="89" customWidth="1"/>
    <col min="14646" max="14646" width="36.28515625" style="89" customWidth="1"/>
    <col min="14647" max="14647" width="27.42578125" style="89" bestFit="1" customWidth="1"/>
    <col min="14648" max="14868" width="11.42578125" style="89"/>
    <col min="14869" max="14869" width="15.5703125" style="89" bestFit="1" customWidth="1"/>
    <col min="14870" max="14870" width="33.7109375" style="89" customWidth="1"/>
    <col min="14871" max="14871" width="19" style="89" customWidth="1"/>
    <col min="14872" max="14872" width="19.85546875" style="89" customWidth="1"/>
    <col min="14873" max="14873" width="18.5703125" style="89" customWidth="1"/>
    <col min="14874" max="14874" width="19.7109375" style="89" customWidth="1"/>
    <col min="14875" max="14875" width="14.85546875" style="89" customWidth="1"/>
    <col min="14876" max="14876" width="16.85546875" style="89" customWidth="1"/>
    <col min="14877" max="14879" width="11.42578125" style="89" customWidth="1"/>
    <col min="14880" max="14880" width="18.140625" style="89" customWidth="1"/>
    <col min="14881" max="14881" width="11.42578125" style="89" customWidth="1"/>
    <col min="14882" max="14882" width="12.5703125" style="89" customWidth="1"/>
    <col min="14883" max="14883" width="25" style="89" customWidth="1"/>
    <col min="14884" max="14884" width="16.5703125" style="89" bestFit="1" customWidth="1"/>
    <col min="14885" max="14885" width="24" style="89" customWidth="1"/>
    <col min="14886" max="14886" width="11.42578125" style="89" customWidth="1"/>
    <col min="14887" max="14887" width="20" style="89" customWidth="1"/>
    <col min="14888" max="14888" width="11.42578125" style="89" customWidth="1"/>
    <col min="14889" max="14889" width="19" style="89" customWidth="1"/>
    <col min="14890" max="14893" width="11.42578125" style="89" customWidth="1"/>
    <col min="14894" max="14894" width="15.140625" style="89" customWidth="1"/>
    <col min="14895" max="14895" width="14" style="89" customWidth="1"/>
    <col min="14896" max="14896" width="15.140625" style="89" customWidth="1"/>
    <col min="14897" max="14897" width="11.42578125" style="89" customWidth="1"/>
    <col min="14898" max="14898" width="51.7109375" style="89" customWidth="1"/>
    <col min="14899" max="14900" width="29.5703125" style="89" customWidth="1"/>
    <col min="14901" max="14901" width="44.42578125" style="89" customWidth="1"/>
    <col min="14902" max="14902" width="36.28515625" style="89" customWidth="1"/>
    <col min="14903" max="14903" width="27.42578125" style="89" bestFit="1" customWidth="1"/>
    <col min="14904" max="15124" width="11.42578125" style="89"/>
    <col min="15125" max="15125" width="15.5703125" style="89" bestFit="1" customWidth="1"/>
    <col min="15126" max="15126" width="33.7109375" style="89" customWidth="1"/>
    <col min="15127" max="15127" width="19" style="89" customWidth="1"/>
    <col min="15128" max="15128" width="19.85546875" style="89" customWidth="1"/>
    <col min="15129" max="15129" width="18.5703125" style="89" customWidth="1"/>
    <col min="15130" max="15130" width="19.7109375" style="89" customWidth="1"/>
    <col min="15131" max="15131" width="14.85546875" style="89" customWidth="1"/>
    <col min="15132" max="15132" width="16.85546875" style="89" customWidth="1"/>
    <col min="15133" max="15135" width="11.42578125" style="89" customWidth="1"/>
    <col min="15136" max="15136" width="18.140625" style="89" customWidth="1"/>
    <col min="15137" max="15137" width="11.42578125" style="89" customWidth="1"/>
    <col min="15138" max="15138" width="12.5703125" style="89" customWidth="1"/>
    <col min="15139" max="15139" width="25" style="89" customWidth="1"/>
    <col min="15140" max="15140" width="16.5703125" style="89" bestFit="1" customWidth="1"/>
    <col min="15141" max="15141" width="24" style="89" customWidth="1"/>
    <col min="15142" max="15142" width="11.42578125" style="89" customWidth="1"/>
    <col min="15143" max="15143" width="20" style="89" customWidth="1"/>
    <col min="15144" max="15144" width="11.42578125" style="89" customWidth="1"/>
    <col min="15145" max="15145" width="19" style="89" customWidth="1"/>
    <col min="15146" max="15149" width="11.42578125" style="89" customWidth="1"/>
    <col min="15150" max="15150" width="15.140625" style="89" customWidth="1"/>
    <col min="15151" max="15151" width="14" style="89" customWidth="1"/>
    <col min="15152" max="15152" width="15.140625" style="89" customWidth="1"/>
    <col min="15153" max="15153" width="11.42578125" style="89" customWidth="1"/>
    <col min="15154" max="15154" width="51.7109375" style="89" customWidth="1"/>
    <col min="15155" max="15156" width="29.5703125" style="89" customWidth="1"/>
    <col min="15157" max="15157" width="44.42578125" style="89" customWidth="1"/>
    <col min="15158" max="15158" width="36.28515625" style="89" customWidth="1"/>
    <col min="15159" max="15159" width="27.42578125" style="89" bestFit="1" customWidth="1"/>
    <col min="15160" max="15380" width="11.42578125" style="89"/>
    <col min="15381" max="15381" width="15.5703125" style="89" bestFit="1" customWidth="1"/>
    <col min="15382" max="15382" width="33.7109375" style="89" customWidth="1"/>
    <col min="15383" max="15383" width="19" style="89" customWidth="1"/>
    <col min="15384" max="15384" width="19.85546875" style="89" customWidth="1"/>
    <col min="15385" max="15385" width="18.5703125" style="89" customWidth="1"/>
    <col min="15386" max="15386" width="19.7109375" style="89" customWidth="1"/>
    <col min="15387" max="15387" width="14.85546875" style="89" customWidth="1"/>
    <col min="15388" max="15388" width="16.85546875" style="89" customWidth="1"/>
    <col min="15389" max="15391" width="11.42578125" style="89" customWidth="1"/>
    <col min="15392" max="15392" width="18.140625" style="89" customWidth="1"/>
    <col min="15393" max="15393" width="11.42578125" style="89" customWidth="1"/>
    <col min="15394" max="15394" width="12.5703125" style="89" customWidth="1"/>
    <col min="15395" max="15395" width="25" style="89" customWidth="1"/>
    <col min="15396" max="15396" width="16.5703125" style="89" bestFit="1" customWidth="1"/>
    <col min="15397" max="15397" width="24" style="89" customWidth="1"/>
    <col min="15398" max="15398" width="11.42578125" style="89" customWidth="1"/>
    <col min="15399" max="15399" width="20" style="89" customWidth="1"/>
    <col min="15400" max="15400" width="11.42578125" style="89" customWidth="1"/>
    <col min="15401" max="15401" width="19" style="89" customWidth="1"/>
    <col min="15402" max="15405" width="11.42578125" style="89" customWidth="1"/>
    <col min="15406" max="15406" width="15.140625" style="89" customWidth="1"/>
    <col min="15407" max="15407" width="14" style="89" customWidth="1"/>
    <col min="15408" max="15408" width="15.140625" style="89" customWidth="1"/>
    <col min="15409" max="15409" width="11.42578125" style="89" customWidth="1"/>
    <col min="15410" max="15410" width="51.7109375" style="89" customWidth="1"/>
    <col min="15411" max="15412" width="29.5703125" style="89" customWidth="1"/>
    <col min="15413" max="15413" width="44.42578125" style="89" customWidth="1"/>
    <col min="15414" max="15414" width="36.28515625" style="89" customWidth="1"/>
    <col min="15415" max="15415" width="27.42578125" style="89" bestFit="1" customWidth="1"/>
    <col min="15416" max="15636" width="11.42578125" style="89"/>
    <col min="15637" max="15637" width="15.5703125" style="89" bestFit="1" customWidth="1"/>
    <col min="15638" max="15638" width="33.7109375" style="89" customWidth="1"/>
    <col min="15639" max="15639" width="19" style="89" customWidth="1"/>
    <col min="15640" max="15640" width="19.85546875" style="89" customWidth="1"/>
    <col min="15641" max="15641" width="18.5703125" style="89" customWidth="1"/>
    <col min="15642" max="15642" width="19.7109375" style="89" customWidth="1"/>
    <col min="15643" max="15643" width="14.85546875" style="89" customWidth="1"/>
    <col min="15644" max="15644" width="16.85546875" style="89" customWidth="1"/>
    <col min="15645" max="15647" width="11.42578125" style="89" customWidth="1"/>
    <col min="15648" max="15648" width="18.140625" style="89" customWidth="1"/>
    <col min="15649" max="15649" width="11.42578125" style="89" customWidth="1"/>
    <col min="15650" max="15650" width="12.5703125" style="89" customWidth="1"/>
    <col min="15651" max="15651" width="25" style="89" customWidth="1"/>
    <col min="15652" max="15652" width="16.5703125" style="89" bestFit="1" customWidth="1"/>
    <col min="15653" max="15653" width="24" style="89" customWidth="1"/>
    <col min="15654" max="15654" width="11.42578125" style="89" customWidth="1"/>
    <col min="15655" max="15655" width="20" style="89" customWidth="1"/>
    <col min="15656" max="15656" width="11.42578125" style="89" customWidth="1"/>
    <col min="15657" max="15657" width="19" style="89" customWidth="1"/>
    <col min="15658" max="15661" width="11.42578125" style="89" customWidth="1"/>
    <col min="15662" max="15662" width="15.140625" style="89" customWidth="1"/>
    <col min="15663" max="15663" width="14" style="89" customWidth="1"/>
    <col min="15664" max="15664" width="15.140625" style="89" customWidth="1"/>
    <col min="15665" max="15665" width="11.42578125" style="89" customWidth="1"/>
    <col min="15666" max="15666" width="51.7109375" style="89" customWidth="1"/>
    <col min="15667" max="15668" width="29.5703125" style="89" customWidth="1"/>
    <col min="15669" max="15669" width="44.42578125" style="89" customWidth="1"/>
    <col min="15670" max="15670" width="36.28515625" style="89" customWidth="1"/>
    <col min="15671" max="15671" width="27.42578125" style="89" bestFit="1" customWidth="1"/>
    <col min="15672" max="15892" width="11.42578125" style="89"/>
    <col min="15893" max="15893" width="15.5703125" style="89" bestFit="1" customWidth="1"/>
    <col min="15894" max="15894" width="33.7109375" style="89" customWidth="1"/>
    <col min="15895" max="15895" width="19" style="89" customWidth="1"/>
    <col min="15896" max="15896" width="19.85546875" style="89" customWidth="1"/>
    <col min="15897" max="15897" width="18.5703125" style="89" customWidth="1"/>
    <col min="15898" max="15898" width="19.7109375" style="89" customWidth="1"/>
    <col min="15899" max="15899" width="14.85546875" style="89" customWidth="1"/>
    <col min="15900" max="15900" width="16.85546875" style="89" customWidth="1"/>
    <col min="15901" max="15903" width="11.42578125" style="89" customWidth="1"/>
    <col min="15904" max="15904" width="18.140625" style="89" customWidth="1"/>
    <col min="15905" max="15905" width="11.42578125" style="89" customWidth="1"/>
    <col min="15906" max="15906" width="12.5703125" style="89" customWidth="1"/>
    <col min="15907" max="15907" width="25" style="89" customWidth="1"/>
    <col min="15908" max="15908" width="16.5703125" style="89" bestFit="1" customWidth="1"/>
    <col min="15909" max="15909" width="24" style="89" customWidth="1"/>
    <col min="15910" max="15910" width="11.42578125" style="89" customWidth="1"/>
    <col min="15911" max="15911" width="20" style="89" customWidth="1"/>
    <col min="15912" max="15912" width="11.42578125" style="89" customWidth="1"/>
    <col min="15913" max="15913" width="19" style="89" customWidth="1"/>
    <col min="15914" max="15917" width="11.42578125" style="89" customWidth="1"/>
    <col min="15918" max="15918" width="15.140625" style="89" customWidth="1"/>
    <col min="15919" max="15919" width="14" style="89" customWidth="1"/>
    <col min="15920" max="15920" width="15.140625" style="89" customWidth="1"/>
    <col min="15921" max="15921" width="11.42578125" style="89" customWidth="1"/>
    <col min="15922" max="15922" width="51.7109375" style="89" customWidth="1"/>
    <col min="15923" max="15924" width="29.5703125" style="89" customWidth="1"/>
    <col min="15925" max="15925" width="44.42578125" style="89" customWidth="1"/>
    <col min="15926" max="15926" width="36.28515625" style="89" customWidth="1"/>
    <col min="15927" max="15927" width="27.42578125" style="89" bestFit="1" customWidth="1"/>
    <col min="15928" max="16148" width="11.42578125" style="89"/>
    <col min="16149" max="16149" width="15.5703125" style="89" bestFit="1" customWidth="1"/>
    <col min="16150" max="16150" width="33.7109375" style="89" customWidth="1"/>
    <col min="16151" max="16151" width="19" style="89" customWidth="1"/>
    <col min="16152" max="16152" width="19.85546875" style="89" customWidth="1"/>
    <col min="16153" max="16153" width="18.5703125" style="89" customWidth="1"/>
    <col min="16154" max="16154" width="19.7109375" style="89" customWidth="1"/>
    <col min="16155" max="16155" width="14.85546875" style="89" customWidth="1"/>
    <col min="16156" max="16156" width="16.85546875" style="89" customWidth="1"/>
    <col min="16157" max="16159" width="11.42578125" style="89" customWidth="1"/>
    <col min="16160" max="16160" width="18.140625" style="89" customWidth="1"/>
    <col min="16161" max="16161" width="11.42578125" style="89" customWidth="1"/>
    <col min="16162" max="16162" width="12.5703125" style="89" customWidth="1"/>
    <col min="16163" max="16163" width="25" style="89" customWidth="1"/>
    <col min="16164" max="16164" width="16.5703125" style="89" bestFit="1" customWidth="1"/>
    <col min="16165" max="16165" width="24" style="89" customWidth="1"/>
    <col min="16166" max="16166" width="11.42578125" style="89" customWidth="1"/>
    <col min="16167" max="16167" width="20" style="89" customWidth="1"/>
    <col min="16168" max="16168" width="11.42578125" style="89" customWidth="1"/>
    <col min="16169" max="16169" width="19" style="89" customWidth="1"/>
    <col min="16170" max="16173" width="11.42578125" style="89" customWidth="1"/>
    <col min="16174" max="16174" width="15.140625" style="89" customWidth="1"/>
    <col min="16175" max="16175" width="14" style="89" customWidth="1"/>
    <col min="16176" max="16176" width="15.140625" style="89" customWidth="1"/>
    <col min="16177" max="16177" width="11.42578125" style="89" customWidth="1"/>
    <col min="16178" max="16178" width="51.7109375" style="89" customWidth="1"/>
    <col min="16179" max="16180" width="29.5703125" style="89" customWidth="1"/>
    <col min="16181" max="16181" width="44.42578125" style="89" customWidth="1"/>
    <col min="16182" max="16182" width="36.28515625" style="89" customWidth="1"/>
    <col min="16183" max="16183" width="27.42578125" style="89" bestFit="1" customWidth="1"/>
    <col min="16184" max="16384" width="11.42578125" style="89"/>
  </cols>
  <sheetData>
    <row r="1" spans="1:76" s="90" customFormat="1" ht="34.5" customHeight="1" x14ac:dyDescent="0.6">
      <c r="AD1" s="238"/>
      <c r="AH1" s="238"/>
      <c r="AI1" s="238"/>
      <c r="AJ1" s="238"/>
      <c r="AR1" s="238"/>
      <c r="BL1" s="242" t="s">
        <v>218</v>
      </c>
      <c r="BM1" s="243"/>
      <c r="BN1" s="243"/>
      <c r="BO1" s="243"/>
      <c r="BP1" s="243"/>
      <c r="BQ1" s="243"/>
      <c r="BR1" s="243"/>
      <c r="BS1" s="243"/>
      <c r="BT1" s="243"/>
      <c r="BU1" s="243"/>
    </row>
    <row r="2" spans="1:76" ht="76.5" x14ac:dyDescent="0.25">
      <c r="A2" s="233" t="s">
        <v>176</v>
      </c>
      <c r="B2" s="234" t="s">
        <v>89</v>
      </c>
      <c r="C2" s="235" t="s">
        <v>90</v>
      </c>
      <c r="D2" s="235" t="s">
        <v>91</v>
      </c>
      <c r="E2" s="235" t="s">
        <v>92</v>
      </c>
      <c r="F2" s="236" t="s">
        <v>93</v>
      </c>
      <c r="G2" s="236" t="s">
        <v>94</v>
      </c>
      <c r="H2" s="236" t="s">
        <v>206</v>
      </c>
      <c r="I2" s="229" t="s">
        <v>95</v>
      </c>
      <c r="J2" s="226" t="s">
        <v>96</v>
      </c>
      <c r="K2" s="230" t="s">
        <v>97</v>
      </c>
      <c r="L2" s="226" t="s">
        <v>98</v>
      </c>
      <c r="M2" s="231" t="s">
        <v>99</v>
      </c>
      <c r="N2" s="231" t="s">
        <v>100</v>
      </c>
      <c r="O2" s="231" t="s">
        <v>101</v>
      </c>
      <c r="P2" s="226" t="s">
        <v>102</v>
      </c>
      <c r="Q2" s="226" t="s">
        <v>103</v>
      </c>
      <c r="R2" s="231" t="s">
        <v>145</v>
      </c>
      <c r="S2" s="237" t="s">
        <v>157</v>
      </c>
      <c r="T2" s="237" t="s">
        <v>158</v>
      </c>
      <c r="U2" s="237" t="s">
        <v>159</v>
      </c>
      <c r="V2" s="237" t="s">
        <v>160</v>
      </c>
      <c r="W2" s="237" t="s">
        <v>161</v>
      </c>
      <c r="X2" s="237" t="s">
        <v>211</v>
      </c>
      <c r="Y2" s="237" t="s">
        <v>212</v>
      </c>
      <c r="Z2" s="237" t="s">
        <v>213</v>
      </c>
      <c r="AA2" s="237" t="s">
        <v>162</v>
      </c>
      <c r="AB2" s="237" t="s">
        <v>163</v>
      </c>
      <c r="AC2" s="237" t="s">
        <v>164</v>
      </c>
      <c r="AD2" s="237" t="s">
        <v>165</v>
      </c>
      <c r="AE2" s="237" t="s">
        <v>166</v>
      </c>
      <c r="AF2" s="237" t="s">
        <v>167</v>
      </c>
      <c r="AG2" s="237" t="s">
        <v>178</v>
      </c>
      <c r="AH2" s="237" t="s">
        <v>179</v>
      </c>
      <c r="AI2" s="237" t="s">
        <v>104</v>
      </c>
      <c r="AJ2" s="237" t="s">
        <v>150</v>
      </c>
      <c r="AK2" s="237" t="s">
        <v>207</v>
      </c>
      <c r="AL2" s="231" t="s">
        <v>184</v>
      </c>
      <c r="AM2" s="231" t="s">
        <v>185</v>
      </c>
      <c r="AN2" s="231" t="s">
        <v>168</v>
      </c>
      <c r="AO2" s="231" t="s">
        <v>169</v>
      </c>
      <c r="AP2" s="237" t="s">
        <v>172</v>
      </c>
      <c r="AQ2" s="237" t="s">
        <v>173</v>
      </c>
      <c r="AR2" s="237" t="s">
        <v>181</v>
      </c>
      <c r="AS2" s="237" t="s">
        <v>180</v>
      </c>
      <c r="AT2" s="237" t="s">
        <v>170</v>
      </c>
      <c r="AU2" s="237" t="s">
        <v>171</v>
      </c>
      <c r="AV2" s="237" t="s">
        <v>182</v>
      </c>
      <c r="AW2" s="237" t="s">
        <v>183</v>
      </c>
      <c r="AX2" s="232" t="s">
        <v>105</v>
      </c>
      <c r="AY2" s="232" t="s">
        <v>106</v>
      </c>
      <c r="AZ2" s="226" t="s">
        <v>107</v>
      </c>
      <c r="BA2" s="232" t="s">
        <v>65</v>
      </c>
      <c r="BB2" s="226" t="s">
        <v>108</v>
      </c>
      <c r="BC2" s="226" t="s">
        <v>146</v>
      </c>
      <c r="BD2" s="226" t="s">
        <v>147</v>
      </c>
      <c r="BE2" s="227" t="s">
        <v>186</v>
      </c>
      <c r="BF2" s="227" t="s">
        <v>187</v>
      </c>
      <c r="BG2" s="227" t="s">
        <v>188</v>
      </c>
      <c r="BH2" s="228" t="s">
        <v>216</v>
      </c>
      <c r="BI2" s="228" t="s">
        <v>217</v>
      </c>
      <c r="BK2" s="239" t="s">
        <v>219</v>
      </c>
      <c r="BL2" s="239" t="s">
        <v>219</v>
      </c>
      <c r="BM2" s="239" t="s">
        <v>219</v>
      </c>
      <c r="BN2" s="239" t="s">
        <v>219</v>
      </c>
      <c r="BO2" s="239" t="s">
        <v>219</v>
      </c>
      <c r="BP2" s="239" t="s">
        <v>219</v>
      </c>
      <c r="BQ2" s="239" t="s">
        <v>219</v>
      </c>
      <c r="BR2" s="239" t="s">
        <v>219</v>
      </c>
      <c r="BS2" s="239" t="s">
        <v>219</v>
      </c>
      <c r="BT2" s="239" t="s">
        <v>219</v>
      </c>
      <c r="BU2" s="239" t="s">
        <v>219</v>
      </c>
      <c r="BV2" s="239" t="s">
        <v>219</v>
      </c>
      <c r="BW2" s="239" t="s">
        <v>219</v>
      </c>
      <c r="BX2" s="239" t="s">
        <v>219</v>
      </c>
    </row>
    <row r="3" spans="1:76" x14ac:dyDescent="0.25">
      <c r="A3" s="169" t="s">
        <v>226</v>
      </c>
      <c r="B3" s="170">
        <v>860078</v>
      </c>
      <c r="C3" s="165" t="s">
        <v>198</v>
      </c>
      <c r="D3" s="171" t="s">
        <v>109</v>
      </c>
      <c r="E3" s="189">
        <v>43830</v>
      </c>
      <c r="F3" s="188" t="s">
        <v>115</v>
      </c>
      <c r="G3" s="189" t="s">
        <v>114</v>
      </c>
      <c r="H3" s="189" t="s">
        <v>208</v>
      </c>
      <c r="I3" s="189">
        <v>43899</v>
      </c>
      <c r="J3" s="189">
        <v>43937</v>
      </c>
      <c r="K3" s="190">
        <f>IF(I3="","",MONTH(I3))</f>
        <v>3</v>
      </c>
      <c r="L3" s="190">
        <f>IF(I3="","",DAYS360(E3,I3))</f>
        <v>69</v>
      </c>
      <c r="M3" s="188"/>
      <c r="N3" s="188"/>
      <c r="O3" s="188"/>
      <c r="P3" s="188"/>
      <c r="Q3" s="188"/>
      <c r="R3" s="188"/>
      <c r="S3" s="213">
        <v>100</v>
      </c>
      <c r="T3" s="207">
        <v>50</v>
      </c>
      <c r="U3" s="219"/>
      <c r="V3" s="213">
        <v>200</v>
      </c>
      <c r="W3" s="219">
        <v>200</v>
      </c>
      <c r="X3" s="219">
        <v>300</v>
      </c>
      <c r="Y3" s="219">
        <v>20</v>
      </c>
      <c r="Z3" s="219"/>
      <c r="AA3" s="219">
        <v>200</v>
      </c>
      <c r="AB3" s="219">
        <v>100</v>
      </c>
      <c r="AC3" s="219">
        <v>2000</v>
      </c>
      <c r="AD3" s="219">
        <v>200</v>
      </c>
      <c r="AE3" s="219">
        <v>600</v>
      </c>
      <c r="AF3" s="219">
        <v>500</v>
      </c>
      <c r="AG3" s="219">
        <v>4470</v>
      </c>
      <c r="AH3" s="225">
        <f>SUM(PORTEFEUILLE_MARIE_PIERRE[[#This Row],[PCR COMPTABLE €]:[MONTANT
RESPONSABLE RELATION CLIENT €]])-PORTEFEUILLE_MARIE_PIERRE[[#This Row],[MONTANT TOTAL LETTRE DE MISION €]]</f>
        <v>0</v>
      </c>
      <c r="AI3" s="191" t="s">
        <v>152</v>
      </c>
      <c r="AJ3" s="188" t="s">
        <v>155</v>
      </c>
      <c r="AK3" s="188" t="s">
        <v>153</v>
      </c>
      <c r="AL3" s="188" t="s">
        <v>199</v>
      </c>
      <c r="AM3" s="188" t="s">
        <v>200</v>
      </c>
      <c r="AN3" s="188">
        <v>36</v>
      </c>
      <c r="AO3" s="188">
        <v>16</v>
      </c>
      <c r="AP3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Q3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400</v>
      </c>
      <c r="AR3" s="188" t="str">
        <f>IF(PORTEFEUILLE_MARIE_PIERRE[[#This Row],[BONI AAC]]&lt;&gt;0,1,"")</f>
        <v/>
      </c>
      <c r="AS3" s="188">
        <f>IF(PORTEFEUILLE_MARIE_PIERRE[[#This Row],[MALI AAC]]&lt;&gt;0,1,"")</f>
        <v>1</v>
      </c>
      <c r="AT3" s="225">
        <f>IF(AN3&lt;&gt;"",IF((AN3*Paramètres!$H$4)-PORTEFEUILLE_MARIE_PIERRE[[#This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€]]-(DELPHINE!AN3*Paramètres!$H$4),0),0)</f>
        <v>0</v>
      </c>
      <c r="AU3" s="225">
        <f>IF(AN3&lt;&gt;"",IF(((AN3*Paramètres!$H$4)-PORTEFEUILLE_MARIE_PIERRE[[#This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€]])&gt;0,(AN3*Paramètres!$H$4)-PORTEFEUILLE_MARIE_PIERRE[[#This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V3" s="190" t="str">
        <f>IF(PORTEFEUILLE_MARIE_PIERRE[[#This Row],[BONI COMPTABLE]]&lt;&gt;0,1,"")</f>
        <v/>
      </c>
      <c r="AW3" s="190" t="str">
        <f>IF(PORTEFEUILLE_MARIE_PIERRE[[#This Row],[MALI COMPTABLE]]&lt;&gt;0,1,"")</f>
        <v/>
      </c>
      <c r="AX3" s="188">
        <v>2</v>
      </c>
      <c r="AY3" s="188" t="s">
        <v>209</v>
      </c>
      <c r="AZ3" s="188" t="s">
        <v>209</v>
      </c>
      <c r="BA3" s="188"/>
      <c r="BB3" s="188"/>
      <c r="BC3" s="188"/>
      <c r="BD3" s="188"/>
      <c r="BE3" s="192" t="s">
        <v>214</v>
      </c>
      <c r="BF3" s="192" t="s">
        <v>191</v>
      </c>
      <c r="BG3" s="192" t="s">
        <v>200</v>
      </c>
      <c r="BH3" s="193"/>
      <c r="BI3" s="192"/>
    </row>
    <row r="4" spans="1:76" x14ac:dyDescent="0.25">
      <c r="A4" s="169" t="s">
        <v>226</v>
      </c>
      <c r="B4" s="170">
        <v>860079</v>
      </c>
      <c r="C4" s="165" t="s">
        <v>210</v>
      </c>
      <c r="D4" s="171" t="s">
        <v>109</v>
      </c>
      <c r="E4" s="189">
        <v>43830</v>
      </c>
      <c r="F4" s="188" t="s">
        <v>112</v>
      </c>
      <c r="G4" s="189" t="s">
        <v>111</v>
      </c>
      <c r="H4" s="189"/>
      <c r="I4" s="189">
        <v>43873</v>
      </c>
      <c r="J4" s="189">
        <v>43938</v>
      </c>
      <c r="K4" s="190">
        <f t="shared" ref="K4:K60" si="0">IF(I4="","",MONTH(I4))</f>
        <v>2</v>
      </c>
      <c r="L4" s="190">
        <f t="shared" ref="L4:L60" si="1">IF(I4="","",DAYS360(E4,I4))</f>
        <v>42</v>
      </c>
      <c r="M4" s="188" t="s">
        <v>200</v>
      </c>
      <c r="N4" s="188"/>
      <c r="O4" s="188"/>
      <c r="P4" s="188"/>
      <c r="Q4" s="188"/>
      <c r="R4" s="188"/>
      <c r="S4" s="213">
        <v>0</v>
      </c>
      <c r="T4" s="207">
        <v>100</v>
      </c>
      <c r="U4" s="219"/>
      <c r="V4" s="219">
        <v>50</v>
      </c>
      <c r="W4" s="219">
        <v>550</v>
      </c>
      <c r="X4" s="219"/>
      <c r="Y4" s="219"/>
      <c r="Z4" s="219"/>
      <c r="AA4" s="219"/>
      <c r="AB4" s="219"/>
      <c r="AC4" s="219"/>
      <c r="AD4" s="219"/>
      <c r="AE4" s="219"/>
      <c r="AF4" s="219"/>
      <c r="AG4" s="219">
        <v>700</v>
      </c>
      <c r="AH4" s="225">
        <f>SUM(PORTEFEUILLE_MARIE_PIERRE[[#This Row],[PCR COMPTABLE €]:[MONTANT
RESPONSABLE RELATION CLIENT €]])-PORTEFEUILLE_MARIE_PIERRE[[#This Row],[MONTANT TOTAL LETTRE DE MISION €]]</f>
        <v>0</v>
      </c>
      <c r="AI4" s="191" t="s">
        <v>153</v>
      </c>
      <c r="AJ4" s="188" t="s">
        <v>154</v>
      </c>
      <c r="AK4" s="188"/>
      <c r="AL4" s="188" t="s">
        <v>199</v>
      </c>
      <c r="AM4" s="188"/>
      <c r="AN4" s="188">
        <v>30</v>
      </c>
      <c r="AO4" s="188">
        <v>20</v>
      </c>
      <c r="AP4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Q4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1000</v>
      </c>
      <c r="AR4" s="188" t="str">
        <f>IF(PORTEFEUILLE_MARIE_PIERRE[[#This Row],[BONI AAC]]&lt;&gt;0,1,"")</f>
        <v/>
      </c>
      <c r="AS4" s="188">
        <f>IF(PORTEFEUILLE_MARIE_PIERRE[[#This Row],[MALI AAC]]&lt;&gt;0,1,"")</f>
        <v>1</v>
      </c>
      <c r="AT4" s="225">
        <f>IF(AN4&lt;&gt;"",IF((AN4*Paramètres!$H$4)-PORTEFEUILLE_MARIE_PIERRE[[#This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€]]-(DELPHINE!AN4*Paramètres!$H$4),0),0)</f>
        <v>0</v>
      </c>
      <c r="AU4" s="225">
        <f>IF(AN4&lt;&gt;"",IF(((AN4*Paramètres!$H$4)-PORTEFEUILLE_MARIE_PIERRE[[#This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€]])&gt;0,(AN4*Paramètres!$H$4)-PORTEFEUILLE_MARIE_PIERRE[[#This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3000</v>
      </c>
      <c r="AV4" s="190" t="str">
        <f>IF(PORTEFEUILLE_MARIE_PIERRE[[#This Row],[BONI COMPTABLE]]&lt;&gt;0,1,"")</f>
        <v/>
      </c>
      <c r="AW4" s="190">
        <f>IF(PORTEFEUILLE_MARIE_PIERRE[[#This Row],[MALI COMPTABLE]]&lt;&gt;0,1,"")</f>
        <v>1</v>
      </c>
      <c r="AX4" s="188">
        <v>4</v>
      </c>
      <c r="AY4" s="188" t="s">
        <v>209</v>
      </c>
      <c r="AZ4" s="188" t="s">
        <v>209</v>
      </c>
      <c r="BA4" s="188"/>
      <c r="BB4" s="188"/>
      <c r="BC4" s="188"/>
      <c r="BD4" s="188"/>
      <c r="BE4" s="192" t="s">
        <v>214</v>
      </c>
      <c r="BF4" s="194" t="s">
        <v>138</v>
      </c>
      <c r="BG4" s="194" t="s">
        <v>215</v>
      </c>
      <c r="BH4" s="195"/>
      <c r="BI4" s="194"/>
    </row>
    <row r="5" spans="1:76" x14ac:dyDescent="0.25">
      <c r="A5" s="169" t="s">
        <v>226</v>
      </c>
      <c r="B5" s="170">
        <v>860080</v>
      </c>
      <c r="C5" s="165" t="s">
        <v>204</v>
      </c>
      <c r="D5" s="171" t="s">
        <v>109</v>
      </c>
      <c r="E5" s="189">
        <v>43830</v>
      </c>
      <c r="F5" s="188" t="s">
        <v>130</v>
      </c>
      <c r="G5" s="189" t="s">
        <v>114</v>
      </c>
      <c r="H5" s="189" t="s">
        <v>208</v>
      </c>
      <c r="I5" s="189"/>
      <c r="J5" s="189"/>
      <c r="K5" s="190" t="str">
        <f t="shared" si="0"/>
        <v/>
      </c>
      <c r="L5" s="190" t="str">
        <f t="shared" si="1"/>
        <v/>
      </c>
      <c r="M5" s="188"/>
      <c r="N5" s="188"/>
      <c r="O5" s="188"/>
      <c r="P5" s="188"/>
      <c r="Q5" s="188"/>
      <c r="R5" s="188"/>
      <c r="S5" s="213">
        <v>85</v>
      </c>
      <c r="T5" s="207">
        <v>85</v>
      </c>
      <c r="U5" s="219">
        <v>200</v>
      </c>
      <c r="V5" s="219">
        <v>200</v>
      </c>
      <c r="W5" s="219">
        <v>400</v>
      </c>
      <c r="X5" s="219"/>
      <c r="Y5" s="219">
        <v>400</v>
      </c>
      <c r="Z5" s="219"/>
      <c r="AA5" s="219">
        <v>600</v>
      </c>
      <c r="AB5" s="219"/>
      <c r="AC5" s="219">
        <v>1500</v>
      </c>
      <c r="AD5" s="219">
        <v>200</v>
      </c>
      <c r="AE5" s="219">
        <v>0</v>
      </c>
      <c r="AF5" s="219">
        <v>65</v>
      </c>
      <c r="AG5" s="219">
        <v>3735</v>
      </c>
      <c r="AH5" s="225">
        <f>SUM(PORTEFEUILLE_MARIE_PIERRE[[#This Row],[PCR COMPTABLE €]:[MONTANT
RESPONSABLE RELATION CLIENT €]])-PORTEFEUILLE_MARIE_PIERRE[[#This Row],[MONTANT TOTAL LETTRE DE MISION €]]</f>
        <v>0</v>
      </c>
      <c r="AI5" s="191" t="s">
        <v>153</v>
      </c>
      <c r="AJ5" s="188" t="s">
        <v>156</v>
      </c>
      <c r="AK5" s="188" t="s">
        <v>153</v>
      </c>
      <c r="AL5" s="188"/>
      <c r="AM5" s="188"/>
      <c r="AN5" s="188">
        <v>60</v>
      </c>
      <c r="AO5" s="188">
        <v>60</v>
      </c>
      <c r="AP5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Q5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2200</v>
      </c>
      <c r="AR5" s="188" t="str">
        <f>IF(PORTEFEUILLE_MARIE_PIERRE[[#This Row],[BONI AAC]]&lt;&gt;0,1,"")</f>
        <v/>
      </c>
      <c r="AS5" s="188">
        <f>IF(PORTEFEUILLE_MARIE_PIERRE[[#This Row],[MALI AAC]]&lt;&gt;0,1,"")</f>
        <v>1</v>
      </c>
      <c r="AT5" s="225">
        <f>IF(AN5&lt;&gt;"",IF((AN5*Paramètres!$H$4)-PORTEFEUILLE_MARIE_PIERRE[[#This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€]]-(DELPHINE!AN5*Paramètres!$H$4),0),0)</f>
        <v>0</v>
      </c>
      <c r="AU5" s="225">
        <f>IF(AN5&lt;&gt;"",IF(((AN5*Paramètres!$H$4)-PORTEFEUILLE_MARIE_PIERRE[[#This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€]])&gt;0,(AN5*Paramètres!$H$4)-PORTEFEUILLE_MARIE_PIERRE[[#This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4150</v>
      </c>
      <c r="AV5" s="190" t="str">
        <f>IF(PORTEFEUILLE_MARIE_PIERRE[[#This Row],[BONI COMPTABLE]]&lt;&gt;0,1,"")</f>
        <v/>
      </c>
      <c r="AW5" s="190">
        <f>IF(PORTEFEUILLE_MARIE_PIERRE[[#This Row],[MALI COMPTABLE]]&lt;&gt;0,1,"")</f>
        <v>1</v>
      </c>
      <c r="AX5" s="188"/>
      <c r="AY5" s="188"/>
      <c r="AZ5" s="188"/>
      <c r="BA5" s="188"/>
      <c r="BB5" s="188"/>
      <c r="BC5" s="188"/>
      <c r="BD5" s="188"/>
      <c r="BE5" s="192" t="s">
        <v>214</v>
      </c>
      <c r="BF5" s="194" t="s">
        <v>140</v>
      </c>
      <c r="BG5" s="194" t="s">
        <v>205</v>
      </c>
      <c r="BH5" s="195" t="s">
        <v>200</v>
      </c>
      <c r="BI5" s="194"/>
    </row>
    <row r="6" spans="1:76" x14ac:dyDescent="0.25">
      <c r="A6" s="172"/>
      <c r="B6" s="170"/>
      <c r="C6" s="165"/>
      <c r="D6" s="171"/>
      <c r="E6" s="189"/>
      <c r="F6" s="188"/>
      <c r="G6" s="189"/>
      <c r="H6" s="189"/>
      <c r="I6" s="189"/>
      <c r="J6" s="189"/>
      <c r="K6" s="190" t="str">
        <f t="shared" si="0"/>
        <v/>
      </c>
      <c r="L6" s="190" t="str">
        <f t="shared" si="1"/>
        <v/>
      </c>
      <c r="M6" s="188"/>
      <c r="N6" s="188"/>
      <c r="O6" s="188"/>
      <c r="P6" s="188"/>
      <c r="Q6" s="188"/>
      <c r="R6" s="188"/>
      <c r="S6" s="213"/>
      <c r="T6" s="207"/>
      <c r="U6" s="219"/>
      <c r="V6" s="219"/>
      <c r="W6" s="219"/>
      <c r="X6" s="219"/>
      <c r="Y6" s="219"/>
      <c r="Z6" s="219"/>
      <c r="AA6" s="219"/>
      <c r="AB6" s="219"/>
      <c r="AC6" s="219"/>
      <c r="AD6" s="219"/>
      <c r="AE6" s="219"/>
      <c r="AF6" s="219"/>
      <c r="AG6" s="219"/>
      <c r="AH6" s="225">
        <f>SUM(PORTEFEUILLE_MARIE_PIERRE[[#This Row],[PCR COMPTABLE €]:[MONTANT
RESPONSABLE RELATION CLIENT €]])-PORTEFEUILLE_MARIE_PIERRE[[#This Row],[MONTANT TOTAL LETTRE DE MISION €]]</f>
        <v>0</v>
      </c>
      <c r="AI6" s="191"/>
      <c r="AJ6" s="188"/>
      <c r="AK6" s="188"/>
      <c r="AL6" s="188"/>
      <c r="AM6" s="188"/>
      <c r="AN6" s="188"/>
      <c r="AO6" s="188"/>
      <c r="AP6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Q6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R6" s="188" t="str">
        <f>IF(PORTEFEUILLE_MARIE_PIERRE[[#This Row],[BONI AAC]]&lt;&gt;0,1,"")</f>
        <v/>
      </c>
      <c r="AS6" s="188" t="str">
        <f>IF(PORTEFEUILLE_MARIE_PIERRE[[#This Row],[MALI AAC]]&lt;&gt;0,1,"")</f>
        <v/>
      </c>
      <c r="AT6" s="225">
        <f>IF(AN6&lt;&gt;"",IF((AN6*Paramètres!$H$4)-PORTEFEUILLE_MARIE_PIERRE[[#This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€]]-(DELPHINE!AN6*Paramètres!$H$4),0),0)</f>
        <v>0</v>
      </c>
      <c r="AU6" s="225">
        <f>IF(AN6&lt;&gt;"",IF(((AN6*Paramètres!$H$4)-PORTEFEUILLE_MARIE_PIERRE[[#This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€]])&gt;0,(AN6*Paramètres!$H$4)-PORTEFEUILLE_MARIE_PIERRE[[#This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V6" s="190" t="str">
        <f>IF(PORTEFEUILLE_MARIE_PIERRE[[#This Row],[BONI COMPTABLE]]&lt;&gt;0,1,"")</f>
        <v/>
      </c>
      <c r="AW6" s="190" t="str">
        <f>IF(PORTEFEUILLE_MARIE_PIERRE[[#This Row],[MALI COMPTABLE]]&lt;&gt;0,1,"")</f>
        <v/>
      </c>
      <c r="AX6" s="188"/>
      <c r="AY6" s="188"/>
      <c r="AZ6" s="188"/>
      <c r="BA6" s="188"/>
      <c r="BB6" s="188"/>
      <c r="BC6" s="188"/>
      <c r="BD6" s="188"/>
      <c r="BE6" s="192"/>
      <c r="BF6" s="194"/>
      <c r="BG6" s="194"/>
      <c r="BH6" s="195"/>
      <c r="BI6" s="194"/>
    </row>
    <row r="7" spans="1:76" x14ac:dyDescent="0.25">
      <c r="A7" s="172"/>
      <c r="B7" s="173"/>
      <c r="C7" s="165"/>
      <c r="D7" s="171"/>
      <c r="E7" s="189"/>
      <c r="F7" s="188"/>
      <c r="G7" s="189"/>
      <c r="H7" s="189"/>
      <c r="I7" s="189"/>
      <c r="J7" s="189"/>
      <c r="K7" s="190" t="str">
        <f t="shared" si="0"/>
        <v/>
      </c>
      <c r="L7" s="190" t="str">
        <f t="shared" si="1"/>
        <v/>
      </c>
      <c r="M7" s="188"/>
      <c r="N7" s="188"/>
      <c r="O7" s="188"/>
      <c r="P7" s="188"/>
      <c r="Q7" s="188"/>
      <c r="R7" s="188"/>
      <c r="S7" s="213"/>
      <c r="T7" s="207"/>
      <c r="U7" s="219"/>
      <c r="V7" s="219"/>
      <c r="W7" s="219"/>
      <c r="X7" s="219"/>
      <c r="Y7" s="219"/>
      <c r="Z7" s="219"/>
      <c r="AA7" s="219"/>
      <c r="AB7" s="219"/>
      <c r="AC7" s="219"/>
      <c r="AD7" s="219"/>
      <c r="AE7" s="219"/>
      <c r="AF7" s="219"/>
      <c r="AG7" s="219"/>
      <c r="AH7" s="225">
        <f>SUM(PORTEFEUILLE_MARIE_PIERRE[[#This Row],[PCR COMPTABLE €]:[MONTANT
RESPONSABLE RELATION CLIENT €]])-PORTEFEUILLE_MARIE_PIERRE[[#This Row],[MONTANT TOTAL LETTRE DE MISION €]]</f>
        <v>0</v>
      </c>
      <c r="AI7" s="191"/>
      <c r="AJ7" s="188"/>
      <c r="AK7" s="188"/>
      <c r="AL7" s="188"/>
      <c r="AM7" s="188"/>
      <c r="AN7" s="188"/>
      <c r="AO7" s="188"/>
      <c r="AP7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Q7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R7" s="188" t="str">
        <f>IF(PORTEFEUILLE_MARIE_PIERRE[[#This Row],[BONI AAC]]&lt;&gt;0,1,"")</f>
        <v/>
      </c>
      <c r="AS7" s="188" t="str">
        <f>IF(PORTEFEUILLE_MARIE_PIERRE[[#This Row],[MALI AAC]]&lt;&gt;0,1,"")</f>
        <v/>
      </c>
      <c r="AT7" s="225">
        <f>IF(AN7&lt;&gt;"",IF((AN7*Paramètres!$H$4)-PORTEFEUILLE_MARIE_PIERRE[[#This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€]]-(DELPHINE!AN7*Paramètres!$H$4),0),0)</f>
        <v>0</v>
      </c>
      <c r="AU7" s="225">
        <f>IF(AN7&lt;&gt;"",IF(((AN7*Paramètres!$H$4)-PORTEFEUILLE_MARIE_PIERRE[[#This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€]])&gt;0,(AN7*Paramètres!$H$4)-PORTEFEUILLE_MARIE_PIERRE[[#This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V7" s="190" t="str">
        <f>IF(PORTEFEUILLE_MARIE_PIERRE[[#This Row],[BONI COMPTABLE]]&lt;&gt;0,1,"")</f>
        <v/>
      </c>
      <c r="AW7" s="190" t="str">
        <f>IF(PORTEFEUILLE_MARIE_PIERRE[[#This Row],[MALI COMPTABLE]]&lt;&gt;0,1,"")</f>
        <v/>
      </c>
      <c r="AX7" s="188"/>
      <c r="AY7" s="188"/>
      <c r="AZ7" s="188"/>
      <c r="BA7" s="188"/>
      <c r="BB7" s="196"/>
      <c r="BC7" s="196"/>
      <c r="BD7" s="196"/>
      <c r="BE7" s="192"/>
      <c r="BF7" s="194"/>
      <c r="BG7" s="194"/>
      <c r="BH7" s="195"/>
      <c r="BI7" s="194"/>
    </row>
    <row r="8" spans="1:76" x14ac:dyDescent="0.25">
      <c r="A8" s="172"/>
      <c r="B8" s="170"/>
      <c r="C8" s="165"/>
      <c r="D8" s="171"/>
      <c r="E8" s="189"/>
      <c r="F8" s="188"/>
      <c r="G8" s="189"/>
      <c r="H8" s="189"/>
      <c r="I8" s="189"/>
      <c r="J8" s="189"/>
      <c r="K8" s="190" t="str">
        <f t="shared" si="0"/>
        <v/>
      </c>
      <c r="L8" s="190" t="str">
        <f t="shared" si="1"/>
        <v/>
      </c>
      <c r="M8" s="188"/>
      <c r="N8" s="188"/>
      <c r="O8" s="188"/>
      <c r="P8" s="188"/>
      <c r="Q8" s="188"/>
      <c r="R8" s="188"/>
      <c r="S8" s="213"/>
      <c r="T8" s="207"/>
      <c r="U8" s="219"/>
      <c r="V8" s="219"/>
      <c r="W8" s="219"/>
      <c r="X8" s="219"/>
      <c r="Y8" s="219"/>
      <c r="Z8" s="219"/>
      <c r="AA8" s="219"/>
      <c r="AB8" s="219"/>
      <c r="AC8" s="219"/>
      <c r="AD8" s="219"/>
      <c r="AE8" s="219"/>
      <c r="AF8" s="219"/>
      <c r="AG8" s="219"/>
      <c r="AH8" s="225">
        <f>SUM(PORTEFEUILLE_MARIE_PIERRE[[#This Row],[PCR COMPTABLE €]:[MONTANT
RESPONSABLE RELATION CLIENT €]])-PORTEFEUILLE_MARIE_PIERRE[[#This Row],[MONTANT TOTAL LETTRE DE MISION €]]</f>
        <v>0</v>
      </c>
      <c r="AI8" s="191"/>
      <c r="AJ8" s="188"/>
      <c r="AK8" s="188"/>
      <c r="AL8" s="188"/>
      <c r="AM8" s="188"/>
      <c r="AN8" s="188"/>
      <c r="AO8" s="188"/>
      <c r="AP8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Q8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R8" s="188" t="str">
        <f>IF(PORTEFEUILLE_MARIE_PIERRE[[#This Row],[BONI AAC]]&lt;&gt;0,1,"")</f>
        <v/>
      </c>
      <c r="AS8" s="188" t="str">
        <f>IF(PORTEFEUILLE_MARIE_PIERRE[[#This Row],[MALI AAC]]&lt;&gt;0,1,"")</f>
        <v/>
      </c>
      <c r="AT8" s="225">
        <f>IF(AN8&lt;&gt;"",IF((AN8*Paramètres!$H$4)-PORTEFEUILLE_MARIE_PIERRE[[#This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€]]-(DELPHINE!AN8*Paramètres!$H$4),0),0)</f>
        <v>0</v>
      </c>
      <c r="AU8" s="225">
        <f>IF(AN8&lt;&gt;"",IF(((AN8*Paramètres!$H$4)-PORTEFEUILLE_MARIE_PIERRE[[#This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€]])&gt;0,(AN8*Paramètres!$H$4)-PORTEFEUILLE_MARIE_PIERRE[[#This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V8" s="190" t="str">
        <f>IF(PORTEFEUILLE_MARIE_PIERRE[[#This Row],[BONI COMPTABLE]]&lt;&gt;0,1,"")</f>
        <v/>
      </c>
      <c r="AW8" s="190" t="str">
        <f>IF(PORTEFEUILLE_MARIE_PIERRE[[#This Row],[MALI COMPTABLE]]&lt;&gt;0,1,"")</f>
        <v/>
      </c>
      <c r="AX8" s="188"/>
      <c r="AY8" s="188"/>
      <c r="AZ8" s="188"/>
      <c r="BA8" s="188"/>
      <c r="BB8" s="188"/>
      <c r="BC8" s="188"/>
      <c r="BD8" s="188"/>
      <c r="BE8" s="192"/>
      <c r="BF8" s="194"/>
      <c r="BG8" s="194"/>
      <c r="BH8" s="195"/>
      <c r="BI8" s="194"/>
    </row>
    <row r="9" spans="1:76" x14ac:dyDescent="0.25">
      <c r="A9" s="172"/>
      <c r="B9" s="170"/>
      <c r="C9" s="165"/>
      <c r="D9" s="171"/>
      <c r="E9" s="189"/>
      <c r="F9" s="188"/>
      <c r="G9" s="188"/>
      <c r="H9" s="189"/>
      <c r="I9" s="189"/>
      <c r="J9" s="189"/>
      <c r="K9" s="190" t="str">
        <f t="shared" si="0"/>
        <v/>
      </c>
      <c r="L9" s="190" t="str">
        <f t="shared" si="1"/>
        <v/>
      </c>
      <c r="M9" s="188"/>
      <c r="N9" s="188"/>
      <c r="O9" s="188"/>
      <c r="P9" s="188"/>
      <c r="Q9" s="188"/>
      <c r="R9" s="188"/>
      <c r="S9" s="214"/>
      <c r="T9" s="208"/>
      <c r="U9" s="220"/>
      <c r="V9" s="220"/>
      <c r="W9" s="220"/>
      <c r="X9" s="220"/>
      <c r="Y9" s="220"/>
      <c r="Z9" s="220"/>
      <c r="AA9" s="220"/>
      <c r="AB9" s="220"/>
      <c r="AC9" s="220"/>
      <c r="AD9" s="220"/>
      <c r="AE9" s="220"/>
      <c r="AF9" s="220"/>
      <c r="AG9" s="219"/>
      <c r="AH9" s="225">
        <f>SUM(PORTEFEUILLE_MARIE_PIERRE[[#This Row],[PCR COMPTABLE €]:[MONTANT
RESPONSABLE RELATION CLIENT €]])-PORTEFEUILLE_MARIE_PIERRE[[#This Row],[MONTANT TOTAL LETTRE DE MISION €]]</f>
        <v>0</v>
      </c>
      <c r="AI9" s="191"/>
      <c r="AJ9" s="188"/>
      <c r="AK9" s="188"/>
      <c r="AL9" s="196"/>
      <c r="AM9" s="196"/>
      <c r="AN9" s="196"/>
      <c r="AO9" s="196"/>
      <c r="AP9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Q9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R9" s="188" t="str">
        <f>IF(PORTEFEUILLE_MARIE_PIERRE[[#This Row],[BONI AAC]]&lt;&gt;0,1,"")</f>
        <v/>
      </c>
      <c r="AS9" s="188" t="str">
        <f>IF(PORTEFEUILLE_MARIE_PIERRE[[#This Row],[MALI AAC]]&lt;&gt;0,1,"")</f>
        <v/>
      </c>
      <c r="AT9" s="225">
        <f>IF(AN9&lt;&gt;"",IF((AN9*Paramètres!$H$4)-PORTEFEUILLE_MARIE_PIERRE[[#This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€]]-(DELPHINE!AN9*Paramètres!$H$4),0),0)</f>
        <v>0</v>
      </c>
      <c r="AU9" s="225">
        <f>IF(AN9&lt;&gt;"",IF(((AN9*Paramètres!$H$4)-PORTEFEUILLE_MARIE_PIERRE[[#This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€]])&gt;0,(AN9*Paramètres!$H$4)-PORTEFEUILLE_MARIE_PIERRE[[#This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V9" s="190" t="str">
        <f>IF(PORTEFEUILLE_MARIE_PIERRE[[#This Row],[BONI COMPTABLE]]&lt;&gt;0,1,"")</f>
        <v/>
      </c>
      <c r="AW9" s="190" t="str">
        <f>IF(PORTEFEUILLE_MARIE_PIERRE[[#This Row],[MALI COMPTABLE]]&lt;&gt;0,1,"")</f>
        <v/>
      </c>
      <c r="AX9" s="196"/>
      <c r="AY9" s="188"/>
      <c r="AZ9" s="188"/>
      <c r="BA9" s="188"/>
      <c r="BB9" s="188"/>
      <c r="BC9" s="188"/>
      <c r="BD9" s="188"/>
      <c r="BE9" s="192"/>
      <c r="BF9" s="194"/>
      <c r="BG9" s="194"/>
      <c r="BH9" s="195"/>
      <c r="BI9" s="194"/>
    </row>
    <row r="10" spans="1:76" x14ac:dyDescent="0.25">
      <c r="A10" s="172"/>
      <c r="B10" s="170"/>
      <c r="C10" s="165"/>
      <c r="D10" s="171"/>
      <c r="E10" s="189"/>
      <c r="F10" s="188"/>
      <c r="G10" s="189"/>
      <c r="H10" s="189"/>
      <c r="I10" s="189"/>
      <c r="J10" s="189"/>
      <c r="K10" s="190" t="str">
        <f t="shared" si="0"/>
        <v/>
      </c>
      <c r="L10" s="190" t="str">
        <f t="shared" si="1"/>
        <v/>
      </c>
      <c r="M10" s="188"/>
      <c r="N10" s="188"/>
      <c r="O10" s="188"/>
      <c r="P10" s="188"/>
      <c r="Q10" s="188"/>
      <c r="R10" s="188"/>
      <c r="S10" s="213"/>
      <c r="T10" s="207"/>
      <c r="U10" s="219"/>
      <c r="V10" s="219"/>
      <c r="W10" s="219"/>
      <c r="X10" s="219"/>
      <c r="Y10" s="219"/>
      <c r="Z10" s="219"/>
      <c r="AA10" s="219"/>
      <c r="AB10" s="219"/>
      <c r="AC10" s="219"/>
      <c r="AD10" s="219"/>
      <c r="AE10" s="219"/>
      <c r="AF10" s="219"/>
      <c r="AG10" s="219"/>
      <c r="AH10" s="225">
        <f>SUM(PORTEFEUILLE_MARIE_PIERRE[[#This Row],[PCR COMPTABLE €]:[MONTANT
RESPONSABLE RELATION CLIENT €]])-PORTEFEUILLE_MARIE_PIERRE[[#This Row],[MONTANT TOTAL LETTRE DE MISION €]]</f>
        <v>0</v>
      </c>
      <c r="AI10" s="191"/>
      <c r="AJ10" s="188"/>
      <c r="AK10" s="188"/>
      <c r="AL10" s="188"/>
      <c r="AM10" s="188"/>
      <c r="AN10" s="188"/>
      <c r="AO10" s="188"/>
      <c r="AP10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Q10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R10" s="188" t="str">
        <f>IF(PORTEFEUILLE_MARIE_PIERRE[[#This Row],[BONI AAC]]&lt;&gt;0,1,"")</f>
        <v/>
      </c>
      <c r="AS10" s="188" t="str">
        <f>IF(PORTEFEUILLE_MARIE_PIERRE[[#This Row],[MALI AAC]]&lt;&gt;0,1,"")</f>
        <v/>
      </c>
      <c r="AT10" s="225">
        <f>IF(AN10&lt;&gt;"",IF((AN10*Paramètres!$H$4)-PORTEFEUILLE_MARIE_PIERRE[[#This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€]]-(DELPHINE!AN10*Paramètres!$H$4),0),0)</f>
        <v>0</v>
      </c>
      <c r="AU10" s="225">
        <f>IF(AN10&lt;&gt;"",IF(((AN10*Paramètres!$H$4)-PORTEFEUILLE_MARIE_PIERRE[[#This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€]])&gt;0,(AN10*Paramètres!$H$4)-PORTEFEUILLE_MARIE_PIERRE[[#This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V10" s="190" t="str">
        <f>IF(PORTEFEUILLE_MARIE_PIERRE[[#This Row],[BONI COMPTABLE]]&lt;&gt;0,1,"")</f>
        <v/>
      </c>
      <c r="AW10" s="190" t="str">
        <f>IF(PORTEFEUILLE_MARIE_PIERRE[[#This Row],[MALI COMPTABLE]]&lt;&gt;0,1,"")</f>
        <v/>
      </c>
      <c r="AX10" s="188"/>
      <c r="AY10" s="188"/>
      <c r="AZ10" s="188"/>
      <c r="BA10" s="188"/>
      <c r="BB10" s="188"/>
      <c r="BC10" s="188"/>
      <c r="BD10" s="188"/>
      <c r="BE10" s="192"/>
      <c r="BF10" s="194"/>
      <c r="BG10" s="194"/>
      <c r="BH10" s="195"/>
      <c r="BI10" s="194"/>
    </row>
    <row r="11" spans="1:76" x14ac:dyDescent="0.25">
      <c r="A11" s="172"/>
      <c r="B11" s="173"/>
      <c r="C11" s="165"/>
      <c r="D11" s="171"/>
      <c r="E11" s="189"/>
      <c r="F11" s="188"/>
      <c r="G11" s="189"/>
      <c r="H11" s="189"/>
      <c r="I11" s="189"/>
      <c r="J11" s="189"/>
      <c r="K11" s="190" t="str">
        <f t="shared" si="0"/>
        <v/>
      </c>
      <c r="L11" s="190" t="str">
        <f t="shared" si="1"/>
        <v/>
      </c>
      <c r="M11" s="188"/>
      <c r="N11" s="188"/>
      <c r="O11" s="188"/>
      <c r="P11" s="188"/>
      <c r="Q11" s="188"/>
      <c r="R11" s="188"/>
      <c r="S11" s="213"/>
      <c r="T11" s="207"/>
      <c r="U11" s="219"/>
      <c r="V11" s="219"/>
      <c r="W11" s="219"/>
      <c r="X11" s="219"/>
      <c r="Y11" s="219"/>
      <c r="Z11" s="219"/>
      <c r="AA11" s="219"/>
      <c r="AB11" s="219"/>
      <c r="AC11" s="219"/>
      <c r="AD11" s="219"/>
      <c r="AE11" s="219"/>
      <c r="AF11" s="219"/>
      <c r="AG11" s="219"/>
      <c r="AH11" s="225">
        <f>SUM(PORTEFEUILLE_MARIE_PIERRE[[#This Row],[PCR COMPTABLE €]:[MONTANT
RESPONSABLE RELATION CLIENT €]])-PORTEFEUILLE_MARIE_PIERRE[[#This Row],[MONTANT TOTAL LETTRE DE MISION €]]</f>
        <v>0</v>
      </c>
      <c r="AI11" s="191"/>
      <c r="AJ11" s="188"/>
      <c r="AK11" s="188"/>
      <c r="AL11" s="188"/>
      <c r="AM11" s="188"/>
      <c r="AN11" s="188"/>
      <c r="AO11" s="188"/>
      <c r="AP11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Q11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R11" s="188" t="str">
        <f>IF(PORTEFEUILLE_MARIE_PIERRE[[#This Row],[BONI AAC]]&lt;&gt;0,1,"")</f>
        <v/>
      </c>
      <c r="AS11" s="188" t="str">
        <f>IF(PORTEFEUILLE_MARIE_PIERRE[[#This Row],[MALI AAC]]&lt;&gt;0,1,"")</f>
        <v/>
      </c>
      <c r="AT11" s="225">
        <f>IF(AN11&lt;&gt;"",IF((AN11*Paramètres!$H$4)-PORTEFEUILLE_MARIE_PIERRE[[#This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€]]-(DELPHINE!AN11*Paramètres!$H$4),0),0)</f>
        <v>0</v>
      </c>
      <c r="AU11" s="225">
        <f>IF(AN11&lt;&gt;"",IF(((AN11*Paramètres!$H$4)-PORTEFEUILLE_MARIE_PIERRE[[#This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€]])&gt;0,(AN11*Paramètres!$H$4)-PORTEFEUILLE_MARIE_PIERRE[[#This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V11" s="190" t="str">
        <f>IF(PORTEFEUILLE_MARIE_PIERRE[[#This Row],[BONI COMPTABLE]]&lt;&gt;0,1,"")</f>
        <v/>
      </c>
      <c r="AW11" s="190" t="str">
        <f>IF(PORTEFEUILLE_MARIE_PIERRE[[#This Row],[MALI COMPTABLE]]&lt;&gt;0,1,"")</f>
        <v/>
      </c>
      <c r="AX11" s="188"/>
      <c r="AY11" s="188"/>
      <c r="AZ11" s="188"/>
      <c r="BA11" s="188"/>
      <c r="BB11" s="188"/>
      <c r="BC11" s="188"/>
      <c r="BD11" s="188"/>
      <c r="BE11" s="192"/>
      <c r="BF11" s="194"/>
      <c r="BG11" s="194"/>
      <c r="BH11" s="195"/>
      <c r="BI11" s="194"/>
    </row>
    <row r="12" spans="1:76" x14ac:dyDescent="0.25">
      <c r="A12" s="172"/>
      <c r="B12" s="170"/>
      <c r="C12" s="165"/>
      <c r="D12" s="171"/>
      <c r="E12" s="189"/>
      <c r="F12" s="188"/>
      <c r="G12" s="189"/>
      <c r="H12" s="189"/>
      <c r="I12" s="189"/>
      <c r="J12" s="189"/>
      <c r="K12" s="190" t="str">
        <f t="shared" si="0"/>
        <v/>
      </c>
      <c r="L12" s="190" t="str">
        <f t="shared" si="1"/>
        <v/>
      </c>
      <c r="M12" s="188"/>
      <c r="N12" s="188"/>
      <c r="O12" s="188"/>
      <c r="P12" s="188"/>
      <c r="Q12" s="188"/>
      <c r="R12" s="188"/>
      <c r="S12" s="213"/>
      <c r="T12" s="207"/>
      <c r="U12" s="219"/>
      <c r="V12" s="219"/>
      <c r="W12" s="219"/>
      <c r="X12" s="219"/>
      <c r="Y12" s="219"/>
      <c r="Z12" s="219"/>
      <c r="AA12" s="219"/>
      <c r="AB12" s="219"/>
      <c r="AC12" s="219"/>
      <c r="AD12" s="219"/>
      <c r="AE12" s="219"/>
      <c r="AF12" s="219"/>
      <c r="AG12" s="219"/>
      <c r="AH12" s="225">
        <f>SUM(PORTEFEUILLE_MARIE_PIERRE[[#This Row],[PCR COMPTABLE €]:[MONTANT
RESPONSABLE RELATION CLIENT €]])-PORTEFEUILLE_MARIE_PIERRE[[#This Row],[MONTANT TOTAL LETTRE DE MISION €]]</f>
        <v>0</v>
      </c>
      <c r="AI12" s="191"/>
      <c r="AJ12" s="188"/>
      <c r="AK12" s="188"/>
      <c r="AL12" s="188"/>
      <c r="AM12" s="188"/>
      <c r="AN12" s="188"/>
      <c r="AO12" s="188"/>
      <c r="AP12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Q12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R12" s="188" t="str">
        <f>IF(PORTEFEUILLE_MARIE_PIERRE[[#This Row],[BONI AAC]]&lt;&gt;0,1,"")</f>
        <v/>
      </c>
      <c r="AS12" s="188" t="str">
        <f>IF(PORTEFEUILLE_MARIE_PIERRE[[#This Row],[MALI AAC]]&lt;&gt;0,1,"")</f>
        <v/>
      </c>
      <c r="AT12" s="225">
        <f>IF(AN12&lt;&gt;"",IF((AN12*Paramètres!$H$4)-PORTEFEUILLE_MARIE_PIERRE[[#This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€]]-(DELPHINE!AN12*Paramètres!$H$4),0),0)</f>
        <v>0</v>
      </c>
      <c r="AU12" s="225">
        <f>IF(AN12&lt;&gt;"",IF(((AN12*Paramètres!$H$4)-PORTEFEUILLE_MARIE_PIERRE[[#This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€]])&gt;0,(AN12*Paramètres!$H$4)-PORTEFEUILLE_MARIE_PIERRE[[#This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V12" s="190" t="str">
        <f>IF(PORTEFEUILLE_MARIE_PIERRE[[#This Row],[BONI COMPTABLE]]&lt;&gt;0,1,"")</f>
        <v/>
      </c>
      <c r="AW12" s="190" t="str">
        <f>IF(PORTEFEUILLE_MARIE_PIERRE[[#This Row],[MALI COMPTABLE]]&lt;&gt;0,1,"")</f>
        <v/>
      </c>
      <c r="AX12" s="188"/>
      <c r="AY12" s="188"/>
      <c r="AZ12" s="188"/>
      <c r="BA12" s="188"/>
      <c r="BB12" s="188"/>
      <c r="BC12" s="188"/>
      <c r="BD12" s="188"/>
      <c r="BE12" s="192"/>
      <c r="BF12" s="194"/>
      <c r="BG12" s="194"/>
      <c r="BH12" s="195"/>
      <c r="BI12" s="194"/>
    </row>
    <row r="13" spans="1:76" x14ac:dyDescent="0.25">
      <c r="A13" s="172"/>
      <c r="B13" s="170"/>
      <c r="C13" s="165"/>
      <c r="D13" s="171"/>
      <c r="E13" s="189"/>
      <c r="F13" s="188"/>
      <c r="G13" s="189"/>
      <c r="H13" s="189"/>
      <c r="I13" s="189"/>
      <c r="J13" s="189"/>
      <c r="K13" s="190" t="str">
        <f t="shared" si="0"/>
        <v/>
      </c>
      <c r="L13" s="190" t="str">
        <f t="shared" si="1"/>
        <v/>
      </c>
      <c r="M13" s="188"/>
      <c r="N13" s="188"/>
      <c r="O13" s="188"/>
      <c r="P13" s="188"/>
      <c r="Q13" s="188"/>
      <c r="R13" s="188"/>
      <c r="S13" s="213"/>
      <c r="T13" s="207"/>
      <c r="U13" s="219"/>
      <c r="V13" s="219"/>
      <c r="W13" s="219"/>
      <c r="X13" s="219"/>
      <c r="Y13" s="219"/>
      <c r="Z13" s="219"/>
      <c r="AA13" s="219"/>
      <c r="AB13" s="219"/>
      <c r="AC13" s="219"/>
      <c r="AD13" s="219"/>
      <c r="AE13" s="219"/>
      <c r="AF13" s="219"/>
      <c r="AG13" s="219"/>
      <c r="AH13" s="225">
        <f>SUM(PORTEFEUILLE_MARIE_PIERRE[[#This Row],[PCR COMPTABLE €]:[MONTANT
RESPONSABLE RELATION CLIENT €]])-PORTEFEUILLE_MARIE_PIERRE[[#This Row],[MONTANT TOTAL LETTRE DE MISION €]]</f>
        <v>0</v>
      </c>
      <c r="AI13" s="191"/>
      <c r="AJ13" s="188"/>
      <c r="AK13" s="188"/>
      <c r="AL13" s="188"/>
      <c r="AM13" s="188"/>
      <c r="AN13" s="188"/>
      <c r="AO13" s="188"/>
      <c r="AP13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Q13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R13" s="188" t="str">
        <f>IF(PORTEFEUILLE_MARIE_PIERRE[[#This Row],[BONI AAC]]&lt;&gt;0,1,"")</f>
        <v/>
      </c>
      <c r="AS13" s="188" t="str">
        <f>IF(PORTEFEUILLE_MARIE_PIERRE[[#This Row],[MALI AAC]]&lt;&gt;0,1,"")</f>
        <v/>
      </c>
      <c r="AT13" s="225">
        <f>IF(AN13&lt;&gt;"",IF((AN13*Paramètres!$H$4)-PORTEFEUILLE_MARIE_PIERRE[[#This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€]]-(DELPHINE!AN13*Paramètres!$H$4),0),0)</f>
        <v>0</v>
      </c>
      <c r="AU13" s="225">
        <f>IF(AN13&lt;&gt;"",IF(((AN13*Paramètres!$H$4)-PORTEFEUILLE_MARIE_PIERRE[[#This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€]])&gt;0,(AN13*Paramètres!$H$4)-PORTEFEUILLE_MARIE_PIERRE[[#This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V13" s="190" t="str">
        <f>IF(PORTEFEUILLE_MARIE_PIERRE[[#This Row],[BONI COMPTABLE]]&lt;&gt;0,1,"")</f>
        <v/>
      </c>
      <c r="AW13" s="190" t="str">
        <f>IF(PORTEFEUILLE_MARIE_PIERRE[[#This Row],[MALI COMPTABLE]]&lt;&gt;0,1,"")</f>
        <v/>
      </c>
      <c r="AX13" s="188"/>
      <c r="AY13" s="188"/>
      <c r="AZ13" s="188"/>
      <c r="BA13" s="188"/>
      <c r="BB13" s="188"/>
      <c r="BC13" s="188"/>
      <c r="BD13" s="188"/>
      <c r="BE13" s="192"/>
      <c r="BF13" s="194"/>
      <c r="BG13" s="194"/>
      <c r="BH13" s="195"/>
      <c r="BI13" s="194"/>
    </row>
    <row r="14" spans="1:76" x14ac:dyDescent="0.25">
      <c r="A14" s="172"/>
      <c r="B14" s="170"/>
      <c r="C14" s="165"/>
      <c r="D14" s="171"/>
      <c r="E14" s="189"/>
      <c r="F14" s="188"/>
      <c r="G14" s="189"/>
      <c r="H14" s="189"/>
      <c r="I14" s="189"/>
      <c r="J14" s="189"/>
      <c r="K14" s="190" t="str">
        <f t="shared" si="0"/>
        <v/>
      </c>
      <c r="L14" s="190" t="str">
        <f t="shared" si="1"/>
        <v/>
      </c>
      <c r="M14" s="188"/>
      <c r="N14" s="188"/>
      <c r="O14" s="188"/>
      <c r="P14" s="188"/>
      <c r="Q14" s="188"/>
      <c r="R14" s="188"/>
      <c r="S14" s="213"/>
      <c r="T14" s="207"/>
      <c r="U14" s="219"/>
      <c r="V14" s="219"/>
      <c r="W14" s="219"/>
      <c r="X14" s="219"/>
      <c r="Y14" s="219"/>
      <c r="Z14" s="219"/>
      <c r="AA14" s="219"/>
      <c r="AB14" s="219"/>
      <c r="AC14" s="219"/>
      <c r="AD14" s="219"/>
      <c r="AE14" s="219"/>
      <c r="AF14" s="219"/>
      <c r="AG14" s="219"/>
      <c r="AH14" s="225">
        <f>SUM(PORTEFEUILLE_MARIE_PIERRE[[#This Row],[PCR COMPTABLE €]:[MONTANT
RESPONSABLE RELATION CLIENT €]])-PORTEFEUILLE_MARIE_PIERRE[[#This Row],[MONTANT TOTAL LETTRE DE MISION €]]</f>
        <v>0</v>
      </c>
      <c r="AI14" s="191"/>
      <c r="AJ14" s="188"/>
      <c r="AK14" s="188"/>
      <c r="AL14" s="188"/>
      <c r="AM14" s="188"/>
      <c r="AN14" s="188"/>
      <c r="AO14" s="188"/>
      <c r="AP14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Q14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R14" s="188" t="str">
        <f>IF(PORTEFEUILLE_MARIE_PIERRE[[#This Row],[BONI AAC]]&lt;&gt;0,1,"")</f>
        <v/>
      </c>
      <c r="AS14" s="188" t="str">
        <f>IF(PORTEFEUILLE_MARIE_PIERRE[[#This Row],[MALI AAC]]&lt;&gt;0,1,"")</f>
        <v/>
      </c>
      <c r="AT14" s="225">
        <f>IF(AN14&lt;&gt;"",IF((AN14*Paramètres!$H$4)-PORTEFEUILLE_MARIE_PIERRE[[#This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€]]-(DELPHINE!AN14*Paramètres!$H$4),0),0)</f>
        <v>0</v>
      </c>
      <c r="AU14" s="225">
        <f>IF(AN14&lt;&gt;"",IF(((AN14*Paramètres!$H$4)-PORTEFEUILLE_MARIE_PIERRE[[#This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€]])&gt;0,(AN14*Paramètres!$H$4)-PORTEFEUILLE_MARIE_PIERRE[[#This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V14" s="190" t="str">
        <f>IF(PORTEFEUILLE_MARIE_PIERRE[[#This Row],[BONI COMPTABLE]]&lt;&gt;0,1,"")</f>
        <v/>
      </c>
      <c r="AW14" s="190" t="str">
        <f>IF(PORTEFEUILLE_MARIE_PIERRE[[#This Row],[MALI COMPTABLE]]&lt;&gt;0,1,"")</f>
        <v/>
      </c>
      <c r="AX14" s="188"/>
      <c r="AY14" s="188"/>
      <c r="AZ14" s="188"/>
      <c r="BA14" s="188"/>
      <c r="BB14" s="188"/>
      <c r="BC14" s="188"/>
      <c r="BD14" s="188"/>
      <c r="BE14" s="192"/>
      <c r="BF14" s="194"/>
      <c r="BG14" s="194"/>
      <c r="BH14" s="195"/>
      <c r="BI14" s="194"/>
    </row>
    <row r="15" spans="1:76" x14ac:dyDescent="0.25">
      <c r="A15" s="172"/>
      <c r="B15" s="170"/>
      <c r="C15" s="170"/>
      <c r="D15" s="171"/>
      <c r="E15" s="189"/>
      <c r="F15" s="188"/>
      <c r="G15" s="189"/>
      <c r="H15" s="189"/>
      <c r="I15" s="189"/>
      <c r="J15" s="189"/>
      <c r="K15" s="190" t="str">
        <f t="shared" si="0"/>
        <v/>
      </c>
      <c r="L15" s="190" t="str">
        <f t="shared" si="1"/>
        <v/>
      </c>
      <c r="M15" s="188"/>
      <c r="N15" s="188"/>
      <c r="O15" s="188"/>
      <c r="P15" s="188"/>
      <c r="Q15" s="188"/>
      <c r="R15" s="188"/>
      <c r="S15" s="213"/>
      <c r="T15" s="207"/>
      <c r="U15" s="219"/>
      <c r="V15" s="219"/>
      <c r="W15" s="219"/>
      <c r="X15" s="219"/>
      <c r="Y15" s="219"/>
      <c r="Z15" s="219"/>
      <c r="AA15" s="219"/>
      <c r="AB15" s="219"/>
      <c r="AC15" s="219"/>
      <c r="AD15" s="219"/>
      <c r="AE15" s="219"/>
      <c r="AF15" s="219"/>
      <c r="AG15" s="219"/>
      <c r="AH15" s="225">
        <f>SUM(PORTEFEUILLE_MARIE_PIERRE[[#This Row],[PCR COMPTABLE €]:[MONTANT
RESPONSABLE RELATION CLIENT €]])-PORTEFEUILLE_MARIE_PIERRE[[#This Row],[MONTANT TOTAL LETTRE DE MISION €]]</f>
        <v>0</v>
      </c>
      <c r="AI15" s="191"/>
      <c r="AJ15" s="188"/>
      <c r="AK15" s="188"/>
      <c r="AL15" s="188"/>
      <c r="AM15" s="188"/>
      <c r="AN15" s="188"/>
      <c r="AO15" s="188"/>
      <c r="AP15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Q15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R15" s="188" t="str">
        <f>IF(PORTEFEUILLE_MARIE_PIERRE[[#This Row],[BONI AAC]]&lt;&gt;0,1,"")</f>
        <v/>
      </c>
      <c r="AS15" s="188" t="str">
        <f>IF(PORTEFEUILLE_MARIE_PIERRE[[#This Row],[MALI AAC]]&lt;&gt;0,1,"")</f>
        <v/>
      </c>
      <c r="AT15" s="225">
        <f>IF(AN15&lt;&gt;"",IF((AN15*Paramètres!$H$4)-PORTEFEUILLE_MARIE_PIERRE[[#This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€]]-(DELPHINE!AN15*Paramètres!$H$4),0),0)</f>
        <v>0</v>
      </c>
      <c r="AU15" s="225">
        <f>IF(AN15&lt;&gt;"",IF(((AN15*Paramètres!$H$4)-PORTEFEUILLE_MARIE_PIERRE[[#This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€]])&gt;0,(AN15*Paramètres!$H$4)-PORTEFEUILLE_MARIE_PIERRE[[#This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V15" s="190" t="str">
        <f>IF(PORTEFEUILLE_MARIE_PIERRE[[#This Row],[BONI COMPTABLE]]&lt;&gt;0,1,"")</f>
        <v/>
      </c>
      <c r="AW15" s="190" t="str">
        <f>IF(PORTEFEUILLE_MARIE_PIERRE[[#This Row],[MALI COMPTABLE]]&lt;&gt;0,1,"")</f>
        <v/>
      </c>
      <c r="AX15" s="188"/>
      <c r="AY15" s="188"/>
      <c r="AZ15" s="188"/>
      <c r="BA15" s="188"/>
      <c r="BB15" s="188"/>
      <c r="BC15" s="188"/>
      <c r="BD15" s="188"/>
      <c r="BE15" s="192"/>
      <c r="BF15" s="194"/>
      <c r="BG15" s="194"/>
      <c r="BH15" s="195"/>
      <c r="BI15" s="194"/>
    </row>
    <row r="16" spans="1:76" x14ac:dyDescent="0.25">
      <c r="A16" s="172"/>
      <c r="B16" s="170"/>
      <c r="C16" s="174"/>
      <c r="D16" s="171"/>
      <c r="E16" s="189"/>
      <c r="F16" s="188"/>
      <c r="G16" s="189"/>
      <c r="H16" s="189"/>
      <c r="I16" s="189"/>
      <c r="J16" s="189"/>
      <c r="K16" s="190" t="str">
        <f t="shared" si="0"/>
        <v/>
      </c>
      <c r="L16" s="190" t="str">
        <f t="shared" si="1"/>
        <v/>
      </c>
      <c r="M16" s="188"/>
      <c r="N16" s="188"/>
      <c r="O16" s="188"/>
      <c r="P16" s="188"/>
      <c r="Q16" s="188"/>
      <c r="R16" s="188"/>
      <c r="S16" s="213"/>
      <c r="T16" s="207"/>
      <c r="U16" s="219"/>
      <c r="V16" s="219"/>
      <c r="W16" s="219"/>
      <c r="X16" s="219"/>
      <c r="Y16" s="219"/>
      <c r="Z16" s="219"/>
      <c r="AA16" s="219"/>
      <c r="AB16" s="219"/>
      <c r="AC16" s="219"/>
      <c r="AD16" s="219"/>
      <c r="AE16" s="219"/>
      <c r="AF16" s="219"/>
      <c r="AG16" s="219"/>
      <c r="AH16" s="225">
        <f>SUM(PORTEFEUILLE_MARIE_PIERRE[[#This Row],[PCR COMPTABLE €]:[MONTANT
RESPONSABLE RELATION CLIENT €]])-PORTEFEUILLE_MARIE_PIERRE[[#This Row],[MONTANT TOTAL LETTRE DE MISION €]]</f>
        <v>0</v>
      </c>
      <c r="AI16" s="191"/>
      <c r="AJ16" s="188"/>
      <c r="AK16" s="188"/>
      <c r="AL16" s="188"/>
      <c r="AM16" s="188"/>
      <c r="AN16" s="188"/>
      <c r="AO16" s="188"/>
      <c r="AP16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Q16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R16" s="188" t="str">
        <f>IF(PORTEFEUILLE_MARIE_PIERRE[[#This Row],[BONI AAC]]&lt;&gt;0,1,"")</f>
        <v/>
      </c>
      <c r="AS16" s="188" t="str">
        <f>IF(PORTEFEUILLE_MARIE_PIERRE[[#This Row],[MALI AAC]]&lt;&gt;0,1,"")</f>
        <v/>
      </c>
      <c r="AT16" s="225">
        <f>IF(AN16&lt;&gt;"",IF((AN16*Paramètres!$H$4)-PORTEFEUILLE_MARIE_PIERRE[[#This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€]]-(DELPHINE!AN16*Paramètres!$H$4),0),0)</f>
        <v>0</v>
      </c>
      <c r="AU16" s="225">
        <f>IF(AN16&lt;&gt;"",IF(((AN16*Paramètres!$H$4)-PORTEFEUILLE_MARIE_PIERRE[[#This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€]])&gt;0,(AN16*Paramètres!$H$4)-PORTEFEUILLE_MARIE_PIERRE[[#This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V16" s="190" t="str">
        <f>IF(PORTEFEUILLE_MARIE_PIERRE[[#This Row],[BONI COMPTABLE]]&lt;&gt;0,1,"")</f>
        <v/>
      </c>
      <c r="AW16" s="190" t="str">
        <f>IF(PORTEFEUILLE_MARIE_PIERRE[[#This Row],[MALI COMPTABLE]]&lt;&gt;0,1,"")</f>
        <v/>
      </c>
      <c r="AX16" s="188"/>
      <c r="AY16" s="188"/>
      <c r="AZ16" s="188"/>
      <c r="BA16" s="188"/>
      <c r="BB16" s="188"/>
      <c r="BC16" s="188"/>
      <c r="BD16" s="188"/>
      <c r="BE16" s="192"/>
      <c r="BF16" s="194"/>
      <c r="BG16" s="194"/>
      <c r="BH16" s="195"/>
      <c r="BI16" s="194"/>
    </row>
    <row r="17" spans="1:61" x14ac:dyDescent="0.25">
      <c r="A17" s="172"/>
      <c r="B17" s="170"/>
      <c r="C17" s="175"/>
      <c r="D17" s="171"/>
      <c r="E17" s="189"/>
      <c r="F17" s="188"/>
      <c r="G17" s="189"/>
      <c r="H17" s="189"/>
      <c r="I17" s="189"/>
      <c r="J17" s="189"/>
      <c r="K17" s="190" t="str">
        <f t="shared" si="0"/>
        <v/>
      </c>
      <c r="L17" s="190" t="str">
        <f t="shared" si="1"/>
        <v/>
      </c>
      <c r="M17" s="188"/>
      <c r="N17" s="188"/>
      <c r="O17" s="188"/>
      <c r="P17" s="188"/>
      <c r="Q17" s="188"/>
      <c r="R17" s="188"/>
      <c r="S17" s="213"/>
      <c r="T17" s="207"/>
      <c r="U17" s="219"/>
      <c r="V17" s="219"/>
      <c r="W17" s="219"/>
      <c r="X17" s="219"/>
      <c r="Y17" s="219"/>
      <c r="Z17" s="219"/>
      <c r="AA17" s="219"/>
      <c r="AB17" s="219"/>
      <c r="AC17" s="219"/>
      <c r="AD17" s="219"/>
      <c r="AE17" s="219"/>
      <c r="AF17" s="219"/>
      <c r="AG17" s="219"/>
      <c r="AH17" s="225">
        <f>SUM(PORTEFEUILLE_MARIE_PIERRE[[#This Row],[PCR COMPTABLE €]:[MONTANT
RESPONSABLE RELATION CLIENT €]])-PORTEFEUILLE_MARIE_PIERRE[[#This Row],[MONTANT TOTAL LETTRE DE MISION €]]</f>
        <v>0</v>
      </c>
      <c r="AI17" s="191"/>
      <c r="AJ17" s="188"/>
      <c r="AK17" s="188"/>
      <c r="AL17" s="188"/>
      <c r="AM17" s="188"/>
      <c r="AN17" s="188"/>
      <c r="AO17" s="188"/>
      <c r="AP17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Q17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R17" s="188" t="str">
        <f>IF(PORTEFEUILLE_MARIE_PIERRE[[#This Row],[BONI AAC]]&lt;&gt;0,1,"")</f>
        <v/>
      </c>
      <c r="AS17" s="188" t="str">
        <f>IF(PORTEFEUILLE_MARIE_PIERRE[[#This Row],[MALI AAC]]&lt;&gt;0,1,"")</f>
        <v/>
      </c>
      <c r="AT17" s="225">
        <f>IF(AN17&lt;&gt;"",IF((AN17*Paramètres!$H$4)-PORTEFEUILLE_MARIE_PIERRE[[#This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€]]-(DELPHINE!AN17*Paramètres!$H$4),0),0)</f>
        <v>0</v>
      </c>
      <c r="AU17" s="225">
        <f>IF(AN17&lt;&gt;"",IF(((AN17*Paramètres!$H$4)-PORTEFEUILLE_MARIE_PIERRE[[#This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€]])&gt;0,(AN17*Paramètres!$H$4)-PORTEFEUILLE_MARIE_PIERRE[[#This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V17" s="190" t="str">
        <f>IF(PORTEFEUILLE_MARIE_PIERRE[[#This Row],[BONI COMPTABLE]]&lt;&gt;0,1,"")</f>
        <v/>
      </c>
      <c r="AW17" s="190" t="str">
        <f>IF(PORTEFEUILLE_MARIE_PIERRE[[#This Row],[MALI COMPTABLE]]&lt;&gt;0,1,"")</f>
        <v/>
      </c>
      <c r="AX17" s="188"/>
      <c r="AY17" s="188"/>
      <c r="AZ17" s="188"/>
      <c r="BA17" s="188"/>
      <c r="BB17" s="188"/>
      <c r="BC17" s="188"/>
      <c r="BD17" s="188"/>
      <c r="BE17" s="192"/>
      <c r="BF17" s="194"/>
      <c r="BG17" s="194"/>
      <c r="BH17" s="195"/>
      <c r="BI17" s="194"/>
    </row>
    <row r="18" spans="1:61" s="241" customFormat="1" x14ac:dyDescent="0.25">
      <c r="A18" s="172"/>
      <c r="B18" s="170"/>
      <c r="C18" s="165"/>
      <c r="D18" s="171"/>
      <c r="E18" s="189"/>
      <c r="F18" s="188"/>
      <c r="G18" s="189"/>
      <c r="H18" s="189"/>
      <c r="I18" s="189"/>
      <c r="J18" s="189"/>
      <c r="K18" s="190" t="str">
        <f t="shared" si="0"/>
        <v/>
      </c>
      <c r="L18" s="190" t="str">
        <f t="shared" si="1"/>
        <v/>
      </c>
      <c r="M18" s="188"/>
      <c r="N18" s="188"/>
      <c r="O18" s="188"/>
      <c r="P18" s="188"/>
      <c r="Q18" s="188"/>
      <c r="R18" s="188"/>
      <c r="S18" s="213"/>
      <c r="T18" s="207"/>
      <c r="U18" s="219"/>
      <c r="V18" s="219"/>
      <c r="W18" s="219"/>
      <c r="X18" s="219"/>
      <c r="Y18" s="219"/>
      <c r="Z18" s="219"/>
      <c r="AA18" s="219"/>
      <c r="AB18" s="219"/>
      <c r="AC18" s="219"/>
      <c r="AD18" s="219"/>
      <c r="AE18" s="219"/>
      <c r="AF18" s="219"/>
      <c r="AG18" s="219"/>
      <c r="AH18" s="225">
        <f>SUM(PORTEFEUILLE_MARIE_PIERRE[[#This Row],[PCR COMPTABLE €]:[MONTANT
RESPONSABLE RELATION CLIENT €]])-PORTEFEUILLE_MARIE_PIERRE[[#This Row],[MONTANT TOTAL LETTRE DE MISION €]]</f>
        <v>0</v>
      </c>
      <c r="AI18" s="191"/>
      <c r="AJ18" s="188"/>
      <c r="AK18" s="188"/>
      <c r="AL18" s="188"/>
      <c r="AM18" s="188"/>
      <c r="AN18" s="188"/>
      <c r="AO18" s="188"/>
      <c r="AP18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Q18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R18" s="188" t="str">
        <f>IF(PORTEFEUILLE_MARIE_PIERRE[[#This Row],[BONI AAC]]&lt;&gt;0,1,"")</f>
        <v/>
      </c>
      <c r="AS18" s="188" t="str">
        <f>IF(PORTEFEUILLE_MARIE_PIERRE[[#This Row],[MALI AAC]]&lt;&gt;0,1,"")</f>
        <v/>
      </c>
      <c r="AT18" s="225">
        <f>IF(AN18&lt;&gt;"",IF((AN18*Paramètres!$H$4)-PORTEFEUILLE_MARIE_PIERRE[[#This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€]]-(DELPHINE!AN18*Paramètres!$H$4),0),0)</f>
        <v>0</v>
      </c>
      <c r="AU18" s="225">
        <f>IF(AN18&lt;&gt;"",IF(((AN18*Paramètres!$H$4)-PORTEFEUILLE_MARIE_PIERRE[[#This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€]])&gt;0,(AN18*Paramètres!$H$4)-PORTEFEUILLE_MARIE_PIERRE[[#This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V18" s="190" t="str">
        <f>IF(PORTEFEUILLE_MARIE_PIERRE[[#This Row],[BONI COMPTABLE]]&lt;&gt;0,1,"")</f>
        <v/>
      </c>
      <c r="AW18" s="190" t="str">
        <f>IF(PORTEFEUILLE_MARIE_PIERRE[[#This Row],[MALI COMPTABLE]]&lt;&gt;0,1,"")</f>
        <v/>
      </c>
      <c r="AX18" s="188"/>
      <c r="AY18" s="188"/>
      <c r="AZ18" s="188"/>
      <c r="BA18" s="188"/>
      <c r="BB18" s="188"/>
      <c r="BC18" s="188"/>
      <c r="BD18" s="188"/>
      <c r="BE18" s="192"/>
      <c r="BF18" s="194"/>
      <c r="BG18" s="194"/>
      <c r="BH18" s="195"/>
      <c r="BI18" s="194"/>
    </row>
    <row r="19" spans="1:61" x14ac:dyDescent="0.25">
      <c r="A19" s="172"/>
      <c r="B19" s="170"/>
      <c r="C19" s="165"/>
      <c r="D19" s="171"/>
      <c r="E19" s="189"/>
      <c r="F19" s="188"/>
      <c r="G19" s="189"/>
      <c r="H19" s="189"/>
      <c r="I19" s="189"/>
      <c r="J19" s="189"/>
      <c r="K19" s="190" t="str">
        <f t="shared" si="0"/>
        <v/>
      </c>
      <c r="L19" s="190" t="str">
        <f t="shared" si="1"/>
        <v/>
      </c>
      <c r="M19" s="188"/>
      <c r="N19" s="188"/>
      <c r="O19" s="188"/>
      <c r="P19" s="188"/>
      <c r="Q19" s="188"/>
      <c r="R19" s="188"/>
      <c r="S19" s="213"/>
      <c r="T19" s="207"/>
      <c r="U19" s="219"/>
      <c r="V19" s="219"/>
      <c r="W19" s="219"/>
      <c r="X19" s="219"/>
      <c r="Y19" s="219"/>
      <c r="Z19" s="219"/>
      <c r="AA19" s="219"/>
      <c r="AB19" s="219"/>
      <c r="AC19" s="219"/>
      <c r="AD19" s="219"/>
      <c r="AE19" s="219"/>
      <c r="AF19" s="219"/>
      <c r="AG19" s="219"/>
      <c r="AH19" s="225">
        <f>SUM(PORTEFEUILLE_MARIE_PIERRE[[#This Row],[PCR COMPTABLE €]:[MONTANT
RESPONSABLE RELATION CLIENT €]])-PORTEFEUILLE_MARIE_PIERRE[[#This Row],[MONTANT TOTAL LETTRE DE MISION €]]</f>
        <v>0</v>
      </c>
      <c r="AI19" s="191"/>
      <c r="AJ19" s="188"/>
      <c r="AK19" s="188"/>
      <c r="AL19" s="188"/>
      <c r="AM19" s="188"/>
      <c r="AN19" s="188"/>
      <c r="AO19" s="188"/>
      <c r="AP19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Q19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R19" s="188" t="str">
        <f>IF(PORTEFEUILLE_MARIE_PIERRE[[#This Row],[BONI AAC]]&lt;&gt;0,1,"")</f>
        <v/>
      </c>
      <c r="AS19" s="188" t="str">
        <f>IF(PORTEFEUILLE_MARIE_PIERRE[[#This Row],[MALI AAC]]&lt;&gt;0,1,"")</f>
        <v/>
      </c>
      <c r="AT19" s="225">
        <f>IF(AN19&lt;&gt;"",IF((AN19*Paramètres!$H$4)-PORTEFEUILLE_MARIE_PIERRE[[#This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€]]-(DELPHINE!AN19*Paramètres!$H$4),0),0)</f>
        <v>0</v>
      </c>
      <c r="AU19" s="225">
        <f>IF(AN19&lt;&gt;"",IF(((AN19*Paramètres!$H$4)-PORTEFEUILLE_MARIE_PIERRE[[#This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€]])&gt;0,(AN19*Paramètres!$H$4)-PORTEFEUILLE_MARIE_PIERRE[[#This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V19" s="190" t="str">
        <f>IF(PORTEFEUILLE_MARIE_PIERRE[[#This Row],[BONI COMPTABLE]]&lt;&gt;0,1,"")</f>
        <v/>
      </c>
      <c r="AW19" s="190" t="str">
        <f>IF(PORTEFEUILLE_MARIE_PIERRE[[#This Row],[MALI COMPTABLE]]&lt;&gt;0,1,"")</f>
        <v/>
      </c>
      <c r="AX19" s="188"/>
      <c r="AY19" s="188"/>
      <c r="AZ19" s="188"/>
      <c r="BA19" s="188"/>
      <c r="BB19" s="188"/>
      <c r="BC19" s="188"/>
      <c r="BD19" s="188"/>
      <c r="BE19" s="192"/>
      <c r="BF19" s="194"/>
      <c r="BG19" s="194"/>
      <c r="BH19" s="195"/>
      <c r="BI19" s="194"/>
    </row>
    <row r="20" spans="1:61" x14ac:dyDescent="0.25">
      <c r="A20" s="172"/>
      <c r="B20" s="170"/>
      <c r="C20" s="165"/>
      <c r="D20" s="171"/>
      <c r="E20" s="189"/>
      <c r="F20" s="188"/>
      <c r="G20" s="188"/>
      <c r="H20" s="189"/>
      <c r="I20" s="189"/>
      <c r="J20" s="189"/>
      <c r="K20" s="190" t="str">
        <f t="shared" si="0"/>
        <v/>
      </c>
      <c r="L20" s="190" t="str">
        <f t="shared" si="1"/>
        <v/>
      </c>
      <c r="M20" s="188"/>
      <c r="N20" s="188"/>
      <c r="O20" s="188"/>
      <c r="P20" s="188"/>
      <c r="Q20" s="188"/>
      <c r="R20" s="188"/>
      <c r="S20" s="214"/>
      <c r="T20" s="208"/>
      <c r="U20" s="220"/>
      <c r="V20" s="220"/>
      <c r="W20" s="220"/>
      <c r="X20" s="220"/>
      <c r="Y20" s="220"/>
      <c r="Z20" s="220"/>
      <c r="AA20" s="220"/>
      <c r="AB20" s="220"/>
      <c r="AC20" s="220"/>
      <c r="AD20" s="220"/>
      <c r="AE20" s="220"/>
      <c r="AF20" s="220"/>
      <c r="AG20" s="219"/>
      <c r="AH20" s="225">
        <f>SUM(PORTEFEUILLE_MARIE_PIERRE[[#This Row],[PCR COMPTABLE €]:[MONTANT
RESPONSABLE RELATION CLIENT €]])-PORTEFEUILLE_MARIE_PIERRE[[#This Row],[MONTANT TOTAL LETTRE DE MISION €]]</f>
        <v>0</v>
      </c>
      <c r="AI20" s="191"/>
      <c r="AJ20" s="188"/>
      <c r="AK20" s="188"/>
      <c r="AL20" s="196"/>
      <c r="AM20" s="196"/>
      <c r="AN20" s="196"/>
      <c r="AO20" s="196"/>
      <c r="AP20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Q20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R20" s="188" t="str">
        <f>IF(PORTEFEUILLE_MARIE_PIERRE[[#This Row],[BONI AAC]]&lt;&gt;0,1,"")</f>
        <v/>
      </c>
      <c r="AS20" s="188" t="str">
        <f>IF(PORTEFEUILLE_MARIE_PIERRE[[#This Row],[MALI AAC]]&lt;&gt;0,1,"")</f>
        <v/>
      </c>
      <c r="AT20" s="225">
        <f>IF(AN20&lt;&gt;"",IF((AN20*Paramètres!$H$4)-PORTEFEUILLE_MARIE_PIERRE[[#This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€]]-(DELPHINE!AN20*Paramètres!$H$4),0),0)</f>
        <v>0</v>
      </c>
      <c r="AU20" s="225">
        <f>IF(AN20&lt;&gt;"",IF(((AN20*Paramètres!$H$4)-PORTEFEUILLE_MARIE_PIERRE[[#This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€]])&gt;0,(AN20*Paramètres!$H$4)-PORTEFEUILLE_MARIE_PIERRE[[#This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V20" s="190" t="str">
        <f>IF(PORTEFEUILLE_MARIE_PIERRE[[#This Row],[BONI COMPTABLE]]&lt;&gt;0,1,"")</f>
        <v/>
      </c>
      <c r="AW20" s="190" t="str">
        <f>IF(PORTEFEUILLE_MARIE_PIERRE[[#This Row],[MALI COMPTABLE]]&lt;&gt;0,1,"")</f>
        <v/>
      </c>
      <c r="AX20" s="196"/>
      <c r="AY20" s="188"/>
      <c r="AZ20" s="188"/>
      <c r="BA20" s="188"/>
      <c r="BB20" s="196"/>
      <c r="BC20" s="196"/>
      <c r="BD20" s="196"/>
      <c r="BE20" s="192"/>
      <c r="BF20" s="194"/>
      <c r="BG20" s="194"/>
      <c r="BH20" s="195"/>
      <c r="BI20" s="194"/>
    </row>
    <row r="21" spans="1:61" x14ac:dyDescent="0.25">
      <c r="A21" s="172"/>
      <c r="B21" s="170"/>
      <c r="C21" s="165"/>
      <c r="D21" s="171"/>
      <c r="E21" s="189"/>
      <c r="F21" s="188"/>
      <c r="G21" s="189"/>
      <c r="H21" s="189"/>
      <c r="I21" s="189"/>
      <c r="J21" s="189"/>
      <c r="K21" s="190" t="str">
        <f t="shared" si="0"/>
        <v/>
      </c>
      <c r="L21" s="190" t="str">
        <f t="shared" si="1"/>
        <v/>
      </c>
      <c r="M21" s="188"/>
      <c r="N21" s="188"/>
      <c r="O21" s="188"/>
      <c r="P21" s="188"/>
      <c r="Q21" s="188"/>
      <c r="R21" s="188"/>
      <c r="S21" s="213"/>
      <c r="T21" s="207"/>
      <c r="U21" s="219"/>
      <c r="V21" s="219"/>
      <c r="W21" s="219"/>
      <c r="X21" s="219"/>
      <c r="Y21" s="219"/>
      <c r="Z21" s="219"/>
      <c r="AA21" s="219"/>
      <c r="AB21" s="219"/>
      <c r="AC21" s="219"/>
      <c r="AD21" s="219"/>
      <c r="AE21" s="219"/>
      <c r="AF21" s="219"/>
      <c r="AG21" s="219"/>
      <c r="AH21" s="225">
        <f>SUM(PORTEFEUILLE_MARIE_PIERRE[[#This Row],[PCR COMPTABLE €]:[MONTANT
RESPONSABLE RELATION CLIENT €]])-PORTEFEUILLE_MARIE_PIERRE[[#This Row],[MONTANT TOTAL LETTRE DE MISION €]]</f>
        <v>0</v>
      </c>
      <c r="AI21" s="191"/>
      <c r="AJ21" s="188"/>
      <c r="AK21" s="188"/>
      <c r="AL21" s="188"/>
      <c r="AM21" s="188"/>
      <c r="AN21" s="188"/>
      <c r="AO21" s="188"/>
      <c r="AP21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Q21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R21" s="188" t="str">
        <f>IF(PORTEFEUILLE_MARIE_PIERRE[[#This Row],[BONI AAC]]&lt;&gt;0,1,"")</f>
        <v/>
      </c>
      <c r="AS21" s="188" t="str">
        <f>IF(PORTEFEUILLE_MARIE_PIERRE[[#This Row],[MALI AAC]]&lt;&gt;0,1,"")</f>
        <v/>
      </c>
      <c r="AT21" s="225">
        <f>IF(AN21&lt;&gt;"",IF((AN21*Paramètres!$H$4)-PORTEFEUILLE_MARIE_PIERRE[[#This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€]]-(DELPHINE!AN21*Paramètres!$H$4),0),0)</f>
        <v>0</v>
      </c>
      <c r="AU21" s="225">
        <f>IF(AN21&lt;&gt;"",IF(((AN21*Paramètres!$H$4)-PORTEFEUILLE_MARIE_PIERRE[[#This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€]])&gt;0,(AN21*Paramètres!$H$4)-PORTEFEUILLE_MARIE_PIERRE[[#This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V21" s="190" t="str">
        <f>IF(PORTEFEUILLE_MARIE_PIERRE[[#This Row],[BONI COMPTABLE]]&lt;&gt;0,1,"")</f>
        <v/>
      </c>
      <c r="AW21" s="190" t="str">
        <f>IF(PORTEFEUILLE_MARIE_PIERRE[[#This Row],[MALI COMPTABLE]]&lt;&gt;0,1,"")</f>
        <v/>
      </c>
      <c r="AX21" s="188"/>
      <c r="AY21" s="188"/>
      <c r="AZ21" s="188"/>
      <c r="BA21" s="188"/>
      <c r="BB21" s="196"/>
      <c r="BC21" s="196"/>
      <c r="BD21" s="196"/>
      <c r="BE21" s="192"/>
      <c r="BF21" s="194"/>
      <c r="BG21" s="194"/>
      <c r="BH21" s="195"/>
      <c r="BI21" s="194"/>
    </row>
    <row r="22" spans="1:61" x14ac:dyDescent="0.25">
      <c r="A22" s="172"/>
      <c r="B22" s="170"/>
      <c r="C22" s="165"/>
      <c r="D22" s="171"/>
      <c r="E22" s="189"/>
      <c r="F22" s="188"/>
      <c r="G22" s="189"/>
      <c r="H22" s="189"/>
      <c r="I22" s="189"/>
      <c r="J22" s="189"/>
      <c r="K22" s="190" t="str">
        <f t="shared" si="0"/>
        <v/>
      </c>
      <c r="L22" s="190" t="str">
        <f t="shared" si="1"/>
        <v/>
      </c>
      <c r="M22" s="188"/>
      <c r="N22" s="188"/>
      <c r="O22" s="188"/>
      <c r="P22" s="188"/>
      <c r="Q22" s="188"/>
      <c r="R22" s="188"/>
      <c r="S22" s="215"/>
      <c r="T22" s="209"/>
      <c r="U22" s="221"/>
      <c r="V22" s="221"/>
      <c r="W22" s="221"/>
      <c r="X22" s="221"/>
      <c r="Y22" s="221"/>
      <c r="Z22" s="221"/>
      <c r="AA22" s="221"/>
      <c r="AB22" s="221"/>
      <c r="AC22" s="221"/>
      <c r="AD22" s="221"/>
      <c r="AE22" s="221"/>
      <c r="AF22" s="221"/>
      <c r="AG22" s="219"/>
      <c r="AH22" s="225">
        <f>SUM(PORTEFEUILLE_MARIE_PIERRE[[#This Row],[PCR COMPTABLE €]:[MONTANT
RESPONSABLE RELATION CLIENT €]])-PORTEFEUILLE_MARIE_PIERRE[[#This Row],[MONTANT TOTAL LETTRE DE MISION €]]</f>
        <v>0</v>
      </c>
      <c r="AI22" s="191"/>
      <c r="AJ22" s="188"/>
      <c r="AK22" s="188"/>
      <c r="AL22" s="197"/>
      <c r="AM22" s="197"/>
      <c r="AN22" s="197"/>
      <c r="AO22" s="197"/>
      <c r="AP22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Q22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R22" s="188" t="str">
        <f>IF(PORTEFEUILLE_MARIE_PIERRE[[#This Row],[BONI AAC]]&lt;&gt;0,1,"")</f>
        <v/>
      </c>
      <c r="AS22" s="188" t="str">
        <f>IF(PORTEFEUILLE_MARIE_PIERRE[[#This Row],[MALI AAC]]&lt;&gt;0,1,"")</f>
        <v/>
      </c>
      <c r="AT22" s="225">
        <f>IF(AN22&lt;&gt;"",IF((AN22*Paramètres!$H$4)-PORTEFEUILLE_MARIE_PIERRE[[#This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€]]-(DELPHINE!AN22*Paramètres!$H$4),0),0)</f>
        <v>0</v>
      </c>
      <c r="AU22" s="225">
        <f>IF(AN22&lt;&gt;"",IF(((AN22*Paramètres!$H$4)-PORTEFEUILLE_MARIE_PIERRE[[#This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€]])&gt;0,(AN22*Paramètres!$H$4)-PORTEFEUILLE_MARIE_PIERRE[[#This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V22" s="190" t="str">
        <f>IF(PORTEFEUILLE_MARIE_PIERRE[[#This Row],[BONI COMPTABLE]]&lt;&gt;0,1,"")</f>
        <v/>
      </c>
      <c r="AW22" s="190" t="str">
        <f>IF(PORTEFEUILLE_MARIE_PIERRE[[#This Row],[MALI COMPTABLE]]&lt;&gt;0,1,"")</f>
        <v/>
      </c>
      <c r="AX22" s="188"/>
      <c r="AY22" s="188"/>
      <c r="AZ22" s="188"/>
      <c r="BA22" s="188"/>
      <c r="BB22" s="196"/>
      <c r="BC22" s="196"/>
      <c r="BD22" s="196"/>
      <c r="BE22" s="192"/>
      <c r="BF22" s="194"/>
      <c r="BG22" s="194"/>
      <c r="BH22" s="195"/>
      <c r="BI22" s="194"/>
    </row>
    <row r="23" spans="1:61" x14ac:dyDescent="0.25">
      <c r="A23" s="172"/>
      <c r="B23" s="170"/>
      <c r="C23" s="165"/>
      <c r="D23" s="171"/>
      <c r="E23" s="189"/>
      <c r="F23" s="188"/>
      <c r="G23" s="189"/>
      <c r="H23" s="189"/>
      <c r="I23" s="189"/>
      <c r="J23" s="189"/>
      <c r="K23" s="190" t="str">
        <f t="shared" si="0"/>
        <v/>
      </c>
      <c r="L23" s="190" t="str">
        <f t="shared" si="1"/>
        <v/>
      </c>
      <c r="M23" s="188"/>
      <c r="N23" s="188"/>
      <c r="O23" s="188"/>
      <c r="P23" s="188"/>
      <c r="Q23" s="188"/>
      <c r="R23" s="188"/>
      <c r="S23" s="213"/>
      <c r="T23" s="207"/>
      <c r="U23" s="219"/>
      <c r="V23" s="219"/>
      <c r="W23" s="219"/>
      <c r="X23" s="219"/>
      <c r="Y23" s="219"/>
      <c r="Z23" s="219"/>
      <c r="AA23" s="219"/>
      <c r="AB23" s="219"/>
      <c r="AC23" s="219"/>
      <c r="AD23" s="219"/>
      <c r="AE23" s="219"/>
      <c r="AF23" s="219"/>
      <c r="AG23" s="219"/>
      <c r="AH23" s="225">
        <f>SUM(PORTEFEUILLE_MARIE_PIERRE[[#This Row],[PCR COMPTABLE €]:[MONTANT
RESPONSABLE RELATION CLIENT €]])-PORTEFEUILLE_MARIE_PIERRE[[#This Row],[MONTANT TOTAL LETTRE DE MISION €]]</f>
        <v>0</v>
      </c>
      <c r="AI23" s="191"/>
      <c r="AJ23" s="188"/>
      <c r="AK23" s="188"/>
      <c r="AL23" s="188"/>
      <c r="AM23" s="188"/>
      <c r="AN23" s="188"/>
      <c r="AO23" s="188"/>
      <c r="AP23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Q23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R23" s="188" t="str">
        <f>IF(PORTEFEUILLE_MARIE_PIERRE[[#This Row],[BONI AAC]]&lt;&gt;0,1,"")</f>
        <v/>
      </c>
      <c r="AS23" s="188" t="str">
        <f>IF(PORTEFEUILLE_MARIE_PIERRE[[#This Row],[MALI AAC]]&lt;&gt;0,1,"")</f>
        <v/>
      </c>
      <c r="AT23" s="225">
        <f>IF(AN23&lt;&gt;"",IF((AN23*Paramètres!$H$4)-PORTEFEUILLE_MARIE_PIERRE[[#This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€]]-(DELPHINE!AN23*Paramètres!$H$4),0),0)</f>
        <v>0</v>
      </c>
      <c r="AU23" s="225">
        <f>IF(AN23&lt;&gt;"",IF(((AN23*Paramètres!$H$4)-PORTEFEUILLE_MARIE_PIERRE[[#This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€]])&gt;0,(AN23*Paramètres!$H$4)-PORTEFEUILLE_MARIE_PIERRE[[#This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V23" s="190" t="str">
        <f>IF(PORTEFEUILLE_MARIE_PIERRE[[#This Row],[BONI COMPTABLE]]&lt;&gt;0,1,"")</f>
        <v/>
      </c>
      <c r="AW23" s="190" t="str">
        <f>IF(PORTEFEUILLE_MARIE_PIERRE[[#This Row],[MALI COMPTABLE]]&lt;&gt;0,1,"")</f>
        <v/>
      </c>
      <c r="AX23" s="188"/>
      <c r="AY23" s="188"/>
      <c r="AZ23" s="188"/>
      <c r="BA23" s="188"/>
      <c r="BB23" s="188"/>
      <c r="BC23" s="188"/>
      <c r="BD23" s="188"/>
      <c r="BE23" s="192"/>
      <c r="BF23" s="194"/>
      <c r="BG23" s="194"/>
      <c r="BH23" s="195"/>
      <c r="BI23" s="194"/>
    </row>
    <row r="24" spans="1:61" x14ac:dyDescent="0.25">
      <c r="A24" s="172"/>
      <c r="B24" s="170"/>
      <c r="C24" s="165"/>
      <c r="D24" s="171"/>
      <c r="E24" s="189"/>
      <c r="F24" s="188"/>
      <c r="G24" s="188"/>
      <c r="H24" s="189"/>
      <c r="I24" s="189"/>
      <c r="J24" s="189"/>
      <c r="K24" s="190" t="str">
        <f t="shared" si="0"/>
        <v/>
      </c>
      <c r="L24" s="190" t="str">
        <f t="shared" si="1"/>
        <v/>
      </c>
      <c r="M24" s="188"/>
      <c r="N24" s="188"/>
      <c r="O24" s="188"/>
      <c r="P24" s="188"/>
      <c r="Q24" s="188"/>
      <c r="R24" s="188"/>
      <c r="S24" s="214"/>
      <c r="T24" s="208"/>
      <c r="U24" s="220"/>
      <c r="V24" s="220"/>
      <c r="W24" s="220"/>
      <c r="X24" s="220"/>
      <c r="Y24" s="220"/>
      <c r="Z24" s="220"/>
      <c r="AA24" s="220"/>
      <c r="AB24" s="220"/>
      <c r="AC24" s="220"/>
      <c r="AD24" s="220"/>
      <c r="AE24" s="220"/>
      <c r="AF24" s="220"/>
      <c r="AG24" s="219"/>
      <c r="AH24" s="225">
        <f>SUM(PORTEFEUILLE_MARIE_PIERRE[[#This Row],[PCR COMPTABLE €]:[MONTANT
RESPONSABLE RELATION CLIENT €]])-PORTEFEUILLE_MARIE_PIERRE[[#This Row],[MONTANT TOTAL LETTRE DE MISION €]]</f>
        <v>0</v>
      </c>
      <c r="AI24" s="191"/>
      <c r="AJ24" s="188"/>
      <c r="AK24" s="188"/>
      <c r="AL24" s="196"/>
      <c r="AM24" s="196"/>
      <c r="AN24" s="196"/>
      <c r="AO24" s="196"/>
      <c r="AP24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Q24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R24" s="188" t="str">
        <f>IF(PORTEFEUILLE_MARIE_PIERRE[[#This Row],[BONI AAC]]&lt;&gt;0,1,"")</f>
        <v/>
      </c>
      <c r="AS24" s="188" t="str">
        <f>IF(PORTEFEUILLE_MARIE_PIERRE[[#This Row],[MALI AAC]]&lt;&gt;0,1,"")</f>
        <v/>
      </c>
      <c r="AT24" s="225">
        <f>IF(AN24&lt;&gt;"",IF((AN24*Paramètres!$H$4)-PORTEFEUILLE_MARIE_PIERRE[[#This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€]]-(DELPHINE!AN24*Paramètres!$H$4),0),0)</f>
        <v>0</v>
      </c>
      <c r="AU24" s="225">
        <f>IF(AN24&lt;&gt;"",IF(((AN24*Paramètres!$H$4)-PORTEFEUILLE_MARIE_PIERRE[[#This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€]])&gt;0,(AN24*Paramètres!$H$4)-PORTEFEUILLE_MARIE_PIERRE[[#This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V24" s="190" t="str">
        <f>IF(PORTEFEUILLE_MARIE_PIERRE[[#This Row],[BONI COMPTABLE]]&lt;&gt;0,1,"")</f>
        <v/>
      </c>
      <c r="AW24" s="190" t="str">
        <f>IF(PORTEFEUILLE_MARIE_PIERRE[[#This Row],[MALI COMPTABLE]]&lt;&gt;0,1,"")</f>
        <v/>
      </c>
      <c r="AX24" s="196"/>
      <c r="AY24" s="188"/>
      <c r="AZ24" s="188"/>
      <c r="BA24" s="188"/>
      <c r="BB24" s="188"/>
      <c r="BC24" s="188"/>
      <c r="BD24" s="188"/>
      <c r="BE24" s="192"/>
      <c r="BF24" s="194"/>
      <c r="BG24" s="194"/>
      <c r="BH24" s="195"/>
      <c r="BI24" s="194"/>
    </row>
    <row r="25" spans="1:61" x14ac:dyDescent="0.25">
      <c r="A25" s="172"/>
      <c r="B25" s="170"/>
      <c r="C25" s="165"/>
      <c r="D25" s="171"/>
      <c r="E25" s="189"/>
      <c r="F25" s="188"/>
      <c r="G25" s="188"/>
      <c r="H25" s="189"/>
      <c r="I25" s="189"/>
      <c r="J25" s="189"/>
      <c r="K25" s="190" t="str">
        <f t="shared" si="0"/>
        <v/>
      </c>
      <c r="L25" s="190" t="str">
        <f t="shared" si="1"/>
        <v/>
      </c>
      <c r="M25" s="188"/>
      <c r="N25" s="188"/>
      <c r="O25" s="188"/>
      <c r="P25" s="188"/>
      <c r="Q25" s="188"/>
      <c r="R25" s="188"/>
      <c r="S25" s="214"/>
      <c r="T25" s="208"/>
      <c r="U25" s="220"/>
      <c r="V25" s="220"/>
      <c r="W25" s="220"/>
      <c r="X25" s="220"/>
      <c r="Y25" s="220"/>
      <c r="Z25" s="220"/>
      <c r="AA25" s="220"/>
      <c r="AB25" s="220"/>
      <c r="AC25" s="220"/>
      <c r="AD25" s="220"/>
      <c r="AE25" s="220"/>
      <c r="AF25" s="220"/>
      <c r="AG25" s="219"/>
      <c r="AH25" s="225">
        <f>SUM(PORTEFEUILLE_MARIE_PIERRE[[#This Row],[PCR COMPTABLE €]:[MONTANT
RESPONSABLE RELATION CLIENT €]])-PORTEFEUILLE_MARIE_PIERRE[[#This Row],[MONTANT TOTAL LETTRE DE MISION €]]</f>
        <v>0</v>
      </c>
      <c r="AI25" s="191"/>
      <c r="AJ25" s="188"/>
      <c r="AK25" s="188"/>
      <c r="AL25" s="196"/>
      <c r="AM25" s="196"/>
      <c r="AN25" s="196"/>
      <c r="AO25" s="196"/>
      <c r="AP25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Q25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R25" s="188" t="str">
        <f>IF(PORTEFEUILLE_MARIE_PIERRE[[#This Row],[BONI AAC]]&lt;&gt;0,1,"")</f>
        <v/>
      </c>
      <c r="AS25" s="188" t="str">
        <f>IF(PORTEFEUILLE_MARIE_PIERRE[[#This Row],[MALI AAC]]&lt;&gt;0,1,"")</f>
        <v/>
      </c>
      <c r="AT25" s="225">
        <f>IF(AN25&lt;&gt;"",IF((AN25*Paramètres!$H$4)-PORTEFEUILLE_MARIE_PIERRE[[#This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€]]-(DELPHINE!AN25*Paramètres!$H$4),0),0)</f>
        <v>0</v>
      </c>
      <c r="AU25" s="225">
        <f>IF(AN25&lt;&gt;"",IF(((AN25*Paramètres!$H$4)-PORTEFEUILLE_MARIE_PIERRE[[#This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€]])&gt;0,(AN25*Paramètres!$H$4)-PORTEFEUILLE_MARIE_PIERRE[[#This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V25" s="190" t="str">
        <f>IF(PORTEFEUILLE_MARIE_PIERRE[[#This Row],[BONI COMPTABLE]]&lt;&gt;0,1,"")</f>
        <v/>
      </c>
      <c r="AW25" s="190" t="str">
        <f>IF(PORTEFEUILLE_MARIE_PIERRE[[#This Row],[MALI COMPTABLE]]&lt;&gt;0,1,"")</f>
        <v/>
      </c>
      <c r="AX25" s="196"/>
      <c r="AY25" s="188"/>
      <c r="AZ25" s="188"/>
      <c r="BA25" s="188"/>
      <c r="BB25" s="188"/>
      <c r="BC25" s="188"/>
      <c r="BD25" s="188"/>
      <c r="BE25" s="192"/>
      <c r="BF25" s="194"/>
      <c r="BG25" s="194"/>
      <c r="BH25" s="195"/>
      <c r="BI25" s="194"/>
    </row>
    <row r="26" spans="1:61" x14ac:dyDescent="0.25">
      <c r="A26" s="172"/>
      <c r="B26" s="170"/>
      <c r="C26" s="165"/>
      <c r="D26" s="171"/>
      <c r="E26" s="189"/>
      <c r="F26" s="188"/>
      <c r="G26" s="188"/>
      <c r="H26" s="189"/>
      <c r="I26" s="189"/>
      <c r="J26" s="189"/>
      <c r="K26" s="190" t="str">
        <f t="shared" si="0"/>
        <v/>
      </c>
      <c r="L26" s="190" t="str">
        <f t="shared" si="1"/>
        <v/>
      </c>
      <c r="M26" s="188"/>
      <c r="N26" s="188"/>
      <c r="O26" s="188"/>
      <c r="P26" s="188"/>
      <c r="Q26" s="188"/>
      <c r="R26" s="188"/>
      <c r="S26" s="214"/>
      <c r="T26" s="208"/>
      <c r="U26" s="220"/>
      <c r="V26" s="220"/>
      <c r="W26" s="220"/>
      <c r="X26" s="220"/>
      <c r="Y26" s="220"/>
      <c r="Z26" s="220"/>
      <c r="AA26" s="220"/>
      <c r="AB26" s="220"/>
      <c r="AC26" s="220"/>
      <c r="AD26" s="220"/>
      <c r="AE26" s="220"/>
      <c r="AF26" s="220"/>
      <c r="AG26" s="219"/>
      <c r="AH26" s="225">
        <f>SUM(PORTEFEUILLE_MARIE_PIERRE[[#This Row],[PCR COMPTABLE €]:[MONTANT
RESPONSABLE RELATION CLIENT €]])-PORTEFEUILLE_MARIE_PIERRE[[#This Row],[MONTANT TOTAL LETTRE DE MISION €]]</f>
        <v>0</v>
      </c>
      <c r="AI26" s="191"/>
      <c r="AJ26" s="188"/>
      <c r="AK26" s="188"/>
      <c r="AL26" s="196"/>
      <c r="AM26" s="196"/>
      <c r="AN26" s="196"/>
      <c r="AO26" s="196"/>
      <c r="AP26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Q26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R26" s="188" t="str">
        <f>IF(PORTEFEUILLE_MARIE_PIERRE[[#This Row],[BONI AAC]]&lt;&gt;0,1,"")</f>
        <v/>
      </c>
      <c r="AS26" s="188" t="str">
        <f>IF(PORTEFEUILLE_MARIE_PIERRE[[#This Row],[MALI AAC]]&lt;&gt;0,1,"")</f>
        <v/>
      </c>
      <c r="AT26" s="225">
        <f>IF(AN26&lt;&gt;"",IF((AN26*Paramètres!$H$4)-PORTEFEUILLE_MARIE_PIERRE[[#This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€]]-(DELPHINE!AN26*Paramètres!$H$4),0),0)</f>
        <v>0</v>
      </c>
      <c r="AU26" s="225">
        <f>IF(AN26&lt;&gt;"",IF(((AN26*Paramètres!$H$4)-PORTEFEUILLE_MARIE_PIERRE[[#This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€]])&gt;0,(AN26*Paramètres!$H$4)-PORTEFEUILLE_MARIE_PIERRE[[#This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V26" s="190" t="str">
        <f>IF(PORTEFEUILLE_MARIE_PIERRE[[#This Row],[BONI COMPTABLE]]&lt;&gt;0,1,"")</f>
        <v/>
      </c>
      <c r="AW26" s="190" t="str">
        <f>IF(PORTEFEUILLE_MARIE_PIERRE[[#This Row],[MALI COMPTABLE]]&lt;&gt;0,1,"")</f>
        <v/>
      </c>
      <c r="AX26" s="196"/>
      <c r="AY26" s="188"/>
      <c r="AZ26" s="188"/>
      <c r="BA26" s="188"/>
      <c r="BB26" s="188"/>
      <c r="BC26" s="188"/>
      <c r="BD26" s="188"/>
      <c r="BE26" s="192"/>
      <c r="BF26" s="194"/>
      <c r="BG26" s="194"/>
      <c r="BH26" s="195"/>
      <c r="BI26" s="194"/>
    </row>
    <row r="27" spans="1:61" x14ac:dyDescent="0.25">
      <c r="A27" s="172"/>
      <c r="B27" s="170"/>
      <c r="C27" s="165"/>
      <c r="D27" s="171"/>
      <c r="E27" s="189"/>
      <c r="F27" s="188"/>
      <c r="G27" s="188"/>
      <c r="H27" s="189"/>
      <c r="I27" s="189"/>
      <c r="J27" s="189"/>
      <c r="K27" s="190" t="str">
        <f t="shared" si="0"/>
        <v/>
      </c>
      <c r="L27" s="190" t="str">
        <f t="shared" si="1"/>
        <v/>
      </c>
      <c r="M27" s="188"/>
      <c r="N27" s="188"/>
      <c r="O27" s="188"/>
      <c r="P27" s="188"/>
      <c r="Q27" s="188"/>
      <c r="R27" s="188"/>
      <c r="S27" s="214"/>
      <c r="T27" s="208"/>
      <c r="U27" s="220"/>
      <c r="V27" s="220"/>
      <c r="W27" s="220"/>
      <c r="X27" s="220"/>
      <c r="Y27" s="220"/>
      <c r="Z27" s="220"/>
      <c r="AA27" s="220"/>
      <c r="AB27" s="220"/>
      <c r="AC27" s="220"/>
      <c r="AD27" s="220"/>
      <c r="AE27" s="220"/>
      <c r="AF27" s="220"/>
      <c r="AG27" s="219"/>
      <c r="AH27" s="225">
        <f>SUM(PORTEFEUILLE_MARIE_PIERRE[[#This Row],[PCR COMPTABLE €]:[MONTANT
RESPONSABLE RELATION CLIENT €]])-PORTEFEUILLE_MARIE_PIERRE[[#This Row],[MONTANT TOTAL LETTRE DE MISION €]]</f>
        <v>0</v>
      </c>
      <c r="AI27" s="191"/>
      <c r="AJ27" s="188"/>
      <c r="AK27" s="188"/>
      <c r="AL27" s="196"/>
      <c r="AM27" s="196"/>
      <c r="AN27" s="196"/>
      <c r="AO27" s="196"/>
      <c r="AP27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Q27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R27" s="188" t="str">
        <f>IF(PORTEFEUILLE_MARIE_PIERRE[[#This Row],[BONI AAC]]&lt;&gt;0,1,"")</f>
        <v/>
      </c>
      <c r="AS27" s="188" t="str">
        <f>IF(PORTEFEUILLE_MARIE_PIERRE[[#This Row],[MALI AAC]]&lt;&gt;0,1,"")</f>
        <v/>
      </c>
      <c r="AT27" s="225">
        <f>IF(AN27&lt;&gt;"",IF((AN27*Paramètres!$H$4)-PORTEFEUILLE_MARIE_PIERRE[[#This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€]]-(DELPHINE!AN27*Paramètres!$H$4),0),0)</f>
        <v>0</v>
      </c>
      <c r="AU27" s="225">
        <f>IF(AN27&lt;&gt;"",IF(((AN27*Paramètres!$H$4)-PORTEFEUILLE_MARIE_PIERRE[[#This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€]])&gt;0,(AN27*Paramètres!$H$4)-PORTEFEUILLE_MARIE_PIERRE[[#This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V27" s="190" t="str">
        <f>IF(PORTEFEUILLE_MARIE_PIERRE[[#This Row],[BONI COMPTABLE]]&lt;&gt;0,1,"")</f>
        <v/>
      </c>
      <c r="AW27" s="190" t="str">
        <f>IF(PORTEFEUILLE_MARIE_PIERRE[[#This Row],[MALI COMPTABLE]]&lt;&gt;0,1,"")</f>
        <v/>
      </c>
      <c r="AX27" s="196"/>
      <c r="AY27" s="188"/>
      <c r="AZ27" s="188"/>
      <c r="BA27" s="188"/>
      <c r="BB27" s="188"/>
      <c r="BC27" s="188"/>
      <c r="BD27" s="188"/>
      <c r="BE27" s="192"/>
      <c r="BF27" s="194"/>
      <c r="BG27" s="194"/>
      <c r="BH27" s="195"/>
      <c r="BI27" s="194"/>
    </row>
    <row r="28" spans="1:61" s="90" customFormat="1" x14ac:dyDescent="0.25">
      <c r="A28" s="176"/>
      <c r="B28" s="170"/>
      <c r="C28" s="165"/>
      <c r="D28" s="171"/>
      <c r="E28" s="189"/>
      <c r="F28" s="188"/>
      <c r="G28" s="189"/>
      <c r="H28" s="189"/>
      <c r="I28" s="189"/>
      <c r="J28" s="189"/>
      <c r="K28" s="190" t="str">
        <f t="shared" si="0"/>
        <v/>
      </c>
      <c r="L28" s="190" t="str">
        <f t="shared" si="1"/>
        <v/>
      </c>
      <c r="M28" s="188"/>
      <c r="N28" s="188"/>
      <c r="O28" s="188"/>
      <c r="P28" s="188"/>
      <c r="Q28" s="188"/>
      <c r="R28" s="188"/>
      <c r="S28" s="213"/>
      <c r="T28" s="207"/>
      <c r="U28" s="219"/>
      <c r="V28" s="219"/>
      <c r="W28" s="219"/>
      <c r="X28" s="219"/>
      <c r="Y28" s="219"/>
      <c r="Z28" s="219"/>
      <c r="AA28" s="219"/>
      <c r="AB28" s="219"/>
      <c r="AC28" s="219"/>
      <c r="AD28" s="219"/>
      <c r="AE28" s="219"/>
      <c r="AF28" s="219"/>
      <c r="AG28" s="219"/>
      <c r="AH28" s="225">
        <f>SUM(PORTEFEUILLE_MARIE_PIERRE[[#This Row],[PCR COMPTABLE €]:[MONTANT
RESPONSABLE RELATION CLIENT €]])-PORTEFEUILLE_MARIE_PIERRE[[#This Row],[MONTANT TOTAL LETTRE DE MISION €]]</f>
        <v>0</v>
      </c>
      <c r="AI28" s="191"/>
      <c r="AJ28" s="188"/>
      <c r="AK28" s="188"/>
      <c r="AL28" s="188"/>
      <c r="AM28" s="188"/>
      <c r="AN28" s="188"/>
      <c r="AO28" s="188"/>
      <c r="AP28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Q28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R28" s="188" t="str">
        <f>IF(PORTEFEUILLE_MARIE_PIERRE[[#This Row],[BONI AAC]]&lt;&gt;0,1,"")</f>
        <v/>
      </c>
      <c r="AS28" s="188" t="str">
        <f>IF(PORTEFEUILLE_MARIE_PIERRE[[#This Row],[MALI AAC]]&lt;&gt;0,1,"")</f>
        <v/>
      </c>
      <c r="AT28" s="225">
        <f>IF(AN28&lt;&gt;"",IF((AN28*Paramètres!$H$4)-PORTEFEUILLE_MARIE_PIERRE[[#This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€]]-(DELPHINE!AN28*Paramètres!$H$4),0),0)</f>
        <v>0</v>
      </c>
      <c r="AU28" s="225">
        <f>IF(AN28&lt;&gt;"",IF(((AN28*Paramètres!$H$4)-PORTEFEUILLE_MARIE_PIERRE[[#This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€]])&gt;0,(AN28*Paramètres!$H$4)-PORTEFEUILLE_MARIE_PIERRE[[#This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V28" s="190" t="str">
        <f>IF(PORTEFEUILLE_MARIE_PIERRE[[#This Row],[BONI COMPTABLE]]&lt;&gt;0,1,"")</f>
        <v/>
      </c>
      <c r="AW28" s="190" t="str">
        <f>IF(PORTEFEUILLE_MARIE_PIERRE[[#This Row],[MALI COMPTABLE]]&lt;&gt;0,1,"")</f>
        <v/>
      </c>
      <c r="AX28" s="188"/>
      <c r="AY28" s="188"/>
      <c r="AZ28" s="188"/>
      <c r="BA28" s="188"/>
      <c r="BB28" s="196"/>
      <c r="BC28" s="196"/>
      <c r="BD28" s="196"/>
      <c r="BE28" s="192"/>
      <c r="BF28" s="196"/>
      <c r="BG28" s="196"/>
      <c r="BH28" s="198"/>
      <c r="BI28" s="196"/>
    </row>
    <row r="29" spans="1:61" x14ac:dyDescent="0.25">
      <c r="A29" s="172"/>
      <c r="B29" s="170"/>
      <c r="C29" s="165"/>
      <c r="D29" s="171"/>
      <c r="E29" s="189"/>
      <c r="F29" s="188"/>
      <c r="G29" s="189"/>
      <c r="H29" s="189"/>
      <c r="I29" s="189"/>
      <c r="J29" s="189"/>
      <c r="K29" s="190" t="str">
        <f t="shared" si="0"/>
        <v/>
      </c>
      <c r="L29" s="190" t="str">
        <f t="shared" si="1"/>
        <v/>
      </c>
      <c r="M29" s="188"/>
      <c r="N29" s="188"/>
      <c r="O29" s="188"/>
      <c r="P29" s="188"/>
      <c r="Q29" s="188"/>
      <c r="R29" s="188"/>
      <c r="S29" s="213"/>
      <c r="T29" s="207"/>
      <c r="U29" s="219"/>
      <c r="V29" s="219"/>
      <c r="W29" s="219"/>
      <c r="X29" s="219"/>
      <c r="Y29" s="219"/>
      <c r="Z29" s="219"/>
      <c r="AA29" s="219"/>
      <c r="AB29" s="219"/>
      <c r="AC29" s="219"/>
      <c r="AD29" s="219"/>
      <c r="AE29" s="219"/>
      <c r="AF29" s="219"/>
      <c r="AG29" s="219"/>
      <c r="AH29" s="225">
        <f>SUM(PORTEFEUILLE_MARIE_PIERRE[[#This Row],[PCR COMPTABLE €]:[MONTANT
RESPONSABLE RELATION CLIENT €]])-PORTEFEUILLE_MARIE_PIERRE[[#This Row],[MONTANT TOTAL LETTRE DE MISION €]]</f>
        <v>0</v>
      </c>
      <c r="AI29" s="191"/>
      <c r="AJ29" s="188"/>
      <c r="AK29" s="188"/>
      <c r="AL29" s="188"/>
      <c r="AM29" s="188"/>
      <c r="AN29" s="188"/>
      <c r="AO29" s="188"/>
      <c r="AP29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Q29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R29" s="188" t="str">
        <f>IF(PORTEFEUILLE_MARIE_PIERRE[[#This Row],[BONI AAC]]&lt;&gt;0,1,"")</f>
        <v/>
      </c>
      <c r="AS29" s="188" t="str">
        <f>IF(PORTEFEUILLE_MARIE_PIERRE[[#This Row],[MALI AAC]]&lt;&gt;0,1,"")</f>
        <v/>
      </c>
      <c r="AT29" s="225">
        <f>IF(AN29&lt;&gt;"",IF((AN29*Paramètres!$H$4)-PORTEFEUILLE_MARIE_PIERRE[[#This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€]]-(DELPHINE!AN29*Paramètres!$H$4),0),0)</f>
        <v>0</v>
      </c>
      <c r="AU29" s="225">
        <f>IF(AN29&lt;&gt;"",IF(((AN29*Paramètres!$H$4)-PORTEFEUILLE_MARIE_PIERRE[[#This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€]])&gt;0,(AN29*Paramètres!$H$4)-PORTEFEUILLE_MARIE_PIERRE[[#This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V29" s="190" t="str">
        <f>IF(PORTEFEUILLE_MARIE_PIERRE[[#This Row],[BONI COMPTABLE]]&lt;&gt;0,1,"")</f>
        <v/>
      </c>
      <c r="AW29" s="190" t="str">
        <f>IF(PORTEFEUILLE_MARIE_PIERRE[[#This Row],[MALI COMPTABLE]]&lt;&gt;0,1,"")</f>
        <v/>
      </c>
      <c r="AX29" s="188"/>
      <c r="AY29" s="188"/>
      <c r="AZ29" s="188"/>
      <c r="BA29" s="188"/>
      <c r="BB29" s="196"/>
      <c r="BC29" s="196"/>
      <c r="BD29" s="196"/>
      <c r="BE29" s="192"/>
      <c r="BF29" s="194"/>
      <c r="BG29" s="194"/>
      <c r="BH29" s="195"/>
      <c r="BI29" s="194"/>
    </row>
    <row r="30" spans="1:61" x14ac:dyDescent="0.25">
      <c r="A30" s="172"/>
      <c r="B30" s="170"/>
      <c r="C30" s="165"/>
      <c r="D30" s="171"/>
      <c r="E30" s="189"/>
      <c r="F30" s="188"/>
      <c r="G30" s="189"/>
      <c r="H30" s="189"/>
      <c r="I30" s="189"/>
      <c r="J30" s="189"/>
      <c r="K30" s="190" t="str">
        <f t="shared" si="0"/>
        <v/>
      </c>
      <c r="L30" s="190" t="str">
        <f t="shared" si="1"/>
        <v/>
      </c>
      <c r="M30" s="188"/>
      <c r="N30" s="188"/>
      <c r="O30" s="188"/>
      <c r="P30" s="188"/>
      <c r="Q30" s="188"/>
      <c r="R30" s="188"/>
      <c r="S30" s="213"/>
      <c r="T30" s="207"/>
      <c r="U30" s="219"/>
      <c r="V30" s="219"/>
      <c r="W30" s="219"/>
      <c r="X30" s="219"/>
      <c r="Y30" s="219"/>
      <c r="Z30" s="219"/>
      <c r="AA30" s="219"/>
      <c r="AB30" s="219"/>
      <c r="AC30" s="219"/>
      <c r="AD30" s="219"/>
      <c r="AE30" s="219"/>
      <c r="AF30" s="219"/>
      <c r="AG30" s="219"/>
      <c r="AH30" s="225">
        <f>SUM(PORTEFEUILLE_MARIE_PIERRE[[#This Row],[PCR COMPTABLE €]:[MONTANT
RESPONSABLE RELATION CLIENT €]])-PORTEFEUILLE_MARIE_PIERRE[[#This Row],[MONTANT TOTAL LETTRE DE MISION €]]</f>
        <v>0</v>
      </c>
      <c r="AI30" s="191"/>
      <c r="AJ30" s="188"/>
      <c r="AK30" s="188"/>
      <c r="AL30" s="188"/>
      <c r="AM30" s="188"/>
      <c r="AN30" s="188"/>
      <c r="AO30" s="188"/>
      <c r="AP30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Q30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R30" s="188" t="str">
        <f>IF(PORTEFEUILLE_MARIE_PIERRE[[#This Row],[BONI AAC]]&lt;&gt;0,1,"")</f>
        <v/>
      </c>
      <c r="AS30" s="188" t="str">
        <f>IF(PORTEFEUILLE_MARIE_PIERRE[[#This Row],[MALI AAC]]&lt;&gt;0,1,"")</f>
        <v/>
      </c>
      <c r="AT30" s="225">
        <f>IF(AN30&lt;&gt;"",IF((AN30*Paramètres!$H$4)-PORTEFEUILLE_MARIE_PIERRE[[#This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€]]-(DELPHINE!AN30*Paramètres!$H$4),0),0)</f>
        <v>0</v>
      </c>
      <c r="AU30" s="225">
        <f>IF(AN30&lt;&gt;"",IF(((AN30*Paramètres!$H$4)-PORTEFEUILLE_MARIE_PIERRE[[#This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€]])&gt;0,(AN30*Paramètres!$H$4)-PORTEFEUILLE_MARIE_PIERRE[[#This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V30" s="190" t="str">
        <f>IF(PORTEFEUILLE_MARIE_PIERRE[[#This Row],[BONI COMPTABLE]]&lt;&gt;0,1,"")</f>
        <v/>
      </c>
      <c r="AW30" s="190" t="str">
        <f>IF(PORTEFEUILLE_MARIE_PIERRE[[#This Row],[MALI COMPTABLE]]&lt;&gt;0,1,"")</f>
        <v/>
      </c>
      <c r="AX30" s="188"/>
      <c r="AY30" s="188"/>
      <c r="AZ30" s="188"/>
      <c r="BA30" s="188"/>
      <c r="BB30" s="188"/>
      <c r="BC30" s="188"/>
      <c r="BD30" s="188"/>
      <c r="BE30" s="192"/>
      <c r="BF30" s="194"/>
      <c r="BG30" s="194"/>
      <c r="BH30" s="195"/>
      <c r="BI30" s="194"/>
    </row>
    <row r="31" spans="1:61" x14ac:dyDescent="0.25">
      <c r="A31" s="172"/>
      <c r="B31" s="170"/>
      <c r="C31" s="165"/>
      <c r="D31" s="171"/>
      <c r="E31" s="189"/>
      <c r="F31" s="188"/>
      <c r="G31" s="189"/>
      <c r="H31" s="189"/>
      <c r="I31" s="189"/>
      <c r="J31" s="189"/>
      <c r="K31" s="190" t="str">
        <f t="shared" si="0"/>
        <v/>
      </c>
      <c r="L31" s="190" t="str">
        <f t="shared" si="1"/>
        <v/>
      </c>
      <c r="M31" s="188"/>
      <c r="N31" s="188"/>
      <c r="O31" s="188"/>
      <c r="P31" s="188"/>
      <c r="Q31" s="188"/>
      <c r="R31" s="188"/>
      <c r="S31" s="213"/>
      <c r="T31" s="207"/>
      <c r="U31" s="219"/>
      <c r="V31" s="219"/>
      <c r="W31" s="219"/>
      <c r="X31" s="219"/>
      <c r="Y31" s="219"/>
      <c r="Z31" s="219"/>
      <c r="AA31" s="219"/>
      <c r="AB31" s="219"/>
      <c r="AC31" s="219"/>
      <c r="AD31" s="219"/>
      <c r="AE31" s="219"/>
      <c r="AF31" s="219"/>
      <c r="AG31" s="219"/>
      <c r="AH31" s="225">
        <f>SUM(PORTEFEUILLE_MARIE_PIERRE[[#This Row],[PCR COMPTABLE €]:[MONTANT
RESPONSABLE RELATION CLIENT €]])-PORTEFEUILLE_MARIE_PIERRE[[#This Row],[MONTANT TOTAL LETTRE DE MISION €]]</f>
        <v>0</v>
      </c>
      <c r="AI31" s="191"/>
      <c r="AJ31" s="188"/>
      <c r="AK31" s="188"/>
      <c r="AL31" s="188"/>
      <c r="AM31" s="188"/>
      <c r="AN31" s="188"/>
      <c r="AO31" s="188"/>
      <c r="AP31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Q31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R31" s="188" t="str">
        <f>IF(PORTEFEUILLE_MARIE_PIERRE[[#This Row],[BONI AAC]]&lt;&gt;0,1,"")</f>
        <v/>
      </c>
      <c r="AS31" s="188" t="str">
        <f>IF(PORTEFEUILLE_MARIE_PIERRE[[#This Row],[MALI AAC]]&lt;&gt;0,1,"")</f>
        <v/>
      </c>
      <c r="AT31" s="225">
        <f>IF(AN31&lt;&gt;"",IF((AN31*Paramètres!$H$4)-PORTEFEUILLE_MARIE_PIERRE[[#This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€]]-(DELPHINE!AN31*Paramètres!$H$4),0),0)</f>
        <v>0</v>
      </c>
      <c r="AU31" s="225">
        <f>IF(AN31&lt;&gt;"",IF(((AN31*Paramètres!$H$4)-PORTEFEUILLE_MARIE_PIERRE[[#This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€]])&gt;0,(AN31*Paramètres!$H$4)-PORTEFEUILLE_MARIE_PIERRE[[#This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V31" s="190" t="str">
        <f>IF(PORTEFEUILLE_MARIE_PIERRE[[#This Row],[BONI COMPTABLE]]&lt;&gt;0,1,"")</f>
        <v/>
      </c>
      <c r="AW31" s="190" t="str">
        <f>IF(PORTEFEUILLE_MARIE_PIERRE[[#This Row],[MALI COMPTABLE]]&lt;&gt;0,1,"")</f>
        <v/>
      </c>
      <c r="AX31" s="188"/>
      <c r="AY31" s="188"/>
      <c r="AZ31" s="188"/>
      <c r="BA31" s="188"/>
      <c r="BB31" s="196"/>
      <c r="BC31" s="196"/>
      <c r="BD31" s="196"/>
      <c r="BE31" s="192"/>
      <c r="BF31" s="194"/>
      <c r="BG31" s="194"/>
      <c r="BH31" s="195"/>
      <c r="BI31" s="194"/>
    </row>
    <row r="32" spans="1:61" x14ac:dyDescent="0.25">
      <c r="A32" s="172"/>
      <c r="B32" s="177"/>
      <c r="C32" s="165"/>
      <c r="D32" s="171"/>
      <c r="E32" s="189"/>
      <c r="F32" s="188"/>
      <c r="G32" s="189"/>
      <c r="H32" s="189"/>
      <c r="I32" s="189"/>
      <c r="J32" s="189"/>
      <c r="K32" s="190" t="str">
        <f t="shared" si="0"/>
        <v/>
      </c>
      <c r="L32" s="190" t="str">
        <f t="shared" si="1"/>
        <v/>
      </c>
      <c r="M32" s="188"/>
      <c r="N32" s="188"/>
      <c r="O32" s="188"/>
      <c r="P32" s="188"/>
      <c r="Q32" s="188"/>
      <c r="R32" s="188"/>
      <c r="S32" s="213"/>
      <c r="T32" s="207"/>
      <c r="U32" s="219"/>
      <c r="V32" s="219"/>
      <c r="W32" s="219"/>
      <c r="X32" s="219"/>
      <c r="Y32" s="219"/>
      <c r="Z32" s="219"/>
      <c r="AA32" s="219"/>
      <c r="AB32" s="219"/>
      <c r="AC32" s="219"/>
      <c r="AD32" s="219"/>
      <c r="AE32" s="219"/>
      <c r="AF32" s="219"/>
      <c r="AG32" s="219"/>
      <c r="AH32" s="225">
        <f>SUM(PORTEFEUILLE_MARIE_PIERRE[[#This Row],[PCR COMPTABLE €]:[MONTANT
RESPONSABLE RELATION CLIENT €]])-PORTEFEUILLE_MARIE_PIERRE[[#This Row],[MONTANT TOTAL LETTRE DE MISION €]]</f>
        <v>0</v>
      </c>
      <c r="AI32" s="191"/>
      <c r="AJ32" s="188"/>
      <c r="AK32" s="188"/>
      <c r="AL32" s="188"/>
      <c r="AM32" s="188"/>
      <c r="AN32" s="188"/>
      <c r="AO32" s="188"/>
      <c r="AP32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Q32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R32" s="188" t="str">
        <f>IF(PORTEFEUILLE_MARIE_PIERRE[[#This Row],[BONI AAC]]&lt;&gt;0,1,"")</f>
        <v/>
      </c>
      <c r="AS32" s="188" t="str">
        <f>IF(PORTEFEUILLE_MARIE_PIERRE[[#This Row],[MALI AAC]]&lt;&gt;0,1,"")</f>
        <v/>
      </c>
      <c r="AT32" s="225">
        <f>IF(AN32&lt;&gt;"",IF((AN32*Paramètres!$H$4)-PORTEFEUILLE_MARIE_PIERRE[[#This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€]]-(DELPHINE!AN32*Paramètres!$H$4),0),0)</f>
        <v>0</v>
      </c>
      <c r="AU32" s="225">
        <f>IF(AN32&lt;&gt;"",IF(((AN32*Paramètres!$H$4)-PORTEFEUILLE_MARIE_PIERRE[[#This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€]])&gt;0,(AN32*Paramètres!$H$4)-PORTEFEUILLE_MARIE_PIERRE[[#This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V32" s="190" t="str">
        <f>IF(PORTEFEUILLE_MARIE_PIERRE[[#This Row],[BONI COMPTABLE]]&lt;&gt;0,1,"")</f>
        <v/>
      </c>
      <c r="AW32" s="190" t="str">
        <f>IF(PORTEFEUILLE_MARIE_PIERRE[[#This Row],[MALI COMPTABLE]]&lt;&gt;0,1,"")</f>
        <v/>
      </c>
      <c r="AX32" s="188"/>
      <c r="AY32" s="188"/>
      <c r="AZ32" s="188"/>
      <c r="BA32" s="188"/>
      <c r="BB32" s="188"/>
      <c r="BC32" s="188"/>
      <c r="BD32" s="188"/>
      <c r="BE32" s="192"/>
      <c r="BF32" s="194"/>
      <c r="BG32" s="194"/>
      <c r="BH32" s="195"/>
      <c r="BI32" s="194"/>
    </row>
    <row r="33" spans="1:61" x14ac:dyDescent="0.25">
      <c r="A33" s="172"/>
      <c r="B33" s="177"/>
      <c r="C33" s="165"/>
      <c r="D33" s="171"/>
      <c r="E33" s="189"/>
      <c r="F33" s="188"/>
      <c r="G33" s="188"/>
      <c r="H33" s="189"/>
      <c r="I33" s="188"/>
      <c r="J33" s="189"/>
      <c r="K33" s="190" t="str">
        <f t="shared" si="0"/>
        <v/>
      </c>
      <c r="L33" s="190" t="str">
        <f t="shared" si="1"/>
        <v/>
      </c>
      <c r="M33" s="188"/>
      <c r="N33" s="188"/>
      <c r="O33" s="188"/>
      <c r="P33" s="188"/>
      <c r="Q33" s="188"/>
      <c r="R33" s="188"/>
      <c r="S33" s="214"/>
      <c r="T33" s="208"/>
      <c r="U33" s="220"/>
      <c r="V33" s="220"/>
      <c r="W33" s="220"/>
      <c r="X33" s="220"/>
      <c r="Y33" s="220"/>
      <c r="Z33" s="220"/>
      <c r="AA33" s="220"/>
      <c r="AB33" s="220"/>
      <c r="AC33" s="220"/>
      <c r="AD33" s="220"/>
      <c r="AE33" s="220"/>
      <c r="AF33" s="220"/>
      <c r="AG33" s="219"/>
      <c r="AH33" s="225">
        <f>SUM(PORTEFEUILLE_MARIE_PIERRE[[#This Row],[PCR COMPTABLE €]:[MONTANT
RESPONSABLE RELATION CLIENT €]])-PORTEFEUILLE_MARIE_PIERRE[[#This Row],[MONTANT TOTAL LETTRE DE MISION €]]</f>
        <v>0</v>
      </c>
      <c r="AI33" s="191"/>
      <c r="AJ33" s="188"/>
      <c r="AK33" s="188"/>
      <c r="AL33" s="196"/>
      <c r="AM33" s="196"/>
      <c r="AN33" s="196"/>
      <c r="AO33" s="196"/>
      <c r="AP33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Q33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R33" s="188" t="str">
        <f>IF(PORTEFEUILLE_MARIE_PIERRE[[#This Row],[BONI AAC]]&lt;&gt;0,1,"")</f>
        <v/>
      </c>
      <c r="AS33" s="188" t="str">
        <f>IF(PORTEFEUILLE_MARIE_PIERRE[[#This Row],[MALI AAC]]&lt;&gt;0,1,"")</f>
        <v/>
      </c>
      <c r="AT33" s="225">
        <f>IF(AN33&lt;&gt;"",IF((AN33*Paramètres!$H$4)-PORTEFEUILLE_MARIE_PIERRE[[#This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€]]-(DELPHINE!AN33*Paramètres!$H$4),0),0)</f>
        <v>0</v>
      </c>
      <c r="AU33" s="225">
        <f>IF(AN33&lt;&gt;"",IF(((AN33*Paramètres!$H$4)-PORTEFEUILLE_MARIE_PIERRE[[#This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€]])&gt;0,(AN33*Paramètres!$H$4)-PORTEFEUILLE_MARIE_PIERRE[[#This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V33" s="190" t="str">
        <f>IF(PORTEFEUILLE_MARIE_PIERRE[[#This Row],[BONI COMPTABLE]]&lt;&gt;0,1,"")</f>
        <v/>
      </c>
      <c r="AW33" s="190" t="str">
        <f>IF(PORTEFEUILLE_MARIE_PIERRE[[#This Row],[MALI COMPTABLE]]&lt;&gt;0,1,"")</f>
        <v/>
      </c>
      <c r="AX33" s="196"/>
      <c r="AY33" s="188"/>
      <c r="AZ33" s="188"/>
      <c r="BA33" s="188"/>
      <c r="BB33" s="196"/>
      <c r="BC33" s="196"/>
      <c r="BD33" s="196"/>
      <c r="BE33" s="192"/>
      <c r="BF33" s="194"/>
      <c r="BG33" s="194"/>
      <c r="BH33" s="195"/>
      <c r="BI33" s="194"/>
    </row>
    <row r="34" spans="1:61" x14ac:dyDescent="0.25">
      <c r="A34" s="172"/>
      <c r="B34" s="177"/>
      <c r="C34" s="165"/>
      <c r="D34" s="171"/>
      <c r="E34" s="189"/>
      <c r="F34" s="188"/>
      <c r="G34" s="188"/>
      <c r="H34" s="189"/>
      <c r="I34" s="189"/>
      <c r="J34" s="189"/>
      <c r="K34" s="190" t="str">
        <f t="shared" si="0"/>
        <v/>
      </c>
      <c r="L34" s="190" t="str">
        <f t="shared" si="1"/>
        <v/>
      </c>
      <c r="M34" s="188"/>
      <c r="N34" s="188"/>
      <c r="O34" s="188"/>
      <c r="P34" s="188"/>
      <c r="Q34" s="188"/>
      <c r="R34" s="188"/>
      <c r="S34" s="214"/>
      <c r="T34" s="208"/>
      <c r="U34" s="220"/>
      <c r="V34" s="220"/>
      <c r="W34" s="220"/>
      <c r="X34" s="220"/>
      <c r="Y34" s="220"/>
      <c r="Z34" s="220"/>
      <c r="AA34" s="220"/>
      <c r="AB34" s="220"/>
      <c r="AC34" s="220"/>
      <c r="AD34" s="220"/>
      <c r="AE34" s="220"/>
      <c r="AF34" s="220"/>
      <c r="AG34" s="219"/>
      <c r="AH34" s="225">
        <f>SUM(PORTEFEUILLE_MARIE_PIERRE[[#This Row],[PCR COMPTABLE €]:[MONTANT
RESPONSABLE RELATION CLIENT €]])-PORTEFEUILLE_MARIE_PIERRE[[#This Row],[MONTANT TOTAL LETTRE DE MISION €]]</f>
        <v>0</v>
      </c>
      <c r="AI34" s="191"/>
      <c r="AJ34" s="188"/>
      <c r="AK34" s="188"/>
      <c r="AL34" s="196"/>
      <c r="AM34" s="196"/>
      <c r="AN34" s="196"/>
      <c r="AO34" s="196"/>
      <c r="AP34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Q34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R34" s="188" t="str">
        <f>IF(PORTEFEUILLE_MARIE_PIERRE[[#This Row],[BONI AAC]]&lt;&gt;0,1,"")</f>
        <v/>
      </c>
      <c r="AS34" s="188" t="str">
        <f>IF(PORTEFEUILLE_MARIE_PIERRE[[#This Row],[MALI AAC]]&lt;&gt;0,1,"")</f>
        <v/>
      </c>
      <c r="AT34" s="225">
        <f>IF(AN34&lt;&gt;"",IF((AN34*Paramètres!$H$4)-PORTEFEUILLE_MARIE_PIERRE[[#This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€]]-(DELPHINE!AN34*Paramètres!$H$4),0),0)</f>
        <v>0</v>
      </c>
      <c r="AU34" s="225">
        <f>IF(AN34&lt;&gt;"",IF(((AN34*Paramètres!$H$4)-PORTEFEUILLE_MARIE_PIERRE[[#This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€]])&gt;0,(AN34*Paramètres!$H$4)-PORTEFEUILLE_MARIE_PIERRE[[#This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V34" s="190" t="str">
        <f>IF(PORTEFEUILLE_MARIE_PIERRE[[#This Row],[BONI COMPTABLE]]&lt;&gt;0,1,"")</f>
        <v/>
      </c>
      <c r="AW34" s="190" t="str">
        <f>IF(PORTEFEUILLE_MARIE_PIERRE[[#This Row],[MALI COMPTABLE]]&lt;&gt;0,1,"")</f>
        <v/>
      </c>
      <c r="AX34" s="196"/>
      <c r="AY34" s="188"/>
      <c r="AZ34" s="188"/>
      <c r="BA34" s="188"/>
      <c r="BB34" s="188"/>
      <c r="BC34" s="188"/>
      <c r="BD34" s="188"/>
      <c r="BE34" s="192"/>
      <c r="BF34" s="194"/>
      <c r="BG34" s="194"/>
      <c r="BH34" s="195"/>
      <c r="BI34" s="194"/>
    </row>
    <row r="35" spans="1:61" x14ac:dyDescent="0.25">
      <c r="A35" s="172"/>
      <c r="B35" s="177"/>
      <c r="C35" s="165"/>
      <c r="D35" s="171"/>
      <c r="E35" s="189"/>
      <c r="F35" s="188"/>
      <c r="G35" s="189"/>
      <c r="H35" s="189"/>
      <c r="I35" s="189"/>
      <c r="J35" s="189"/>
      <c r="K35" s="190" t="str">
        <f t="shared" si="0"/>
        <v/>
      </c>
      <c r="L35" s="190" t="str">
        <f t="shared" si="1"/>
        <v/>
      </c>
      <c r="M35" s="188"/>
      <c r="N35" s="188"/>
      <c r="O35" s="188"/>
      <c r="P35" s="188"/>
      <c r="Q35" s="188"/>
      <c r="R35" s="188"/>
      <c r="S35" s="213"/>
      <c r="T35" s="207"/>
      <c r="U35" s="219"/>
      <c r="V35" s="219"/>
      <c r="W35" s="219"/>
      <c r="X35" s="219"/>
      <c r="Y35" s="219"/>
      <c r="Z35" s="219"/>
      <c r="AA35" s="219"/>
      <c r="AB35" s="219"/>
      <c r="AC35" s="219"/>
      <c r="AD35" s="219"/>
      <c r="AE35" s="219"/>
      <c r="AF35" s="219"/>
      <c r="AG35" s="219"/>
      <c r="AH35" s="225">
        <f>SUM(PORTEFEUILLE_MARIE_PIERRE[[#This Row],[PCR COMPTABLE €]:[MONTANT
RESPONSABLE RELATION CLIENT €]])-PORTEFEUILLE_MARIE_PIERRE[[#This Row],[MONTANT TOTAL LETTRE DE MISION €]]</f>
        <v>0</v>
      </c>
      <c r="AI35" s="191"/>
      <c r="AJ35" s="188"/>
      <c r="AK35" s="188"/>
      <c r="AL35" s="188"/>
      <c r="AM35" s="188"/>
      <c r="AN35" s="188"/>
      <c r="AO35" s="188"/>
      <c r="AP35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Q35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R35" s="188" t="str">
        <f>IF(PORTEFEUILLE_MARIE_PIERRE[[#This Row],[BONI AAC]]&lt;&gt;0,1,"")</f>
        <v/>
      </c>
      <c r="AS35" s="188" t="str">
        <f>IF(PORTEFEUILLE_MARIE_PIERRE[[#This Row],[MALI AAC]]&lt;&gt;0,1,"")</f>
        <v/>
      </c>
      <c r="AT35" s="225">
        <f>IF(AN35&lt;&gt;"",IF((AN35*Paramètres!$H$4)-PORTEFEUILLE_MARIE_PIERRE[[#This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€]]-(DELPHINE!AN35*Paramètres!$H$4),0),0)</f>
        <v>0</v>
      </c>
      <c r="AU35" s="225">
        <f>IF(AN35&lt;&gt;"",IF(((AN35*Paramètres!$H$4)-PORTEFEUILLE_MARIE_PIERRE[[#This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€]])&gt;0,(AN35*Paramètres!$H$4)-PORTEFEUILLE_MARIE_PIERRE[[#This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V35" s="190" t="str">
        <f>IF(PORTEFEUILLE_MARIE_PIERRE[[#This Row],[BONI COMPTABLE]]&lt;&gt;0,1,"")</f>
        <v/>
      </c>
      <c r="AW35" s="190" t="str">
        <f>IF(PORTEFEUILLE_MARIE_PIERRE[[#This Row],[MALI COMPTABLE]]&lt;&gt;0,1,"")</f>
        <v/>
      </c>
      <c r="AX35" s="188"/>
      <c r="AY35" s="188"/>
      <c r="AZ35" s="188"/>
      <c r="BA35" s="188"/>
      <c r="BB35" s="188"/>
      <c r="BC35" s="188"/>
      <c r="BD35" s="188"/>
      <c r="BE35" s="192"/>
      <c r="BF35" s="194"/>
      <c r="BG35" s="194"/>
      <c r="BH35" s="195"/>
      <c r="BI35" s="194"/>
    </row>
    <row r="36" spans="1:61" x14ac:dyDescent="0.25">
      <c r="A36" s="172"/>
      <c r="B36" s="178"/>
      <c r="C36" s="165"/>
      <c r="D36" s="171"/>
      <c r="E36" s="189"/>
      <c r="F36" s="188"/>
      <c r="G36" s="189"/>
      <c r="H36" s="189"/>
      <c r="I36" s="189"/>
      <c r="J36" s="189"/>
      <c r="K36" s="190" t="str">
        <f t="shared" si="0"/>
        <v/>
      </c>
      <c r="L36" s="190" t="str">
        <f t="shared" si="1"/>
        <v/>
      </c>
      <c r="M36" s="188"/>
      <c r="N36" s="188"/>
      <c r="O36" s="188"/>
      <c r="P36" s="188"/>
      <c r="Q36" s="188"/>
      <c r="R36" s="188"/>
      <c r="S36" s="213"/>
      <c r="T36" s="207"/>
      <c r="U36" s="219"/>
      <c r="V36" s="219"/>
      <c r="W36" s="219"/>
      <c r="X36" s="219"/>
      <c r="Y36" s="219"/>
      <c r="Z36" s="219"/>
      <c r="AA36" s="219"/>
      <c r="AB36" s="219"/>
      <c r="AC36" s="219"/>
      <c r="AD36" s="219"/>
      <c r="AE36" s="219"/>
      <c r="AF36" s="219"/>
      <c r="AG36" s="219"/>
      <c r="AH36" s="225">
        <f>SUM(PORTEFEUILLE_MARIE_PIERRE[[#This Row],[PCR COMPTABLE €]:[MONTANT
RESPONSABLE RELATION CLIENT €]])-PORTEFEUILLE_MARIE_PIERRE[[#This Row],[MONTANT TOTAL LETTRE DE MISION €]]</f>
        <v>0</v>
      </c>
      <c r="AI36" s="191"/>
      <c r="AJ36" s="188"/>
      <c r="AK36" s="188"/>
      <c r="AL36" s="188"/>
      <c r="AM36" s="188"/>
      <c r="AN36" s="188"/>
      <c r="AO36" s="188"/>
      <c r="AP36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Q36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R36" s="188" t="str">
        <f>IF(PORTEFEUILLE_MARIE_PIERRE[[#This Row],[BONI AAC]]&lt;&gt;0,1,"")</f>
        <v/>
      </c>
      <c r="AS36" s="188" t="str">
        <f>IF(PORTEFEUILLE_MARIE_PIERRE[[#This Row],[MALI AAC]]&lt;&gt;0,1,"")</f>
        <v/>
      </c>
      <c r="AT36" s="225">
        <f>IF(AN36&lt;&gt;"",IF((AN36*Paramètres!$H$4)-PORTEFEUILLE_MARIE_PIERRE[[#This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€]]-(DELPHINE!AN36*Paramètres!$H$4),0),0)</f>
        <v>0</v>
      </c>
      <c r="AU36" s="225">
        <f>IF(AN36&lt;&gt;"",IF(((AN36*Paramètres!$H$4)-PORTEFEUILLE_MARIE_PIERRE[[#This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€]])&gt;0,(AN36*Paramètres!$H$4)-PORTEFEUILLE_MARIE_PIERRE[[#This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V36" s="190" t="str">
        <f>IF(PORTEFEUILLE_MARIE_PIERRE[[#This Row],[BONI COMPTABLE]]&lt;&gt;0,1,"")</f>
        <v/>
      </c>
      <c r="AW36" s="190" t="str">
        <f>IF(PORTEFEUILLE_MARIE_PIERRE[[#This Row],[MALI COMPTABLE]]&lt;&gt;0,1,"")</f>
        <v/>
      </c>
      <c r="AX36" s="188"/>
      <c r="AY36" s="188"/>
      <c r="AZ36" s="188"/>
      <c r="BA36" s="188"/>
      <c r="BB36" s="196"/>
      <c r="BC36" s="196"/>
      <c r="BD36" s="196"/>
      <c r="BE36" s="192"/>
      <c r="BF36" s="194"/>
      <c r="BG36" s="194"/>
      <c r="BH36" s="195"/>
      <c r="BI36" s="194"/>
    </row>
    <row r="37" spans="1:61" x14ac:dyDescent="0.25">
      <c r="A37" s="172"/>
      <c r="B37" s="178"/>
      <c r="C37" s="165"/>
      <c r="D37" s="171"/>
      <c r="E37" s="189"/>
      <c r="F37" s="188"/>
      <c r="G37" s="189"/>
      <c r="H37" s="189"/>
      <c r="I37" s="189"/>
      <c r="J37" s="189"/>
      <c r="K37" s="190" t="str">
        <f t="shared" si="0"/>
        <v/>
      </c>
      <c r="L37" s="190" t="str">
        <f t="shared" si="1"/>
        <v/>
      </c>
      <c r="M37" s="188"/>
      <c r="N37" s="188"/>
      <c r="O37" s="188"/>
      <c r="P37" s="188"/>
      <c r="Q37" s="188"/>
      <c r="R37" s="188"/>
      <c r="S37" s="213"/>
      <c r="T37" s="207"/>
      <c r="U37" s="219"/>
      <c r="V37" s="219"/>
      <c r="W37" s="219"/>
      <c r="X37" s="219"/>
      <c r="Y37" s="219"/>
      <c r="Z37" s="219"/>
      <c r="AA37" s="219"/>
      <c r="AB37" s="219"/>
      <c r="AC37" s="219"/>
      <c r="AD37" s="219"/>
      <c r="AE37" s="219"/>
      <c r="AF37" s="219"/>
      <c r="AG37" s="219"/>
      <c r="AH37" s="225">
        <f>SUM(PORTEFEUILLE_MARIE_PIERRE[[#This Row],[PCR COMPTABLE €]:[MONTANT
RESPONSABLE RELATION CLIENT €]])-PORTEFEUILLE_MARIE_PIERRE[[#This Row],[MONTANT TOTAL LETTRE DE MISION €]]</f>
        <v>0</v>
      </c>
      <c r="AI37" s="191"/>
      <c r="AJ37" s="188"/>
      <c r="AK37" s="188"/>
      <c r="AL37" s="188"/>
      <c r="AM37" s="188"/>
      <c r="AN37" s="188"/>
      <c r="AO37" s="188"/>
      <c r="AP37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Q37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R37" s="188" t="str">
        <f>IF(PORTEFEUILLE_MARIE_PIERRE[[#This Row],[BONI AAC]]&lt;&gt;0,1,"")</f>
        <v/>
      </c>
      <c r="AS37" s="188" t="str">
        <f>IF(PORTEFEUILLE_MARIE_PIERRE[[#This Row],[MALI AAC]]&lt;&gt;0,1,"")</f>
        <v/>
      </c>
      <c r="AT37" s="225">
        <f>IF(AN37&lt;&gt;"",IF((AN37*Paramètres!$H$4)-PORTEFEUILLE_MARIE_PIERRE[[#This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€]]-(DELPHINE!AN37*Paramètres!$H$4),0),0)</f>
        <v>0</v>
      </c>
      <c r="AU37" s="225">
        <f>IF(AN37&lt;&gt;"",IF(((AN37*Paramètres!$H$4)-PORTEFEUILLE_MARIE_PIERRE[[#This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€]])&gt;0,(AN37*Paramètres!$H$4)-PORTEFEUILLE_MARIE_PIERRE[[#This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V37" s="190" t="str">
        <f>IF(PORTEFEUILLE_MARIE_PIERRE[[#This Row],[BONI COMPTABLE]]&lt;&gt;0,1,"")</f>
        <v/>
      </c>
      <c r="AW37" s="190" t="str">
        <f>IF(PORTEFEUILLE_MARIE_PIERRE[[#This Row],[MALI COMPTABLE]]&lt;&gt;0,1,"")</f>
        <v/>
      </c>
      <c r="AX37" s="188"/>
      <c r="AY37" s="188"/>
      <c r="AZ37" s="188"/>
      <c r="BA37" s="188"/>
      <c r="BB37" s="196"/>
      <c r="BC37" s="196"/>
      <c r="BD37" s="196"/>
      <c r="BE37" s="192"/>
      <c r="BF37" s="194"/>
      <c r="BG37" s="194"/>
      <c r="BH37" s="195"/>
      <c r="BI37" s="194"/>
    </row>
    <row r="38" spans="1:61" x14ac:dyDescent="0.25">
      <c r="A38" s="172"/>
      <c r="B38" s="179"/>
      <c r="C38" s="165"/>
      <c r="D38" s="171"/>
      <c r="E38" s="189"/>
      <c r="F38" s="188"/>
      <c r="G38" s="188"/>
      <c r="H38" s="189"/>
      <c r="I38" s="189"/>
      <c r="J38" s="199"/>
      <c r="K38" s="190" t="str">
        <f t="shared" si="0"/>
        <v/>
      </c>
      <c r="L38" s="190" t="str">
        <f t="shared" si="1"/>
        <v/>
      </c>
      <c r="M38" s="188"/>
      <c r="N38" s="188"/>
      <c r="O38" s="188"/>
      <c r="P38" s="188"/>
      <c r="Q38" s="188"/>
      <c r="R38" s="188"/>
      <c r="S38" s="213"/>
      <c r="T38" s="207"/>
      <c r="U38" s="219"/>
      <c r="V38" s="219"/>
      <c r="W38" s="219"/>
      <c r="X38" s="219"/>
      <c r="Y38" s="219"/>
      <c r="Z38" s="219"/>
      <c r="AA38" s="219"/>
      <c r="AB38" s="219"/>
      <c r="AC38" s="219"/>
      <c r="AD38" s="219"/>
      <c r="AE38" s="219"/>
      <c r="AF38" s="219"/>
      <c r="AG38" s="219"/>
      <c r="AH38" s="225">
        <f>SUM(PORTEFEUILLE_MARIE_PIERRE[[#This Row],[PCR COMPTABLE €]:[MONTANT
RESPONSABLE RELATION CLIENT €]])-PORTEFEUILLE_MARIE_PIERRE[[#This Row],[MONTANT TOTAL LETTRE DE MISION €]]</f>
        <v>0</v>
      </c>
      <c r="AI38" s="191"/>
      <c r="AJ38" s="188"/>
      <c r="AK38" s="188"/>
      <c r="AL38" s="188"/>
      <c r="AM38" s="188"/>
      <c r="AN38" s="188"/>
      <c r="AO38" s="188"/>
      <c r="AP38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Q38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R38" s="188" t="str">
        <f>IF(PORTEFEUILLE_MARIE_PIERRE[[#This Row],[BONI AAC]]&lt;&gt;0,1,"")</f>
        <v/>
      </c>
      <c r="AS38" s="188" t="str">
        <f>IF(PORTEFEUILLE_MARIE_PIERRE[[#This Row],[MALI AAC]]&lt;&gt;0,1,"")</f>
        <v/>
      </c>
      <c r="AT38" s="225">
        <f>IF(AN38&lt;&gt;"",IF((AN38*Paramètres!$H$4)-PORTEFEUILLE_MARIE_PIERRE[[#This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€]]-(DELPHINE!AN38*Paramètres!$H$4),0),0)</f>
        <v>0</v>
      </c>
      <c r="AU38" s="225">
        <f>IF(AN38&lt;&gt;"",IF(((AN38*Paramètres!$H$4)-PORTEFEUILLE_MARIE_PIERRE[[#This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€]])&gt;0,(AN38*Paramètres!$H$4)-PORTEFEUILLE_MARIE_PIERRE[[#This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V38" s="190" t="str">
        <f>IF(PORTEFEUILLE_MARIE_PIERRE[[#This Row],[BONI COMPTABLE]]&lt;&gt;0,1,"")</f>
        <v/>
      </c>
      <c r="AW38" s="190" t="str">
        <f>IF(PORTEFEUILLE_MARIE_PIERRE[[#This Row],[MALI COMPTABLE]]&lt;&gt;0,1,"")</f>
        <v/>
      </c>
      <c r="AX38" s="188"/>
      <c r="AY38" s="188"/>
      <c r="AZ38" s="188"/>
      <c r="BA38" s="188"/>
      <c r="BB38" s="196"/>
      <c r="BC38" s="196"/>
      <c r="BD38" s="196"/>
      <c r="BE38" s="192"/>
      <c r="BF38" s="194"/>
      <c r="BG38" s="194"/>
      <c r="BH38" s="195"/>
      <c r="BI38" s="194"/>
    </row>
    <row r="39" spans="1:61" x14ac:dyDescent="0.25">
      <c r="A39" s="172"/>
      <c r="B39" s="180"/>
      <c r="C39" s="165"/>
      <c r="D39" s="171"/>
      <c r="E39" s="189"/>
      <c r="F39" s="188"/>
      <c r="G39" s="189"/>
      <c r="H39" s="189"/>
      <c r="I39" s="189"/>
      <c r="J39" s="189"/>
      <c r="K39" s="190" t="str">
        <f t="shared" si="0"/>
        <v/>
      </c>
      <c r="L39" s="190" t="str">
        <f t="shared" si="1"/>
        <v/>
      </c>
      <c r="M39" s="188"/>
      <c r="N39" s="188"/>
      <c r="O39" s="188"/>
      <c r="P39" s="188"/>
      <c r="Q39" s="188"/>
      <c r="R39" s="188"/>
      <c r="S39" s="213"/>
      <c r="T39" s="207"/>
      <c r="U39" s="219"/>
      <c r="V39" s="219"/>
      <c r="W39" s="219"/>
      <c r="X39" s="219"/>
      <c r="Y39" s="219"/>
      <c r="Z39" s="219"/>
      <c r="AA39" s="219"/>
      <c r="AB39" s="219"/>
      <c r="AC39" s="219"/>
      <c r="AD39" s="219"/>
      <c r="AE39" s="219"/>
      <c r="AF39" s="219"/>
      <c r="AG39" s="219"/>
      <c r="AH39" s="225">
        <f>SUM(PORTEFEUILLE_MARIE_PIERRE[[#This Row],[PCR COMPTABLE €]:[MONTANT
RESPONSABLE RELATION CLIENT €]])-PORTEFEUILLE_MARIE_PIERRE[[#This Row],[MONTANT TOTAL LETTRE DE MISION €]]</f>
        <v>0</v>
      </c>
      <c r="AI39" s="191"/>
      <c r="AJ39" s="188"/>
      <c r="AK39" s="188"/>
      <c r="AL39" s="188"/>
      <c r="AM39" s="188"/>
      <c r="AN39" s="188"/>
      <c r="AO39" s="188"/>
      <c r="AP39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Q39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R39" s="188" t="str">
        <f>IF(PORTEFEUILLE_MARIE_PIERRE[[#This Row],[BONI AAC]]&lt;&gt;0,1,"")</f>
        <v/>
      </c>
      <c r="AS39" s="188" t="str">
        <f>IF(PORTEFEUILLE_MARIE_PIERRE[[#This Row],[MALI AAC]]&lt;&gt;0,1,"")</f>
        <v/>
      </c>
      <c r="AT39" s="225">
        <f>IF(AN39&lt;&gt;"",IF((AN39*Paramètres!$H$4)-PORTEFEUILLE_MARIE_PIERRE[[#This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€]]-(DELPHINE!AN39*Paramètres!$H$4),0),0)</f>
        <v>0</v>
      </c>
      <c r="AU39" s="225">
        <f>IF(AN39&lt;&gt;"",IF(((AN39*Paramètres!$H$4)-PORTEFEUILLE_MARIE_PIERRE[[#This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€]])&gt;0,(AN39*Paramètres!$H$4)-PORTEFEUILLE_MARIE_PIERRE[[#This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V39" s="190" t="str">
        <f>IF(PORTEFEUILLE_MARIE_PIERRE[[#This Row],[BONI COMPTABLE]]&lt;&gt;0,1,"")</f>
        <v/>
      </c>
      <c r="AW39" s="190" t="str">
        <f>IF(PORTEFEUILLE_MARIE_PIERRE[[#This Row],[MALI COMPTABLE]]&lt;&gt;0,1,"")</f>
        <v/>
      </c>
      <c r="AX39" s="188"/>
      <c r="AY39" s="188"/>
      <c r="AZ39" s="188"/>
      <c r="BA39" s="188"/>
      <c r="BB39" s="188"/>
      <c r="BC39" s="188"/>
      <c r="BD39" s="188"/>
      <c r="BE39" s="192"/>
      <c r="BF39" s="194"/>
      <c r="BG39" s="194"/>
      <c r="BH39" s="195"/>
      <c r="BI39" s="194"/>
    </row>
    <row r="40" spans="1:61" x14ac:dyDescent="0.25">
      <c r="A40" s="172"/>
      <c r="B40" s="178"/>
      <c r="C40" s="165"/>
      <c r="D40" s="171"/>
      <c r="E40" s="189"/>
      <c r="F40" s="188"/>
      <c r="G40" s="189"/>
      <c r="H40" s="189"/>
      <c r="I40" s="189"/>
      <c r="J40" s="189"/>
      <c r="K40" s="190" t="str">
        <f t="shared" si="0"/>
        <v/>
      </c>
      <c r="L40" s="190" t="str">
        <f t="shared" si="1"/>
        <v/>
      </c>
      <c r="M40" s="188"/>
      <c r="N40" s="188"/>
      <c r="O40" s="188"/>
      <c r="P40" s="188"/>
      <c r="Q40" s="188"/>
      <c r="R40" s="188"/>
      <c r="S40" s="213"/>
      <c r="T40" s="207"/>
      <c r="U40" s="219"/>
      <c r="V40" s="219"/>
      <c r="W40" s="219"/>
      <c r="X40" s="219"/>
      <c r="Y40" s="219"/>
      <c r="Z40" s="219"/>
      <c r="AA40" s="219"/>
      <c r="AB40" s="219"/>
      <c r="AC40" s="219"/>
      <c r="AD40" s="219"/>
      <c r="AE40" s="219"/>
      <c r="AF40" s="219"/>
      <c r="AG40" s="219"/>
      <c r="AH40" s="225">
        <f>SUM(PORTEFEUILLE_MARIE_PIERRE[[#This Row],[PCR COMPTABLE €]:[MONTANT
RESPONSABLE RELATION CLIENT €]])-PORTEFEUILLE_MARIE_PIERRE[[#This Row],[MONTANT TOTAL LETTRE DE MISION €]]</f>
        <v>0</v>
      </c>
      <c r="AI40" s="191"/>
      <c r="AJ40" s="188"/>
      <c r="AK40" s="188"/>
      <c r="AL40" s="188"/>
      <c r="AM40" s="188"/>
      <c r="AN40" s="188"/>
      <c r="AO40" s="188"/>
      <c r="AP40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Q40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R40" s="188" t="str">
        <f>IF(PORTEFEUILLE_MARIE_PIERRE[[#This Row],[BONI AAC]]&lt;&gt;0,1,"")</f>
        <v/>
      </c>
      <c r="AS40" s="188" t="str">
        <f>IF(PORTEFEUILLE_MARIE_PIERRE[[#This Row],[MALI AAC]]&lt;&gt;0,1,"")</f>
        <v/>
      </c>
      <c r="AT40" s="225">
        <f>IF(AN40&lt;&gt;"",IF((AN40*Paramètres!$H$4)-PORTEFEUILLE_MARIE_PIERRE[[#This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€]]-(DELPHINE!AN40*Paramètres!$H$4),0),0)</f>
        <v>0</v>
      </c>
      <c r="AU40" s="225">
        <f>IF(AN40&lt;&gt;"",IF(((AN40*Paramètres!$H$4)-PORTEFEUILLE_MARIE_PIERRE[[#This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€]])&gt;0,(AN40*Paramètres!$H$4)-PORTEFEUILLE_MARIE_PIERRE[[#This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V40" s="190" t="str">
        <f>IF(PORTEFEUILLE_MARIE_PIERRE[[#This Row],[BONI COMPTABLE]]&lt;&gt;0,1,"")</f>
        <v/>
      </c>
      <c r="AW40" s="190" t="str">
        <f>IF(PORTEFEUILLE_MARIE_PIERRE[[#This Row],[MALI COMPTABLE]]&lt;&gt;0,1,"")</f>
        <v/>
      </c>
      <c r="AX40" s="188"/>
      <c r="AY40" s="188"/>
      <c r="AZ40" s="188"/>
      <c r="BA40" s="188"/>
      <c r="BB40" s="188"/>
      <c r="BC40" s="188"/>
      <c r="BD40" s="188"/>
      <c r="BE40" s="192"/>
      <c r="BF40" s="194"/>
      <c r="BG40" s="194"/>
      <c r="BH40" s="195"/>
      <c r="BI40" s="194"/>
    </row>
    <row r="41" spans="1:61" x14ac:dyDescent="0.25">
      <c r="A41" s="172"/>
      <c r="B41" s="178"/>
      <c r="C41" s="165"/>
      <c r="D41" s="171"/>
      <c r="E41" s="189"/>
      <c r="F41" s="188"/>
      <c r="G41" s="188"/>
      <c r="H41" s="189"/>
      <c r="I41" s="189"/>
      <c r="J41" s="189"/>
      <c r="K41" s="190" t="str">
        <f t="shared" si="0"/>
        <v/>
      </c>
      <c r="L41" s="190" t="str">
        <f t="shared" si="1"/>
        <v/>
      </c>
      <c r="M41" s="188"/>
      <c r="N41" s="188"/>
      <c r="O41" s="188"/>
      <c r="P41" s="188"/>
      <c r="Q41" s="188"/>
      <c r="R41" s="188"/>
      <c r="S41" s="214"/>
      <c r="T41" s="208"/>
      <c r="U41" s="220"/>
      <c r="V41" s="220"/>
      <c r="W41" s="220"/>
      <c r="X41" s="220"/>
      <c r="Y41" s="220"/>
      <c r="Z41" s="220"/>
      <c r="AA41" s="220"/>
      <c r="AB41" s="220"/>
      <c r="AC41" s="220"/>
      <c r="AD41" s="220"/>
      <c r="AE41" s="220"/>
      <c r="AF41" s="220"/>
      <c r="AG41" s="219"/>
      <c r="AH41" s="225">
        <f>SUM(PORTEFEUILLE_MARIE_PIERRE[[#This Row],[PCR COMPTABLE €]:[MONTANT
RESPONSABLE RELATION CLIENT €]])-PORTEFEUILLE_MARIE_PIERRE[[#This Row],[MONTANT TOTAL LETTRE DE MISION €]]</f>
        <v>0</v>
      </c>
      <c r="AI41" s="191"/>
      <c r="AJ41" s="188"/>
      <c r="AK41" s="188"/>
      <c r="AL41" s="196"/>
      <c r="AM41" s="196"/>
      <c r="AN41" s="196"/>
      <c r="AO41" s="196"/>
      <c r="AP41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Q41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R41" s="188" t="str">
        <f>IF(PORTEFEUILLE_MARIE_PIERRE[[#This Row],[BONI AAC]]&lt;&gt;0,1,"")</f>
        <v/>
      </c>
      <c r="AS41" s="188" t="str">
        <f>IF(PORTEFEUILLE_MARIE_PIERRE[[#This Row],[MALI AAC]]&lt;&gt;0,1,"")</f>
        <v/>
      </c>
      <c r="AT41" s="225">
        <f>IF(AN41&lt;&gt;"",IF((AN41*Paramètres!$H$4)-PORTEFEUILLE_MARIE_PIERRE[[#This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€]]-(DELPHINE!AN41*Paramètres!$H$4),0),0)</f>
        <v>0</v>
      </c>
      <c r="AU41" s="225">
        <f>IF(AN41&lt;&gt;"",IF(((AN41*Paramètres!$H$4)-PORTEFEUILLE_MARIE_PIERRE[[#This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€]])&gt;0,(AN41*Paramètres!$H$4)-PORTEFEUILLE_MARIE_PIERRE[[#This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V41" s="190" t="str">
        <f>IF(PORTEFEUILLE_MARIE_PIERRE[[#This Row],[BONI COMPTABLE]]&lt;&gt;0,1,"")</f>
        <v/>
      </c>
      <c r="AW41" s="190" t="str">
        <f>IF(PORTEFEUILLE_MARIE_PIERRE[[#This Row],[MALI COMPTABLE]]&lt;&gt;0,1,"")</f>
        <v/>
      </c>
      <c r="AX41" s="196"/>
      <c r="AY41" s="188"/>
      <c r="AZ41" s="188"/>
      <c r="BA41" s="188"/>
      <c r="BB41" s="188"/>
      <c r="BC41" s="188"/>
      <c r="BD41" s="188"/>
      <c r="BE41" s="192"/>
      <c r="BF41" s="194"/>
      <c r="BG41" s="194"/>
      <c r="BH41" s="195"/>
      <c r="BI41" s="194"/>
    </row>
    <row r="42" spans="1:61" x14ac:dyDescent="0.25">
      <c r="A42" s="172"/>
      <c r="B42" s="178"/>
      <c r="C42" s="165"/>
      <c r="D42" s="171"/>
      <c r="E42" s="189"/>
      <c r="F42" s="188"/>
      <c r="G42" s="188"/>
      <c r="H42" s="189"/>
      <c r="I42" s="188"/>
      <c r="J42" s="189"/>
      <c r="K42" s="190" t="str">
        <f t="shared" si="0"/>
        <v/>
      </c>
      <c r="L42" s="190" t="str">
        <f t="shared" si="1"/>
        <v/>
      </c>
      <c r="M42" s="188"/>
      <c r="N42" s="188"/>
      <c r="O42" s="188"/>
      <c r="P42" s="188"/>
      <c r="Q42" s="188"/>
      <c r="R42" s="188"/>
      <c r="S42" s="214"/>
      <c r="T42" s="208"/>
      <c r="U42" s="220"/>
      <c r="V42" s="220"/>
      <c r="W42" s="220"/>
      <c r="X42" s="220"/>
      <c r="Y42" s="220"/>
      <c r="Z42" s="220"/>
      <c r="AA42" s="220"/>
      <c r="AB42" s="220"/>
      <c r="AC42" s="220"/>
      <c r="AD42" s="220"/>
      <c r="AE42" s="220"/>
      <c r="AF42" s="220"/>
      <c r="AG42" s="219"/>
      <c r="AH42" s="225">
        <f>SUM(PORTEFEUILLE_MARIE_PIERRE[[#This Row],[PCR COMPTABLE €]:[MONTANT
RESPONSABLE RELATION CLIENT €]])-PORTEFEUILLE_MARIE_PIERRE[[#This Row],[MONTANT TOTAL LETTRE DE MISION €]]</f>
        <v>0</v>
      </c>
      <c r="AI42" s="191"/>
      <c r="AJ42" s="188"/>
      <c r="AK42" s="188"/>
      <c r="AL42" s="196"/>
      <c r="AM42" s="196"/>
      <c r="AN42" s="196"/>
      <c r="AO42" s="196"/>
      <c r="AP42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Q42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R42" s="188" t="str">
        <f>IF(PORTEFEUILLE_MARIE_PIERRE[[#This Row],[BONI AAC]]&lt;&gt;0,1,"")</f>
        <v/>
      </c>
      <c r="AS42" s="188" t="str">
        <f>IF(PORTEFEUILLE_MARIE_PIERRE[[#This Row],[MALI AAC]]&lt;&gt;0,1,"")</f>
        <v/>
      </c>
      <c r="AT42" s="225">
        <f>IF(AN42&lt;&gt;"",IF((AN42*Paramètres!$H$4)-PORTEFEUILLE_MARIE_PIERRE[[#This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€]]-(DELPHINE!AN42*Paramètres!$H$4),0),0)</f>
        <v>0</v>
      </c>
      <c r="AU42" s="225">
        <f>IF(AN42&lt;&gt;"",IF(((AN42*Paramètres!$H$4)-PORTEFEUILLE_MARIE_PIERRE[[#This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€]])&gt;0,(AN42*Paramètres!$H$4)-PORTEFEUILLE_MARIE_PIERRE[[#This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V42" s="190" t="str">
        <f>IF(PORTEFEUILLE_MARIE_PIERRE[[#This Row],[BONI COMPTABLE]]&lt;&gt;0,1,"")</f>
        <v/>
      </c>
      <c r="AW42" s="190" t="str">
        <f>IF(PORTEFEUILLE_MARIE_PIERRE[[#This Row],[MALI COMPTABLE]]&lt;&gt;0,1,"")</f>
        <v/>
      </c>
      <c r="AX42" s="196"/>
      <c r="AY42" s="188"/>
      <c r="AZ42" s="188"/>
      <c r="BA42" s="188"/>
      <c r="BB42" s="196"/>
      <c r="BC42" s="196"/>
      <c r="BD42" s="196"/>
      <c r="BE42" s="192"/>
      <c r="BF42" s="194"/>
      <c r="BG42" s="194"/>
      <c r="BH42" s="195"/>
      <c r="BI42" s="194"/>
    </row>
    <row r="43" spans="1:61" x14ac:dyDescent="0.25">
      <c r="A43" s="172"/>
      <c r="B43" s="178"/>
      <c r="C43" s="165"/>
      <c r="D43" s="171"/>
      <c r="E43" s="189"/>
      <c r="F43" s="188"/>
      <c r="G43" s="189"/>
      <c r="H43" s="189"/>
      <c r="I43" s="189"/>
      <c r="J43" s="189"/>
      <c r="K43" s="190" t="str">
        <f t="shared" si="0"/>
        <v/>
      </c>
      <c r="L43" s="190" t="str">
        <f t="shared" si="1"/>
        <v/>
      </c>
      <c r="M43" s="188"/>
      <c r="N43" s="188"/>
      <c r="O43" s="188"/>
      <c r="P43" s="188"/>
      <c r="Q43" s="188"/>
      <c r="R43" s="188"/>
      <c r="S43" s="213"/>
      <c r="T43" s="207"/>
      <c r="U43" s="219"/>
      <c r="V43" s="219"/>
      <c r="W43" s="219"/>
      <c r="X43" s="219"/>
      <c r="Y43" s="219"/>
      <c r="Z43" s="219"/>
      <c r="AA43" s="219"/>
      <c r="AB43" s="219"/>
      <c r="AC43" s="219"/>
      <c r="AD43" s="219"/>
      <c r="AE43" s="219"/>
      <c r="AF43" s="219"/>
      <c r="AG43" s="219"/>
      <c r="AH43" s="225">
        <f>SUM(PORTEFEUILLE_MARIE_PIERRE[[#This Row],[PCR COMPTABLE €]:[MONTANT
RESPONSABLE RELATION CLIENT €]])-PORTEFEUILLE_MARIE_PIERRE[[#This Row],[MONTANT TOTAL LETTRE DE MISION €]]</f>
        <v>0</v>
      </c>
      <c r="AI43" s="191"/>
      <c r="AJ43" s="188"/>
      <c r="AK43" s="188"/>
      <c r="AL43" s="188"/>
      <c r="AM43" s="188"/>
      <c r="AN43" s="188"/>
      <c r="AO43" s="188"/>
      <c r="AP43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Q43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R43" s="188" t="str">
        <f>IF(PORTEFEUILLE_MARIE_PIERRE[[#This Row],[BONI AAC]]&lt;&gt;0,1,"")</f>
        <v/>
      </c>
      <c r="AS43" s="188" t="str">
        <f>IF(PORTEFEUILLE_MARIE_PIERRE[[#This Row],[MALI AAC]]&lt;&gt;0,1,"")</f>
        <v/>
      </c>
      <c r="AT43" s="225">
        <f>IF(AN43&lt;&gt;"",IF((AN43*Paramètres!$H$4)-PORTEFEUILLE_MARIE_PIERRE[[#This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€]]-(DELPHINE!AN43*Paramètres!$H$4),0),0)</f>
        <v>0</v>
      </c>
      <c r="AU43" s="225">
        <f>IF(AN43&lt;&gt;"",IF(((AN43*Paramètres!$H$4)-PORTEFEUILLE_MARIE_PIERRE[[#This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€]])&gt;0,(AN43*Paramètres!$H$4)-PORTEFEUILLE_MARIE_PIERRE[[#This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V43" s="190" t="str">
        <f>IF(PORTEFEUILLE_MARIE_PIERRE[[#This Row],[BONI COMPTABLE]]&lt;&gt;0,1,"")</f>
        <v/>
      </c>
      <c r="AW43" s="190" t="str">
        <f>IF(PORTEFEUILLE_MARIE_PIERRE[[#This Row],[MALI COMPTABLE]]&lt;&gt;0,1,"")</f>
        <v/>
      </c>
      <c r="AX43" s="188"/>
      <c r="AY43" s="188"/>
      <c r="AZ43" s="188"/>
      <c r="BA43" s="188"/>
      <c r="BB43" s="196"/>
      <c r="BC43" s="196"/>
      <c r="BD43" s="196"/>
      <c r="BE43" s="192"/>
      <c r="BF43" s="194"/>
      <c r="BG43" s="194"/>
      <c r="BH43" s="195"/>
      <c r="BI43" s="194"/>
    </row>
    <row r="44" spans="1:61" s="241" customFormat="1" x14ac:dyDescent="0.25">
      <c r="A44" s="172"/>
      <c r="B44" s="181"/>
      <c r="C44" s="165"/>
      <c r="D44" s="165"/>
      <c r="E44" s="189"/>
      <c r="F44" s="188"/>
      <c r="G44" s="189"/>
      <c r="H44" s="189"/>
      <c r="I44" s="189"/>
      <c r="J44" s="199"/>
      <c r="K44" s="190" t="str">
        <f t="shared" si="0"/>
        <v/>
      </c>
      <c r="L44" s="190" t="str">
        <f t="shared" si="1"/>
        <v/>
      </c>
      <c r="M44" s="188"/>
      <c r="N44" s="188"/>
      <c r="O44" s="188"/>
      <c r="P44" s="188"/>
      <c r="Q44" s="188"/>
      <c r="R44" s="188"/>
      <c r="S44" s="213"/>
      <c r="T44" s="207"/>
      <c r="U44" s="219"/>
      <c r="V44" s="219"/>
      <c r="W44" s="219"/>
      <c r="X44" s="219"/>
      <c r="Y44" s="219"/>
      <c r="Z44" s="219"/>
      <c r="AA44" s="219"/>
      <c r="AB44" s="219"/>
      <c r="AC44" s="219"/>
      <c r="AD44" s="219"/>
      <c r="AE44" s="219"/>
      <c r="AF44" s="219"/>
      <c r="AG44" s="219"/>
      <c r="AH44" s="225">
        <f>SUM(PORTEFEUILLE_MARIE_PIERRE[[#This Row],[PCR COMPTABLE €]:[MONTANT
RESPONSABLE RELATION CLIENT €]])-PORTEFEUILLE_MARIE_PIERRE[[#This Row],[MONTANT TOTAL LETTRE DE MISION €]]</f>
        <v>0</v>
      </c>
      <c r="AI44" s="191"/>
      <c r="AJ44" s="188"/>
      <c r="AK44" s="188"/>
      <c r="AL44" s="188"/>
      <c r="AM44" s="188"/>
      <c r="AN44" s="188"/>
      <c r="AO44" s="188"/>
      <c r="AP44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Q44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R44" s="188" t="str">
        <f>IF(PORTEFEUILLE_MARIE_PIERRE[[#This Row],[BONI AAC]]&lt;&gt;0,1,"")</f>
        <v/>
      </c>
      <c r="AS44" s="188" t="str">
        <f>IF(PORTEFEUILLE_MARIE_PIERRE[[#This Row],[MALI AAC]]&lt;&gt;0,1,"")</f>
        <v/>
      </c>
      <c r="AT44" s="225">
        <f>IF(AN44&lt;&gt;"",IF((AN44*Paramètres!$H$4)-PORTEFEUILLE_MARIE_PIERRE[[#This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€]]-(DELPHINE!AN44*Paramètres!$H$4),0),0)</f>
        <v>0</v>
      </c>
      <c r="AU44" s="225">
        <f>IF(AN44&lt;&gt;"",IF(((AN44*Paramètres!$H$4)-PORTEFEUILLE_MARIE_PIERRE[[#This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€]])&gt;0,(AN44*Paramètres!$H$4)-PORTEFEUILLE_MARIE_PIERRE[[#This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V44" s="190" t="str">
        <f>IF(PORTEFEUILLE_MARIE_PIERRE[[#This Row],[BONI COMPTABLE]]&lt;&gt;0,1,"")</f>
        <v/>
      </c>
      <c r="AW44" s="190" t="str">
        <f>IF(PORTEFEUILLE_MARIE_PIERRE[[#This Row],[MALI COMPTABLE]]&lt;&gt;0,1,"")</f>
        <v/>
      </c>
      <c r="AX44" s="188"/>
      <c r="AY44" s="188"/>
      <c r="AZ44" s="188"/>
      <c r="BA44" s="188"/>
      <c r="BB44" s="196"/>
      <c r="BC44" s="196"/>
      <c r="BD44" s="196"/>
      <c r="BE44" s="192"/>
      <c r="BF44" s="194"/>
      <c r="BG44" s="194"/>
      <c r="BH44" s="195"/>
      <c r="BI44" s="194"/>
    </row>
    <row r="45" spans="1:61" x14ac:dyDescent="0.25">
      <c r="A45" s="172"/>
      <c r="B45" s="181"/>
      <c r="C45" s="165"/>
      <c r="D45" s="165"/>
      <c r="E45" s="189"/>
      <c r="F45" s="188"/>
      <c r="G45" s="189"/>
      <c r="H45" s="189"/>
      <c r="I45" s="189"/>
      <c r="J45" s="189"/>
      <c r="K45" s="190" t="str">
        <f t="shared" si="0"/>
        <v/>
      </c>
      <c r="L45" s="190" t="str">
        <f t="shared" si="1"/>
        <v/>
      </c>
      <c r="M45" s="188"/>
      <c r="N45" s="188"/>
      <c r="O45" s="188"/>
      <c r="P45" s="188"/>
      <c r="Q45" s="188"/>
      <c r="R45" s="188"/>
      <c r="S45" s="213"/>
      <c r="T45" s="207"/>
      <c r="U45" s="219"/>
      <c r="V45" s="219"/>
      <c r="W45" s="219"/>
      <c r="X45" s="219"/>
      <c r="Y45" s="219"/>
      <c r="Z45" s="219"/>
      <c r="AA45" s="219"/>
      <c r="AB45" s="219"/>
      <c r="AC45" s="219"/>
      <c r="AD45" s="219"/>
      <c r="AE45" s="219"/>
      <c r="AF45" s="219"/>
      <c r="AG45" s="219"/>
      <c r="AH45" s="225">
        <f>SUM(PORTEFEUILLE_MARIE_PIERRE[[#This Row],[PCR COMPTABLE €]:[MONTANT
RESPONSABLE RELATION CLIENT €]])-PORTEFEUILLE_MARIE_PIERRE[[#This Row],[MONTANT TOTAL LETTRE DE MISION €]]</f>
        <v>0</v>
      </c>
      <c r="AI45" s="191"/>
      <c r="AJ45" s="188"/>
      <c r="AK45" s="188"/>
      <c r="AL45" s="188"/>
      <c r="AM45" s="188"/>
      <c r="AN45" s="188"/>
      <c r="AO45" s="188"/>
      <c r="AP45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Q45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R45" s="188" t="str">
        <f>IF(PORTEFEUILLE_MARIE_PIERRE[[#This Row],[BONI AAC]]&lt;&gt;0,1,"")</f>
        <v/>
      </c>
      <c r="AS45" s="188" t="str">
        <f>IF(PORTEFEUILLE_MARIE_PIERRE[[#This Row],[MALI AAC]]&lt;&gt;0,1,"")</f>
        <v/>
      </c>
      <c r="AT45" s="225">
        <f>IF(AN45&lt;&gt;"",IF((AN45*Paramètres!$H$4)-PORTEFEUILLE_MARIE_PIERRE[[#This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€]]-(DELPHINE!AN45*Paramètres!$H$4),0),0)</f>
        <v>0</v>
      </c>
      <c r="AU45" s="225">
        <f>IF(AN45&lt;&gt;"",IF(((AN45*Paramètres!$H$4)-PORTEFEUILLE_MARIE_PIERRE[[#This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€]])&gt;0,(AN45*Paramètres!$H$4)-PORTEFEUILLE_MARIE_PIERRE[[#This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V45" s="190" t="str">
        <f>IF(PORTEFEUILLE_MARIE_PIERRE[[#This Row],[BONI COMPTABLE]]&lt;&gt;0,1,"")</f>
        <v/>
      </c>
      <c r="AW45" s="190" t="str">
        <f>IF(PORTEFEUILLE_MARIE_PIERRE[[#This Row],[MALI COMPTABLE]]&lt;&gt;0,1,"")</f>
        <v/>
      </c>
      <c r="AX45" s="188"/>
      <c r="AY45" s="188"/>
      <c r="AZ45" s="188"/>
      <c r="BA45" s="188"/>
      <c r="BB45" s="188"/>
      <c r="BC45" s="188"/>
      <c r="BD45" s="188"/>
      <c r="BE45" s="192"/>
      <c r="BF45" s="194"/>
      <c r="BG45" s="194"/>
      <c r="BH45" s="195"/>
      <c r="BI45" s="194"/>
    </row>
    <row r="46" spans="1:61" x14ac:dyDescent="0.25">
      <c r="A46" s="172"/>
      <c r="B46" s="181"/>
      <c r="C46" s="165"/>
      <c r="D46" s="171"/>
      <c r="E46" s="189"/>
      <c r="F46" s="188"/>
      <c r="G46" s="188"/>
      <c r="H46" s="189"/>
      <c r="I46" s="188"/>
      <c r="J46" s="189"/>
      <c r="K46" s="190" t="str">
        <f t="shared" si="0"/>
        <v/>
      </c>
      <c r="L46" s="190" t="str">
        <f t="shared" si="1"/>
        <v/>
      </c>
      <c r="M46" s="188"/>
      <c r="N46" s="188"/>
      <c r="O46" s="188"/>
      <c r="P46" s="188"/>
      <c r="Q46" s="188"/>
      <c r="R46" s="188"/>
      <c r="S46" s="214"/>
      <c r="T46" s="208"/>
      <c r="U46" s="220"/>
      <c r="V46" s="220"/>
      <c r="W46" s="220"/>
      <c r="X46" s="220"/>
      <c r="Y46" s="220"/>
      <c r="Z46" s="220"/>
      <c r="AA46" s="220"/>
      <c r="AB46" s="220"/>
      <c r="AC46" s="220"/>
      <c r="AD46" s="220"/>
      <c r="AE46" s="220"/>
      <c r="AF46" s="220"/>
      <c r="AG46" s="219"/>
      <c r="AH46" s="225">
        <f>SUM(PORTEFEUILLE_MARIE_PIERRE[[#This Row],[PCR COMPTABLE €]:[MONTANT
RESPONSABLE RELATION CLIENT €]])-PORTEFEUILLE_MARIE_PIERRE[[#This Row],[MONTANT TOTAL LETTRE DE MISION €]]</f>
        <v>0</v>
      </c>
      <c r="AI46" s="191"/>
      <c r="AJ46" s="188"/>
      <c r="AK46" s="188"/>
      <c r="AL46" s="196"/>
      <c r="AM46" s="196"/>
      <c r="AN46" s="196"/>
      <c r="AO46" s="196"/>
      <c r="AP46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Q46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R46" s="188" t="str">
        <f>IF(PORTEFEUILLE_MARIE_PIERRE[[#This Row],[BONI AAC]]&lt;&gt;0,1,"")</f>
        <v/>
      </c>
      <c r="AS46" s="188" t="str">
        <f>IF(PORTEFEUILLE_MARIE_PIERRE[[#This Row],[MALI AAC]]&lt;&gt;0,1,"")</f>
        <v/>
      </c>
      <c r="AT46" s="225">
        <f>IF(AN46&lt;&gt;"",IF((AN46*Paramètres!$H$4)-PORTEFEUILLE_MARIE_PIERRE[[#This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€]]-(DELPHINE!AN46*Paramètres!$H$4),0),0)</f>
        <v>0</v>
      </c>
      <c r="AU46" s="225">
        <f>IF(AN46&lt;&gt;"",IF(((AN46*Paramètres!$H$4)-PORTEFEUILLE_MARIE_PIERRE[[#This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€]])&gt;0,(AN46*Paramètres!$H$4)-PORTEFEUILLE_MARIE_PIERRE[[#This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V46" s="190" t="str">
        <f>IF(PORTEFEUILLE_MARIE_PIERRE[[#This Row],[BONI COMPTABLE]]&lt;&gt;0,1,"")</f>
        <v/>
      </c>
      <c r="AW46" s="190" t="str">
        <f>IF(PORTEFEUILLE_MARIE_PIERRE[[#This Row],[MALI COMPTABLE]]&lt;&gt;0,1,"")</f>
        <v/>
      </c>
      <c r="AX46" s="196"/>
      <c r="AY46" s="188"/>
      <c r="AZ46" s="188"/>
      <c r="BA46" s="188"/>
      <c r="BB46" s="188"/>
      <c r="BC46" s="188"/>
      <c r="BD46" s="188"/>
      <c r="BE46" s="192"/>
      <c r="BF46" s="194"/>
      <c r="BG46" s="194"/>
      <c r="BH46" s="195"/>
      <c r="BI46" s="194"/>
    </row>
    <row r="47" spans="1:61" x14ac:dyDescent="0.25">
      <c r="A47" s="172"/>
      <c r="B47" s="181"/>
      <c r="C47" s="165"/>
      <c r="D47" s="171"/>
      <c r="E47" s="189"/>
      <c r="F47" s="188"/>
      <c r="G47" s="189"/>
      <c r="H47" s="189"/>
      <c r="I47" s="189"/>
      <c r="J47" s="189"/>
      <c r="K47" s="190" t="str">
        <f t="shared" si="0"/>
        <v/>
      </c>
      <c r="L47" s="190" t="str">
        <f t="shared" si="1"/>
        <v/>
      </c>
      <c r="M47" s="188"/>
      <c r="N47" s="188"/>
      <c r="O47" s="188"/>
      <c r="P47" s="188"/>
      <c r="Q47" s="188"/>
      <c r="R47" s="188"/>
      <c r="S47" s="213"/>
      <c r="T47" s="207"/>
      <c r="U47" s="219"/>
      <c r="V47" s="219"/>
      <c r="W47" s="219"/>
      <c r="X47" s="219"/>
      <c r="Y47" s="219"/>
      <c r="Z47" s="219"/>
      <c r="AA47" s="219"/>
      <c r="AB47" s="219"/>
      <c r="AC47" s="219"/>
      <c r="AD47" s="219"/>
      <c r="AE47" s="219"/>
      <c r="AF47" s="219"/>
      <c r="AG47" s="219"/>
      <c r="AH47" s="225">
        <f>SUM(PORTEFEUILLE_MARIE_PIERRE[[#This Row],[PCR COMPTABLE €]:[MONTANT
RESPONSABLE RELATION CLIENT €]])-PORTEFEUILLE_MARIE_PIERRE[[#This Row],[MONTANT TOTAL LETTRE DE MISION €]]</f>
        <v>0</v>
      </c>
      <c r="AI47" s="191"/>
      <c r="AJ47" s="188"/>
      <c r="AK47" s="188"/>
      <c r="AL47" s="188"/>
      <c r="AM47" s="188"/>
      <c r="AN47" s="188"/>
      <c r="AO47" s="188"/>
      <c r="AP47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Q47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R47" s="188" t="str">
        <f>IF(PORTEFEUILLE_MARIE_PIERRE[[#This Row],[BONI AAC]]&lt;&gt;0,1,"")</f>
        <v/>
      </c>
      <c r="AS47" s="188" t="str">
        <f>IF(PORTEFEUILLE_MARIE_PIERRE[[#This Row],[MALI AAC]]&lt;&gt;0,1,"")</f>
        <v/>
      </c>
      <c r="AT47" s="225">
        <f>IF(AN47&lt;&gt;"",IF((AN47*Paramètres!$H$4)-PORTEFEUILLE_MARIE_PIERRE[[#This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€]]-(DELPHINE!AN47*Paramètres!$H$4),0),0)</f>
        <v>0</v>
      </c>
      <c r="AU47" s="225">
        <f>IF(AN47&lt;&gt;"",IF(((AN47*Paramètres!$H$4)-PORTEFEUILLE_MARIE_PIERRE[[#This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€]])&gt;0,(AN47*Paramètres!$H$4)-PORTEFEUILLE_MARIE_PIERRE[[#This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V47" s="190" t="str">
        <f>IF(PORTEFEUILLE_MARIE_PIERRE[[#This Row],[BONI COMPTABLE]]&lt;&gt;0,1,"")</f>
        <v/>
      </c>
      <c r="AW47" s="190" t="str">
        <f>IF(PORTEFEUILLE_MARIE_PIERRE[[#This Row],[MALI COMPTABLE]]&lt;&gt;0,1,"")</f>
        <v/>
      </c>
      <c r="AX47" s="188"/>
      <c r="AY47" s="188"/>
      <c r="AZ47" s="188"/>
      <c r="BA47" s="188"/>
      <c r="BB47" s="188"/>
      <c r="BC47" s="188"/>
      <c r="BD47" s="188"/>
      <c r="BE47" s="192"/>
      <c r="BF47" s="194"/>
      <c r="BG47" s="194"/>
      <c r="BH47" s="195"/>
      <c r="BI47" s="194"/>
    </row>
    <row r="48" spans="1:61" x14ac:dyDescent="0.25">
      <c r="A48" s="172"/>
      <c r="B48" s="180"/>
      <c r="C48" s="165"/>
      <c r="D48" s="171"/>
      <c r="E48" s="189"/>
      <c r="F48" s="188"/>
      <c r="G48" s="188"/>
      <c r="H48" s="189"/>
      <c r="I48" s="189"/>
      <c r="J48" s="189"/>
      <c r="K48" s="190" t="str">
        <f t="shared" si="0"/>
        <v/>
      </c>
      <c r="L48" s="190" t="str">
        <f t="shared" si="1"/>
        <v/>
      </c>
      <c r="M48" s="188"/>
      <c r="N48" s="188"/>
      <c r="O48" s="188"/>
      <c r="P48" s="188"/>
      <c r="Q48" s="188"/>
      <c r="R48" s="188"/>
      <c r="S48" s="214"/>
      <c r="T48" s="208"/>
      <c r="U48" s="220"/>
      <c r="V48" s="220"/>
      <c r="W48" s="220"/>
      <c r="X48" s="220"/>
      <c r="Y48" s="220"/>
      <c r="Z48" s="220"/>
      <c r="AA48" s="220"/>
      <c r="AB48" s="220"/>
      <c r="AC48" s="220"/>
      <c r="AD48" s="220"/>
      <c r="AE48" s="220"/>
      <c r="AF48" s="220"/>
      <c r="AG48" s="219"/>
      <c r="AH48" s="225">
        <f>SUM(PORTEFEUILLE_MARIE_PIERRE[[#This Row],[PCR COMPTABLE €]:[MONTANT
RESPONSABLE RELATION CLIENT €]])-PORTEFEUILLE_MARIE_PIERRE[[#This Row],[MONTANT TOTAL LETTRE DE MISION €]]</f>
        <v>0</v>
      </c>
      <c r="AI48" s="191"/>
      <c r="AJ48" s="188"/>
      <c r="AK48" s="188"/>
      <c r="AL48" s="196"/>
      <c r="AM48" s="196"/>
      <c r="AN48" s="196"/>
      <c r="AO48" s="196"/>
      <c r="AP48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Q48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R48" s="188" t="str">
        <f>IF(PORTEFEUILLE_MARIE_PIERRE[[#This Row],[BONI AAC]]&lt;&gt;0,1,"")</f>
        <v/>
      </c>
      <c r="AS48" s="188" t="str">
        <f>IF(PORTEFEUILLE_MARIE_PIERRE[[#This Row],[MALI AAC]]&lt;&gt;0,1,"")</f>
        <v/>
      </c>
      <c r="AT48" s="225">
        <f>IF(AN48&lt;&gt;"",IF((AN48*Paramètres!$H$4)-PORTEFEUILLE_MARIE_PIERRE[[#This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€]]-(DELPHINE!AN48*Paramètres!$H$4),0),0)</f>
        <v>0</v>
      </c>
      <c r="AU48" s="225">
        <f>IF(AN48&lt;&gt;"",IF(((AN48*Paramètres!$H$4)-PORTEFEUILLE_MARIE_PIERRE[[#This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€]])&gt;0,(AN48*Paramètres!$H$4)-PORTEFEUILLE_MARIE_PIERRE[[#This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V48" s="190" t="str">
        <f>IF(PORTEFEUILLE_MARIE_PIERRE[[#This Row],[BONI COMPTABLE]]&lt;&gt;0,1,"")</f>
        <v/>
      </c>
      <c r="AW48" s="190" t="str">
        <f>IF(PORTEFEUILLE_MARIE_PIERRE[[#This Row],[MALI COMPTABLE]]&lt;&gt;0,1,"")</f>
        <v/>
      </c>
      <c r="AX48" s="196"/>
      <c r="AY48" s="188"/>
      <c r="AZ48" s="188"/>
      <c r="BA48" s="188"/>
      <c r="BB48" s="188"/>
      <c r="BC48" s="188"/>
      <c r="BD48" s="188"/>
      <c r="BE48" s="192"/>
      <c r="BF48" s="194"/>
      <c r="BG48" s="194"/>
      <c r="BH48" s="195"/>
      <c r="BI48" s="194"/>
    </row>
    <row r="49" spans="1:61" x14ac:dyDescent="0.25">
      <c r="A49" s="172"/>
      <c r="B49" s="180"/>
      <c r="C49" s="165"/>
      <c r="D49" s="171"/>
      <c r="E49" s="189"/>
      <c r="F49" s="188"/>
      <c r="G49" s="189"/>
      <c r="H49" s="189"/>
      <c r="I49" s="189"/>
      <c r="J49" s="189"/>
      <c r="K49" s="190" t="str">
        <f t="shared" si="0"/>
        <v/>
      </c>
      <c r="L49" s="190" t="str">
        <f t="shared" si="1"/>
        <v/>
      </c>
      <c r="M49" s="188"/>
      <c r="N49" s="188"/>
      <c r="O49" s="188"/>
      <c r="P49" s="188"/>
      <c r="Q49" s="188"/>
      <c r="R49" s="188"/>
      <c r="S49" s="213"/>
      <c r="T49" s="207"/>
      <c r="U49" s="219"/>
      <c r="V49" s="219"/>
      <c r="W49" s="219"/>
      <c r="X49" s="219"/>
      <c r="Y49" s="219"/>
      <c r="Z49" s="219"/>
      <c r="AA49" s="219"/>
      <c r="AB49" s="219"/>
      <c r="AC49" s="219"/>
      <c r="AD49" s="219"/>
      <c r="AE49" s="219"/>
      <c r="AF49" s="219"/>
      <c r="AG49" s="219"/>
      <c r="AH49" s="225">
        <f>SUM(PORTEFEUILLE_MARIE_PIERRE[[#This Row],[PCR COMPTABLE €]:[MONTANT
RESPONSABLE RELATION CLIENT €]])-PORTEFEUILLE_MARIE_PIERRE[[#This Row],[MONTANT TOTAL LETTRE DE MISION €]]</f>
        <v>0</v>
      </c>
      <c r="AI49" s="191"/>
      <c r="AJ49" s="188"/>
      <c r="AK49" s="188"/>
      <c r="AL49" s="188"/>
      <c r="AM49" s="188"/>
      <c r="AN49" s="188"/>
      <c r="AO49" s="188"/>
      <c r="AP49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Q49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R49" s="188" t="str">
        <f>IF(PORTEFEUILLE_MARIE_PIERRE[[#This Row],[BONI AAC]]&lt;&gt;0,1,"")</f>
        <v/>
      </c>
      <c r="AS49" s="188" t="str">
        <f>IF(PORTEFEUILLE_MARIE_PIERRE[[#This Row],[MALI AAC]]&lt;&gt;0,1,"")</f>
        <v/>
      </c>
      <c r="AT49" s="225">
        <f>IF(AN49&lt;&gt;"",IF((AN49*Paramètres!$H$4)-PORTEFEUILLE_MARIE_PIERRE[[#This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€]]-(DELPHINE!AN49*Paramètres!$H$4),0),0)</f>
        <v>0</v>
      </c>
      <c r="AU49" s="225">
        <f>IF(AN49&lt;&gt;"",IF(((AN49*Paramètres!$H$4)-PORTEFEUILLE_MARIE_PIERRE[[#This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€]])&gt;0,(AN49*Paramètres!$H$4)-PORTEFEUILLE_MARIE_PIERRE[[#This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V49" s="190" t="str">
        <f>IF(PORTEFEUILLE_MARIE_PIERRE[[#This Row],[BONI COMPTABLE]]&lt;&gt;0,1,"")</f>
        <v/>
      </c>
      <c r="AW49" s="190" t="str">
        <f>IF(PORTEFEUILLE_MARIE_PIERRE[[#This Row],[MALI COMPTABLE]]&lt;&gt;0,1,"")</f>
        <v/>
      </c>
      <c r="AX49" s="188"/>
      <c r="AY49" s="188"/>
      <c r="AZ49" s="188"/>
      <c r="BA49" s="188"/>
      <c r="BB49" s="196"/>
      <c r="BC49" s="188"/>
      <c r="BD49" s="188"/>
      <c r="BE49" s="192"/>
      <c r="BF49" s="194"/>
      <c r="BG49" s="194"/>
      <c r="BH49" s="195"/>
      <c r="BI49" s="194"/>
    </row>
    <row r="50" spans="1:61" x14ac:dyDescent="0.25">
      <c r="A50" s="172"/>
      <c r="B50" s="170"/>
      <c r="C50" s="165"/>
      <c r="D50" s="171"/>
      <c r="E50" s="189"/>
      <c r="F50" s="188"/>
      <c r="G50" s="188"/>
      <c r="H50" s="189"/>
      <c r="I50" s="188"/>
      <c r="J50" s="188"/>
      <c r="K50" s="190" t="str">
        <f t="shared" si="0"/>
        <v/>
      </c>
      <c r="L50" s="190" t="str">
        <f t="shared" si="1"/>
        <v/>
      </c>
      <c r="M50" s="188"/>
      <c r="N50" s="188"/>
      <c r="O50" s="188"/>
      <c r="P50" s="188"/>
      <c r="Q50" s="188"/>
      <c r="R50" s="188"/>
      <c r="S50" s="214"/>
      <c r="T50" s="208"/>
      <c r="U50" s="220"/>
      <c r="V50" s="220"/>
      <c r="W50" s="220"/>
      <c r="X50" s="220"/>
      <c r="Y50" s="220"/>
      <c r="Z50" s="220"/>
      <c r="AA50" s="220"/>
      <c r="AB50" s="220"/>
      <c r="AC50" s="220"/>
      <c r="AD50" s="220"/>
      <c r="AE50" s="220"/>
      <c r="AF50" s="220"/>
      <c r="AG50" s="219"/>
      <c r="AH50" s="225">
        <f>SUM(PORTEFEUILLE_MARIE_PIERRE[[#This Row],[PCR COMPTABLE €]:[MONTANT
RESPONSABLE RELATION CLIENT €]])-PORTEFEUILLE_MARIE_PIERRE[[#This Row],[MONTANT TOTAL LETTRE DE MISION €]]</f>
        <v>0</v>
      </c>
      <c r="AI50" s="191"/>
      <c r="AJ50" s="188"/>
      <c r="AK50" s="188"/>
      <c r="AL50" s="196"/>
      <c r="AM50" s="196"/>
      <c r="AN50" s="196"/>
      <c r="AO50" s="196"/>
      <c r="AP50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Q50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R50" s="188" t="str">
        <f>IF(PORTEFEUILLE_MARIE_PIERRE[[#This Row],[BONI AAC]]&lt;&gt;0,1,"")</f>
        <v/>
      </c>
      <c r="AS50" s="188" t="str">
        <f>IF(PORTEFEUILLE_MARIE_PIERRE[[#This Row],[MALI AAC]]&lt;&gt;0,1,"")</f>
        <v/>
      </c>
      <c r="AT50" s="225">
        <f>IF(AN50&lt;&gt;"",IF((AN50*Paramètres!$H$4)-PORTEFEUILLE_MARIE_PIERRE[[#This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€]]-(DELPHINE!AN50*Paramètres!$H$4),0),0)</f>
        <v>0</v>
      </c>
      <c r="AU50" s="225">
        <f>IF(AN50&lt;&gt;"",IF(((AN50*Paramètres!$H$4)-PORTEFEUILLE_MARIE_PIERRE[[#This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€]])&gt;0,(AN50*Paramètres!$H$4)-PORTEFEUILLE_MARIE_PIERRE[[#This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V50" s="190" t="str">
        <f>IF(PORTEFEUILLE_MARIE_PIERRE[[#This Row],[BONI COMPTABLE]]&lt;&gt;0,1,"")</f>
        <v/>
      </c>
      <c r="AW50" s="190" t="str">
        <f>IF(PORTEFEUILLE_MARIE_PIERRE[[#This Row],[MALI COMPTABLE]]&lt;&gt;0,1,"")</f>
        <v/>
      </c>
      <c r="AX50" s="196"/>
      <c r="AY50" s="188"/>
      <c r="AZ50" s="188"/>
      <c r="BA50" s="188"/>
      <c r="BB50" s="196"/>
      <c r="BC50" s="196"/>
      <c r="BD50" s="196"/>
      <c r="BE50" s="192"/>
      <c r="BF50" s="194"/>
      <c r="BG50" s="194"/>
      <c r="BH50" s="195"/>
      <c r="BI50" s="194"/>
    </row>
    <row r="51" spans="1:61" x14ac:dyDescent="0.25">
      <c r="A51" s="172"/>
      <c r="B51" s="170"/>
      <c r="C51" s="165"/>
      <c r="D51" s="171"/>
      <c r="E51" s="189"/>
      <c r="F51" s="188"/>
      <c r="G51" s="188"/>
      <c r="H51" s="189"/>
      <c r="I51" s="188"/>
      <c r="J51" s="189"/>
      <c r="K51" s="190" t="str">
        <f t="shared" si="0"/>
        <v/>
      </c>
      <c r="L51" s="190" t="str">
        <f t="shared" si="1"/>
        <v/>
      </c>
      <c r="M51" s="188"/>
      <c r="N51" s="188"/>
      <c r="O51" s="188"/>
      <c r="P51" s="188"/>
      <c r="Q51" s="188"/>
      <c r="R51" s="188"/>
      <c r="S51" s="214"/>
      <c r="T51" s="208"/>
      <c r="U51" s="220"/>
      <c r="V51" s="220"/>
      <c r="W51" s="220"/>
      <c r="X51" s="220"/>
      <c r="Y51" s="220"/>
      <c r="Z51" s="220"/>
      <c r="AA51" s="220"/>
      <c r="AB51" s="220"/>
      <c r="AC51" s="220"/>
      <c r="AD51" s="220"/>
      <c r="AE51" s="220"/>
      <c r="AF51" s="220"/>
      <c r="AG51" s="219"/>
      <c r="AH51" s="225">
        <f>SUM(PORTEFEUILLE_MARIE_PIERRE[[#This Row],[PCR COMPTABLE €]:[MONTANT
RESPONSABLE RELATION CLIENT €]])-PORTEFEUILLE_MARIE_PIERRE[[#This Row],[MONTANT TOTAL LETTRE DE MISION €]]</f>
        <v>0</v>
      </c>
      <c r="AI51" s="191"/>
      <c r="AJ51" s="188"/>
      <c r="AK51" s="188"/>
      <c r="AL51" s="196"/>
      <c r="AM51" s="196"/>
      <c r="AN51" s="196"/>
      <c r="AO51" s="196"/>
      <c r="AP51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Q51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R51" s="188" t="str">
        <f>IF(PORTEFEUILLE_MARIE_PIERRE[[#This Row],[BONI AAC]]&lt;&gt;0,1,"")</f>
        <v/>
      </c>
      <c r="AS51" s="188" t="str">
        <f>IF(PORTEFEUILLE_MARIE_PIERRE[[#This Row],[MALI AAC]]&lt;&gt;0,1,"")</f>
        <v/>
      </c>
      <c r="AT51" s="225">
        <f>IF(AN51&lt;&gt;"",IF((AN51*Paramètres!$H$4)-PORTEFEUILLE_MARIE_PIERRE[[#This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€]]-(DELPHINE!AN51*Paramètres!$H$4),0),0)</f>
        <v>0</v>
      </c>
      <c r="AU51" s="225">
        <f>IF(AN51&lt;&gt;"",IF(((AN51*Paramètres!$H$4)-PORTEFEUILLE_MARIE_PIERRE[[#This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€]])&gt;0,(AN51*Paramètres!$H$4)-PORTEFEUILLE_MARIE_PIERRE[[#This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V51" s="190" t="str">
        <f>IF(PORTEFEUILLE_MARIE_PIERRE[[#This Row],[BONI COMPTABLE]]&lt;&gt;0,1,"")</f>
        <v/>
      </c>
      <c r="AW51" s="190" t="str">
        <f>IF(PORTEFEUILLE_MARIE_PIERRE[[#This Row],[MALI COMPTABLE]]&lt;&gt;0,1,"")</f>
        <v/>
      </c>
      <c r="AX51" s="196"/>
      <c r="AY51" s="188"/>
      <c r="AZ51" s="188"/>
      <c r="BA51" s="188"/>
      <c r="BB51" s="196"/>
      <c r="BC51" s="196"/>
      <c r="BD51" s="196"/>
      <c r="BE51" s="192"/>
      <c r="BF51" s="194"/>
      <c r="BG51" s="194"/>
      <c r="BH51" s="195"/>
      <c r="BI51" s="194"/>
    </row>
    <row r="52" spans="1:61" x14ac:dyDescent="0.25">
      <c r="A52" s="172"/>
      <c r="B52" s="170"/>
      <c r="C52" s="165"/>
      <c r="D52" s="171"/>
      <c r="E52" s="189"/>
      <c r="F52" s="188"/>
      <c r="G52" s="188"/>
      <c r="H52" s="189"/>
      <c r="I52" s="188"/>
      <c r="J52" s="189"/>
      <c r="K52" s="190" t="str">
        <f t="shared" si="0"/>
        <v/>
      </c>
      <c r="L52" s="190" t="str">
        <f t="shared" si="1"/>
        <v/>
      </c>
      <c r="M52" s="188"/>
      <c r="N52" s="188"/>
      <c r="O52" s="188"/>
      <c r="P52" s="188"/>
      <c r="Q52" s="188"/>
      <c r="R52" s="188"/>
      <c r="S52" s="214"/>
      <c r="T52" s="208"/>
      <c r="U52" s="220"/>
      <c r="V52" s="220"/>
      <c r="W52" s="220"/>
      <c r="X52" s="220"/>
      <c r="Y52" s="220"/>
      <c r="Z52" s="220"/>
      <c r="AA52" s="220"/>
      <c r="AB52" s="220"/>
      <c r="AC52" s="220"/>
      <c r="AD52" s="220"/>
      <c r="AE52" s="220"/>
      <c r="AF52" s="220"/>
      <c r="AG52" s="219"/>
      <c r="AH52" s="225">
        <f>SUM(PORTEFEUILLE_MARIE_PIERRE[[#This Row],[PCR COMPTABLE €]:[MONTANT
RESPONSABLE RELATION CLIENT €]])-PORTEFEUILLE_MARIE_PIERRE[[#This Row],[MONTANT TOTAL LETTRE DE MISION €]]</f>
        <v>0</v>
      </c>
      <c r="AI52" s="191"/>
      <c r="AJ52" s="188"/>
      <c r="AK52" s="188"/>
      <c r="AL52" s="196"/>
      <c r="AM52" s="196"/>
      <c r="AN52" s="196"/>
      <c r="AO52" s="196"/>
      <c r="AP52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Q52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R52" s="188" t="str">
        <f>IF(PORTEFEUILLE_MARIE_PIERRE[[#This Row],[BONI AAC]]&lt;&gt;0,1,"")</f>
        <v/>
      </c>
      <c r="AS52" s="188" t="str">
        <f>IF(PORTEFEUILLE_MARIE_PIERRE[[#This Row],[MALI AAC]]&lt;&gt;0,1,"")</f>
        <v/>
      </c>
      <c r="AT52" s="225">
        <f>IF(AN52&lt;&gt;"",IF((AN52*Paramètres!$H$4)-PORTEFEUILLE_MARIE_PIERRE[[#This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€]]-(DELPHINE!AN52*Paramètres!$H$4),0),0)</f>
        <v>0</v>
      </c>
      <c r="AU52" s="225">
        <f>IF(AN52&lt;&gt;"",IF(((AN52*Paramètres!$H$4)-PORTEFEUILLE_MARIE_PIERRE[[#This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€]])&gt;0,(AN52*Paramètres!$H$4)-PORTEFEUILLE_MARIE_PIERRE[[#This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V52" s="190" t="str">
        <f>IF(PORTEFEUILLE_MARIE_PIERRE[[#This Row],[BONI COMPTABLE]]&lt;&gt;0,1,"")</f>
        <v/>
      </c>
      <c r="AW52" s="190" t="str">
        <f>IF(PORTEFEUILLE_MARIE_PIERRE[[#This Row],[MALI COMPTABLE]]&lt;&gt;0,1,"")</f>
        <v/>
      </c>
      <c r="AX52" s="196"/>
      <c r="AY52" s="188"/>
      <c r="AZ52" s="188"/>
      <c r="BA52" s="188"/>
      <c r="BB52" s="196"/>
      <c r="BC52" s="196"/>
      <c r="BD52" s="196"/>
      <c r="BE52" s="192"/>
      <c r="BF52" s="194"/>
      <c r="BG52" s="194"/>
      <c r="BH52" s="195"/>
      <c r="BI52" s="194"/>
    </row>
    <row r="53" spans="1:61" x14ac:dyDescent="0.25">
      <c r="A53" s="172"/>
      <c r="B53" s="182"/>
      <c r="C53" s="183"/>
      <c r="D53" s="184"/>
      <c r="E53" s="200"/>
      <c r="F53" s="201"/>
      <c r="G53" s="201"/>
      <c r="H53" s="189"/>
      <c r="I53" s="201"/>
      <c r="J53" s="201"/>
      <c r="K53" s="190" t="str">
        <f t="shared" si="0"/>
        <v/>
      </c>
      <c r="L53" s="190" t="str">
        <f t="shared" si="1"/>
        <v/>
      </c>
      <c r="M53" s="188"/>
      <c r="N53" s="188"/>
      <c r="O53" s="188"/>
      <c r="P53" s="188"/>
      <c r="Q53" s="188"/>
      <c r="R53" s="188"/>
      <c r="S53" s="216"/>
      <c r="T53" s="210"/>
      <c r="U53" s="222"/>
      <c r="V53" s="222"/>
      <c r="W53" s="222"/>
      <c r="X53" s="222"/>
      <c r="Y53" s="222"/>
      <c r="Z53" s="222"/>
      <c r="AA53" s="222"/>
      <c r="AB53" s="222"/>
      <c r="AC53" s="222"/>
      <c r="AD53" s="222"/>
      <c r="AE53" s="222"/>
      <c r="AF53" s="222"/>
      <c r="AG53" s="219"/>
      <c r="AH53" s="225">
        <f>SUM(PORTEFEUILLE_MARIE_PIERRE[[#This Row],[PCR COMPTABLE €]:[MONTANT
RESPONSABLE RELATION CLIENT €]])-PORTEFEUILLE_MARIE_PIERRE[[#This Row],[MONTANT TOTAL LETTRE DE MISION €]]</f>
        <v>0</v>
      </c>
      <c r="AI53" s="191"/>
      <c r="AJ53" s="188"/>
      <c r="AK53" s="201"/>
      <c r="AL53" s="202"/>
      <c r="AM53" s="202"/>
      <c r="AN53" s="202"/>
      <c r="AO53" s="202"/>
      <c r="AP53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Q53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R53" s="188" t="str">
        <f>IF(PORTEFEUILLE_MARIE_PIERRE[[#This Row],[BONI AAC]]&lt;&gt;0,1,"")</f>
        <v/>
      </c>
      <c r="AS53" s="188" t="str">
        <f>IF(PORTEFEUILLE_MARIE_PIERRE[[#This Row],[MALI AAC]]&lt;&gt;0,1,"")</f>
        <v/>
      </c>
      <c r="AT53" s="225">
        <f>IF(AN53&lt;&gt;"",IF((AN53*Paramètres!$H$4)-PORTEFEUILLE_MARIE_PIERRE[[#This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€]]-(DELPHINE!AN53*Paramètres!$H$4),0),0)</f>
        <v>0</v>
      </c>
      <c r="AU53" s="225">
        <f>IF(AN53&lt;&gt;"",IF(((AN53*Paramètres!$H$4)-PORTEFEUILLE_MARIE_PIERRE[[#This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€]])&gt;0,(AN53*Paramètres!$H$4)-PORTEFEUILLE_MARIE_PIERRE[[#This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V53" s="190" t="str">
        <f>IF(PORTEFEUILLE_MARIE_PIERRE[[#This Row],[BONI COMPTABLE]]&lt;&gt;0,1,"")</f>
        <v/>
      </c>
      <c r="AW53" s="190" t="str">
        <f>IF(PORTEFEUILLE_MARIE_PIERRE[[#This Row],[MALI COMPTABLE]]&lt;&gt;0,1,"")</f>
        <v/>
      </c>
      <c r="AX53" s="202"/>
      <c r="AY53" s="188"/>
      <c r="AZ53" s="188"/>
      <c r="BA53" s="188"/>
      <c r="BB53" s="202"/>
      <c r="BC53" s="202"/>
      <c r="BD53" s="202"/>
      <c r="BE53" s="192"/>
      <c r="BF53" s="194"/>
      <c r="BG53" s="194"/>
      <c r="BH53" s="195"/>
      <c r="BI53" s="194"/>
    </row>
    <row r="54" spans="1:61" x14ac:dyDescent="0.25">
      <c r="A54" s="172"/>
      <c r="B54" s="185"/>
      <c r="C54" s="172"/>
      <c r="D54" s="172"/>
      <c r="E54" s="203"/>
      <c r="F54" s="194"/>
      <c r="G54" s="194"/>
      <c r="H54" s="189"/>
      <c r="I54" s="194"/>
      <c r="J54" s="194"/>
      <c r="K54" s="190" t="str">
        <f t="shared" si="0"/>
        <v/>
      </c>
      <c r="L54" s="190" t="str">
        <f t="shared" si="1"/>
        <v/>
      </c>
      <c r="M54" s="188"/>
      <c r="N54" s="188"/>
      <c r="O54" s="188"/>
      <c r="P54" s="188"/>
      <c r="Q54" s="188"/>
      <c r="R54" s="188"/>
      <c r="S54" s="217"/>
      <c r="T54" s="211"/>
      <c r="U54" s="223"/>
      <c r="V54" s="223"/>
      <c r="W54" s="223"/>
      <c r="X54" s="223"/>
      <c r="Y54" s="223"/>
      <c r="Z54" s="223"/>
      <c r="AA54" s="223"/>
      <c r="AB54" s="223"/>
      <c r="AC54" s="223"/>
      <c r="AD54" s="223"/>
      <c r="AE54" s="223"/>
      <c r="AF54" s="223"/>
      <c r="AG54" s="219"/>
      <c r="AH54" s="225">
        <f>SUM(PORTEFEUILLE_MARIE_PIERRE[[#This Row],[PCR COMPTABLE €]:[MONTANT
RESPONSABLE RELATION CLIENT €]])-PORTEFEUILLE_MARIE_PIERRE[[#This Row],[MONTANT TOTAL LETTRE DE MISION €]]</f>
        <v>0</v>
      </c>
      <c r="AI54" s="191"/>
      <c r="AJ54" s="188"/>
      <c r="AK54" s="188"/>
      <c r="AL54" s="194"/>
      <c r="AM54" s="194"/>
      <c r="AN54" s="194"/>
      <c r="AO54" s="194"/>
      <c r="AP54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Q54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R54" s="188" t="str">
        <f>IF(PORTEFEUILLE_MARIE_PIERRE[[#This Row],[BONI AAC]]&lt;&gt;0,1,"")</f>
        <v/>
      </c>
      <c r="AS54" s="188" t="str">
        <f>IF(PORTEFEUILLE_MARIE_PIERRE[[#This Row],[MALI AAC]]&lt;&gt;0,1,"")</f>
        <v/>
      </c>
      <c r="AT54" s="225">
        <f>IF(AN54&lt;&gt;"",IF((AN54*Paramètres!$H$4)-PORTEFEUILLE_MARIE_PIERRE[[#This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€]]-(DELPHINE!AN54*Paramètres!$H$4),0),0)</f>
        <v>0</v>
      </c>
      <c r="AU54" s="225">
        <f>IF(AN54&lt;&gt;"",IF(((AN54*Paramètres!$H$4)-PORTEFEUILLE_MARIE_PIERRE[[#This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€]])&gt;0,(AN54*Paramètres!$H$4)-PORTEFEUILLE_MARIE_PIERRE[[#This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V54" s="190" t="str">
        <f>IF(PORTEFEUILLE_MARIE_PIERRE[[#This Row],[BONI COMPTABLE]]&lt;&gt;0,1,"")</f>
        <v/>
      </c>
      <c r="AW54" s="190" t="str">
        <f>IF(PORTEFEUILLE_MARIE_PIERRE[[#This Row],[MALI COMPTABLE]]&lt;&gt;0,1,"")</f>
        <v/>
      </c>
      <c r="AX54" s="194"/>
      <c r="AY54" s="188"/>
      <c r="AZ54" s="188"/>
      <c r="BA54" s="188"/>
      <c r="BB54" s="194"/>
      <c r="BC54" s="194"/>
      <c r="BD54" s="194"/>
      <c r="BE54" s="192"/>
      <c r="BF54" s="194"/>
      <c r="BG54" s="194"/>
      <c r="BH54" s="195"/>
      <c r="BI54" s="194"/>
    </row>
    <row r="55" spans="1:61" x14ac:dyDescent="0.25">
      <c r="A55" s="172"/>
      <c r="B55" s="185"/>
      <c r="C55" s="172"/>
      <c r="D55" s="172"/>
      <c r="E55" s="203"/>
      <c r="F55" s="194"/>
      <c r="G55" s="194"/>
      <c r="H55" s="189"/>
      <c r="I55" s="194"/>
      <c r="J55" s="194"/>
      <c r="K55" s="190" t="str">
        <f t="shared" si="0"/>
        <v/>
      </c>
      <c r="L55" s="190" t="str">
        <f t="shared" si="1"/>
        <v/>
      </c>
      <c r="M55" s="188"/>
      <c r="N55" s="188"/>
      <c r="O55" s="188"/>
      <c r="P55" s="188"/>
      <c r="Q55" s="188"/>
      <c r="R55" s="188"/>
      <c r="S55" s="217"/>
      <c r="T55" s="211"/>
      <c r="U55" s="223"/>
      <c r="V55" s="223"/>
      <c r="W55" s="223"/>
      <c r="X55" s="223"/>
      <c r="Y55" s="223"/>
      <c r="Z55" s="223"/>
      <c r="AA55" s="223"/>
      <c r="AB55" s="223"/>
      <c r="AC55" s="223"/>
      <c r="AD55" s="223"/>
      <c r="AE55" s="223"/>
      <c r="AF55" s="223"/>
      <c r="AG55" s="219"/>
      <c r="AH55" s="225">
        <f>SUM(PORTEFEUILLE_MARIE_PIERRE[[#This Row],[PCR COMPTABLE €]:[MONTANT
RESPONSABLE RELATION CLIENT €]])-PORTEFEUILLE_MARIE_PIERRE[[#This Row],[MONTANT TOTAL LETTRE DE MISION €]]</f>
        <v>0</v>
      </c>
      <c r="AI55" s="191"/>
      <c r="AJ55" s="188"/>
      <c r="AK55" s="188"/>
      <c r="AL55" s="194"/>
      <c r="AM55" s="194"/>
      <c r="AN55" s="194"/>
      <c r="AO55" s="194"/>
      <c r="AP55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Q55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R55" s="188" t="str">
        <f>IF(PORTEFEUILLE_MARIE_PIERRE[[#This Row],[BONI AAC]]&lt;&gt;0,1,"")</f>
        <v/>
      </c>
      <c r="AS55" s="188" t="str">
        <f>IF(PORTEFEUILLE_MARIE_PIERRE[[#This Row],[MALI AAC]]&lt;&gt;0,1,"")</f>
        <v/>
      </c>
      <c r="AT55" s="225">
        <f>IF(AN55&lt;&gt;"",IF((AN55*Paramètres!$H$4)-PORTEFEUILLE_MARIE_PIERRE[[#This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€]]-(DELPHINE!AN55*Paramètres!$H$4),0),0)</f>
        <v>0</v>
      </c>
      <c r="AU55" s="225">
        <f>IF(AN55&lt;&gt;"",IF(((AN55*Paramètres!$H$4)-PORTEFEUILLE_MARIE_PIERRE[[#This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€]])&gt;0,(AN55*Paramètres!$H$4)-PORTEFEUILLE_MARIE_PIERRE[[#This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V55" s="190" t="str">
        <f>IF(PORTEFEUILLE_MARIE_PIERRE[[#This Row],[BONI COMPTABLE]]&lt;&gt;0,1,"")</f>
        <v/>
      </c>
      <c r="AW55" s="190" t="str">
        <f>IF(PORTEFEUILLE_MARIE_PIERRE[[#This Row],[MALI COMPTABLE]]&lt;&gt;0,1,"")</f>
        <v/>
      </c>
      <c r="AX55" s="194"/>
      <c r="AY55" s="188"/>
      <c r="AZ55" s="188"/>
      <c r="BA55" s="188"/>
      <c r="BB55" s="194"/>
      <c r="BC55" s="194"/>
      <c r="BD55" s="194"/>
      <c r="BE55" s="192"/>
      <c r="BF55" s="194"/>
      <c r="BG55" s="194"/>
      <c r="BH55" s="195"/>
      <c r="BI55" s="194"/>
    </row>
    <row r="56" spans="1:61" x14ac:dyDescent="0.25">
      <c r="A56" s="172"/>
      <c r="B56" s="185"/>
      <c r="C56" s="172"/>
      <c r="D56" s="172"/>
      <c r="E56" s="203"/>
      <c r="F56" s="194"/>
      <c r="G56" s="194"/>
      <c r="H56" s="189"/>
      <c r="I56" s="194"/>
      <c r="J56" s="194"/>
      <c r="K56" s="190" t="str">
        <f t="shared" si="0"/>
        <v/>
      </c>
      <c r="L56" s="190" t="str">
        <f t="shared" si="1"/>
        <v/>
      </c>
      <c r="M56" s="188"/>
      <c r="N56" s="188"/>
      <c r="O56" s="188"/>
      <c r="P56" s="188"/>
      <c r="Q56" s="188"/>
      <c r="R56" s="188"/>
      <c r="S56" s="217"/>
      <c r="T56" s="211"/>
      <c r="U56" s="223"/>
      <c r="V56" s="223"/>
      <c r="W56" s="223"/>
      <c r="X56" s="223"/>
      <c r="Y56" s="223"/>
      <c r="Z56" s="223"/>
      <c r="AA56" s="223"/>
      <c r="AB56" s="223"/>
      <c r="AC56" s="223"/>
      <c r="AD56" s="223"/>
      <c r="AE56" s="223"/>
      <c r="AF56" s="223"/>
      <c r="AG56" s="219"/>
      <c r="AH56" s="225">
        <f>SUM(PORTEFEUILLE_MARIE_PIERRE[[#This Row],[PCR COMPTABLE €]:[MONTANT
RESPONSABLE RELATION CLIENT €]])-PORTEFEUILLE_MARIE_PIERRE[[#This Row],[MONTANT TOTAL LETTRE DE MISION €]]</f>
        <v>0</v>
      </c>
      <c r="AI56" s="191"/>
      <c r="AJ56" s="188"/>
      <c r="AK56" s="188"/>
      <c r="AL56" s="194"/>
      <c r="AM56" s="194"/>
      <c r="AN56" s="194"/>
      <c r="AO56" s="194"/>
      <c r="AP56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Q56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R56" s="188" t="str">
        <f>IF(PORTEFEUILLE_MARIE_PIERRE[[#This Row],[BONI AAC]]&lt;&gt;0,1,"")</f>
        <v/>
      </c>
      <c r="AS56" s="188" t="str">
        <f>IF(PORTEFEUILLE_MARIE_PIERRE[[#This Row],[MALI AAC]]&lt;&gt;0,1,"")</f>
        <v/>
      </c>
      <c r="AT56" s="225">
        <f>IF(AN56&lt;&gt;"",IF((AN56*Paramètres!$H$4)-PORTEFEUILLE_MARIE_PIERRE[[#This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€]]-(DELPHINE!AN56*Paramètres!$H$4),0),0)</f>
        <v>0</v>
      </c>
      <c r="AU56" s="225">
        <f>IF(AN56&lt;&gt;"",IF(((AN56*Paramètres!$H$4)-PORTEFEUILLE_MARIE_PIERRE[[#This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€]])&gt;0,(AN56*Paramètres!$H$4)-PORTEFEUILLE_MARIE_PIERRE[[#This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V56" s="190" t="str">
        <f>IF(PORTEFEUILLE_MARIE_PIERRE[[#This Row],[BONI COMPTABLE]]&lt;&gt;0,1,"")</f>
        <v/>
      </c>
      <c r="AW56" s="190" t="str">
        <f>IF(PORTEFEUILLE_MARIE_PIERRE[[#This Row],[MALI COMPTABLE]]&lt;&gt;0,1,"")</f>
        <v/>
      </c>
      <c r="AX56" s="194"/>
      <c r="AY56" s="188"/>
      <c r="AZ56" s="188"/>
      <c r="BA56" s="188"/>
      <c r="BB56" s="194"/>
      <c r="BC56" s="194"/>
      <c r="BD56" s="194"/>
      <c r="BE56" s="192"/>
      <c r="BF56" s="194"/>
      <c r="BG56" s="194"/>
      <c r="BH56" s="195"/>
      <c r="BI56" s="194"/>
    </row>
    <row r="57" spans="1:61" x14ac:dyDescent="0.25">
      <c r="A57" s="172"/>
      <c r="B57" s="185"/>
      <c r="C57" s="172"/>
      <c r="D57" s="172"/>
      <c r="E57" s="203"/>
      <c r="F57" s="194"/>
      <c r="G57" s="194"/>
      <c r="H57" s="189"/>
      <c r="I57" s="194"/>
      <c r="J57" s="194"/>
      <c r="K57" s="190" t="str">
        <f t="shared" si="0"/>
        <v/>
      </c>
      <c r="L57" s="190" t="str">
        <f t="shared" si="1"/>
        <v/>
      </c>
      <c r="M57" s="188"/>
      <c r="N57" s="188"/>
      <c r="O57" s="188"/>
      <c r="P57" s="188"/>
      <c r="Q57" s="188"/>
      <c r="R57" s="188"/>
      <c r="S57" s="217"/>
      <c r="T57" s="211"/>
      <c r="U57" s="223"/>
      <c r="V57" s="223"/>
      <c r="W57" s="223"/>
      <c r="X57" s="223"/>
      <c r="Y57" s="223"/>
      <c r="Z57" s="223"/>
      <c r="AA57" s="223"/>
      <c r="AB57" s="223"/>
      <c r="AC57" s="223"/>
      <c r="AD57" s="223"/>
      <c r="AE57" s="223"/>
      <c r="AF57" s="223"/>
      <c r="AG57" s="219"/>
      <c r="AH57" s="225">
        <f>SUM(PORTEFEUILLE_MARIE_PIERRE[[#This Row],[PCR COMPTABLE €]:[MONTANT
RESPONSABLE RELATION CLIENT €]])-PORTEFEUILLE_MARIE_PIERRE[[#This Row],[MONTANT TOTAL LETTRE DE MISION €]]</f>
        <v>0</v>
      </c>
      <c r="AI57" s="191"/>
      <c r="AJ57" s="188"/>
      <c r="AK57" s="188"/>
      <c r="AL57" s="194"/>
      <c r="AM57" s="194"/>
      <c r="AN57" s="194"/>
      <c r="AO57" s="194"/>
      <c r="AP57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Q57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R57" s="188" t="str">
        <f>IF(PORTEFEUILLE_MARIE_PIERRE[[#This Row],[BONI AAC]]&lt;&gt;0,1,"")</f>
        <v/>
      </c>
      <c r="AS57" s="188" t="str">
        <f>IF(PORTEFEUILLE_MARIE_PIERRE[[#This Row],[MALI AAC]]&lt;&gt;0,1,"")</f>
        <v/>
      </c>
      <c r="AT57" s="225">
        <f>IF(AN57&lt;&gt;"",IF((AN57*Paramètres!$H$4)-PORTEFEUILLE_MARIE_PIERRE[[#This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€]]-(DELPHINE!AN57*Paramètres!$H$4),0),0)</f>
        <v>0</v>
      </c>
      <c r="AU57" s="225">
        <f>IF(AN57&lt;&gt;"",IF(((AN57*Paramètres!$H$4)-PORTEFEUILLE_MARIE_PIERRE[[#This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€]])&gt;0,(AN57*Paramètres!$H$4)-PORTEFEUILLE_MARIE_PIERRE[[#This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V57" s="190" t="str">
        <f>IF(PORTEFEUILLE_MARIE_PIERRE[[#This Row],[BONI COMPTABLE]]&lt;&gt;0,1,"")</f>
        <v/>
      </c>
      <c r="AW57" s="190" t="str">
        <f>IF(PORTEFEUILLE_MARIE_PIERRE[[#This Row],[MALI COMPTABLE]]&lt;&gt;0,1,"")</f>
        <v/>
      </c>
      <c r="AX57" s="194"/>
      <c r="AY57" s="188"/>
      <c r="AZ57" s="188"/>
      <c r="BA57" s="188"/>
      <c r="BB57" s="194"/>
      <c r="BC57" s="194"/>
      <c r="BD57" s="194"/>
      <c r="BE57" s="192"/>
      <c r="BF57" s="194"/>
      <c r="BG57" s="194"/>
      <c r="BH57" s="195"/>
      <c r="BI57" s="194"/>
    </row>
    <row r="58" spans="1:61" x14ac:dyDescent="0.25">
      <c r="A58" s="172"/>
      <c r="B58" s="179"/>
      <c r="C58" s="176"/>
      <c r="D58" s="172"/>
      <c r="E58" s="203"/>
      <c r="F58" s="194"/>
      <c r="G58" s="194"/>
      <c r="H58" s="189"/>
      <c r="I58" s="194"/>
      <c r="J58" s="194"/>
      <c r="K58" s="190" t="str">
        <f t="shared" si="0"/>
        <v/>
      </c>
      <c r="L58" s="190" t="str">
        <f t="shared" si="1"/>
        <v/>
      </c>
      <c r="M58" s="188"/>
      <c r="N58" s="188"/>
      <c r="O58" s="188"/>
      <c r="P58" s="188"/>
      <c r="Q58" s="188"/>
      <c r="R58" s="188"/>
      <c r="S58" s="217"/>
      <c r="T58" s="211"/>
      <c r="U58" s="223"/>
      <c r="V58" s="223"/>
      <c r="W58" s="223"/>
      <c r="X58" s="223"/>
      <c r="Y58" s="223"/>
      <c r="Z58" s="223"/>
      <c r="AA58" s="223"/>
      <c r="AB58" s="223"/>
      <c r="AC58" s="223"/>
      <c r="AD58" s="223"/>
      <c r="AE58" s="223"/>
      <c r="AF58" s="223"/>
      <c r="AG58" s="219"/>
      <c r="AH58" s="225">
        <f>SUM(PORTEFEUILLE_MARIE_PIERRE[[#This Row],[PCR COMPTABLE €]:[MONTANT
RESPONSABLE RELATION CLIENT €]])-PORTEFEUILLE_MARIE_PIERRE[[#This Row],[MONTANT TOTAL LETTRE DE MISION €]]</f>
        <v>0</v>
      </c>
      <c r="AI58" s="191"/>
      <c r="AJ58" s="188"/>
      <c r="AK58" s="188"/>
      <c r="AL58" s="194"/>
      <c r="AM58" s="194"/>
      <c r="AN58" s="194"/>
      <c r="AO58" s="194"/>
      <c r="AP58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Q58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R58" s="188" t="str">
        <f>IF(PORTEFEUILLE_MARIE_PIERRE[[#This Row],[BONI AAC]]&lt;&gt;0,1,"")</f>
        <v/>
      </c>
      <c r="AS58" s="188" t="str">
        <f>IF(PORTEFEUILLE_MARIE_PIERRE[[#This Row],[MALI AAC]]&lt;&gt;0,1,"")</f>
        <v/>
      </c>
      <c r="AT58" s="225">
        <f>IF(AN58&lt;&gt;"",IF((AN58*Paramètres!$H$4)-PORTEFEUILLE_MARIE_PIERRE[[#This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€]]-(DELPHINE!AN58*Paramètres!$H$4),0),0)</f>
        <v>0</v>
      </c>
      <c r="AU58" s="225">
        <f>IF(AN58&lt;&gt;"",IF(((AN58*Paramètres!$H$4)-PORTEFEUILLE_MARIE_PIERRE[[#This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€]])&gt;0,(AN58*Paramètres!$H$4)-PORTEFEUILLE_MARIE_PIERRE[[#This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V58" s="190" t="str">
        <f>IF(PORTEFEUILLE_MARIE_PIERRE[[#This Row],[BONI COMPTABLE]]&lt;&gt;0,1,"")</f>
        <v/>
      </c>
      <c r="AW58" s="190" t="str">
        <f>IF(PORTEFEUILLE_MARIE_PIERRE[[#This Row],[MALI COMPTABLE]]&lt;&gt;0,1,"")</f>
        <v/>
      </c>
      <c r="AX58" s="194"/>
      <c r="AY58" s="188"/>
      <c r="AZ58" s="188"/>
      <c r="BA58" s="188"/>
      <c r="BB58" s="194"/>
      <c r="BC58" s="194"/>
      <c r="BD58" s="194"/>
      <c r="BE58" s="192"/>
      <c r="BF58" s="194"/>
      <c r="BG58" s="194"/>
      <c r="BH58" s="195"/>
      <c r="BI58" s="194"/>
    </row>
    <row r="59" spans="1:61" x14ac:dyDescent="0.25">
      <c r="A59" s="172"/>
      <c r="B59" s="179"/>
      <c r="C59" s="176"/>
      <c r="D59" s="172"/>
      <c r="E59" s="203"/>
      <c r="F59" s="194"/>
      <c r="G59" s="194"/>
      <c r="H59" s="189"/>
      <c r="I59" s="194"/>
      <c r="J59" s="194"/>
      <c r="K59" s="190" t="str">
        <f t="shared" si="0"/>
        <v/>
      </c>
      <c r="L59" s="190" t="str">
        <f t="shared" si="1"/>
        <v/>
      </c>
      <c r="M59" s="188"/>
      <c r="N59" s="188"/>
      <c r="O59" s="188"/>
      <c r="P59" s="188"/>
      <c r="Q59" s="188"/>
      <c r="R59" s="188"/>
      <c r="S59" s="217"/>
      <c r="T59" s="211"/>
      <c r="U59" s="223"/>
      <c r="V59" s="223"/>
      <c r="W59" s="223"/>
      <c r="X59" s="223"/>
      <c r="Y59" s="223"/>
      <c r="Z59" s="223"/>
      <c r="AA59" s="223"/>
      <c r="AB59" s="223"/>
      <c r="AC59" s="223"/>
      <c r="AD59" s="223"/>
      <c r="AE59" s="223"/>
      <c r="AF59" s="223"/>
      <c r="AG59" s="219"/>
      <c r="AH59" s="225">
        <f>SUM(PORTEFEUILLE_MARIE_PIERRE[[#This Row],[PCR COMPTABLE €]:[MONTANT
RESPONSABLE RELATION CLIENT €]])-PORTEFEUILLE_MARIE_PIERRE[[#This Row],[MONTANT TOTAL LETTRE DE MISION €]]</f>
        <v>0</v>
      </c>
      <c r="AI59" s="191"/>
      <c r="AJ59" s="188"/>
      <c r="AK59" s="188"/>
      <c r="AL59" s="194"/>
      <c r="AM59" s="194"/>
      <c r="AN59" s="194"/>
      <c r="AO59" s="194"/>
      <c r="AP59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Q59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R59" s="188" t="str">
        <f>IF(PORTEFEUILLE_MARIE_PIERRE[[#This Row],[BONI AAC]]&lt;&gt;0,1,"")</f>
        <v/>
      </c>
      <c r="AS59" s="188" t="str">
        <f>IF(PORTEFEUILLE_MARIE_PIERRE[[#This Row],[MALI AAC]]&lt;&gt;0,1,"")</f>
        <v/>
      </c>
      <c r="AT59" s="225">
        <f>IF(AN59&lt;&gt;"",IF((AN59*Paramètres!$H$4)-PORTEFEUILLE_MARIE_PIERRE[[#This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€]]-(DELPHINE!AN59*Paramètres!$H$4),0),0)</f>
        <v>0</v>
      </c>
      <c r="AU59" s="225">
        <f>IF(AN59&lt;&gt;"",IF(((AN59*Paramètres!$H$4)-PORTEFEUILLE_MARIE_PIERRE[[#This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€]])&gt;0,(AN59*Paramètres!$H$4)-PORTEFEUILLE_MARIE_PIERRE[[#This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V59" s="190" t="str">
        <f>IF(PORTEFEUILLE_MARIE_PIERRE[[#This Row],[BONI COMPTABLE]]&lt;&gt;0,1,"")</f>
        <v/>
      </c>
      <c r="AW59" s="190" t="str">
        <f>IF(PORTEFEUILLE_MARIE_PIERRE[[#This Row],[MALI COMPTABLE]]&lt;&gt;0,1,"")</f>
        <v/>
      </c>
      <c r="AX59" s="194"/>
      <c r="AY59" s="188"/>
      <c r="AZ59" s="188"/>
      <c r="BA59" s="188"/>
      <c r="BB59" s="194"/>
      <c r="BC59" s="194"/>
      <c r="BD59" s="194"/>
      <c r="BE59" s="192"/>
      <c r="BF59" s="194"/>
      <c r="BG59" s="194"/>
      <c r="BH59" s="195"/>
      <c r="BI59" s="194"/>
    </row>
    <row r="60" spans="1:61" x14ac:dyDescent="0.25">
      <c r="A60" s="186"/>
      <c r="B60" s="187"/>
      <c r="C60" s="186"/>
      <c r="D60" s="186"/>
      <c r="E60" s="204"/>
      <c r="F60" s="205"/>
      <c r="G60" s="205"/>
      <c r="H60" s="189"/>
      <c r="I60" s="205"/>
      <c r="J60" s="205"/>
      <c r="K60" s="190" t="str">
        <f t="shared" si="0"/>
        <v/>
      </c>
      <c r="L60" s="190" t="str">
        <f t="shared" si="1"/>
        <v/>
      </c>
      <c r="M60" s="188"/>
      <c r="N60" s="188"/>
      <c r="O60" s="188"/>
      <c r="P60" s="188"/>
      <c r="Q60" s="188"/>
      <c r="R60" s="188"/>
      <c r="S60" s="218"/>
      <c r="T60" s="212"/>
      <c r="U60" s="224"/>
      <c r="V60" s="224"/>
      <c r="W60" s="224"/>
      <c r="X60" s="224"/>
      <c r="Y60" s="224"/>
      <c r="Z60" s="224"/>
      <c r="AA60" s="224"/>
      <c r="AB60" s="224"/>
      <c r="AC60" s="224"/>
      <c r="AD60" s="224"/>
      <c r="AE60" s="224"/>
      <c r="AF60" s="224"/>
      <c r="AG60" s="219"/>
      <c r="AH60" s="225">
        <f>SUM(PORTEFEUILLE_MARIE_PIERRE[[#This Row],[PCR COMPTABLE €]:[MONTANT
RESPONSABLE RELATION CLIENT €]])-PORTEFEUILLE_MARIE_PIERRE[[#This Row],[MONTANT TOTAL LETTRE DE MISION €]]</f>
        <v>0</v>
      </c>
      <c r="AI60" s="191"/>
      <c r="AJ60" s="188"/>
      <c r="AK60" s="201"/>
      <c r="AL60" s="205"/>
      <c r="AM60" s="205"/>
      <c r="AN60" s="205"/>
      <c r="AO60" s="205"/>
      <c r="AP60" s="225">
        <f>IF(PORTEFEUILLE_MARIE_PIERRE[[#This Row],[TPS PASSE 
AAC H]]&lt;&gt;"",IF((PORTEFEUILLE_MARIE_PIERRE[[#This Row],[TPS PASSE 
AAC H]]*Paramètres!$I$4)&lt;(PORTEFEUILLE_MARIE_PIERRE[[#This Row],[SAISIE PAR UNE AAC €]]+PORTEFEUILLE_MARIE_PIERRE[[#This Row],[DECLARATION TVA AAC €]]),PORTEFEUILLE_MARIE_PIERRE[[#This Row],[SAISIE PAR UNE AAC €]]+PORTEFEUILLE_MARIE_PIERRE[[#This Row],[DECLARATION TVA AAC €]]-(PORTEFEUILLE_MARIE_PIERRE[[#This Row],[TPS PASSE 
AAC H]]*Paramètres!$I$4),0),0)</f>
        <v>0</v>
      </c>
      <c r="AQ60" s="225">
        <f>IF(PORTEFEUILLE_MARIE_PIERRE[[#This Row],[TPS PASSE 
AAC H]]&lt;&gt;"",IF((Paramètres!$I$4*PORTEFEUILLE_MARIE_PIERRE[[#This Row],[TPS PASSE 
AAC H]])&gt;(PORTEFEUILLE_MARIE_PIERRE[[#This Row],[SAISIE PAR UNE AAC €]]+PORTEFEUILLE_MARIE_PIERRE[[#This Row],[DECLARATION TVA AAC €]]),(PORTEFEUILLE_MARIE_PIERRE[[#This Row],[TPS PASSE 
AAC H]]*Paramètres!$I$4)-(PORTEFEUILLE_MARIE_PIERRE[[#This Row],[SAISIE PAR UNE AAC €]]+PORTEFEUILLE_MARIE_PIERRE[[#This Row],[DECLARATION TVA AAC €]]),0),0)</f>
        <v>0</v>
      </c>
      <c r="AR60" s="188" t="str">
        <f>IF(PORTEFEUILLE_MARIE_PIERRE[[#This Row],[BONI AAC]]&lt;&gt;0,1,"")</f>
        <v/>
      </c>
      <c r="AS60" s="188" t="str">
        <f>IF(PORTEFEUILLE_MARIE_PIERRE[[#This Row],[MALI AAC]]&lt;&gt;0,1,"")</f>
        <v/>
      </c>
      <c r="AT60" s="225">
        <f>IF(AN60&lt;&gt;"",IF((AN60*Paramètres!$H$4)-PORTEFEUILLE_MARIE_PIERRE[[#This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€]]&lt;0,PORTEFEUILLE_MARIE_PIERRE[[#This Row],[PCR COMPTABLE €]]+PORTEFEUILLE_MARIE_PIERRE[[#This Row],[RA FAIT PAR LE
COMPTABLE €]]+PORTEFEUILLE_MARIE_PIERRE[[#This Row],[AGOA COMPTABLE €]]+PORTEFEUILLE_MARIE_PIERRE[[#This Row],[SAISIE PAR LE COMPTABLE €]]+PORTEFEUILLE_MARIE_PIERRE[[#This Row],[TRAVAUX 
DE REVISION €]]+PORTEFEUILLE_MARIE_PIERRE[[#This Row],[DECLARATION TVA COMPTABLE €]]+PORTEFEUILLE_MARIE_PIERRE[[#This Row],[MONTANT
RESPONSABLE RELATION CLIENT €]]-(DELPHINE!AN60*Paramètres!$H$4),0),0)</f>
        <v>0</v>
      </c>
      <c r="AU60" s="225">
        <f>IF(AN60&lt;&gt;"",IF(((AN60*Paramètres!$H$4)-PORTEFEUILLE_MARIE_PIERRE[[#This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€]])&gt;0,(AN60*Paramètres!$H$4)-PORTEFEUILLE_MARIE_PIERRE[[#This Row],[PCR COMPTABLE €]]-PORTEFEUILLE_MARIE_PIERRE[[#This Row],[RA FAIT PAR LE
COMPTABLE €]]-PORTEFEUILLE_MARIE_PIERRE[[#This Row],[AGOA COMPTABLE €]]-PORTEFEUILLE_MARIE_PIERRE[[#This Row],[SAISIE PAR LE COMPTABLE €]]-PORTEFEUILLE_MARIE_PIERRE[[#This Row],[TRAVAUX 
DE REVISION €]]-PORTEFEUILLE_MARIE_PIERRE[[#This Row],[DECLARATION TVA COMPTABLE €]]-PORTEFEUILLE_MARIE_PIERRE[[#This Row],[MONTANT
RESPONSABLE RELATION CLIENT €]],0),0)</f>
        <v>0</v>
      </c>
      <c r="AV60" s="190" t="str">
        <f>IF(PORTEFEUILLE_MARIE_PIERRE[[#This Row],[BONI COMPTABLE]]&lt;&gt;0,1,"")</f>
        <v/>
      </c>
      <c r="AW60" s="190" t="str">
        <f>IF(PORTEFEUILLE_MARIE_PIERRE[[#This Row],[MALI COMPTABLE]]&lt;&gt;0,1,"")</f>
        <v/>
      </c>
      <c r="AX60" s="205"/>
      <c r="AY60" s="188"/>
      <c r="AZ60" s="188"/>
      <c r="BA60" s="188"/>
      <c r="BB60" s="205"/>
      <c r="BC60" s="205"/>
      <c r="BD60" s="205"/>
      <c r="BE60" s="192"/>
      <c r="BF60" s="205"/>
      <c r="BG60" s="205"/>
      <c r="BH60" s="206"/>
      <c r="BI60" s="205"/>
    </row>
    <row r="63" spans="1:61" x14ac:dyDescent="0.25">
      <c r="B63" s="89" t="s">
        <v>120</v>
      </c>
    </row>
    <row r="65" spans="2:50" x14ac:dyDescent="0.25">
      <c r="B65" s="274" t="s">
        <v>120</v>
      </c>
      <c r="C65" s="122"/>
      <c r="D65" s="122"/>
      <c r="E65" s="125" t="s">
        <v>112</v>
      </c>
      <c r="F65" s="121" t="s">
        <v>115</v>
      </c>
      <c r="G65" s="126" t="s">
        <v>118</v>
      </c>
      <c r="H65" s="127" t="s">
        <v>116</v>
      </c>
      <c r="I65" s="127" t="s">
        <v>136</v>
      </c>
      <c r="J65" s="128" t="s">
        <v>125</v>
      </c>
      <c r="K65" s="128" t="s">
        <v>110</v>
      </c>
      <c r="L65" s="128" t="s">
        <v>119</v>
      </c>
      <c r="M65" s="128" t="s">
        <v>126</v>
      </c>
      <c r="N65" s="128" t="s">
        <v>127</v>
      </c>
      <c r="O65" s="128" t="s">
        <v>128</v>
      </c>
      <c r="P65" s="128" t="s">
        <v>129</v>
      </c>
      <c r="Q65" s="128" t="s">
        <v>130</v>
      </c>
      <c r="R65" s="128" t="s">
        <v>137</v>
      </c>
      <c r="S65" s="128"/>
      <c r="T65" s="121"/>
      <c r="U65" s="164"/>
      <c r="V65" s="164"/>
      <c r="W65" s="164"/>
      <c r="X65" s="164"/>
      <c r="Y65" s="164"/>
      <c r="Z65" s="164"/>
      <c r="AA65" s="164"/>
      <c r="AB65" s="164"/>
      <c r="AC65" s="164"/>
      <c r="AE65" s="164"/>
      <c r="AF65" s="164"/>
      <c r="AG65" s="164"/>
      <c r="AH65" s="164"/>
      <c r="AI65" s="164"/>
      <c r="AJ65" s="164"/>
      <c r="AK65" s="164"/>
      <c r="AL65" s="164"/>
      <c r="AM65" s="164"/>
      <c r="AN65" s="164"/>
      <c r="AO65" s="164"/>
      <c r="AP65" s="164"/>
      <c r="AQ65" s="164"/>
      <c r="AR65" s="164"/>
      <c r="AS65" s="164"/>
      <c r="AT65" s="164"/>
      <c r="AU65" s="164"/>
      <c r="AV65" s="164"/>
      <c r="AW65" s="164"/>
      <c r="AX65" s="164"/>
    </row>
    <row r="66" spans="2:50" x14ac:dyDescent="0.25">
      <c r="B66" s="275"/>
      <c r="C66" s="120" t="s">
        <v>109</v>
      </c>
      <c r="D66" s="122">
        <f>COUNTIF($D$3:$D$60,"ACS")</f>
        <v>3</v>
      </c>
      <c r="E66" s="129">
        <f>+COUNTIF($F$3:$F$60,"SARL")</f>
        <v>1</v>
      </c>
      <c r="F66" s="121">
        <f>+COUNTIF($F$3:$F$60,"EURL")</f>
        <v>1</v>
      </c>
      <c r="G66" s="124">
        <f>COUNTIFS($F$3:$F$60,"SAS",$D$3:$D$60,"ACS")</f>
        <v>0</v>
      </c>
      <c r="H66" s="122">
        <f>COUNTIFS($F$3:$F$60,"INDIVIDUEL",$D$3:$D$60,"ACS")</f>
        <v>0</v>
      </c>
      <c r="I66" s="122">
        <f>COUNTIF($F$3:$F$60,"ASSOCIATION")</f>
        <v>0</v>
      </c>
      <c r="J66" s="122"/>
      <c r="K66" s="122">
        <f>COUNTIF($F$3:$F$60,"SNC")</f>
        <v>0</v>
      </c>
      <c r="L66" s="122">
        <f>+COUNTIF($F$3:$F$60,"SCI")</f>
        <v>0</v>
      </c>
      <c r="M66" s="130"/>
      <c r="N66" s="131"/>
      <c r="O66" s="132"/>
      <c r="P66" s="122">
        <f>+COUNTIF($F$3:$F$60,"GROUPEMENT")</f>
        <v>0</v>
      </c>
      <c r="Q66" s="121">
        <f>COUNTIF($F$3:$F$60,"EIRL")</f>
        <v>1</v>
      </c>
      <c r="R66" s="121">
        <f>COUNTIF($F$3:$F$60,"AUTRE")</f>
        <v>0</v>
      </c>
      <c r="S66" s="121"/>
      <c r="T66" s="122">
        <f>+SUM(E66:P66)</f>
        <v>2</v>
      </c>
      <c r="U66" s="164"/>
      <c r="V66" s="164"/>
      <c r="W66" s="164"/>
      <c r="X66" s="164"/>
      <c r="Y66" s="164"/>
      <c r="Z66" s="164"/>
      <c r="AA66" s="164"/>
      <c r="AB66" s="164"/>
      <c r="AC66" s="164"/>
      <c r="AE66" s="164"/>
      <c r="AF66" s="164"/>
      <c r="AG66" s="164"/>
      <c r="AH66" s="164"/>
      <c r="AI66" s="164"/>
      <c r="AJ66" s="164"/>
      <c r="AK66" s="164"/>
      <c r="AL66" s="164"/>
      <c r="AM66" s="164"/>
      <c r="AN66" s="164"/>
      <c r="AO66" s="164"/>
      <c r="AP66" s="164"/>
      <c r="AQ66" s="164"/>
      <c r="AR66" s="164"/>
      <c r="AS66" s="164"/>
      <c r="AT66" s="164"/>
      <c r="AU66" s="164"/>
      <c r="AV66" s="164"/>
      <c r="AW66" s="164"/>
      <c r="AX66" s="164"/>
    </row>
    <row r="67" spans="2:50" x14ac:dyDescent="0.25">
      <c r="B67" s="275"/>
      <c r="C67" s="120" t="s">
        <v>121</v>
      </c>
      <c r="D67" s="122">
        <f>COUNTIF($D$3:$D$60,"BNC")</f>
        <v>0</v>
      </c>
      <c r="E67" s="133"/>
      <c r="F67" s="121"/>
      <c r="G67" s="134"/>
      <c r="H67" s="135"/>
      <c r="I67" s="132"/>
      <c r="J67" s="122">
        <f>+COUNTIF($F$3:$F$60,"PROFESSION LIBERALE")</f>
        <v>0</v>
      </c>
      <c r="K67" s="122"/>
      <c r="L67" s="122"/>
      <c r="M67" s="122"/>
      <c r="N67" s="122"/>
      <c r="O67" s="122"/>
      <c r="P67" s="122"/>
      <c r="Q67" s="121"/>
      <c r="R67" s="121"/>
      <c r="S67" s="121"/>
      <c r="T67" s="122">
        <f>+SUM(E67:P67)</f>
        <v>0</v>
      </c>
      <c r="U67" s="164"/>
      <c r="V67" s="164"/>
      <c r="W67" s="164"/>
      <c r="X67" s="164"/>
      <c r="Y67" s="164"/>
      <c r="Z67" s="164"/>
      <c r="AA67" s="164"/>
      <c r="AB67" s="164"/>
      <c r="AC67" s="164"/>
      <c r="AE67" s="164"/>
      <c r="AF67" s="164"/>
      <c r="AG67" s="164"/>
      <c r="AH67" s="164"/>
      <c r="AI67" s="164"/>
      <c r="AJ67" s="164"/>
      <c r="AK67" s="164"/>
      <c r="AL67" s="164"/>
      <c r="AM67" s="164"/>
      <c r="AN67" s="164"/>
      <c r="AO67" s="164"/>
      <c r="AP67" s="164"/>
      <c r="AQ67" s="164"/>
      <c r="AR67" s="164"/>
      <c r="AS67" s="164"/>
      <c r="AT67" s="164"/>
      <c r="AU67" s="164"/>
      <c r="AV67" s="164"/>
      <c r="AW67" s="164"/>
      <c r="AX67" s="164"/>
    </row>
    <row r="68" spans="2:50" x14ac:dyDescent="0.25">
      <c r="B68" s="276"/>
      <c r="C68" s="122" t="s">
        <v>122</v>
      </c>
      <c r="D68" s="122">
        <f>COUNTIF($D$3:$D$60,"AGRI")</f>
        <v>0</v>
      </c>
      <c r="E68" s="129"/>
      <c r="F68" s="121"/>
      <c r="G68" s="124">
        <f>COUNTIFS($F$3:$F$60,"SAS",$D$3:$D$60,"AGRI")</f>
        <v>0</v>
      </c>
      <c r="H68" s="122">
        <f>COUNTIFS($F$3:$F$60,"INDIVIDUEL",$D$3:$D$60,"AGRI")</f>
        <v>0</v>
      </c>
      <c r="I68" s="122"/>
      <c r="J68" s="122"/>
      <c r="K68" s="122"/>
      <c r="L68" s="122"/>
      <c r="M68" s="122">
        <f>COUNTIF($F$5:$F$62,"EARL")</f>
        <v>0</v>
      </c>
      <c r="N68" s="122">
        <f>COUNTIF($F$5:$F$62,"ETA")</f>
        <v>0</v>
      </c>
      <c r="O68" s="122">
        <f>COUNTIF($F$5:$F$62,"SCEA")</f>
        <v>0</v>
      </c>
      <c r="P68" s="122"/>
      <c r="Q68" s="121"/>
      <c r="R68" s="121"/>
      <c r="S68" s="121"/>
      <c r="T68" s="122">
        <f>+SUM(E68:P68)</f>
        <v>0</v>
      </c>
      <c r="U68" s="164"/>
      <c r="V68" s="164"/>
      <c r="W68" s="164"/>
      <c r="X68" s="164"/>
      <c r="Y68" s="164"/>
      <c r="Z68" s="164"/>
      <c r="AA68" s="164"/>
      <c r="AB68" s="164"/>
      <c r="AC68" s="164"/>
      <c r="AE68" s="164"/>
      <c r="AF68" s="164"/>
      <c r="AG68" s="164"/>
      <c r="AH68" s="164"/>
      <c r="AI68" s="164"/>
      <c r="AJ68" s="164"/>
      <c r="AK68" s="164"/>
      <c r="AL68" s="164"/>
      <c r="AM68" s="164"/>
      <c r="AN68" s="164"/>
      <c r="AO68" s="164"/>
      <c r="AP68" s="164"/>
      <c r="AQ68" s="164"/>
      <c r="AR68" s="164"/>
      <c r="AS68" s="164"/>
      <c r="AT68" s="164"/>
      <c r="AU68" s="164"/>
      <c r="AV68" s="164"/>
      <c r="AW68" s="164"/>
      <c r="AX68" s="164"/>
    </row>
    <row r="69" spans="2:50" x14ac:dyDescent="0.25">
      <c r="B69" s="277" t="s">
        <v>123</v>
      </c>
      <c r="C69" s="277"/>
      <c r="D69" s="122">
        <f>+SUM(D66:D68)</f>
        <v>3</v>
      </c>
      <c r="E69" s="129">
        <f>+SUM(E66:E68)</f>
        <v>1</v>
      </c>
      <c r="F69" s="129">
        <f t="shared" ref="F69:R69" si="2">+SUM(F66:F68)</f>
        <v>1</v>
      </c>
      <c r="G69" s="129">
        <f t="shared" si="2"/>
        <v>0</v>
      </c>
      <c r="H69" s="129">
        <f t="shared" si="2"/>
        <v>0</v>
      </c>
      <c r="I69" s="129">
        <f t="shared" si="2"/>
        <v>0</v>
      </c>
      <c r="J69" s="129">
        <f t="shared" si="2"/>
        <v>0</v>
      </c>
      <c r="K69" s="129">
        <f t="shared" si="2"/>
        <v>0</v>
      </c>
      <c r="L69" s="129">
        <f t="shared" si="2"/>
        <v>0</v>
      </c>
      <c r="M69" s="129">
        <f t="shared" si="2"/>
        <v>0</v>
      </c>
      <c r="N69" s="129">
        <f t="shared" si="2"/>
        <v>0</v>
      </c>
      <c r="O69" s="129">
        <f t="shared" si="2"/>
        <v>0</v>
      </c>
      <c r="P69" s="129">
        <f t="shared" si="2"/>
        <v>0</v>
      </c>
      <c r="Q69" s="129">
        <f t="shared" si="2"/>
        <v>1</v>
      </c>
      <c r="R69" s="129">
        <f t="shared" si="2"/>
        <v>0</v>
      </c>
      <c r="S69" s="129"/>
      <c r="T69" s="122">
        <f>+SUM(T66:T68)</f>
        <v>2</v>
      </c>
      <c r="U69" s="164"/>
      <c r="V69" s="164"/>
      <c r="W69" s="164"/>
      <c r="X69" s="164"/>
      <c r="Y69" s="164"/>
      <c r="Z69" s="164"/>
      <c r="AA69" s="164"/>
      <c r="AB69" s="164"/>
      <c r="AC69" s="164"/>
      <c r="AE69" s="164"/>
      <c r="AF69" s="164"/>
      <c r="AG69" s="164"/>
      <c r="AH69" s="164"/>
      <c r="AI69" s="164"/>
      <c r="AJ69" s="164"/>
      <c r="AK69" s="164"/>
      <c r="AL69" s="164"/>
      <c r="AM69" s="164"/>
      <c r="AN69" s="164"/>
      <c r="AO69" s="164"/>
      <c r="AP69" s="164"/>
      <c r="AQ69" s="164"/>
      <c r="AR69" s="164"/>
      <c r="AS69" s="164"/>
      <c r="AT69" s="164"/>
      <c r="AU69" s="164"/>
      <c r="AV69" s="164"/>
      <c r="AW69" s="164"/>
      <c r="AX69" s="164"/>
    </row>
    <row r="70" spans="2:50" x14ac:dyDescent="0.25">
      <c r="B70" s="90"/>
      <c r="C70" s="90"/>
      <c r="D70" s="90"/>
      <c r="E70" s="90"/>
      <c r="G70" s="90"/>
      <c r="H70" s="90"/>
      <c r="I70" s="90"/>
      <c r="J70" s="90"/>
      <c r="K70" s="90"/>
      <c r="L70" s="90"/>
      <c r="M70" s="90"/>
      <c r="N70" s="90"/>
      <c r="O70" s="90"/>
      <c r="P70" s="90"/>
      <c r="T70" s="90"/>
      <c r="U70" s="164"/>
      <c r="V70" s="164"/>
      <c r="W70" s="164"/>
      <c r="X70" s="164"/>
      <c r="Y70" s="164"/>
      <c r="Z70" s="164"/>
      <c r="AA70" s="164"/>
      <c r="AB70" s="164"/>
      <c r="AC70" s="164"/>
      <c r="AE70" s="164"/>
      <c r="AF70" s="164"/>
      <c r="AG70" s="164"/>
      <c r="AH70" s="164"/>
      <c r="AI70" s="164"/>
      <c r="AJ70" s="164"/>
      <c r="AK70" s="164"/>
      <c r="AL70" s="164"/>
      <c r="AM70" s="164"/>
      <c r="AN70" s="164"/>
      <c r="AO70" s="164"/>
      <c r="AP70" s="164"/>
      <c r="AQ70" s="164"/>
      <c r="AR70" s="164"/>
      <c r="AS70" s="164"/>
      <c r="AT70" s="164"/>
      <c r="AU70" s="164"/>
      <c r="AV70" s="164"/>
      <c r="AW70" s="164"/>
      <c r="AX70" s="164"/>
    </row>
    <row r="71" spans="2:50" x14ac:dyDescent="0.25">
      <c r="B71" s="278">
        <v>44196</v>
      </c>
      <c r="C71" s="122"/>
      <c r="D71" s="122"/>
      <c r="E71" s="125" t="str">
        <f t="shared" ref="E71:R71" si="3">E65</f>
        <v>SARL</v>
      </c>
      <c r="F71" s="122" t="str">
        <f t="shared" si="3"/>
        <v>EURL</v>
      </c>
      <c r="G71" s="126" t="str">
        <f t="shared" si="3"/>
        <v>SAS</v>
      </c>
      <c r="H71" s="127" t="str">
        <f t="shared" si="3"/>
        <v>INDIVIDUEL</v>
      </c>
      <c r="I71" s="127" t="str">
        <f t="shared" si="3"/>
        <v>ASSOCIATION</v>
      </c>
      <c r="J71" s="128" t="str">
        <f t="shared" si="3"/>
        <v>PROFESSION LIBERALE</v>
      </c>
      <c r="K71" s="128" t="str">
        <f t="shared" si="3"/>
        <v>SNC</v>
      </c>
      <c r="L71" s="128" t="str">
        <f t="shared" si="3"/>
        <v>SCI</v>
      </c>
      <c r="M71" s="128" t="str">
        <f t="shared" si="3"/>
        <v>EARL</v>
      </c>
      <c r="N71" s="128" t="str">
        <f t="shared" si="3"/>
        <v>ETA</v>
      </c>
      <c r="O71" s="128" t="str">
        <f t="shared" si="3"/>
        <v>SCEA</v>
      </c>
      <c r="P71" s="128" t="str">
        <f t="shared" si="3"/>
        <v>GROUPEMENT</v>
      </c>
      <c r="Q71" s="122" t="str">
        <f t="shared" si="3"/>
        <v>EIRL</v>
      </c>
      <c r="R71" s="122" t="str">
        <f t="shared" si="3"/>
        <v>AUTRES</v>
      </c>
      <c r="S71" s="122"/>
      <c r="T71" s="128" t="s">
        <v>86</v>
      </c>
      <c r="U71" s="164"/>
      <c r="V71" s="164"/>
      <c r="W71" s="164"/>
      <c r="X71" s="164"/>
      <c r="Y71" s="164"/>
      <c r="Z71" s="164"/>
      <c r="AA71" s="164"/>
      <c r="AB71" s="164"/>
      <c r="AC71" s="164"/>
      <c r="AE71" s="164"/>
      <c r="AF71" s="164"/>
      <c r="AG71" s="164"/>
      <c r="AH71" s="164"/>
      <c r="AI71" s="164"/>
      <c r="AJ71" s="164"/>
      <c r="AK71" s="164"/>
      <c r="AL71" s="164"/>
      <c r="AM71" s="164"/>
      <c r="AN71" s="164"/>
      <c r="AO71" s="164"/>
      <c r="AP71" s="164"/>
      <c r="AQ71" s="164"/>
      <c r="AR71" s="164"/>
      <c r="AS71" s="164"/>
      <c r="AT71" s="164"/>
      <c r="AU71" s="164"/>
      <c r="AV71" s="164"/>
      <c r="AW71" s="164"/>
      <c r="AX71" s="164"/>
    </row>
    <row r="72" spans="2:50" x14ac:dyDescent="0.25">
      <c r="B72" s="275"/>
      <c r="C72" s="120" t="s">
        <v>109</v>
      </c>
      <c r="D72" s="122">
        <f>COUNTIFS($E$3:$E$60,DATE(Paramètres!A4,Paramètres!D15,Paramètres!C15),$D$3:$D$60,"ACS")</f>
        <v>3</v>
      </c>
      <c r="E72" s="129">
        <f>COUNTIFS($E$3:$E$60,DATE(Paramètres!A4,Paramètres!D15,Paramètres!C15),$F$3:$F$60,"SARL")</f>
        <v>1</v>
      </c>
      <c r="F72" s="122">
        <f>+COUNTIFS($E$3:$E$60,DATE(Paramètres!A4,Paramètres!D15,Paramètres!C15),$F$3:$F$60,"EURL")</f>
        <v>1</v>
      </c>
      <c r="G72" s="124">
        <f>COUNTIFS($E$3:$E$60,DATE(Paramètres!A4,Paramètres!D15,Paramètres!C15),$F$3:$F$60,"SAS",$D$3:$D$60,"ACS")</f>
        <v>0</v>
      </c>
      <c r="H72" s="122">
        <f>COUNTIFS($E$3:$E$60,DATE(Paramètres!A4,Paramètres!D15,Paramètres!C15),$F$3:$F$60,"INDIVIDUEL",$D$3:$D$60,"ACS")</f>
        <v>0</v>
      </c>
      <c r="I72" s="122">
        <f>+COUNTIFS($E$3:$E$60,DATE(Paramètres!A4,Paramètres!D15,Paramètres!C15),$F$3:$F$60,"ASSOCIATION")</f>
        <v>0</v>
      </c>
      <c r="J72" s="122"/>
      <c r="K72" s="122">
        <f>COUNTIFS($E$3:$E$60,DATE(Paramètres!A4,Paramètres!D15,Paramètres!C15),$F$3:$F$60,"SNC")</f>
        <v>0</v>
      </c>
      <c r="L72" s="122">
        <f>COUNTIFS($E$3:$E$60,DATE(Paramètres!A4,Paramètres!D15,Paramètres!C15),$F$3:$F$60,"SCI")</f>
        <v>0</v>
      </c>
      <c r="M72" s="130"/>
      <c r="N72" s="131"/>
      <c r="O72" s="132"/>
      <c r="P72" s="122">
        <f>COUNTIFS($E$3:$E$60,DATE(Paramètres!A4,Paramètres!D15,Paramètres!C15),$F$3:$F$60,"GROUPEMENT")</f>
        <v>0</v>
      </c>
      <c r="Q72" s="122">
        <f>+COUNTIFS($E$3:$E$60,DATE(Paramètres!A4,Paramètres!D15,Paramètres!C15),$F$3:$F$60,"EIRL")</f>
        <v>1</v>
      </c>
      <c r="R72" s="122">
        <f>+COUNTIFS($E$3:$E$60,DATE(Paramètres!B4,Paramètres!E15,Paramètres!D15),$F$3:$F$60,"AUTRES")</f>
        <v>0</v>
      </c>
      <c r="S72" s="122"/>
      <c r="T72" s="122">
        <f>+SUM(E72:P72)</f>
        <v>2</v>
      </c>
      <c r="U72" s="164"/>
      <c r="V72" s="164"/>
      <c r="W72" s="164"/>
      <c r="X72" s="164"/>
      <c r="Y72" s="164"/>
      <c r="Z72" s="164"/>
      <c r="AA72" s="164"/>
      <c r="AB72" s="164"/>
      <c r="AC72" s="164"/>
      <c r="AE72" s="164"/>
      <c r="AF72" s="164"/>
      <c r="AG72" s="164"/>
      <c r="AH72" s="164"/>
      <c r="AI72" s="164"/>
      <c r="AJ72" s="164"/>
      <c r="AK72" s="164"/>
      <c r="AL72" s="164"/>
      <c r="AM72" s="164"/>
      <c r="AN72" s="164"/>
      <c r="AO72" s="164"/>
      <c r="AP72" s="164"/>
      <c r="AQ72" s="164"/>
      <c r="AR72" s="164"/>
      <c r="AS72" s="164"/>
      <c r="AT72" s="164"/>
      <c r="AU72" s="164"/>
      <c r="AV72" s="164"/>
      <c r="AW72" s="164"/>
      <c r="AX72" s="164"/>
    </row>
    <row r="73" spans="2:50" x14ac:dyDescent="0.25">
      <c r="B73" s="275"/>
      <c r="C73" s="120" t="s">
        <v>121</v>
      </c>
      <c r="D73" s="122">
        <f>COUNTIFS($E$3:$E$60,DATE(Paramètres!A4,Paramètres!D15,Paramètres!C15),$D$3:$D$60,"BNC")</f>
        <v>0</v>
      </c>
      <c r="E73" s="133"/>
      <c r="F73" s="122"/>
      <c r="G73" s="134"/>
      <c r="H73" s="135"/>
      <c r="I73" s="132"/>
      <c r="J73" s="122">
        <f>COUNTIFS($E$3:$E$60,DATE(Paramètres!A4,Paramètres!D15,Paramètres!C15),$D$3:$D$60,"BNC")</f>
        <v>0</v>
      </c>
      <c r="K73" s="130"/>
      <c r="L73" s="131"/>
      <c r="M73" s="131"/>
      <c r="N73" s="131"/>
      <c r="O73" s="131"/>
      <c r="P73" s="132"/>
      <c r="Q73" s="122"/>
      <c r="R73" s="122"/>
      <c r="S73" s="122"/>
      <c r="T73" s="122">
        <f>+SUM(E73:P73)</f>
        <v>0</v>
      </c>
      <c r="U73" s="164"/>
      <c r="V73" s="164"/>
      <c r="W73" s="164"/>
      <c r="X73" s="164"/>
      <c r="Y73" s="164"/>
      <c r="Z73" s="164"/>
      <c r="AA73" s="164"/>
      <c r="AB73" s="164"/>
      <c r="AC73" s="164"/>
      <c r="AE73" s="164"/>
      <c r="AF73" s="164"/>
      <c r="AG73" s="164"/>
      <c r="AH73" s="164"/>
      <c r="AI73" s="164"/>
      <c r="AJ73" s="164"/>
      <c r="AK73" s="164"/>
      <c r="AL73" s="164"/>
      <c r="AM73" s="164"/>
      <c r="AN73" s="164"/>
      <c r="AO73" s="164"/>
      <c r="AP73" s="164"/>
      <c r="AQ73" s="164"/>
      <c r="AR73" s="164"/>
      <c r="AS73" s="164"/>
      <c r="AT73" s="164"/>
      <c r="AU73" s="164"/>
      <c r="AV73" s="164"/>
      <c r="AW73" s="164"/>
      <c r="AX73" s="164"/>
    </row>
    <row r="74" spans="2:50" x14ac:dyDescent="0.25">
      <c r="B74" s="276"/>
      <c r="C74" s="122" t="s">
        <v>122</v>
      </c>
      <c r="D74" s="122">
        <f>COUNTIFS($E$3:$E$60,DATE(Paramètres!A4,Paramètres!D15,Paramètres!C15),$D$3:$D$60,"AGRI")</f>
        <v>0</v>
      </c>
      <c r="E74" s="133"/>
      <c r="F74" s="122"/>
      <c r="G74" s="134">
        <f>COUNTIFS($E$3:$E$60,DATE(Paramètres!A4,Paramètres!D15,Paramètres!C15),$F$3:$F$60,"SAS",$D$3:$D$60,"AGRI")</f>
        <v>0</v>
      </c>
      <c r="H74" s="122">
        <f>COUNTIFS($E$3:$E$60,DATE(Paramètres!A4,Paramètres!D15,Paramètres!C15),$F$3:$F$60,"INDIVIDUEL",$D$3:$D$60,"AGRI")</f>
        <v>0</v>
      </c>
      <c r="I74" s="136"/>
      <c r="J74" s="131"/>
      <c r="K74" s="131"/>
      <c r="L74" s="132"/>
      <c r="M74" s="122">
        <f>COUNTIFS($E$3:$E$60,DATE(Paramètres!A4,Paramètres!D15,Paramètres!C15),$F$3:$F$60,"EARL")</f>
        <v>0</v>
      </c>
      <c r="N74" s="122">
        <f>COUNTIFS($E$3:$E$60,DATE(Paramètres!A4,Paramètres!D15,Paramètres!C15),$F$3:$F$60,"ETA")</f>
        <v>0</v>
      </c>
      <c r="O74" s="122">
        <f>COUNTIFS($E$3:$E$60,DATE(Paramètres!A4,Paramètres!D15,Paramètres!C15),$F$3:$F$60,"SCEA")</f>
        <v>0</v>
      </c>
      <c r="P74" s="122"/>
      <c r="Q74" s="122"/>
      <c r="R74" s="122"/>
      <c r="S74" s="122"/>
      <c r="T74" s="122">
        <f>+SUM(E74:P74)</f>
        <v>0</v>
      </c>
      <c r="U74" s="164"/>
      <c r="V74" s="164"/>
      <c r="W74" s="164"/>
      <c r="X74" s="164"/>
      <c r="Y74" s="164"/>
      <c r="Z74" s="164"/>
      <c r="AA74" s="164"/>
      <c r="AB74" s="164"/>
      <c r="AC74" s="164"/>
      <c r="AE74" s="164"/>
      <c r="AF74" s="164"/>
      <c r="AG74" s="164"/>
      <c r="AH74" s="164"/>
      <c r="AI74" s="164"/>
      <c r="AJ74" s="164"/>
      <c r="AK74" s="164"/>
      <c r="AL74" s="164"/>
      <c r="AM74" s="164"/>
      <c r="AN74" s="164"/>
      <c r="AO74" s="164"/>
      <c r="AP74" s="164"/>
      <c r="AQ74" s="164"/>
      <c r="AR74" s="164"/>
      <c r="AS74" s="164"/>
      <c r="AT74" s="164"/>
      <c r="AU74" s="164"/>
      <c r="AV74" s="164"/>
      <c r="AW74" s="164"/>
      <c r="AX74" s="164"/>
    </row>
    <row r="75" spans="2:50" x14ac:dyDescent="0.25">
      <c r="B75" s="277" t="s">
        <v>123</v>
      </c>
      <c r="C75" s="277"/>
      <c r="D75" s="122">
        <f>+SUM(D72:D74)</f>
        <v>3</v>
      </c>
      <c r="E75" s="129">
        <f>+SUM(E72:E74)</f>
        <v>1</v>
      </c>
      <c r="F75" s="129">
        <f>+SUM(F72:F74)</f>
        <v>1</v>
      </c>
      <c r="G75" s="124">
        <f>+SUM(G72:G74)</f>
        <v>0</v>
      </c>
      <c r="H75" s="122">
        <f>+SUM(H72:H74)</f>
        <v>0</v>
      </c>
      <c r="I75" s="122">
        <f t="shared" ref="I75:R75" si="4">+SUM(I72:I74)</f>
        <v>0</v>
      </c>
      <c r="J75" s="122">
        <f t="shared" si="4"/>
        <v>0</v>
      </c>
      <c r="K75" s="122">
        <f t="shared" si="4"/>
        <v>0</v>
      </c>
      <c r="L75" s="122">
        <f t="shared" si="4"/>
        <v>0</v>
      </c>
      <c r="M75" s="122">
        <f t="shared" si="4"/>
        <v>0</v>
      </c>
      <c r="N75" s="122">
        <f t="shared" si="4"/>
        <v>0</v>
      </c>
      <c r="O75" s="122">
        <f t="shared" si="4"/>
        <v>0</v>
      </c>
      <c r="P75" s="122">
        <f t="shared" si="4"/>
        <v>0</v>
      </c>
      <c r="Q75" s="122">
        <f t="shared" si="4"/>
        <v>1</v>
      </c>
      <c r="R75" s="122">
        <f t="shared" si="4"/>
        <v>0</v>
      </c>
      <c r="S75" s="122"/>
      <c r="T75" s="122">
        <f>+SUM(E75:R75)</f>
        <v>3</v>
      </c>
      <c r="U75" s="164"/>
      <c r="V75" s="164"/>
      <c r="W75" s="164"/>
      <c r="X75" s="164"/>
      <c r="Y75" s="164"/>
      <c r="Z75" s="164"/>
      <c r="AA75" s="164"/>
      <c r="AB75" s="164"/>
      <c r="AC75" s="164"/>
      <c r="AE75" s="164"/>
      <c r="AF75" s="164"/>
      <c r="AG75" s="164"/>
      <c r="AH75" s="164"/>
      <c r="AI75" s="164"/>
      <c r="AJ75" s="164"/>
      <c r="AK75" s="164"/>
      <c r="AL75" s="164"/>
      <c r="AM75" s="164"/>
      <c r="AN75" s="164"/>
      <c r="AO75" s="164"/>
      <c r="AP75" s="164"/>
      <c r="AQ75" s="164"/>
      <c r="AR75" s="164"/>
      <c r="AS75" s="164"/>
      <c r="AT75" s="164"/>
      <c r="AU75" s="164"/>
      <c r="AV75" s="164"/>
      <c r="AW75" s="164"/>
      <c r="AX75" s="164"/>
    </row>
    <row r="76" spans="2:50" x14ac:dyDescent="0.25">
      <c r="B76" s="90"/>
      <c r="C76" s="90"/>
      <c r="D76" s="90"/>
      <c r="E76" s="90"/>
      <c r="G76" s="90"/>
      <c r="H76" s="90"/>
      <c r="I76" s="90"/>
      <c r="J76" s="90"/>
      <c r="K76" s="90"/>
      <c r="L76" s="90"/>
      <c r="M76" s="90"/>
      <c r="N76" s="90"/>
      <c r="O76" s="90"/>
      <c r="P76" s="90"/>
      <c r="T76" s="90"/>
      <c r="U76" s="164"/>
      <c r="V76" s="164"/>
      <c r="W76" s="164"/>
      <c r="X76" s="164"/>
      <c r="Y76" s="164"/>
      <c r="Z76" s="164"/>
      <c r="AA76" s="164"/>
      <c r="AB76" s="164"/>
      <c r="AC76" s="164"/>
      <c r="AE76" s="164"/>
      <c r="AF76" s="164"/>
      <c r="AG76" s="164"/>
      <c r="AH76" s="164"/>
      <c r="AI76" s="164"/>
      <c r="AJ76" s="164"/>
      <c r="AK76" s="164"/>
      <c r="AL76" s="164"/>
      <c r="AM76" s="164"/>
      <c r="AN76" s="164"/>
      <c r="AO76" s="164"/>
      <c r="AP76" s="164"/>
      <c r="AQ76" s="164"/>
      <c r="AR76" s="164"/>
      <c r="AS76" s="164"/>
      <c r="AT76" s="164"/>
      <c r="AU76" s="164"/>
      <c r="AV76" s="164"/>
      <c r="AW76" s="164"/>
      <c r="AX76" s="164"/>
    </row>
    <row r="77" spans="2:50" x14ac:dyDescent="0.25">
      <c r="B77" s="278" t="s">
        <v>40</v>
      </c>
      <c r="C77" s="122"/>
      <c r="D77" s="122"/>
      <c r="E77" s="125" t="s">
        <v>112</v>
      </c>
      <c r="F77" s="121" t="s">
        <v>115</v>
      </c>
      <c r="G77" s="126" t="s">
        <v>118</v>
      </c>
      <c r="H77" s="127" t="s">
        <v>116</v>
      </c>
      <c r="I77" s="127" t="s">
        <v>124</v>
      </c>
      <c r="J77" s="128" t="s">
        <v>125</v>
      </c>
      <c r="K77" s="128" t="s">
        <v>110</v>
      </c>
      <c r="L77" s="128" t="s">
        <v>119</v>
      </c>
      <c r="M77" s="128" t="s">
        <v>126</v>
      </c>
      <c r="N77" s="128" t="s">
        <v>127</v>
      </c>
      <c r="O77" s="128" t="s">
        <v>128</v>
      </c>
      <c r="P77" s="128" t="s">
        <v>129</v>
      </c>
      <c r="Q77" s="128" t="s">
        <v>130</v>
      </c>
      <c r="R77" s="128" t="s">
        <v>131</v>
      </c>
      <c r="S77" s="128"/>
      <c r="T77" s="128" t="s">
        <v>86</v>
      </c>
      <c r="U77" s="164"/>
      <c r="V77" s="164"/>
      <c r="W77" s="164"/>
      <c r="X77" s="164"/>
      <c r="Y77" s="164"/>
      <c r="Z77" s="164"/>
      <c r="AA77" s="164"/>
      <c r="AB77" s="164"/>
      <c r="AC77" s="164"/>
      <c r="AE77" s="164"/>
      <c r="AF77" s="164"/>
      <c r="AG77" s="164"/>
      <c r="AH77" s="164"/>
      <c r="AI77" s="164"/>
      <c r="AJ77" s="164"/>
      <c r="AK77" s="164"/>
      <c r="AL77" s="164"/>
      <c r="AM77" s="164"/>
      <c r="AN77" s="164"/>
      <c r="AO77" s="164"/>
      <c r="AP77" s="164"/>
      <c r="AQ77" s="164"/>
      <c r="AR77" s="164"/>
      <c r="AS77" s="164"/>
      <c r="AT77" s="164"/>
      <c r="AU77" s="164"/>
      <c r="AV77" s="164"/>
      <c r="AW77" s="164"/>
      <c r="AX77" s="164"/>
    </row>
    <row r="78" spans="2:50" x14ac:dyDescent="0.25">
      <c r="B78" s="275"/>
      <c r="C78" s="120" t="s">
        <v>109</v>
      </c>
      <c r="D78" s="122">
        <f>+D66-D72</f>
        <v>0</v>
      </c>
      <c r="E78" s="122">
        <f>+E66-E72</f>
        <v>0</v>
      </c>
      <c r="F78" s="122">
        <f t="shared" ref="F78:R78" si="5">+F66-F72</f>
        <v>0</v>
      </c>
      <c r="G78" s="122">
        <f t="shared" si="5"/>
        <v>0</v>
      </c>
      <c r="H78" s="122">
        <f t="shared" si="5"/>
        <v>0</v>
      </c>
      <c r="I78" s="122">
        <f t="shared" si="5"/>
        <v>0</v>
      </c>
      <c r="J78" s="122">
        <f t="shared" si="5"/>
        <v>0</v>
      </c>
      <c r="K78" s="122">
        <f t="shared" si="5"/>
        <v>0</v>
      </c>
      <c r="L78" s="122">
        <f t="shared" si="5"/>
        <v>0</v>
      </c>
      <c r="M78" s="122">
        <f t="shared" si="5"/>
        <v>0</v>
      </c>
      <c r="N78" s="122">
        <f t="shared" si="5"/>
        <v>0</v>
      </c>
      <c r="O78" s="122">
        <f t="shared" si="5"/>
        <v>0</v>
      </c>
      <c r="P78" s="122">
        <f t="shared" si="5"/>
        <v>0</v>
      </c>
      <c r="Q78" s="122">
        <f t="shared" si="5"/>
        <v>0</v>
      </c>
      <c r="R78" s="122">
        <f t="shared" si="5"/>
        <v>0</v>
      </c>
      <c r="S78" s="122"/>
      <c r="T78" s="122">
        <f>+SUM(E78:P78)</f>
        <v>0</v>
      </c>
      <c r="U78" s="164"/>
      <c r="V78" s="164"/>
      <c r="W78" s="164"/>
      <c r="X78" s="164"/>
      <c r="Y78" s="164"/>
      <c r="Z78" s="164"/>
      <c r="AA78" s="164"/>
      <c r="AB78" s="164"/>
      <c r="AC78" s="164"/>
      <c r="AE78" s="164"/>
      <c r="AF78" s="164"/>
      <c r="AG78" s="164"/>
      <c r="AH78" s="164"/>
      <c r="AI78" s="164"/>
      <c r="AJ78" s="164"/>
      <c r="AK78" s="164"/>
      <c r="AL78" s="164"/>
      <c r="AM78" s="164"/>
      <c r="AN78" s="164"/>
      <c r="AO78" s="164"/>
      <c r="AP78" s="164"/>
      <c r="AQ78" s="164"/>
      <c r="AR78" s="164"/>
      <c r="AS78" s="164"/>
      <c r="AT78" s="164"/>
      <c r="AU78" s="164"/>
      <c r="AV78" s="164"/>
      <c r="AW78" s="164"/>
      <c r="AX78" s="164"/>
    </row>
    <row r="79" spans="2:50" x14ac:dyDescent="0.25">
      <c r="B79" s="275"/>
      <c r="C79" s="120" t="s">
        <v>121</v>
      </c>
      <c r="D79" s="122">
        <f>+D67-D73</f>
        <v>0</v>
      </c>
      <c r="E79" s="122">
        <f t="shared" ref="E79:R81" si="6">+E67-E73</f>
        <v>0</v>
      </c>
      <c r="F79" s="122">
        <f t="shared" si="6"/>
        <v>0</v>
      </c>
      <c r="G79" s="122">
        <f t="shared" si="6"/>
        <v>0</v>
      </c>
      <c r="H79" s="122">
        <f t="shared" si="6"/>
        <v>0</v>
      </c>
      <c r="I79" s="122">
        <f t="shared" si="6"/>
        <v>0</v>
      </c>
      <c r="J79" s="122">
        <f t="shared" si="6"/>
        <v>0</v>
      </c>
      <c r="K79" s="122">
        <f t="shared" si="6"/>
        <v>0</v>
      </c>
      <c r="L79" s="122">
        <f t="shared" si="6"/>
        <v>0</v>
      </c>
      <c r="M79" s="122">
        <f t="shared" si="6"/>
        <v>0</v>
      </c>
      <c r="N79" s="122">
        <f t="shared" si="6"/>
        <v>0</v>
      </c>
      <c r="O79" s="122">
        <f t="shared" si="6"/>
        <v>0</v>
      </c>
      <c r="P79" s="122">
        <f t="shared" si="6"/>
        <v>0</v>
      </c>
      <c r="Q79" s="122">
        <f t="shared" si="6"/>
        <v>0</v>
      </c>
      <c r="R79" s="122">
        <f t="shared" si="6"/>
        <v>0</v>
      </c>
      <c r="S79" s="122"/>
      <c r="T79" s="122">
        <f>+SUM(E79:P79)</f>
        <v>0</v>
      </c>
      <c r="U79" s="164"/>
      <c r="V79" s="164"/>
      <c r="W79" s="164"/>
      <c r="X79" s="164"/>
      <c r="Y79" s="164"/>
      <c r="Z79" s="164"/>
      <c r="AA79" s="164"/>
      <c r="AB79" s="164"/>
      <c r="AC79" s="164"/>
      <c r="AE79" s="164"/>
      <c r="AF79" s="164"/>
      <c r="AG79" s="164"/>
      <c r="AH79" s="164"/>
      <c r="AI79" s="164"/>
      <c r="AJ79" s="164"/>
      <c r="AK79" s="164"/>
      <c r="AL79" s="164"/>
      <c r="AM79" s="164"/>
      <c r="AN79" s="164"/>
      <c r="AO79" s="164"/>
      <c r="AP79" s="164"/>
      <c r="AQ79" s="164"/>
      <c r="AR79" s="164"/>
      <c r="AS79" s="164"/>
      <c r="AT79" s="164"/>
      <c r="AU79" s="164"/>
      <c r="AV79" s="164"/>
      <c r="AW79" s="164"/>
      <c r="AX79" s="164"/>
    </row>
    <row r="80" spans="2:50" x14ac:dyDescent="0.25">
      <c r="B80" s="276"/>
      <c r="C80" s="122" t="s">
        <v>122</v>
      </c>
      <c r="D80" s="122">
        <f>+D68-D74</f>
        <v>0</v>
      </c>
      <c r="E80" s="122">
        <f t="shared" si="6"/>
        <v>0</v>
      </c>
      <c r="F80" s="122">
        <f t="shared" si="6"/>
        <v>0</v>
      </c>
      <c r="G80" s="122">
        <f t="shared" si="6"/>
        <v>0</v>
      </c>
      <c r="H80" s="122">
        <f t="shared" si="6"/>
        <v>0</v>
      </c>
      <c r="I80" s="122">
        <f t="shared" si="6"/>
        <v>0</v>
      </c>
      <c r="J80" s="122">
        <f t="shared" si="6"/>
        <v>0</v>
      </c>
      <c r="K80" s="122">
        <f t="shared" si="6"/>
        <v>0</v>
      </c>
      <c r="L80" s="122">
        <f t="shared" si="6"/>
        <v>0</v>
      </c>
      <c r="M80" s="122">
        <f t="shared" si="6"/>
        <v>0</v>
      </c>
      <c r="N80" s="122">
        <f t="shared" si="6"/>
        <v>0</v>
      </c>
      <c r="O80" s="122">
        <f t="shared" si="6"/>
        <v>0</v>
      </c>
      <c r="P80" s="122">
        <f t="shared" si="6"/>
        <v>0</v>
      </c>
      <c r="Q80" s="122">
        <f t="shared" si="6"/>
        <v>0</v>
      </c>
      <c r="R80" s="122">
        <f t="shared" si="6"/>
        <v>0</v>
      </c>
      <c r="S80" s="122"/>
      <c r="T80" s="122">
        <f>+SUM(E80:P80)</f>
        <v>0</v>
      </c>
      <c r="U80" s="164"/>
      <c r="V80" s="164"/>
      <c r="W80" s="164"/>
      <c r="X80" s="164"/>
      <c r="Y80" s="164"/>
      <c r="Z80" s="164"/>
      <c r="AA80" s="164"/>
      <c r="AB80" s="164"/>
      <c r="AC80" s="164"/>
      <c r="AE80" s="164"/>
      <c r="AF80" s="164"/>
      <c r="AG80" s="164"/>
      <c r="AH80" s="164"/>
      <c r="AI80" s="164"/>
      <c r="AJ80" s="164"/>
      <c r="AK80" s="164"/>
      <c r="AL80" s="164"/>
      <c r="AM80" s="164"/>
      <c r="AN80" s="164"/>
      <c r="AO80" s="164"/>
      <c r="AP80" s="164"/>
      <c r="AQ80" s="164"/>
      <c r="AR80" s="164"/>
      <c r="AS80" s="164"/>
      <c r="AT80" s="164"/>
      <c r="AU80" s="164"/>
      <c r="AV80" s="164"/>
      <c r="AW80" s="164"/>
      <c r="AX80" s="164"/>
    </row>
    <row r="81" spans="2:50" x14ac:dyDescent="0.25">
      <c r="B81" s="277" t="s">
        <v>123</v>
      </c>
      <c r="C81" s="277"/>
      <c r="D81" s="122">
        <f>+D69-D75</f>
        <v>0</v>
      </c>
      <c r="E81" s="122">
        <f t="shared" si="6"/>
        <v>0</v>
      </c>
      <c r="F81" s="122">
        <f t="shared" si="6"/>
        <v>0</v>
      </c>
      <c r="G81" s="122">
        <f t="shared" si="6"/>
        <v>0</v>
      </c>
      <c r="H81" s="122">
        <f t="shared" si="6"/>
        <v>0</v>
      </c>
      <c r="I81" s="122">
        <f t="shared" si="6"/>
        <v>0</v>
      </c>
      <c r="J81" s="122">
        <f t="shared" si="6"/>
        <v>0</v>
      </c>
      <c r="K81" s="122">
        <f t="shared" si="6"/>
        <v>0</v>
      </c>
      <c r="L81" s="122">
        <f t="shared" si="6"/>
        <v>0</v>
      </c>
      <c r="M81" s="122">
        <f t="shared" si="6"/>
        <v>0</v>
      </c>
      <c r="N81" s="122">
        <f t="shared" si="6"/>
        <v>0</v>
      </c>
      <c r="O81" s="122">
        <f t="shared" si="6"/>
        <v>0</v>
      </c>
      <c r="P81" s="122">
        <f t="shared" si="6"/>
        <v>0</v>
      </c>
      <c r="Q81" s="122">
        <f t="shared" si="6"/>
        <v>0</v>
      </c>
      <c r="R81" s="122">
        <f t="shared" si="6"/>
        <v>0</v>
      </c>
      <c r="S81" s="122"/>
      <c r="T81" s="122">
        <f>+SUM(T78:T80)</f>
        <v>0</v>
      </c>
      <c r="U81" s="164"/>
      <c r="V81" s="164"/>
      <c r="W81" s="164"/>
      <c r="X81" s="164"/>
      <c r="Y81" s="164"/>
      <c r="Z81" s="164"/>
      <c r="AA81" s="164"/>
      <c r="AB81" s="164"/>
      <c r="AC81" s="164"/>
      <c r="AE81" s="164"/>
      <c r="AF81" s="164"/>
      <c r="AG81" s="164"/>
      <c r="AH81" s="164"/>
      <c r="AI81" s="164"/>
      <c r="AJ81" s="164"/>
      <c r="AK81" s="164"/>
      <c r="AL81" s="164"/>
      <c r="AM81" s="164"/>
      <c r="AN81" s="164"/>
      <c r="AO81" s="164"/>
      <c r="AP81" s="164"/>
      <c r="AQ81" s="164"/>
      <c r="AR81" s="164"/>
      <c r="AS81" s="164"/>
      <c r="AT81" s="164"/>
      <c r="AU81" s="164"/>
      <c r="AV81" s="164"/>
      <c r="AW81" s="164"/>
      <c r="AX81" s="164"/>
    </row>
    <row r="82" spans="2:50" x14ac:dyDescent="0.25">
      <c r="U82" s="164"/>
      <c r="V82" s="164"/>
      <c r="W82" s="164"/>
      <c r="X82" s="164"/>
      <c r="Y82" s="164"/>
      <c r="Z82" s="164"/>
      <c r="AA82" s="164"/>
      <c r="AB82" s="164"/>
      <c r="AC82" s="164"/>
      <c r="AE82" s="164"/>
      <c r="AF82" s="164"/>
      <c r="AG82" s="164"/>
      <c r="AH82" s="164"/>
      <c r="AI82" s="164"/>
      <c r="AJ82" s="164"/>
      <c r="AK82" s="164"/>
      <c r="AL82" s="164"/>
      <c r="AM82" s="164"/>
      <c r="AN82" s="164"/>
      <c r="AO82" s="164"/>
      <c r="AP82" s="164"/>
      <c r="AQ82" s="164"/>
      <c r="AR82" s="164"/>
      <c r="AS82" s="164"/>
      <c r="AT82" s="164"/>
      <c r="AU82" s="164"/>
      <c r="AV82" s="164"/>
      <c r="AW82" s="164"/>
      <c r="AX82" s="164"/>
    </row>
    <row r="83" spans="2:50" x14ac:dyDescent="0.25">
      <c r="B83" s="137" t="s">
        <v>132</v>
      </c>
      <c r="C83" s="137"/>
      <c r="D83" s="137"/>
      <c r="E83" s="137"/>
      <c r="F83" s="137"/>
      <c r="G83" s="137"/>
      <c r="H83" s="137"/>
      <c r="I83" s="137"/>
      <c r="J83" s="137"/>
      <c r="K83" s="137"/>
      <c r="L83" s="137"/>
      <c r="M83" s="137"/>
      <c r="N83" s="137"/>
      <c r="O83" s="137"/>
      <c r="P83" s="137"/>
      <c r="Q83" s="137"/>
      <c r="R83" s="138"/>
      <c r="S83" s="139"/>
      <c r="T83" s="137"/>
      <c r="U83" s="164"/>
      <c r="V83" s="164"/>
      <c r="W83" s="164"/>
      <c r="X83" s="164"/>
      <c r="Y83" s="164"/>
      <c r="Z83" s="164"/>
      <c r="AA83" s="164"/>
      <c r="AB83" s="164"/>
      <c r="AC83" s="164"/>
      <c r="AE83" s="164"/>
      <c r="AF83" s="164"/>
      <c r="AG83" s="164"/>
      <c r="AH83" s="164"/>
      <c r="AI83" s="164"/>
      <c r="AJ83" s="164"/>
      <c r="AK83" s="164"/>
      <c r="AL83" s="164"/>
      <c r="AM83" s="164"/>
      <c r="AN83" s="164"/>
      <c r="AO83" s="164"/>
      <c r="AP83" s="164"/>
      <c r="AQ83" s="164"/>
      <c r="AR83" s="164"/>
      <c r="AS83" s="164"/>
      <c r="AT83" s="164"/>
      <c r="AU83" s="164"/>
      <c r="AV83" s="164"/>
      <c r="AW83" s="164"/>
      <c r="AX83" s="164"/>
    </row>
    <row r="84" spans="2:50" x14ac:dyDescent="0.25">
      <c r="B84" s="279" t="s">
        <v>120</v>
      </c>
      <c r="C84" s="138"/>
      <c r="D84" s="138"/>
      <c r="E84" s="140" t="str">
        <f t="shared" ref="E84:R84" si="7">E65</f>
        <v>SARL</v>
      </c>
      <c r="F84" s="138" t="str">
        <f t="shared" si="7"/>
        <v>EURL</v>
      </c>
      <c r="G84" s="141" t="str">
        <f t="shared" si="7"/>
        <v>SAS</v>
      </c>
      <c r="H84" s="142" t="str">
        <f t="shared" si="7"/>
        <v>INDIVIDUEL</v>
      </c>
      <c r="I84" s="142" t="str">
        <f t="shared" si="7"/>
        <v>ASSOCIATION</v>
      </c>
      <c r="J84" s="240" t="str">
        <f t="shared" si="7"/>
        <v>PROFESSION LIBERALE</v>
      </c>
      <c r="K84" s="240" t="str">
        <f t="shared" si="7"/>
        <v>SNC</v>
      </c>
      <c r="L84" s="240" t="str">
        <f t="shared" si="7"/>
        <v>SCI</v>
      </c>
      <c r="M84" s="240" t="str">
        <f t="shared" si="7"/>
        <v>EARL</v>
      </c>
      <c r="N84" s="240" t="str">
        <f t="shared" si="7"/>
        <v>ETA</v>
      </c>
      <c r="O84" s="240" t="str">
        <f t="shared" si="7"/>
        <v>SCEA</v>
      </c>
      <c r="P84" s="240" t="str">
        <f t="shared" si="7"/>
        <v>GROUPEMENT</v>
      </c>
      <c r="Q84" s="240" t="str">
        <f t="shared" si="7"/>
        <v>EIRL</v>
      </c>
      <c r="R84" s="240" t="str">
        <f t="shared" si="7"/>
        <v>AUTRES</v>
      </c>
      <c r="S84" s="144"/>
      <c r="T84" s="145" t="s">
        <v>86</v>
      </c>
      <c r="U84" s="164"/>
      <c r="V84" s="164"/>
      <c r="W84" s="164"/>
      <c r="X84" s="164"/>
      <c r="Y84" s="164"/>
      <c r="Z84" s="164"/>
      <c r="AA84" s="164"/>
      <c r="AB84" s="164"/>
      <c r="AC84" s="164"/>
      <c r="AE84" s="164"/>
      <c r="AF84" s="164"/>
      <c r="AG84" s="164"/>
      <c r="AH84" s="164"/>
      <c r="AI84" s="164"/>
      <c r="AJ84" s="164"/>
      <c r="AK84" s="164"/>
      <c r="AL84" s="164"/>
      <c r="AM84" s="164"/>
      <c r="AN84" s="164"/>
      <c r="AO84" s="164"/>
      <c r="AP84" s="164"/>
      <c r="AQ84" s="164"/>
      <c r="AR84" s="164"/>
      <c r="AS84" s="164"/>
      <c r="AT84" s="164"/>
      <c r="AU84" s="164"/>
      <c r="AV84" s="164"/>
      <c r="AW84" s="164"/>
      <c r="AX84" s="164"/>
    </row>
    <row r="85" spans="2:50" x14ac:dyDescent="0.25">
      <c r="B85" s="280"/>
      <c r="C85" s="146" t="s">
        <v>109</v>
      </c>
      <c r="D85" s="138">
        <f>COUNTIFS($I$3:$I$60,"&lt;&gt;",$D$3:$D$60,"ACS")</f>
        <v>2</v>
      </c>
      <c r="E85" s="147">
        <f>+COUNTIFS($I$3:$I$60,"&lt;&gt;",$F$3:$F$60,"SARL")</f>
        <v>1</v>
      </c>
      <c r="F85" s="138">
        <f>+COUNTIFS($I3:$I60,"&lt;&gt;",$F$3:$F$60,"EURL")</f>
        <v>1</v>
      </c>
      <c r="G85" s="148">
        <f>COUNTIFS($I$3:$I$60,"&lt;&gt;",$F$3:$F$60,"SAS",$D$3:$D$60,"ACS")</f>
        <v>0</v>
      </c>
      <c r="H85" s="138">
        <f>COUNTIFS($I$3:$I$60,"&lt;&gt;",$F$3:$F$60,"INDIVIDUEL",$D$3:$D$60,"ACS")</f>
        <v>0</v>
      </c>
      <c r="I85" s="138">
        <f>COUNTIFS($I$3:$I$60,"&lt;&gt;",$F$3:$F$60,"ASSOCIATION")</f>
        <v>0</v>
      </c>
      <c r="J85" s="138"/>
      <c r="K85" s="138">
        <f>COUNTIFS($I$3:$I$60,"&lt;&gt;",$F$3:$F$60,"SNC")</f>
        <v>0</v>
      </c>
      <c r="L85" s="138">
        <f>COUNTIFS($I$3:$I$60,"&lt;&gt;",$F$3:$F$60,"SCI")</f>
        <v>0</v>
      </c>
      <c r="M85" s="149"/>
      <c r="N85" s="150"/>
      <c r="O85" s="151"/>
      <c r="P85" s="138">
        <f>COUNTIFS($I$3:$I$60,"&lt;&gt;",$F$3:$F$60,"GROUPEMENT")</f>
        <v>0</v>
      </c>
      <c r="Q85" s="152">
        <f>COUNTIFS($I$3:$I$60,"&lt;&gt;",$F$3:$F$60,"EIRL")</f>
        <v>0</v>
      </c>
      <c r="R85" s="138">
        <f>COUNTIFS($I$3:$I$60,"&lt;&gt;",$F$3:$F$60,"AUTRES")</f>
        <v>0</v>
      </c>
      <c r="S85" s="148"/>
      <c r="T85" s="148">
        <f>+SUM(E85:P85)</f>
        <v>2</v>
      </c>
      <c r="U85" s="164"/>
      <c r="V85" s="164"/>
      <c r="W85" s="164"/>
      <c r="X85" s="164"/>
      <c r="Y85" s="164"/>
      <c r="Z85" s="164"/>
      <c r="AA85" s="164"/>
      <c r="AB85" s="164"/>
      <c r="AC85" s="164"/>
      <c r="AE85" s="164"/>
      <c r="AF85" s="164"/>
      <c r="AG85" s="164"/>
      <c r="AH85" s="164"/>
      <c r="AI85" s="164"/>
      <c r="AJ85" s="164"/>
      <c r="AK85" s="164"/>
      <c r="AL85" s="164"/>
      <c r="AM85" s="164"/>
      <c r="AN85" s="164"/>
      <c r="AO85" s="164"/>
      <c r="AP85" s="164"/>
      <c r="AQ85" s="164"/>
      <c r="AR85" s="164"/>
      <c r="AS85" s="164"/>
      <c r="AT85" s="164"/>
      <c r="AU85" s="164"/>
      <c r="AV85" s="164"/>
      <c r="AW85" s="164"/>
      <c r="AX85" s="164"/>
    </row>
    <row r="86" spans="2:50" x14ac:dyDescent="0.25">
      <c r="B86" s="280"/>
      <c r="C86" s="146" t="s">
        <v>121</v>
      </c>
      <c r="D86" s="138">
        <f>COUNTIFS($I$3:$I$60,"&lt;&gt;",$D$3:$D$60,"BNC")</f>
        <v>0</v>
      </c>
      <c r="E86" s="153"/>
      <c r="F86" s="138"/>
      <c r="G86" s="154"/>
      <c r="H86" s="155"/>
      <c r="I86" s="151"/>
      <c r="J86" s="138">
        <f>COUNTIFS($I$3:$I$60,"&lt;&gt;",$D$3:$D$60,"BNC")</f>
        <v>0</v>
      </c>
      <c r="K86" s="138"/>
      <c r="L86" s="138"/>
      <c r="M86" s="138"/>
      <c r="N86" s="138"/>
      <c r="O86" s="138"/>
      <c r="P86" s="138"/>
      <c r="Q86" s="152"/>
      <c r="R86" s="138"/>
      <c r="S86" s="148"/>
      <c r="T86" s="148">
        <f>+SUM(E86:P86)</f>
        <v>0</v>
      </c>
      <c r="U86" s="164"/>
      <c r="V86" s="164"/>
      <c r="W86" s="164"/>
      <c r="X86" s="164"/>
      <c r="Y86" s="164"/>
      <c r="Z86" s="164"/>
      <c r="AA86" s="164"/>
      <c r="AB86" s="164"/>
      <c r="AC86" s="164"/>
      <c r="AE86" s="164"/>
      <c r="AF86" s="164"/>
      <c r="AG86" s="164"/>
      <c r="AH86" s="164"/>
      <c r="AI86" s="164"/>
      <c r="AJ86" s="164"/>
      <c r="AK86" s="164"/>
      <c r="AL86" s="164"/>
      <c r="AM86" s="164"/>
      <c r="AN86" s="164"/>
      <c r="AO86" s="164"/>
      <c r="AP86" s="164"/>
      <c r="AQ86" s="164"/>
      <c r="AR86" s="164"/>
      <c r="AS86" s="164"/>
      <c r="AT86" s="164"/>
      <c r="AU86" s="164"/>
      <c r="AV86" s="164"/>
      <c r="AW86" s="164"/>
      <c r="AX86" s="164"/>
    </row>
    <row r="87" spans="2:50" x14ac:dyDescent="0.25">
      <c r="B87" s="280"/>
      <c r="C87" s="138" t="s">
        <v>122</v>
      </c>
      <c r="D87" s="138">
        <f>COUNTIFS($I$3:$I$60,"&lt;&gt;",$D$3:$D$60,"AGRI")</f>
        <v>0</v>
      </c>
      <c r="E87" s="152"/>
      <c r="F87" s="138"/>
      <c r="G87" s="148">
        <f>COUNTIFS($I$3:$I$60,"&lt;&gt;",$F$3:$F$60,"SAS",$D$3:$D$60,"AGRI")</f>
        <v>0</v>
      </c>
      <c r="H87" s="138">
        <f>COUNTIFS($F$3:$F$60,"INDIVIDUEL",$D$3:$D$60,"AGRI",$I3:$I$60,"&lt;&gt;")</f>
        <v>0</v>
      </c>
      <c r="I87" s="138"/>
      <c r="J87" s="138"/>
      <c r="K87" s="138"/>
      <c r="L87" s="138"/>
      <c r="M87" s="138">
        <f>COUNTIFS($I$3:$I$60,"&lt;&gt;",$F$5:$F$62,"EARL")</f>
        <v>0</v>
      </c>
      <c r="N87" s="138">
        <f>COUNTIFS($I$3:$I$60,"&lt;&gt;",$F$5:$F$62,"ETA")</f>
        <v>0</v>
      </c>
      <c r="O87" s="138">
        <f>COUNTIFS($I$3:$I$60,"&lt;&gt;",$F$5:$F$62,"SCEA")</f>
        <v>0</v>
      </c>
      <c r="P87" s="138"/>
      <c r="Q87" s="152"/>
      <c r="R87" s="138"/>
      <c r="S87" s="148"/>
      <c r="T87" s="148">
        <f>+SUM(E87:P87)</f>
        <v>0</v>
      </c>
      <c r="U87" s="164"/>
      <c r="V87" s="164"/>
      <c r="W87" s="164"/>
      <c r="X87" s="164"/>
      <c r="Y87" s="164"/>
      <c r="Z87" s="164"/>
      <c r="AA87" s="164"/>
      <c r="AB87" s="164"/>
      <c r="AC87" s="164"/>
      <c r="AE87" s="164"/>
      <c r="AF87" s="164"/>
      <c r="AG87" s="164"/>
      <c r="AH87" s="164"/>
      <c r="AI87" s="164"/>
      <c r="AJ87" s="164"/>
      <c r="AK87" s="164"/>
      <c r="AL87" s="164"/>
      <c r="AM87" s="164"/>
      <c r="AN87" s="164"/>
      <c r="AO87" s="164"/>
      <c r="AP87" s="164"/>
      <c r="AQ87" s="164"/>
      <c r="AR87" s="164"/>
      <c r="AS87" s="164"/>
      <c r="AT87" s="164"/>
      <c r="AU87" s="164"/>
      <c r="AV87" s="164"/>
      <c r="AW87" s="164"/>
      <c r="AX87" s="164"/>
    </row>
    <row r="88" spans="2:50" x14ac:dyDescent="0.25">
      <c r="B88" s="280" t="s">
        <v>123</v>
      </c>
      <c r="C88" s="280"/>
      <c r="D88" s="138">
        <f t="shared" ref="D88:R88" si="8">+SUM(D85:D87)</f>
        <v>2</v>
      </c>
      <c r="E88" s="152">
        <f t="shared" si="8"/>
        <v>1</v>
      </c>
      <c r="F88" s="152">
        <f t="shared" si="8"/>
        <v>1</v>
      </c>
      <c r="G88" s="152">
        <f t="shared" si="8"/>
        <v>0</v>
      </c>
      <c r="H88" s="152">
        <f t="shared" si="8"/>
        <v>0</v>
      </c>
      <c r="I88" s="152">
        <f t="shared" si="8"/>
        <v>0</v>
      </c>
      <c r="J88" s="152">
        <f t="shared" si="8"/>
        <v>0</v>
      </c>
      <c r="K88" s="152">
        <f t="shared" si="8"/>
        <v>0</v>
      </c>
      <c r="L88" s="152">
        <f t="shared" si="8"/>
        <v>0</v>
      </c>
      <c r="M88" s="152">
        <f t="shared" si="8"/>
        <v>0</v>
      </c>
      <c r="N88" s="152">
        <f t="shared" si="8"/>
        <v>0</v>
      </c>
      <c r="O88" s="152">
        <f t="shared" si="8"/>
        <v>0</v>
      </c>
      <c r="P88" s="152">
        <f t="shared" si="8"/>
        <v>0</v>
      </c>
      <c r="Q88" s="152">
        <f t="shared" si="8"/>
        <v>0</v>
      </c>
      <c r="R88" s="152">
        <f t="shared" si="8"/>
        <v>0</v>
      </c>
      <c r="S88" s="156"/>
      <c r="T88" s="148">
        <f>+SUM(T85:T87)</f>
        <v>2</v>
      </c>
      <c r="U88" s="164"/>
      <c r="V88" s="164"/>
      <c r="W88" s="164"/>
      <c r="X88" s="164"/>
      <c r="Y88" s="164"/>
      <c r="Z88" s="164"/>
      <c r="AA88" s="164"/>
      <c r="AB88" s="164"/>
      <c r="AC88" s="164"/>
      <c r="AE88" s="164"/>
      <c r="AF88" s="164"/>
      <c r="AG88" s="164"/>
      <c r="AH88" s="164"/>
      <c r="AI88" s="164"/>
      <c r="AJ88" s="164"/>
      <c r="AK88" s="164"/>
      <c r="AL88" s="164"/>
      <c r="AM88" s="164"/>
      <c r="AN88" s="164"/>
      <c r="AO88" s="164"/>
      <c r="AP88" s="164"/>
      <c r="AQ88" s="164"/>
      <c r="AR88" s="164"/>
      <c r="AS88" s="164"/>
      <c r="AT88" s="164"/>
      <c r="AU88" s="164"/>
      <c r="AV88" s="164"/>
      <c r="AW88" s="164"/>
      <c r="AX88" s="164"/>
    </row>
    <row r="89" spans="2:50" x14ac:dyDescent="0.25">
      <c r="B89" s="137"/>
      <c r="C89" s="137"/>
      <c r="D89" s="137"/>
      <c r="E89" s="137"/>
      <c r="F89" s="137"/>
      <c r="G89" s="137"/>
      <c r="H89" s="137"/>
      <c r="I89" s="137"/>
      <c r="J89" s="137"/>
      <c r="K89" s="137"/>
      <c r="L89" s="137"/>
      <c r="M89" s="137"/>
      <c r="N89" s="137"/>
      <c r="O89" s="137"/>
      <c r="P89" s="137"/>
      <c r="Q89" s="137"/>
      <c r="R89" s="137"/>
      <c r="S89" s="137"/>
      <c r="T89" s="137"/>
      <c r="U89" s="164"/>
      <c r="V89" s="164"/>
      <c r="W89" s="164"/>
      <c r="X89" s="164"/>
      <c r="Y89" s="164"/>
      <c r="Z89" s="164"/>
      <c r="AA89" s="164"/>
      <c r="AB89" s="164"/>
      <c r="AC89" s="164"/>
      <c r="AE89" s="164"/>
      <c r="AF89" s="164"/>
      <c r="AG89" s="164"/>
      <c r="AH89" s="164"/>
      <c r="AI89" s="164"/>
      <c r="AJ89" s="164"/>
      <c r="AK89" s="164"/>
      <c r="AL89" s="164"/>
      <c r="AM89" s="164"/>
      <c r="AN89" s="164"/>
      <c r="AO89" s="164"/>
      <c r="AP89" s="164"/>
      <c r="AQ89" s="164"/>
      <c r="AR89" s="164"/>
      <c r="AS89" s="164"/>
      <c r="AT89" s="164"/>
      <c r="AU89" s="164"/>
      <c r="AV89" s="164"/>
      <c r="AW89" s="164"/>
      <c r="AX89" s="164"/>
    </row>
    <row r="90" spans="2:50" x14ac:dyDescent="0.25">
      <c r="B90" s="281">
        <v>44196</v>
      </c>
      <c r="C90" s="138"/>
      <c r="D90" s="138"/>
      <c r="E90" s="140" t="str">
        <f t="shared" ref="E90:R90" si="9">E65</f>
        <v>SARL</v>
      </c>
      <c r="F90" s="138" t="str">
        <f t="shared" si="9"/>
        <v>EURL</v>
      </c>
      <c r="G90" s="141" t="str">
        <f t="shared" si="9"/>
        <v>SAS</v>
      </c>
      <c r="H90" s="142" t="str">
        <f t="shared" si="9"/>
        <v>INDIVIDUEL</v>
      </c>
      <c r="I90" s="142" t="str">
        <f t="shared" si="9"/>
        <v>ASSOCIATION</v>
      </c>
      <c r="J90" s="240" t="str">
        <f t="shared" si="9"/>
        <v>PROFESSION LIBERALE</v>
      </c>
      <c r="K90" s="240" t="str">
        <f t="shared" si="9"/>
        <v>SNC</v>
      </c>
      <c r="L90" s="240" t="str">
        <f t="shared" si="9"/>
        <v>SCI</v>
      </c>
      <c r="M90" s="240" t="str">
        <f t="shared" si="9"/>
        <v>EARL</v>
      </c>
      <c r="N90" s="240" t="str">
        <f t="shared" si="9"/>
        <v>ETA</v>
      </c>
      <c r="O90" s="240" t="str">
        <f t="shared" si="9"/>
        <v>SCEA</v>
      </c>
      <c r="P90" s="240" t="str">
        <f t="shared" si="9"/>
        <v>GROUPEMENT</v>
      </c>
      <c r="Q90" s="138" t="str">
        <f t="shared" si="9"/>
        <v>EIRL</v>
      </c>
      <c r="R90" s="138" t="str">
        <f t="shared" si="9"/>
        <v>AUTRES</v>
      </c>
      <c r="S90" s="138"/>
      <c r="T90" s="240" t="s">
        <v>86</v>
      </c>
      <c r="U90" s="164"/>
      <c r="V90" s="164"/>
      <c r="W90" s="164"/>
      <c r="X90" s="164"/>
      <c r="Y90" s="164"/>
      <c r="Z90" s="164"/>
      <c r="AA90" s="164"/>
      <c r="AB90" s="164"/>
      <c r="AC90" s="164"/>
      <c r="AE90" s="164"/>
      <c r="AF90" s="164"/>
      <c r="AG90" s="164"/>
      <c r="AH90" s="164"/>
      <c r="AI90" s="164"/>
      <c r="AJ90" s="164"/>
      <c r="AK90" s="164"/>
      <c r="AL90" s="164"/>
      <c r="AM90" s="164"/>
      <c r="AN90" s="164"/>
      <c r="AO90" s="164"/>
      <c r="AP90" s="164"/>
      <c r="AQ90" s="164"/>
      <c r="AR90" s="164"/>
      <c r="AS90" s="164"/>
      <c r="AT90" s="164"/>
      <c r="AU90" s="164"/>
      <c r="AV90" s="164"/>
      <c r="AW90" s="164"/>
      <c r="AX90" s="164"/>
    </row>
    <row r="91" spans="2:50" x14ac:dyDescent="0.25">
      <c r="B91" s="280"/>
      <c r="C91" s="146" t="s">
        <v>109</v>
      </c>
      <c r="D91" s="138">
        <f>COUNTIFS($I$3:$I$60,"&lt;&gt;",$E$3:$E$60,DATE(Paramètres!A4,Paramètres!D15,Paramètres!C15),$D$3:$D$60,"ACS")</f>
        <v>2</v>
      </c>
      <c r="E91" s="147">
        <f>COUNTIFS($I$3:$I$60,"&lt;&gt;",$E$3:$E$60,DATE(Paramètres!A4,Paramètres!D15,Paramètres!C15),$F$3:$F$60,"SARL")</f>
        <v>1</v>
      </c>
      <c r="F91" s="138">
        <f>+COUNTIFS($I$3:$I$60,"&lt;&gt;",$E$3:$E$60,DATE(Paramètres!A4,Paramètres!D15,Paramètres!C15),$F$3:$F$60,"EURL")</f>
        <v>1</v>
      </c>
      <c r="G91" s="148">
        <f>COUNTIFS($I$3:$I$60,"&lt;&gt;",$E$3:$E$60,DATE(Paramètres!A4,Paramètres!D15,Paramètres!C15),$F$3:$F$60,"SAS",$D$3:$D$60,"ACS")</f>
        <v>0</v>
      </c>
      <c r="H91" s="138">
        <f>COUNTIFS($I$3:$I$60,"&lt;&gt;",$E$3:$E$60,DATE(Paramètres!A4,Paramètres!D15,Paramètres!C15),$F$3:$F$60,"INDIVIDUEL",$D$3:$D$60,"ACS")</f>
        <v>0</v>
      </c>
      <c r="I91" s="138">
        <f>+COUNTIFS($I$3:$I$60,"&lt;&gt;",$E$3:$E$60,DATE(Paramètres!A4,Paramètres!D15,Paramètres!C15),$F$3:$F$60,"ASSOCIATION")</f>
        <v>0</v>
      </c>
      <c r="J91" s="138"/>
      <c r="K91" s="138">
        <f>COUNTIFS($I$3:$I$60,"&lt;&gt;",$E$3:$E$60,DATE(Paramètres!A4,Paramètres!D15,Paramètres!C15),$F$3:$F$60,"SNC")</f>
        <v>0</v>
      </c>
      <c r="L91" s="138">
        <f>COUNTIFS($I$3:$I$60,"&lt;&gt;",$E$3:$E$60,DATE(Paramètres!A4,Paramètres!D15,Paramètres!C15),$F$3:$F$60,"SCI")</f>
        <v>0</v>
      </c>
      <c r="M91" s="149"/>
      <c r="N91" s="150"/>
      <c r="O91" s="151"/>
      <c r="P91" s="138">
        <f>COUNTIFS($I$3:$I$60,"&lt;&gt;",$E$3:$E$60,DATE(Paramètres!A4,Paramètres!D15,Paramètres!C15),$F$3:$F$60,"GROUPEMENT")</f>
        <v>0</v>
      </c>
      <c r="Q91" s="138">
        <f>COUNTIFS($I$3:$I$60,"&lt;&gt;",$E$3:$E$60,DATE(Paramètres!A4,Paramètres!D15,Paramètres!C15),$F$3:$F$60,"EIRL")</f>
        <v>0</v>
      </c>
      <c r="R91" s="138">
        <f>COUNTIFS($I$3:$I$60,"&lt;&gt;",$E$3:$E$60,DATE(Paramètres!A4,Paramètres!D15,Paramètres!C15),$F$3:$F$60,"AUTRES")</f>
        <v>0</v>
      </c>
      <c r="S91" s="138"/>
      <c r="T91" s="138">
        <f>+SUM(E91:P91)</f>
        <v>2</v>
      </c>
      <c r="U91" s="164"/>
      <c r="V91" s="164"/>
      <c r="W91" s="164"/>
      <c r="X91" s="164"/>
      <c r="Y91" s="164"/>
      <c r="Z91" s="164"/>
      <c r="AA91" s="164"/>
      <c r="AB91" s="164"/>
      <c r="AC91" s="164"/>
      <c r="AE91" s="164"/>
      <c r="AF91" s="164"/>
      <c r="AG91" s="164"/>
      <c r="AH91" s="164"/>
      <c r="AI91" s="164"/>
      <c r="AJ91" s="164"/>
      <c r="AK91" s="164"/>
      <c r="AL91" s="164"/>
      <c r="AM91" s="164"/>
      <c r="AN91" s="164"/>
      <c r="AO91" s="164"/>
      <c r="AP91" s="164"/>
      <c r="AQ91" s="164"/>
      <c r="AR91" s="164"/>
      <c r="AS91" s="164"/>
      <c r="AT91" s="164"/>
      <c r="AU91" s="164"/>
      <c r="AV91" s="164"/>
      <c r="AW91" s="164"/>
      <c r="AX91" s="164"/>
    </row>
    <row r="92" spans="2:50" x14ac:dyDescent="0.25">
      <c r="B92" s="280"/>
      <c r="C92" s="146" t="s">
        <v>121</v>
      </c>
      <c r="D92" s="138">
        <f>COUNTIFS($I$3:$I$60,"&lt;&gt;",$E$3:$E$60,DATE(Paramètres!A4,Paramètres!D15,Paramètres!C15),$D$3:$D$60,"BNC")</f>
        <v>0</v>
      </c>
      <c r="E92" s="153"/>
      <c r="F92" s="138"/>
      <c r="G92" s="154"/>
      <c r="H92" s="155"/>
      <c r="I92" s="151"/>
      <c r="J92" s="138">
        <f>COUNTIFS($I$3:$I$60,"&lt;&gt;",$E$3:$E$60,DATE(Paramètres!A4,Paramètres!D15,Paramètres!C15),$D$3:$D$60,"BNC")</f>
        <v>0</v>
      </c>
      <c r="K92" s="149"/>
      <c r="L92" s="150"/>
      <c r="M92" s="150"/>
      <c r="N92" s="150"/>
      <c r="O92" s="150"/>
      <c r="P92" s="151"/>
      <c r="Q92" s="138"/>
      <c r="R92" s="138"/>
      <c r="S92" s="138"/>
      <c r="T92" s="138">
        <f>+SUM(E92:P92)</f>
        <v>0</v>
      </c>
      <c r="U92" s="164"/>
      <c r="V92" s="164"/>
      <c r="W92" s="164"/>
      <c r="X92" s="164"/>
      <c r="Y92" s="164"/>
      <c r="Z92" s="164"/>
      <c r="AA92" s="164"/>
      <c r="AB92" s="164"/>
      <c r="AC92" s="164"/>
      <c r="AE92" s="164"/>
      <c r="AF92" s="164"/>
      <c r="AG92" s="164"/>
      <c r="AH92" s="164"/>
      <c r="AI92" s="164"/>
      <c r="AJ92" s="164"/>
      <c r="AK92" s="164"/>
      <c r="AL92" s="164"/>
      <c r="AM92" s="164"/>
      <c r="AN92" s="164"/>
      <c r="AO92" s="164"/>
      <c r="AP92" s="164"/>
      <c r="AQ92" s="164"/>
      <c r="AR92" s="164"/>
      <c r="AS92" s="164"/>
      <c r="AT92" s="164"/>
      <c r="AU92" s="164"/>
      <c r="AV92" s="164"/>
      <c r="AW92" s="164"/>
      <c r="AX92" s="164"/>
    </row>
    <row r="93" spans="2:50" x14ac:dyDescent="0.25">
      <c r="B93" s="280"/>
      <c r="C93" s="138" t="s">
        <v>122</v>
      </c>
      <c r="D93" s="138">
        <f>COUNTIFS($I$3:$I$60,"&lt;&gt;",$E$3:$E$60,DATE(Paramètres!A4,Paramètres!D15,Paramètres!C15),$D$3:$D$60,"AGRI")</f>
        <v>0</v>
      </c>
      <c r="E93" s="153"/>
      <c r="F93" s="138"/>
      <c r="G93" s="154">
        <f>COUNTIFS($I$3:$I$60,"&lt;&gt;",$E$3:$E$60,DATE(Paramètres!A4,Paramètres!D15,Paramètres!C15),$F$3:$F$60,"SAS",$D$3:$D$60,"AGRI")</f>
        <v>0</v>
      </c>
      <c r="H93" s="138">
        <f>COUNTIFS($I$3:$I$60,"&lt;&gt;",$E$3:$E$60,DATE(Paramètres!A4,Paramètres!D15,Paramètres!C15),$F$3:$F$60,"INDIVIDUEL",$D$3:$D$60,"AGRI")</f>
        <v>0</v>
      </c>
      <c r="I93" s="152"/>
      <c r="J93" s="149"/>
      <c r="K93" s="150"/>
      <c r="L93" s="151"/>
      <c r="M93" s="138">
        <f>COUNTIFS($I$3:$I$60,"&lt;&gt;",$AZ$3:$AZ$60,"X",$E$3:$E$60,DATE(Paramètres!A4,Paramètres!D15,Paramètres!C15),$F$3:$F$60,"EARL")</f>
        <v>0</v>
      </c>
      <c r="N93" s="138">
        <f>COUNTIFS($I$3:$I$60,"&lt;&gt;",$E$3:$E$60,DATE(Paramètres!A4,Paramètres!D15,Paramètres!C15),$F$3:$F$60,"ETA")</f>
        <v>0</v>
      </c>
      <c r="O93" s="138">
        <f>COUNTIFS($I$3:$I$60,"&lt;&gt;",$E$3:$E$60,DATE(Paramètres!A4,Paramètres!D15,Paramètres!C15),$F$3:$F$60,"SCEA")</f>
        <v>0</v>
      </c>
      <c r="P93" s="138"/>
      <c r="Q93" s="138"/>
      <c r="R93" s="138"/>
      <c r="S93" s="138"/>
      <c r="T93" s="138">
        <f>+SUM(E93:P93)</f>
        <v>0</v>
      </c>
      <c r="U93" s="164"/>
      <c r="V93" s="164"/>
      <c r="W93" s="164"/>
      <c r="X93" s="164"/>
      <c r="Y93" s="164"/>
      <c r="Z93" s="164"/>
      <c r="AA93" s="164"/>
      <c r="AB93" s="164"/>
      <c r="AC93" s="164"/>
      <c r="AE93" s="164"/>
      <c r="AF93" s="164"/>
      <c r="AG93" s="164"/>
      <c r="AH93" s="164"/>
      <c r="AI93" s="164"/>
      <c r="AJ93" s="164"/>
      <c r="AK93" s="164"/>
      <c r="AL93" s="164"/>
      <c r="AM93" s="164"/>
      <c r="AN93" s="164"/>
      <c r="AO93" s="164"/>
      <c r="AP93" s="164"/>
      <c r="AQ93" s="164"/>
      <c r="AR93" s="164"/>
      <c r="AS93" s="164"/>
      <c r="AT93" s="164"/>
      <c r="AU93" s="164"/>
      <c r="AV93" s="164"/>
      <c r="AW93" s="164"/>
      <c r="AX93" s="164"/>
    </row>
    <row r="94" spans="2:50" x14ac:dyDescent="0.25">
      <c r="B94" s="280" t="s">
        <v>123</v>
      </c>
      <c r="C94" s="280"/>
      <c r="D94" s="138">
        <f t="shared" ref="D94:R94" si="10">+SUM(D91:D93)</f>
        <v>2</v>
      </c>
      <c r="E94" s="152">
        <f t="shared" si="10"/>
        <v>1</v>
      </c>
      <c r="F94" s="152">
        <f t="shared" si="10"/>
        <v>1</v>
      </c>
      <c r="G94" s="152">
        <f t="shared" si="10"/>
        <v>0</v>
      </c>
      <c r="H94" s="152">
        <f t="shared" si="10"/>
        <v>0</v>
      </c>
      <c r="I94" s="152">
        <f t="shared" si="10"/>
        <v>0</v>
      </c>
      <c r="J94" s="152">
        <f t="shared" si="10"/>
        <v>0</v>
      </c>
      <c r="K94" s="152">
        <f t="shared" si="10"/>
        <v>0</v>
      </c>
      <c r="L94" s="152">
        <f t="shared" si="10"/>
        <v>0</v>
      </c>
      <c r="M94" s="152">
        <f t="shared" si="10"/>
        <v>0</v>
      </c>
      <c r="N94" s="152">
        <f t="shared" si="10"/>
        <v>0</v>
      </c>
      <c r="O94" s="152">
        <f t="shared" si="10"/>
        <v>0</v>
      </c>
      <c r="P94" s="152">
        <f t="shared" si="10"/>
        <v>0</v>
      </c>
      <c r="Q94" s="152">
        <f t="shared" si="10"/>
        <v>0</v>
      </c>
      <c r="R94" s="152">
        <f t="shared" si="10"/>
        <v>0</v>
      </c>
      <c r="S94" s="152"/>
      <c r="T94" s="138">
        <f>+SUM(T91:T93)</f>
        <v>2</v>
      </c>
      <c r="U94" s="164"/>
      <c r="V94" s="164"/>
      <c r="W94" s="164"/>
      <c r="X94" s="164"/>
      <c r="Y94" s="164"/>
      <c r="Z94" s="164"/>
      <c r="AA94" s="164"/>
      <c r="AB94" s="164"/>
      <c r="AC94" s="164"/>
      <c r="AE94" s="164"/>
      <c r="AF94" s="164"/>
      <c r="AG94" s="164"/>
      <c r="AH94" s="164"/>
      <c r="AI94" s="164"/>
      <c r="AJ94" s="164"/>
      <c r="AK94" s="164"/>
      <c r="AL94" s="164"/>
      <c r="AM94" s="164"/>
      <c r="AN94" s="164"/>
      <c r="AO94" s="164"/>
      <c r="AP94" s="164"/>
      <c r="AQ94" s="164"/>
      <c r="AR94" s="164"/>
      <c r="AS94" s="164"/>
      <c r="AT94" s="164"/>
      <c r="AU94" s="164"/>
      <c r="AV94" s="164"/>
      <c r="AW94" s="164"/>
      <c r="AX94" s="164"/>
    </row>
    <row r="95" spans="2:50" x14ac:dyDescent="0.25">
      <c r="B95" s="137"/>
      <c r="C95" s="137"/>
      <c r="D95" s="137"/>
      <c r="E95" s="137"/>
      <c r="F95" s="137"/>
      <c r="G95" s="137"/>
      <c r="H95" s="137"/>
      <c r="I95" s="137"/>
      <c r="J95" s="137"/>
      <c r="K95" s="137"/>
      <c r="L95" s="137"/>
      <c r="M95" s="137"/>
      <c r="N95" s="137"/>
      <c r="O95" s="137"/>
      <c r="P95" s="137"/>
      <c r="Q95" s="137"/>
      <c r="R95" s="137"/>
      <c r="S95" s="137"/>
      <c r="T95" s="137"/>
      <c r="U95" s="164"/>
      <c r="V95" s="164"/>
      <c r="W95" s="164"/>
      <c r="X95" s="164"/>
      <c r="Y95" s="164"/>
      <c r="Z95" s="164"/>
      <c r="AA95" s="164"/>
      <c r="AB95" s="164"/>
      <c r="AC95" s="164"/>
      <c r="AE95" s="164"/>
      <c r="AF95" s="164"/>
      <c r="AG95" s="164"/>
      <c r="AH95" s="164"/>
      <c r="AI95" s="164"/>
      <c r="AJ95" s="164"/>
      <c r="AK95" s="164"/>
      <c r="AL95" s="164"/>
      <c r="AM95" s="164"/>
      <c r="AN95" s="164"/>
      <c r="AO95" s="164"/>
      <c r="AP95" s="164"/>
      <c r="AQ95" s="164"/>
      <c r="AR95" s="164"/>
      <c r="AS95" s="164"/>
      <c r="AT95" s="164"/>
      <c r="AU95" s="164"/>
      <c r="AV95" s="164"/>
      <c r="AW95" s="164"/>
      <c r="AX95" s="164"/>
    </row>
    <row r="96" spans="2:50" x14ac:dyDescent="0.25">
      <c r="B96" s="280" t="s">
        <v>40</v>
      </c>
      <c r="C96" s="138"/>
      <c r="D96" s="138"/>
      <c r="E96" s="140" t="str">
        <f t="shared" ref="E96:R96" si="11">E65</f>
        <v>SARL</v>
      </c>
      <c r="F96" s="138" t="str">
        <f t="shared" si="11"/>
        <v>EURL</v>
      </c>
      <c r="G96" s="141" t="str">
        <f t="shared" si="11"/>
        <v>SAS</v>
      </c>
      <c r="H96" s="142" t="str">
        <f t="shared" si="11"/>
        <v>INDIVIDUEL</v>
      </c>
      <c r="I96" s="142" t="str">
        <f t="shared" si="11"/>
        <v>ASSOCIATION</v>
      </c>
      <c r="J96" s="240" t="str">
        <f t="shared" si="11"/>
        <v>PROFESSION LIBERALE</v>
      </c>
      <c r="K96" s="240" t="str">
        <f t="shared" si="11"/>
        <v>SNC</v>
      </c>
      <c r="L96" s="240" t="str">
        <f t="shared" si="11"/>
        <v>SCI</v>
      </c>
      <c r="M96" s="240" t="str">
        <f t="shared" si="11"/>
        <v>EARL</v>
      </c>
      <c r="N96" s="240" t="str">
        <f t="shared" si="11"/>
        <v>ETA</v>
      </c>
      <c r="O96" s="240" t="str">
        <f t="shared" si="11"/>
        <v>SCEA</v>
      </c>
      <c r="P96" s="240" t="str">
        <f t="shared" si="11"/>
        <v>GROUPEMENT</v>
      </c>
      <c r="Q96" s="138" t="str">
        <f t="shared" si="11"/>
        <v>EIRL</v>
      </c>
      <c r="R96" s="138" t="str">
        <f t="shared" si="11"/>
        <v>AUTRES</v>
      </c>
      <c r="S96" s="138"/>
      <c r="T96" s="240" t="s">
        <v>86</v>
      </c>
      <c r="U96" s="164"/>
      <c r="V96" s="164"/>
      <c r="W96" s="164"/>
      <c r="X96" s="164"/>
      <c r="Y96" s="164"/>
      <c r="Z96" s="164"/>
      <c r="AA96" s="164"/>
      <c r="AB96" s="164"/>
      <c r="AC96" s="164"/>
      <c r="AE96" s="164"/>
      <c r="AF96" s="164"/>
      <c r="AG96" s="164"/>
      <c r="AH96" s="164"/>
      <c r="AI96" s="164"/>
      <c r="AJ96" s="164"/>
      <c r="AK96" s="164"/>
      <c r="AL96" s="164"/>
      <c r="AM96" s="164"/>
      <c r="AN96" s="164"/>
      <c r="AO96" s="164"/>
      <c r="AP96" s="164"/>
      <c r="AQ96" s="164"/>
      <c r="AR96" s="164"/>
      <c r="AS96" s="164"/>
      <c r="AT96" s="164"/>
      <c r="AU96" s="164"/>
      <c r="AV96" s="164"/>
      <c r="AW96" s="164"/>
      <c r="AX96" s="164"/>
    </row>
    <row r="97" spans="2:50" x14ac:dyDescent="0.25">
      <c r="B97" s="280"/>
      <c r="C97" s="146" t="s">
        <v>109</v>
      </c>
      <c r="D97" s="138">
        <f>+D85-D91</f>
        <v>0</v>
      </c>
      <c r="E97" s="152">
        <f>+E85-E91</f>
        <v>0</v>
      </c>
      <c r="F97" s="152">
        <f t="shared" ref="F97:R97" si="12">+F85-F91</f>
        <v>0</v>
      </c>
      <c r="G97" s="152">
        <f t="shared" si="12"/>
        <v>0</v>
      </c>
      <c r="H97" s="152">
        <f t="shared" si="12"/>
        <v>0</v>
      </c>
      <c r="I97" s="152">
        <f t="shared" si="12"/>
        <v>0</v>
      </c>
      <c r="J97" s="152">
        <f t="shared" si="12"/>
        <v>0</v>
      </c>
      <c r="K97" s="152">
        <f t="shared" si="12"/>
        <v>0</v>
      </c>
      <c r="L97" s="152">
        <f t="shared" si="12"/>
        <v>0</v>
      </c>
      <c r="M97" s="152">
        <f t="shared" si="12"/>
        <v>0</v>
      </c>
      <c r="N97" s="152">
        <f t="shared" si="12"/>
        <v>0</v>
      </c>
      <c r="O97" s="152">
        <f t="shared" si="12"/>
        <v>0</v>
      </c>
      <c r="P97" s="152">
        <f t="shared" si="12"/>
        <v>0</v>
      </c>
      <c r="Q97" s="152">
        <f t="shared" si="12"/>
        <v>0</v>
      </c>
      <c r="R97" s="152">
        <f t="shared" si="12"/>
        <v>0</v>
      </c>
      <c r="S97" s="152"/>
      <c r="T97" s="138">
        <f>+SUM(E97:P97)</f>
        <v>0</v>
      </c>
      <c r="U97" s="164"/>
      <c r="V97" s="164"/>
      <c r="W97" s="164"/>
      <c r="X97" s="164"/>
      <c r="Y97" s="164"/>
      <c r="Z97" s="164"/>
      <c r="AA97" s="164"/>
      <c r="AB97" s="164"/>
      <c r="AC97" s="164"/>
      <c r="AE97" s="164"/>
      <c r="AF97" s="164"/>
      <c r="AG97" s="164"/>
      <c r="AH97" s="164"/>
      <c r="AI97" s="164"/>
      <c r="AJ97" s="164"/>
      <c r="AK97" s="164"/>
      <c r="AL97" s="164"/>
      <c r="AM97" s="164"/>
      <c r="AN97" s="164"/>
      <c r="AO97" s="164"/>
      <c r="AP97" s="164"/>
      <c r="AQ97" s="164"/>
      <c r="AR97" s="164"/>
      <c r="AS97" s="164"/>
      <c r="AT97" s="164"/>
      <c r="AU97" s="164"/>
      <c r="AV97" s="164"/>
      <c r="AW97" s="164"/>
      <c r="AX97" s="164"/>
    </row>
    <row r="98" spans="2:50" x14ac:dyDescent="0.25">
      <c r="B98" s="280"/>
      <c r="C98" s="146" t="s">
        <v>121</v>
      </c>
      <c r="D98" s="138">
        <f>+D86-D92</f>
        <v>0</v>
      </c>
      <c r="E98" s="138">
        <f t="shared" ref="E98:R100" si="13">+E86-E92</f>
        <v>0</v>
      </c>
      <c r="F98" s="138">
        <f t="shared" si="13"/>
        <v>0</v>
      </c>
      <c r="G98" s="138">
        <f t="shared" si="13"/>
        <v>0</v>
      </c>
      <c r="H98" s="138">
        <f t="shared" si="13"/>
        <v>0</v>
      </c>
      <c r="I98" s="138">
        <f t="shared" si="13"/>
        <v>0</v>
      </c>
      <c r="J98" s="138">
        <f t="shared" si="13"/>
        <v>0</v>
      </c>
      <c r="K98" s="138">
        <f t="shared" si="13"/>
        <v>0</v>
      </c>
      <c r="L98" s="138">
        <f t="shared" si="13"/>
        <v>0</v>
      </c>
      <c r="M98" s="138">
        <f t="shared" si="13"/>
        <v>0</v>
      </c>
      <c r="N98" s="138">
        <f t="shared" si="13"/>
        <v>0</v>
      </c>
      <c r="O98" s="138">
        <f t="shared" si="13"/>
        <v>0</v>
      </c>
      <c r="P98" s="138">
        <f t="shared" si="13"/>
        <v>0</v>
      </c>
      <c r="Q98" s="138">
        <f t="shared" si="13"/>
        <v>0</v>
      </c>
      <c r="R98" s="138">
        <f t="shared" si="13"/>
        <v>0</v>
      </c>
      <c r="S98" s="138"/>
      <c r="T98" s="138">
        <f>+SUM(E98:P98)</f>
        <v>0</v>
      </c>
      <c r="U98" s="164"/>
      <c r="V98" s="164"/>
      <c r="W98" s="164"/>
      <c r="X98" s="164"/>
      <c r="Y98" s="164"/>
      <c r="Z98" s="164"/>
      <c r="AA98" s="164"/>
      <c r="AB98" s="164"/>
      <c r="AC98" s="164"/>
      <c r="AE98" s="164"/>
      <c r="AF98" s="164"/>
      <c r="AG98" s="164"/>
      <c r="AH98" s="164"/>
      <c r="AI98" s="164"/>
      <c r="AJ98" s="164"/>
      <c r="AK98" s="164"/>
      <c r="AL98" s="164"/>
      <c r="AM98" s="164"/>
      <c r="AN98" s="164"/>
      <c r="AO98" s="164"/>
      <c r="AP98" s="164"/>
      <c r="AQ98" s="164"/>
      <c r="AR98" s="164"/>
      <c r="AS98" s="164"/>
      <c r="AT98" s="164"/>
      <c r="AU98" s="164"/>
      <c r="AV98" s="164"/>
      <c r="AW98" s="164"/>
      <c r="AX98" s="164"/>
    </row>
    <row r="99" spans="2:50" x14ac:dyDescent="0.25">
      <c r="B99" s="280"/>
      <c r="C99" s="138" t="s">
        <v>122</v>
      </c>
      <c r="D99" s="138">
        <f>+D87-D93</f>
        <v>0</v>
      </c>
      <c r="E99" s="138">
        <f t="shared" si="13"/>
        <v>0</v>
      </c>
      <c r="F99" s="138">
        <f t="shared" si="13"/>
        <v>0</v>
      </c>
      <c r="G99" s="138">
        <f t="shared" si="13"/>
        <v>0</v>
      </c>
      <c r="H99" s="138">
        <f t="shared" si="13"/>
        <v>0</v>
      </c>
      <c r="I99" s="138">
        <f t="shared" si="13"/>
        <v>0</v>
      </c>
      <c r="J99" s="138">
        <f t="shared" si="13"/>
        <v>0</v>
      </c>
      <c r="K99" s="138">
        <f t="shared" si="13"/>
        <v>0</v>
      </c>
      <c r="L99" s="138">
        <f t="shared" si="13"/>
        <v>0</v>
      </c>
      <c r="M99" s="138">
        <f t="shared" si="13"/>
        <v>0</v>
      </c>
      <c r="N99" s="138">
        <f t="shared" si="13"/>
        <v>0</v>
      </c>
      <c r="O99" s="138">
        <f t="shared" si="13"/>
        <v>0</v>
      </c>
      <c r="P99" s="138">
        <f t="shared" si="13"/>
        <v>0</v>
      </c>
      <c r="Q99" s="138">
        <f t="shared" si="13"/>
        <v>0</v>
      </c>
      <c r="R99" s="138">
        <f t="shared" si="13"/>
        <v>0</v>
      </c>
      <c r="S99" s="138"/>
      <c r="T99" s="138">
        <f>+SUM(E99:P99)</f>
        <v>0</v>
      </c>
      <c r="U99" s="164"/>
      <c r="V99" s="164"/>
      <c r="W99" s="164"/>
      <c r="X99" s="164"/>
      <c r="Y99" s="164"/>
      <c r="Z99" s="164"/>
      <c r="AA99" s="164"/>
      <c r="AB99" s="164"/>
      <c r="AC99" s="164"/>
      <c r="AE99" s="164"/>
      <c r="AF99" s="164"/>
      <c r="AG99" s="164"/>
      <c r="AH99" s="164"/>
      <c r="AI99" s="164"/>
      <c r="AJ99" s="164"/>
      <c r="AK99" s="164"/>
      <c r="AL99" s="164"/>
      <c r="AM99" s="164"/>
      <c r="AN99" s="164"/>
      <c r="AO99" s="164"/>
      <c r="AP99" s="164"/>
      <c r="AQ99" s="164"/>
      <c r="AR99" s="164"/>
      <c r="AS99" s="164"/>
      <c r="AT99" s="164"/>
      <c r="AU99" s="164"/>
      <c r="AV99" s="164"/>
      <c r="AW99" s="164"/>
      <c r="AX99" s="164"/>
    </row>
    <row r="100" spans="2:50" x14ac:dyDescent="0.25">
      <c r="B100" s="280" t="s">
        <v>123</v>
      </c>
      <c r="C100" s="280"/>
      <c r="D100" s="138">
        <f>+D88-D94</f>
        <v>0</v>
      </c>
      <c r="E100" s="138">
        <f t="shared" si="13"/>
        <v>0</v>
      </c>
      <c r="F100" s="138">
        <f t="shared" si="13"/>
        <v>0</v>
      </c>
      <c r="G100" s="138">
        <f t="shared" si="13"/>
        <v>0</v>
      </c>
      <c r="H100" s="138">
        <f t="shared" si="13"/>
        <v>0</v>
      </c>
      <c r="I100" s="138">
        <f t="shared" si="13"/>
        <v>0</v>
      </c>
      <c r="J100" s="138">
        <f t="shared" si="13"/>
        <v>0</v>
      </c>
      <c r="K100" s="138">
        <f t="shared" si="13"/>
        <v>0</v>
      </c>
      <c r="L100" s="138">
        <f t="shared" si="13"/>
        <v>0</v>
      </c>
      <c r="M100" s="138">
        <f t="shared" si="13"/>
        <v>0</v>
      </c>
      <c r="N100" s="138">
        <f t="shared" si="13"/>
        <v>0</v>
      </c>
      <c r="O100" s="138">
        <f t="shared" si="13"/>
        <v>0</v>
      </c>
      <c r="P100" s="138">
        <f t="shared" si="13"/>
        <v>0</v>
      </c>
      <c r="Q100" s="138">
        <f t="shared" si="13"/>
        <v>0</v>
      </c>
      <c r="R100" s="138">
        <f t="shared" si="13"/>
        <v>0</v>
      </c>
      <c r="S100" s="138"/>
      <c r="T100" s="138">
        <f>+SUM(T97:T99)</f>
        <v>0</v>
      </c>
      <c r="U100" s="164"/>
      <c r="V100" s="164"/>
      <c r="W100" s="164"/>
      <c r="X100" s="164"/>
      <c r="Y100" s="164"/>
      <c r="Z100" s="164"/>
      <c r="AA100" s="164"/>
      <c r="AB100" s="164"/>
      <c r="AC100" s="164"/>
      <c r="AE100" s="164"/>
      <c r="AF100" s="164"/>
      <c r="AG100" s="164"/>
      <c r="AH100" s="164"/>
      <c r="AI100" s="164"/>
      <c r="AJ100" s="164"/>
      <c r="AK100" s="164"/>
      <c r="AL100" s="164"/>
      <c r="AM100" s="164"/>
      <c r="AN100" s="164"/>
      <c r="AO100" s="164"/>
      <c r="AP100" s="164"/>
      <c r="AQ100" s="164"/>
      <c r="AR100" s="164"/>
      <c r="AS100" s="164"/>
      <c r="AT100" s="164"/>
      <c r="AU100" s="164"/>
      <c r="AV100" s="164"/>
      <c r="AW100" s="164"/>
      <c r="AX100" s="164"/>
    </row>
    <row r="101" spans="2:50" x14ac:dyDescent="0.25">
      <c r="U101" s="164"/>
      <c r="V101" s="164"/>
      <c r="W101" s="164"/>
      <c r="X101" s="164"/>
      <c r="Y101" s="164"/>
      <c r="Z101" s="164"/>
      <c r="AA101" s="164"/>
      <c r="AB101" s="164"/>
      <c r="AC101" s="164"/>
      <c r="AE101" s="164"/>
      <c r="AF101" s="164"/>
      <c r="AG101" s="164"/>
      <c r="AH101" s="164"/>
      <c r="AI101" s="164"/>
      <c r="AJ101" s="164"/>
      <c r="AK101" s="164"/>
      <c r="AL101" s="164"/>
      <c r="AM101" s="164"/>
      <c r="AN101" s="164"/>
      <c r="AO101" s="164"/>
      <c r="AP101" s="164"/>
      <c r="AQ101" s="164"/>
      <c r="AR101" s="164"/>
      <c r="AS101" s="164"/>
      <c r="AT101" s="164"/>
      <c r="AU101" s="164"/>
      <c r="AV101" s="164"/>
      <c r="AW101" s="164"/>
      <c r="AX101" s="164"/>
    </row>
    <row r="102" spans="2:50" x14ac:dyDescent="0.25">
      <c r="B102" s="89" t="s">
        <v>133</v>
      </c>
      <c r="U102" s="164"/>
      <c r="V102" s="164"/>
      <c r="W102" s="164"/>
      <c r="X102" s="164"/>
      <c r="Y102" s="164"/>
      <c r="Z102" s="164"/>
      <c r="AA102" s="164"/>
      <c r="AB102" s="164"/>
      <c r="AC102" s="164"/>
      <c r="AE102" s="164"/>
      <c r="AF102" s="164"/>
      <c r="AG102" s="164"/>
      <c r="AH102" s="164"/>
      <c r="AI102" s="164"/>
      <c r="AJ102" s="164"/>
      <c r="AK102" s="164"/>
      <c r="AL102" s="164"/>
      <c r="AM102" s="164"/>
      <c r="AN102" s="164"/>
      <c r="AO102" s="164"/>
      <c r="AP102" s="164"/>
      <c r="AQ102" s="164"/>
      <c r="AR102" s="164"/>
      <c r="AS102" s="164"/>
      <c r="AT102" s="164"/>
      <c r="AU102" s="164"/>
      <c r="AV102" s="164"/>
      <c r="AW102" s="164"/>
      <c r="AX102" s="164"/>
    </row>
    <row r="103" spans="2:50" x14ac:dyDescent="0.25">
      <c r="U103" s="164"/>
      <c r="V103" s="164"/>
      <c r="W103" s="164"/>
      <c r="X103" s="164"/>
      <c r="Y103" s="164"/>
      <c r="Z103" s="164"/>
      <c r="AA103" s="164"/>
      <c r="AB103" s="164"/>
      <c r="AC103" s="164"/>
      <c r="AE103" s="164"/>
      <c r="AF103" s="164"/>
      <c r="AG103" s="164"/>
      <c r="AH103" s="164"/>
      <c r="AI103" s="164"/>
      <c r="AJ103" s="164"/>
      <c r="AK103" s="164"/>
      <c r="AL103" s="164"/>
      <c r="AM103" s="164"/>
      <c r="AN103" s="164"/>
      <c r="AO103" s="164"/>
      <c r="AP103" s="164"/>
      <c r="AQ103" s="164"/>
      <c r="AR103" s="164"/>
      <c r="AS103" s="164"/>
      <c r="AT103" s="164"/>
      <c r="AU103" s="164"/>
      <c r="AV103" s="164"/>
      <c r="AW103" s="164"/>
      <c r="AX103" s="164"/>
    </row>
    <row r="104" spans="2:50" x14ac:dyDescent="0.25">
      <c r="B104" s="274" t="s">
        <v>120</v>
      </c>
      <c r="C104" s="122"/>
      <c r="D104" s="122"/>
      <c r="E104" s="157" t="str">
        <f t="shared" ref="E104:R104" si="14">E65</f>
        <v>SARL</v>
      </c>
      <c r="F104" s="121" t="str">
        <f t="shared" si="14"/>
        <v>EURL</v>
      </c>
      <c r="G104" s="158" t="str">
        <f t="shared" si="14"/>
        <v>SAS</v>
      </c>
      <c r="H104" s="158" t="str">
        <f t="shared" si="14"/>
        <v>INDIVIDUEL</v>
      </c>
      <c r="I104" s="158" t="str">
        <f t="shared" si="14"/>
        <v>ASSOCIATION</v>
      </c>
      <c r="J104" s="157" t="str">
        <f t="shared" si="14"/>
        <v>PROFESSION LIBERALE</v>
      </c>
      <c r="K104" s="157" t="str">
        <f t="shared" si="14"/>
        <v>SNC</v>
      </c>
      <c r="L104" s="157" t="str">
        <f t="shared" si="14"/>
        <v>SCI</v>
      </c>
      <c r="M104" s="157" t="str">
        <f t="shared" si="14"/>
        <v>EARL</v>
      </c>
      <c r="N104" s="157" t="str">
        <f t="shared" si="14"/>
        <v>ETA</v>
      </c>
      <c r="O104" s="157" t="str">
        <f t="shared" si="14"/>
        <v>SCEA</v>
      </c>
      <c r="P104" s="157" t="str">
        <f t="shared" si="14"/>
        <v>GROUPEMENT</v>
      </c>
      <c r="Q104" s="121" t="str">
        <f t="shared" si="14"/>
        <v>EIRL</v>
      </c>
      <c r="R104" s="121" t="str">
        <f t="shared" si="14"/>
        <v>AUTRES</v>
      </c>
      <c r="S104" s="121"/>
      <c r="T104" s="157" t="s">
        <v>86</v>
      </c>
      <c r="U104" s="164"/>
      <c r="V104" s="164"/>
      <c r="W104" s="164"/>
      <c r="X104" s="164"/>
      <c r="Y104" s="164"/>
      <c r="Z104" s="164"/>
      <c r="AA104" s="164"/>
      <c r="AB104" s="164"/>
      <c r="AC104" s="164"/>
      <c r="AE104" s="164"/>
      <c r="AF104" s="164"/>
      <c r="AG104" s="164"/>
      <c r="AH104" s="164"/>
      <c r="AI104" s="164"/>
      <c r="AJ104" s="164"/>
      <c r="AK104" s="164"/>
      <c r="AL104" s="164"/>
      <c r="AM104" s="164"/>
      <c r="AN104" s="164"/>
      <c r="AO104" s="164"/>
      <c r="AP104" s="164"/>
      <c r="AQ104" s="164"/>
      <c r="AR104" s="164"/>
      <c r="AS104" s="164"/>
      <c r="AT104" s="164"/>
      <c r="AU104" s="164"/>
      <c r="AV104" s="164"/>
      <c r="AW104" s="164"/>
      <c r="AX104" s="164"/>
    </row>
    <row r="105" spans="2:50" x14ac:dyDescent="0.25">
      <c r="B105" s="275"/>
      <c r="C105" s="120" t="s">
        <v>109</v>
      </c>
      <c r="D105" s="122">
        <f>+D66-D85</f>
        <v>1</v>
      </c>
      <c r="E105" s="122">
        <f t="shared" ref="E105:R107" si="15">+E66-E85</f>
        <v>0</v>
      </c>
      <c r="F105" s="122">
        <f t="shared" si="15"/>
        <v>0</v>
      </c>
      <c r="G105" s="122">
        <f t="shared" si="15"/>
        <v>0</v>
      </c>
      <c r="H105" s="122">
        <f t="shared" si="15"/>
        <v>0</v>
      </c>
      <c r="I105" s="122">
        <f t="shared" si="15"/>
        <v>0</v>
      </c>
      <c r="J105" s="122">
        <f t="shared" si="15"/>
        <v>0</v>
      </c>
      <c r="K105" s="122">
        <f t="shared" si="15"/>
        <v>0</v>
      </c>
      <c r="L105" s="122">
        <f t="shared" si="15"/>
        <v>0</v>
      </c>
      <c r="M105" s="122">
        <f t="shared" si="15"/>
        <v>0</v>
      </c>
      <c r="N105" s="122">
        <f t="shared" si="15"/>
        <v>0</v>
      </c>
      <c r="O105" s="122">
        <f t="shared" si="15"/>
        <v>0</v>
      </c>
      <c r="P105" s="122">
        <f t="shared" si="15"/>
        <v>0</v>
      </c>
      <c r="Q105" s="122">
        <f t="shared" si="15"/>
        <v>1</v>
      </c>
      <c r="R105" s="122">
        <f t="shared" si="15"/>
        <v>0</v>
      </c>
      <c r="S105" s="122"/>
      <c r="T105" s="122">
        <f>+SUM(E105:P105)</f>
        <v>0</v>
      </c>
      <c r="U105" s="164"/>
      <c r="V105" s="164"/>
      <c r="W105" s="164"/>
      <c r="X105" s="164"/>
      <c r="Y105" s="164"/>
      <c r="Z105" s="164"/>
      <c r="AA105" s="164"/>
      <c r="AB105" s="164"/>
      <c r="AC105" s="164"/>
      <c r="AE105" s="164"/>
      <c r="AF105" s="164"/>
      <c r="AG105" s="164"/>
      <c r="AH105" s="164"/>
      <c r="AI105" s="164"/>
      <c r="AJ105" s="164"/>
      <c r="AK105" s="164"/>
      <c r="AL105" s="164"/>
      <c r="AM105" s="164"/>
      <c r="AN105" s="164"/>
      <c r="AO105" s="164"/>
      <c r="AP105" s="164"/>
      <c r="AQ105" s="164"/>
      <c r="AR105" s="164"/>
      <c r="AS105" s="164"/>
      <c r="AT105" s="164"/>
      <c r="AU105" s="164"/>
      <c r="AV105" s="164"/>
      <c r="AW105" s="164"/>
      <c r="AX105" s="164"/>
    </row>
    <row r="106" spans="2:50" x14ac:dyDescent="0.25">
      <c r="B106" s="275"/>
      <c r="C106" s="120" t="s">
        <v>121</v>
      </c>
      <c r="D106" s="122">
        <f>+D67-D86</f>
        <v>0</v>
      </c>
      <c r="E106" s="122">
        <f t="shared" si="15"/>
        <v>0</v>
      </c>
      <c r="F106" s="122">
        <f t="shared" si="15"/>
        <v>0</v>
      </c>
      <c r="G106" s="122">
        <f t="shared" si="15"/>
        <v>0</v>
      </c>
      <c r="H106" s="122">
        <f t="shared" si="15"/>
        <v>0</v>
      </c>
      <c r="I106" s="122">
        <f t="shared" si="15"/>
        <v>0</v>
      </c>
      <c r="J106" s="122">
        <f t="shared" si="15"/>
        <v>0</v>
      </c>
      <c r="K106" s="122">
        <f t="shared" si="15"/>
        <v>0</v>
      </c>
      <c r="L106" s="122">
        <f t="shared" si="15"/>
        <v>0</v>
      </c>
      <c r="M106" s="122">
        <f t="shared" si="15"/>
        <v>0</v>
      </c>
      <c r="N106" s="122">
        <f t="shared" si="15"/>
        <v>0</v>
      </c>
      <c r="O106" s="122">
        <f t="shared" si="15"/>
        <v>0</v>
      </c>
      <c r="P106" s="122">
        <f t="shared" si="15"/>
        <v>0</v>
      </c>
      <c r="Q106" s="122">
        <f t="shared" si="15"/>
        <v>0</v>
      </c>
      <c r="R106" s="122">
        <f t="shared" si="15"/>
        <v>0</v>
      </c>
      <c r="S106" s="122"/>
      <c r="T106" s="122">
        <f>+SUM(E106:P106)</f>
        <v>0</v>
      </c>
      <c r="U106" s="164"/>
      <c r="V106" s="164"/>
      <c r="W106" s="164"/>
      <c r="X106" s="164"/>
      <c r="Y106" s="164"/>
      <c r="Z106" s="164"/>
      <c r="AA106" s="164"/>
      <c r="AB106" s="164"/>
      <c r="AC106" s="164"/>
      <c r="AE106" s="164"/>
      <c r="AF106" s="164"/>
      <c r="AG106" s="164"/>
      <c r="AH106" s="164"/>
      <c r="AI106" s="164"/>
      <c r="AJ106" s="164"/>
      <c r="AK106" s="164"/>
      <c r="AL106" s="164"/>
      <c r="AM106" s="164"/>
      <c r="AN106" s="164"/>
      <c r="AO106" s="164"/>
      <c r="AP106" s="164"/>
      <c r="AQ106" s="164"/>
      <c r="AR106" s="164"/>
      <c r="AS106" s="164"/>
      <c r="AT106" s="164"/>
      <c r="AU106" s="164"/>
      <c r="AV106" s="164"/>
      <c r="AW106" s="164"/>
      <c r="AX106" s="164"/>
    </row>
    <row r="107" spans="2:50" x14ac:dyDescent="0.25">
      <c r="B107" s="276"/>
      <c r="C107" s="122" t="s">
        <v>122</v>
      </c>
      <c r="D107" s="122">
        <f>+D68-D87</f>
        <v>0</v>
      </c>
      <c r="E107" s="122">
        <f t="shared" si="15"/>
        <v>0</v>
      </c>
      <c r="F107" s="122">
        <f t="shared" si="15"/>
        <v>0</v>
      </c>
      <c r="G107" s="122">
        <f t="shared" si="15"/>
        <v>0</v>
      </c>
      <c r="H107" s="122">
        <f t="shared" si="15"/>
        <v>0</v>
      </c>
      <c r="I107" s="122">
        <f t="shared" si="15"/>
        <v>0</v>
      </c>
      <c r="J107" s="122">
        <f t="shared" si="15"/>
        <v>0</v>
      </c>
      <c r="K107" s="122">
        <f t="shared" si="15"/>
        <v>0</v>
      </c>
      <c r="L107" s="122">
        <f t="shared" si="15"/>
        <v>0</v>
      </c>
      <c r="M107" s="122">
        <f t="shared" si="15"/>
        <v>0</v>
      </c>
      <c r="N107" s="122">
        <f t="shared" si="15"/>
        <v>0</v>
      </c>
      <c r="O107" s="122">
        <f t="shared" si="15"/>
        <v>0</v>
      </c>
      <c r="P107" s="122">
        <f t="shared" si="15"/>
        <v>0</v>
      </c>
      <c r="Q107" s="122">
        <f t="shared" si="15"/>
        <v>0</v>
      </c>
      <c r="R107" s="122">
        <f t="shared" si="15"/>
        <v>0</v>
      </c>
      <c r="S107" s="122"/>
      <c r="T107" s="122">
        <f>+SUM(E107:P107)</f>
        <v>0</v>
      </c>
      <c r="U107" s="164"/>
      <c r="V107" s="164"/>
      <c r="W107" s="164"/>
      <c r="X107" s="164"/>
      <c r="Y107" s="164"/>
      <c r="Z107" s="164"/>
      <c r="AA107" s="164"/>
      <c r="AB107" s="164"/>
      <c r="AC107" s="164"/>
      <c r="AE107" s="164"/>
      <c r="AF107" s="164"/>
      <c r="AG107" s="164"/>
      <c r="AH107" s="164"/>
      <c r="AI107" s="164"/>
      <c r="AJ107" s="164"/>
      <c r="AK107" s="164"/>
      <c r="AL107" s="164"/>
      <c r="AM107" s="164"/>
      <c r="AN107" s="164"/>
      <c r="AO107" s="164"/>
      <c r="AP107" s="164"/>
      <c r="AQ107" s="164"/>
      <c r="AR107" s="164"/>
      <c r="AS107" s="164"/>
      <c r="AT107" s="164"/>
      <c r="AU107" s="164"/>
      <c r="AV107" s="164"/>
      <c r="AW107" s="164"/>
      <c r="AX107" s="164"/>
    </row>
    <row r="108" spans="2:50" x14ac:dyDescent="0.25">
      <c r="B108" s="277" t="s">
        <v>123</v>
      </c>
      <c r="C108" s="277"/>
      <c r="D108" s="122">
        <f t="shared" ref="D108:R108" si="16">+SUM(D105:D107)</f>
        <v>1</v>
      </c>
      <c r="E108" s="122">
        <f t="shared" si="16"/>
        <v>0</v>
      </c>
      <c r="F108" s="122">
        <f t="shared" si="16"/>
        <v>0</v>
      </c>
      <c r="G108" s="122">
        <f t="shared" si="16"/>
        <v>0</v>
      </c>
      <c r="H108" s="122">
        <f t="shared" si="16"/>
        <v>0</v>
      </c>
      <c r="I108" s="122">
        <f t="shared" si="16"/>
        <v>0</v>
      </c>
      <c r="J108" s="122">
        <f t="shared" si="16"/>
        <v>0</v>
      </c>
      <c r="K108" s="122">
        <f t="shared" si="16"/>
        <v>0</v>
      </c>
      <c r="L108" s="122">
        <f t="shared" si="16"/>
        <v>0</v>
      </c>
      <c r="M108" s="122">
        <f t="shared" si="16"/>
        <v>0</v>
      </c>
      <c r="N108" s="122">
        <f t="shared" si="16"/>
        <v>0</v>
      </c>
      <c r="O108" s="122">
        <f t="shared" si="16"/>
        <v>0</v>
      </c>
      <c r="P108" s="122">
        <f t="shared" si="16"/>
        <v>0</v>
      </c>
      <c r="Q108" s="122">
        <f t="shared" si="16"/>
        <v>1</v>
      </c>
      <c r="R108" s="122">
        <f t="shared" si="16"/>
        <v>0</v>
      </c>
      <c r="S108" s="122"/>
      <c r="T108" s="122">
        <f>+SUM(T105:T107)</f>
        <v>0</v>
      </c>
      <c r="U108" s="164"/>
      <c r="V108" s="164"/>
      <c r="W108" s="164"/>
      <c r="X108" s="164"/>
      <c r="Y108" s="164"/>
      <c r="Z108" s="164"/>
      <c r="AA108" s="164"/>
      <c r="AB108" s="164"/>
      <c r="AC108" s="164"/>
      <c r="AE108" s="164"/>
      <c r="AF108" s="164"/>
      <c r="AG108" s="164"/>
      <c r="AH108" s="164"/>
      <c r="AI108" s="164"/>
      <c r="AJ108" s="164"/>
      <c r="AK108" s="164"/>
      <c r="AL108" s="164"/>
      <c r="AM108" s="164"/>
      <c r="AN108" s="164"/>
      <c r="AO108" s="164"/>
      <c r="AP108" s="164"/>
      <c r="AQ108" s="164"/>
      <c r="AR108" s="164"/>
      <c r="AS108" s="164"/>
      <c r="AT108" s="164"/>
      <c r="AU108" s="164"/>
      <c r="AV108" s="164"/>
      <c r="AW108" s="164"/>
      <c r="AX108" s="164"/>
    </row>
    <row r="109" spans="2:50" x14ac:dyDescent="0.25">
      <c r="B109" s="90"/>
      <c r="C109" s="90"/>
      <c r="D109" s="90"/>
      <c r="E109" s="90"/>
      <c r="G109" s="90"/>
      <c r="H109" s="90"/>
      <c r="I109" s="90"/>
      <c r="J109" s="90"/>
      <c r="K109" s="90"/>
      <c r="L109" s="90"/>
      <c r="M109" s="90"/>
      <c r="N109" s="90"/>
      <c r="O109" s="90"/>
      <c r="P109" s="90"/>
      <c r="T109" s="90"/>
      <c r="U109" s="164"/>
      <c r="V109" s="164"/>
      <c r="W109" s="164"/>
      <c r="X109" s="164"/>
      <c r="Y109" s="164"/>
      <c r="Z109" s="164"/>
      <c r="AA109" s="164"/>
      <c r="AB109" s="164"/>
      <c r="AC109" s="164"/>
      <c r="AE109" s="164"/>
      <c r="AF109" s="164"/>
      <c r="AG109" s="164"/>
      <c r="AH109" s="164"/>
      <c r="AI109" s="164"/>
      <c r="AJ109" s="164"/>
      <c r="AK109" s="164"/>
      <c r="AL109" s="164"/>
      <c r="AM109" s="164"/>
      <c r="AN109" s="164"/>
      <c r="AO109" s="164"/>
      <c r="AP109" s="164"/>
      <c r="AQ109" s="164"/>
      <c r="AR109" s="164"/>
      <c r="AS109" s="164"/>
      <c r="AT109" s="164"/>
      <c r="AU109" s="164"/>
      <c r="AV109" s="164"/>
      <c r="AW109" s="164"/>
      <c r="AX109" s="164"/>
    </row>
    <row r="110" spans="2:50" x14ac:dyDescent="0.25">
      <c r="B110" s="278">
        <v>44196</v>
      </c>
      <c r="C110" s="122"/>
      <c r="D110" s="122"/>
      <c r="E110" s="128" t="str">
        <f t="shared" ref="E110:R110" si="17">E65</f>
        <v>SARL</v>
      </c>
      <c r="F110" s="121" t="str">
        <f t="shared" si="17"/>
        <v>EURL</v>
      </c>
      <c r="G110" s="127" t="str">
        <f t="shared" si="17"/>
        <v>SAS</v>
      </c>
      <c r="H110" s="127" t="str">
        <f t="shared" si="17"/>
        <v>INDIVIDUEL</v>
      </c>
      <c r="I110" s="127" t="str">
        <f t="shared" si="17"/>
        <v>ASSOCIATION</v>
      </c>
      <c r="J110" s="128" t="str">
        <f t="shared" si="17"/>
        <v>PROFESSION LIBERALE</v>
      </c>
      <c r="K110" s="128" t="str">
        <f t="shared" si="17"/>
        <v>SNC</v>
      </c>
      <c r="L110" s="128" t="str">
        <f t="shared" si="17"/>
        <v>SCI</v>
      </c>
      <c r="M110" s="128" t="str">
        <f t="shared" si="17"/>
        <v>EARL</v>
      </c>
      <c r="N110" s="128" t="str">
        <f t="shared" si="17"/>
        <v>ETA</v>
      </c>
      <c r="O110" s="128" t="str">
        <f t="shared" si="17"/>
        <v>SCEA</v>
      </c>
      <c r="P110" s="128" t="str">
        <f t="shared" si="17"/>
        <v>GROUPEMENT</v>
      </c>
      <c r="Q110" s="128" t="str">
        <f t="shared" si="17"/>
        <v>EIRL</v>
      </c>
      <c r="R110" s="121" t="str">
        <f t="shared" si="17"/>
        <v>AUTRES</v>
      </c>
      <c r="S110" s="121"/>
      <c r="T110" s="128" t="s">
        <v>86</v>
      </c>
      <c r="U110" s="164"/>
      <c r="V110" s="164"/>
      <c r="W110" s="164"/>
      <c r="X110" s="164"/>
      <c r="Y110" s="164"/>
      <c r="Z110" s="164"/>
      <c r="AA110" s="164"/>
      <c r="AB110" s="164"/>
      <c r="AC110" s="164"/>
      <c r="AE110" s="164"/>
      <c r="AF110" s="164"/>
      <c r="AG110" s="164"/>
      <c r="AH110" s="164"/>
      <c r="AI110" s="164"/>
      <c r="AJ110" s="164"/>
      <c r="AK110" s="164"/>
      <c r="AL110" s="164"/>
      <c r="AM110" s="164"/>
      <c r="AN110" s="164"/>
      <c r="AO110" s="164"/>
      <c r="AP110" s="164"/>
      <c r="AQ110" s="164"/>
      <c r="AR110" s="164"/>
      <c r="AS110" s="164"/>
      <c r="AT110" s="164"/>
      <c r="AU110" s="164"/>
      <c r="AV110" s="164"/>
      <c r="AW110" s="164"/>
      <c r="AX110" s="164"/>
    </row>
    <row r="111" spans="2:50" x14ac:dyDescent="0.25">
      <c r="B111" s="275"/>
      <c r="C111" s="120" t="s">
        <v>109</v>
      </c>
      <c r="D111" s="122">
        <f>+D72-D91</f>
        <v>1</v>
      </c>
      <c r="E111" s="122">
        <f t="shared" ref="E111:R113" si="18">+E72-E91</f>
        <v>0</v>
      </c>
      <c r="F111" s="122">
        <f t="shared" si="18"/>
        <v>0</v>
      </c>
      <c r="G111" s="122">
        <f t="shared" si="18"/>
        <v>0</v>
      </c>
      <c r="H111" s="122">
        <f t="shared" si="18"/>
        <v>0</v>
      </c>
      <c r="I111" s="122">
        <f t="shared" si="18"/>
        <v>0</v>
      </c>
      <c r="J111" s="122">
        <f t="shared" si="18"/>
        <v>0</v>
      </c>
      <c r="K111" s="122">
        <f t="shared" si="18"/>
        <v>0</v>
      </c>
      <c r="L111" s="122">
        <f t="shared" si="18"/>
        <v>0</v>
      </c>
      <c r="M111" s="122">
        <f t="shared" si="18"/>
        <v>0</v>
      </c>
      <c r="N111" s="122">
        <f t="shared" si="18"/>
        <v>0</v>
      </c>
      <c r="O111" s="122">
        <f t="shared" si="18"/>
        <v>0</v>
      </c>
      <c r="P111" s="122">
        <f t="shared" si="18"/>
        <v>0</v>
      </c>
      <c r="Q111" s="122">
        <f t="shared" si="18"/>
        <v>1</v>
      </c>
      <c r="R111" s="122">
        <f t="shared" si="18"/>
        <v>0</v>
      </c>
      <c r="S111" s="122"/>
      <c r="T111" s="122">
        <f>+SUM(E111:P111)</f>
        <v>0</v>
      </c>
      <c r="U111" s="164"/>
      <c r="V111" s="164"/>
      <c r="W111" s="164"/>
      <c r="X111" s="164"/>
      <c r="Y111" s="164"/>
      <c r="Z111" s="164"/>
      <c r="AA111" s="164"/>
      <c r="AB111" s="164"/>
      <c r="AC111" s="164"/>
      <c r="AE111" s="164"/>
      <c r="AF111" s="164"/>
      <c r="AG111" s="164"/>
      <c r="AH111" s="164"/>
      <c r="AI111" s="164"/>
      <c r="AJ111" s="164"/>
      <c r="AK111" s="164"/>
      <c r="AL111" s="164"/>
      <c r="AM111" s="164"/>
      <c r="AN111" s="164"/>
      <c r="AO111" s="164"/>
      <c r="AP111" s="164"/>
      <c r="AQ111" s="164"/>
      <c r="AR111" s="164"/>
      <c r="AS111" s="164"/>
      <c r="AT111" s="164"/>
      <c r="AU111" s="164"/>
      <c r="AV111" s="164"/>
      <c r="AW111" s="164"/>
      <c r="AX111" s="164"/>
    </row>
    <row r="112" spans="2:50" x14ac:dyDescent="0.25">
      <c r="B112" s="275"/>
      <c r="C112" s="120" t="s">
        <v>121</v>
      </c>
      <c r="D112" s="122">
        <f>+D73-D92</f>
        <v>0</v>
      </c>
      <c r="E112" s="122">
        <f t="shared" si="18"/>
        <v>0</v>
      </c>
      <c r="F112" s="122">
        <f t="shared" si="18"/>
        <v>0</v>
      </c>
      <c r="G112" s="122">
        <f t="shared" si="18"/>
        <v>0</v>
      </c>
      <c r="H112" s="122">
        <f t="shared" si="18"/>
        <v>0</v>
      </c>
      <c r="I112" s="122">
        <f t="shared" si="18"/>
        <v>0</v>
      </c>
      <c r="J112" s="122">
        <f t="shared" si="18"/>
        <v>0</v>
      </c>
      <c r="K112" s="122">
        <f t="shared" si="18"/>
        <v>0</v>
      </c>
      <c r="L112" s="122">
        <f t="shared" si="18"/>
        <v>0</v>
      </c>
      <c r="M112" s="122">
        <f t="shared" si="18"/>
        <v>0</v>
      </c>
      <c r="N112" s="122">
        <f t="shared" si="18"/>
        <v>0</v>
      </c>
      <c r="O112" s="122">
        <f t="shared" si="18"/>
        <v>0</v>
      </c>
      <c r="P112" s="122">
        <f t="shared" si="18"/>
        <v>0</v>
      </c>
      <c r="Q112" s="122">
        <f t="shared" si="18"/>
        <v>0</v>
      </c>
      <c r="R112" s="122">
        <f t="shared" si="18"/>
        <v>0</v>
      </c>
      <c r="S112" s="122"/>
      <c r="T112" s="122">
        <f>+SUM(E112:P112)</f>
        <v>0</v>
      </c>
      <c r="U112" s="164"/>
      <c r="V112" s="164"/>
      <c r="W112" s="164"/>
      <c r="X112" s="164"/>
      <c r="Y112" s="164"/>
      <c r="Z112" s="164"/>
      <c r="AA112" s="164"/>
      <c r="AB112" s="164"/>
      <c r="AC112" s="164"/>
      <c r="AE112" s="164"/>
      <c r="AF112" s="164"/>
      <c r="AG112" s="164"/>
      <c r="AH112" s="164"/>
      <c r="AI112" s="164"/>
      <c r="AJ112" s="164"/>
      <c r="AK112" s="164"/>
      <c r="AL112" s="164"/>
      <c r="AM112" s="164"/>
      <c r="AN112" s="164"/>
      <c r="AO112" s="164"/>
      <c r="AP112" s="164"/>
      <c r="AQ112" s="164"/>
      <c r="AR112" s="164"/>
      <c r="AS112" s="164"/>
      <c r="AT112" s="164"/>
      <c r="AU112" s="164"/>
      <c r="AV112" s="164"/>
      <c r="AW112" s="164"/>
      <c r="AX112" s="164"/>
    </row>
    <row r="113" spans="2:50" x14ac:dyDescent="0.25">
      <c r="B113" s="276"/>
      <c r="C113" s="122" t="s">
        <v>122</v>
      </c>
      <c r="D113" s="122">
        <f>+D74-D93</f>
        <v>0</v>
      </c>
      <c r="E113" s="122">
        <f t="shared" si="18"/>
        <v>0</v>
      </c>
      <c r="F113" s="122">
        <f t="shared" si="18"/>
        <v>0</v>
      </c>
      <c r="G113" s="122">
        <f t="shared" si="18"/>
        <v>0</v>
      </c>
      <c r="H113" s="122">
        <f t="shared" si="18"/>
        <v>0</v>
      </c>
      <c r="I113" s="122">
        <f t="shared" si="18"/>
        <v>0</v>
      </c>
      <c r="J113" s="122">
        <f t="shared" si="18"/>
        <v>0</v>
      </c>
      <c r="K113" s="122">
        <f t="shared" si="18"/>
        <v>0</v>
      </c>
      <c r="L113" s="122">
        <f t="shared" si="18"/>
        <v>0</v>
      </c>
      <c r="M113" s="122">
        <f t="shared" si="18"/>
        <v>0</v>
      </c>
      <c r="N113" s="122">
        <f t="shared" si="18"/>
        <v>0</v>
      </c>
      <c r="O113" s="122">
        <f t="shared" si="18"/>
        <v>0</v>
      </c>
      <c r="P113" s="122">
        <f t="shared" si="18"/>
        <v>0</v>
      </c>
      <c r="Q113" s="122">
        <f t="shared" si="18"/>
        <v>0</v>
      </c>
      <c r="R113" s="122">
        <f t="shared" si="18"/>
        <v>0</v>
      </c>
      <c r="S113" s="122"/>
      <c r="T113" s="122">
        <f>+SUM(E113:P113)</f>
        <v>0</v>
      </c>
      <c r="U113" s="164"/>
      <c r="V113" s="164"/>
      <c r="W113" s="164"/>
      <c r="X113" s="164"/>
      <c r="Y113" s="164"/>
      <c r="Z113" s="164"/>
      <c r="AA113" s="164"/>
      <c r="AB113" s="164"/>
      <c r="AC113" s="164"/>
      <c r="AE113" s="164"/>
      <c r="AF113" s="164"/>
      <c r="AG113" s="164"/>
      <c r="AH113" s="164"/>
      <c r="AI113" s="164"/>
      <c r="AJ113" s="164"/>
      <c r="AK113" s="164"/>
      <c r="AL113" s="164"/>
      <c r="AM113" s="164"/>
      <c r="AN113" s="164"/>
      <c r="AO113" s="164"/>
      <c r="AP113" s="164"/>
      <c r="AQ113" s="164"/>
      <c r="AR113" s="164"/>
      <c r="AS113" s="164"/>
      <c r="AT113" s="164"/>
      <c r="AU113" s="164"/>
      <c r="AV113" s="164"/>
      <c r="AW113" s="164"/>
      <c r="AX113" s="164"/>
    </row>
    <row r="114" spans="2:50" x14ac:dyDescent="0.25">
      <c r="B114" s="277" t="s">
        <v>123</v>
      </c>
      <c r="C114" s="277"/>
      <c r="D114" s="122">
        <f t="shared" ref="D114:R114" si="19">+SUM(D111:D113)</f>
        <v>1</v>
      </c>
      <c r="E114" s="122">
        <f t="shared" si="19"/>
        <v>0</v>
      </c>
      <c r="F114" s="122">
        <f t="shared" si="19"/>
        <v>0</v>
      </c>
      <c r="G114" s="122">
        <f t="shared" si="19"/>
        <v>0</v>
      </c>
      <c r="H114" s="122">
        <f t="shared" si="19"/>
        <v>0</v>
      </c>
      <c r="I114" s="122">
        <f t="shared" si="19"/>
        <v>0</v>
      </c>
      <c r="J114" s="122">
        <f t="shared" si="19"/>
        <v>0</v>
      </c>
      <c r="K114" s="122">
        <f t="shared" si="19"/>
        <v>0</v>
      </c>
      <c r="L114" s="122">
        <f t="shared" si="19"/>
        <v>0</v>
      </c>
      <c r="M114" s="122">
        <f t="shared" si="19"/>
        <v>0</v>
      </c>
      <c r="N114" s="122">
        <f t="shared" si="19"/>
        <v>0</v>
      </c>
      <c r="O114" s="122">
        <f t="shared" si="19"/>
        <v>0</v>
      </c>
      <c r="P114" s="122">
        <f t="shared" si="19"/>
        <v>0</v>
      </c>
      <c r="Q114" s="122">
        <f t="shared" si="19"/>
        <v>1</v>
      </c>
      <c r="R114" s="122">
        <f t="shared" si="19"/>
        <v>0</v>
      </c>
      <c r="S114" s="122"/>
      <c r="T114" s="122">
        <f>+SUM(T111:T113)</f>
        <v>0</v>
      </c>
      <c r="U114" s="164"/>
      <c r="V114" s="164"/>
      <c r="W114" s="164"/>
      <c r="X114" s="164"/>
      <c r="Y114" s="164"/>
      <c r="Z114" s="164"/>
      <c r="AA114" s="164"/>
      <c r="AB114" s="164"/>
      <c r="AC114" s="164"/>
      <c r="AE114" s="164"/>
      <c r="AF114" s="164"/>
      <c r="AG114" s="164"/>
      <c r="AH114" s="164"/>
      <c r="AI114" s="164"/>
      <c r="AJ114" s="164"/>
      <c r="AK114" s="164"/>
      <c r="AL114" s="164"/>
      <c r="AM114" s="164"/>
      <c r="AN114" s="164"/>
      <c r="AO114" s="164"/>
      <c r="AP114" s="164"/>
      <c r="AQ114" s="164"/>
      <c r="AR114" s="164"/>
      <c r="AS114" s="164"/>
      <c r="AT114" s="164"/>
      <c r="AU114" s="164"/>
      <c r="AV114" s="164"/>
      <c r="AW114" s="164"/>
      <c r="AX114" s="164"/>
    </row>
    <row r="115" spans="2:50" x14ac:dyDescent="0.25">
      <c r="B115" s="90"/>
      <c r="C115" s="90"/>
      <c r="D115" s="90"/>
      <c r="E115" s="90"/>
      <c r="G115" s="90"/>
      <c r="H115" s="90"/>
      <c r="I115" s="90"/>
      <c r="J115" s="90"/>
      <c r="K115" s="90"/>
      <c r="L115" s="90"/>
      <c r="M115" s="90"/>
      <c r="N115" s="90"/>
      <c r="O115" s="90"/>
      <c r="P115" s="90"/>
      <c r="T115" s="90"/>
      <c r="U115" s="164"/>
      <c r="V115" s="164"/>
      <c r="W115" s="164"/>
      <c r="X115" s="164"/>
      <c r="Y115" s="164"/>
      <c r="Z115" s="164"/>
      <c r="AA115" s="164"/>
      <c r="AB115" s="164"/>
      <c r="AC115" s="164"/>
      <c r="AE115" s="164"/>
      <c r="AF115" s="164"/>
      <c r="AG115" s="164"/>
      <c r="AH115" s="164"/>
      <c r="AI115" s="164"/>
      <c r="AJ115" s="164"/>
      <c r="AK115" s="164"/>
      <c r="AL115" s="164"/>
      <c r="AM115" s="164"/>
      <c r="AN115" s="164"/>
      <c r="AO115" s="164"/>
      <c r="AP115" s="164"/>
      <c r="AQ115" s="164"/>
      <c r="AR115" s="164"/>
      <c r="AS115" s="164"/>
      <c r="AT115" s="164"/>
      <c r="AU115" s="164"/>
      <c r="AV115" s="164"/>
      <c r="AW115" s="164"/>
      <c r="AX115" s="164"/>
    </row>
    <row r="116" spans="2:50" x14ac:dyDescent="0.25">
      <c r="B116" s="278" t="s">
        <v>40</v>
      </c>
      <c r="C116" s="122"/>
      <c r="D116" s="122"/>
      <c r="E116" s="125" t="str">
        <f t="shared" ref="E116:R116" si="20">E65</f>
        <v>SARL</v>
      </c>
      <c r="F116" s="121" t="str">
        <f t="shared" si="20"/>
        <v>EURL</v>
      </c>
      <c r="G116" s="126" t="str">
        <f t="shared" si="20"/>
        <v>SAS</v>
      </c>
      <c r="H116" s="127" t="str">
        <f t="shared" si="20"/>
        <v>INDIVIDUEL</v>
      </c>
      <c r="I116" s="127" t="str">
        <f t="shared" si="20"/>
        <v>ASSOCIATION</v>
      </c>
      <c r="J116" s="128" t="str">
        <f t="shared" si="20"/>
        <v>PROFESSION LIBERALE</v>
      </c>
      <c r="K116" s="128" t="str">
        <f t="shared" si="20"/>
        <v>SNC</v>
      </c>
      <c r="L116" s="128" t="str">
        <f t="shared" si="20"/>
        <v>SCI</v>
      </c>
      <c r="M116" s="128" t="str">
        <f t="shared" si="20"/>
        <v>EARL</v>
      </c>
      <c r="N116" s="128" t="str">
        <f t="shared" si="20"/>
        <v>ETA</v>
      </c>
      <c r="O116" s="128" t="str">
        <f t="shared" si="20"/>
        <v>SCEA</v>
      </c>
      <c r="P116" s="128" t="str">
        <f t="shared" si="20"/>
        <v>GROUPEMENT</v>
      </c>
      <c r="Q116" s="128" t="str">
        <f t="shared" si="20"/>
        <v>EIRL</v>
      </c>
      <c r="R116" s="121" t="str">
        <f t="shared" si="20"/>
        <v>AUTRES</v>
      </c>
      <c r="S116" s="121"/>
      <c r="T116" s="128" t="s">
        <v>86</v>
      </c>
      <c r="U116" s="164"/>
      <c r="V116" s="164"/>
      <c r="W116" s="164"/>
      <c r="X116" s="164"/>
      <c r="Y116" s="164"/>
      <c r="Z116" s="164"/>
      <c r="AA116" s="164"/>
      <c r="AB116" s="164"/>
      <c r="AC116" s="164"/>
      <c r="AE116" s="164"/>
      <c r="AF116" s="164"/>
      <c r="AG116" s="164"/>
      <c r="AH116" s="164"/>
      <c r="AI116" s="164"/>
      <c r="AJ116" s="164"/>
      <c r="AK116" s="164"/>
      <c r="AL116" s="164"/>
      <c r="AM116" s="164"/>
      <c r="AN116" s="164"/>
      <c r="AO116" s="164"/>
      <c r="AP116" s="164"/>
      <c r="AQ116" s="164"/>
      <c r="AR116" s="164"/>
      <c r="AS116" s="164"/>
      <c r="AT116" s="164"/>
      <c r="AU116" s="164"/>
      <c r="AV116" s="164"/>
      <c r="AW116" s="164"/>
      <c r="AX116" s="164"/>
    </row>
    <row r="117" spans="2:50" x14ac:dyDescent="0.25">
      <c r="B117" s="275"/>
      <c r="C117" s="120" t="s">
        <v>109</v>
      </c>
      <c r="D117" s="122">
        <f>+D105-D111</f>
        <v>0</v>
      </c>
      <c r="E117" s="122">
        <f t="shared" ref="E117:R120" si="21">+E105-E111</f>
        <v>0</v>
      </c>
      <c r="F117" s="122">
        <f t="shared" si="21"/>
        <v>0</v>
      </c>
      <c r="G117" s="122">
        <f t="shared" si="21"/>
        <v>0</v>
      </c>
      <c r="H117" s="122">
        <f t="shared" si="21"/>
        <v>0</v>
      </c>
      <c r="I117" s="122">
        <f t="shared" si="21"/>
        <v>0</v>
      </c>
      <c r="J117" s="122">
        <f t="shared" si="21"/>
        <v>0</v>
      </c>
      <c r="K117" s="122">
        <f t="shared" si="21"/>
        <v>0</v>
      </c>
      <c r="L117" s="122">
        <f t="shared" si="21"/>
        <v>0</v>
      </c>
      <c r="M117" s="122">
        <f t="shared" si="21"/>
        <v>0</v>
      </c>
      <c r="N117" s="122">
        <f t="shared" si="21"/>
        <v>0</v>
      </c>
      <c r="O117" s="122">
        <f t="shared" si="21"/>
        <v>0</v>
      </c>
      <c r="P117" s="122">
        <f t="shared" si="21"/>
        <v>0</v>
      </c>
      <c r="Q117" s="122">
        <f t="shared" si="21"/>
        <v>0</v>
      </c>
      <c r="R117" s="122">
        <f t="shared" si="21"/>
        <v>0</v>
      </c>
      <c r="S117" s="122"/>
      <c r="T117" s="122">
        <f>+SUM(E117:P117)</f>
        <v>0</v>
      </c>
      <c r="U117" s="164"/>
      <c r="V117" s="164"/>
      <c r="W117" s="164"/>
      <c r="X117" s="164"/>
      <c r="Y117" s="164"/>
      <c r="Z117" s="164"/>
      <c r="AA117" s="164"/>
      <c r="AB117" s="164"/>
      <c r="AC117" s="164"/>
      <c r="AE117" s="164"/>
      <c r="AF117" s="164"/>
      <c r="AG117" s="164"/>
      <c r="AH117" s="164"/>
      <c r="AI117" s="164"/>
      <c r="AJ117" s="164"/>
      <c r="AK117" s="164"/>
      <c r="AL117" s="164"/>
      <c r="AM117" s="164"/>
      <c r="AN117" s="164"/>
      <c r="AO117" s="164"/>
      <c r="AP117" s="164"/>
      <c r="AQ117" s="164"/>
      <c r="AR117" s="164"/>
      <c r="AS117" s="164"/>
      <c r="AT117" s="164"/>
      <c r="AU117" s="164"/>
      <c r="AV117" s="164"/>
      <c r="AW117" s="164"/>
      <c r="AX117" s="164"/>
    </row>
    <row r="118" spans="2:50" x14ac:dyDescent="0.25">
      <c r="B118" s="275"/>
      <c r="C118" s="120" t="s">
        <v>121</v>
      </c>
      <c r="D118" s="122">
        <f>+D106-D112</f>
        <v>0</v>
      </c>
      <c r="E118" s="122">
        <f t="shared" si="21"/>
        <v>0</v>
      </c>
      <c r="F118" s="122">
        <f t="shared" si="21"/>
        <v>0</v>
      </c>
      <c r="G118" s="122">
        <f t="shared" si="21"/>
        <v>0</v>
      </c>
      <c r="H118" s="122">
        <f t="shared" si="21"/>
        <v>0</v>
      </c>
      <c r="I118" s="122">
        <f t="shared" si="21"/>
        <v>0</v>
      </c>
      <c r="J118" s="122">
        <f t="shared" si="21"/>
        <v>0</v>
      </c>
      <c r="K118" s="122">
        <f t="shared" si="21"/>
        <v>0</v>
      </c>
      <c r="L118" s="122">
        <f t="shared" si="21"/>
        <v>0</v>
      </c>
      <c r="M118" s="122">
        <f t="shared" si="21"/>
        <v>0</v>
      </c>
      <c r="N118" s="122">
        <f t="shared" si="21"/>
        <v>0</v>
      </c>
      <c r="O118" s="122">
        <f t="shared" si="21"/>
        <v>0</v>
      </c>
      <c r="P118" s="122">
        <f t="shared" si="21"/>
        <v>0</v>
      </c>
      <c r="Q118" s="122">
        <f t="shared" si="21"/>
        <v>0</v>
      </c>
      <c r="R118" s="122">
        <f t="shared" si="21"/>
        <v>0</v>
      </c>
      <c r="S118" s="122"/>
      <c r="T118" s="122">
        <f>+SUM(E118:P118)</f>
        <v>0</v>
      </c>
      <c r="U118" s="164"/>
      <c r="V118" s="164"/>
      <c r="W118" s="164"/>
      <c r="X118" s="164"/>
      <c r="Y118" s="164"/>
      <c r="Z118" s="164"/>
      <c r="AA118" s="164"/>
      <c r="AB118" s="164"/>
      <c r="AC118" s="164"/>
      <c r="AE118" s="164"/>
      <c r="AF118" s="164"/>
      <c r="AG118" s="164"/>
      <c r="AH118" s="164"/>
      <c r="AI118" s="164"/>
      <c r="AJ118" s="164"/>
      <c r="AK118" s="164"/>
      <c r="AL118" s="164"/>
      <c r="AM118" s="164"/>
      <c r="AN118" s="164"/>
      <c r="AO118" s="164"/>
      <c r="AP118" s="164"/>
      <c r="AQ118" s="164"/>
      <c r="AR118" s="164"/>
      <c r="AS118" s="164"/>
      <c r="AT118" s="164"/>
      <c r="AU118" s="164"/>
      <c r="AV118" s="164"/>
      <c r="AW118" s="164"/>
      <c r="AX118" s="164"/>
    </row>
    <row r="119" spans="2:50" x14ac:dyDescent="0.25">
      <c r="B119" s="276"/>
      <c r="C119" s="122" t="s">
        <v>122</v>
      </c>
      <c r="D119" s="122">
        <f>+D107-D113</f>
        <v>0</v>
      </c>
      <c r="E119" s="122">
        <f t="shared" si="21"/>
        <v>0</v>
      </c>
      <c r="F119" s="122">
        <f t="shared" si="21"/>
        <v>0</v>
      </c>
      <c r="G119" s="122">
        <f t="shared" si="21"/>
        <v>0</v>
      </c>
      <c r="H119" s="122">
        <f t="shared" si="21"/>
        <v>0</v>
      </c>
      <c r="I119" s="122">
        <f t="shared" si="21"/>
        <v>0</v>
      </c>
      <c r="J119" s="122">
        <f t="shared" si="21"/>
        <v>0</v>
      </c>
      <c r="K119" s="122">
        <f t="shared" si="21"/>
        <v>0</v>
      </c>
      <c r="L119" s="122">
        <f t="shared" si="21"/>
        <v>0</v>
      </c>
      <c r="M119" s="122">
        <f t="shared" si="21"/>
        <v>0</v>
      </c>
      <c r="N119" s="122">
        <f t="shared" si="21"/>
        <v>0</v>
      </c>
      <c r="O119" s="122">
        <f t="shared" si="21"/>
        <v>0</v>
      </c>
      <c r="P119" s="122">
        <f t="shared" si="21"/>
        <v>0</v>
      </c>
      <c r="Q119" s="122">
        <f t="shared" si="21"/>
        <v>0</v>
      </c>
      <c r="R119" s="122">
        <f t="shared" si="21"/>
        <v>0</v>
      </c>
      <c r="S119" s="122"/>
      <c r="T119" s="122">
        <f>+SUM(E119:P119)</f>
        <v>0</v>
      </c>
      <c r="U119" s="164"/>
      <c r="V119" s="164"/>
      <c r="W119" s="164"/>
      <c r="X119" s="164"/>
      <c r="Y119" s="164"/>
      <c r="Z119" s="164"/>
      <c r="AA119" s="164"/>
      <c r="AB119" s="164"/>
      <c r="AC119" s="164"/>
      <c r="AE119" s="164"/>
      <c r="AF119" s="164"/>
      <c r="AG119" s="164"/>
      <c r="AH119" s="164"/>
      <c r="AI119" s="164"/>
      <c r="AJ119" s="164"/>
      <c r="AK119" s="164"/>
      <c r="AL119" s="164"/>
      <c r="AM119" s="164"/>
      <c r="AN119" s="164"/>
      <c r="AO119" s="164"/>
      <c r="AP119" s="164"/>
      <c r="AQ119" s="164"/>
      <c r="AR119" s="164"/>
      <c r="AS119" s="164"/>
      <c r="AT119" s="164"/>
      <c r="AU119" s="164"/>
      <c r="AV119" s="164"/>
      <c r="AW119" s="164"/>
      <c r="AX119" s="164"/>
    </row>
    <row r="120" spans="2:50" x14ac:dyDescent="0.25">
      <c r="B120" s="277" t="s">
        <v>123</v>
      </c>
      <c r="C120" s="277"/>
      <c r="D120" s="122">
        <f>+D108-D114</f>
        <v>0</v>
      </c>
      <c r="E120" s="122">
        <f t="shared" si="21"/>
        <v>0</v>
      </c>
      <c r="F120" s="122">
        <f t="shared" si="21"/>
        <v>0</v>
      </c>
      <c r="G120" s="122">
        <f t="shared" si="21"/>
        <v>0</v>
      </c>
      <c r="H120" s="122">
        <f t="shared" si="21"/>
        <v>0</v>
      </c>
      <c r="I120" s="122">
        <f t="shared" si="21"/>
        <v>0</v>
      </c>
      <c r="J120" s="122">
        <f t="shared" si="21"/>
        <v>0</v>
      </c>
      <c r="K120" s="122">
        <f t="shared" si="21"/>
        <v>0</v>
      </c>
      <c r="L120" s="122">
        <f t="shared" si="21"/>
        <v>0</v>
      </c>
      <c r="M120" s="122">
        <f t="shared" si="21"/>
        <v>0</v>
      </c>
      <c r="N120" s="122">
        <f t="shared" si="21"/>
        <v>0</v>
      </c>
      <c r="O120" s="122">
        <f t="shared" si="21"/>
        <v>0</v>
      </c>
      <c r="P120" s="122">
        <f t="shared" si="21"/>
        <v>0</v>
      </c>
      <c r="Q120" s="122">
        <f t="shared" si="21"/>
        <v>0</v>
      </c>
      <c r="R120" s="122">
        <f t="shared" si="21"/>
        <v>0</v>
      </c>
      <c r="S120" s="122"/>
      <c r="T120" s="122">
        <f>+SUM(T117:T119)</f>
        <v>0</v>
      </c>
      <c r="U120" s="164"/>
      <c r="V120" s="164"/>
      <c r="W120" s="164"/>
      <c r="X120" s="164"/>
      <c r="Y120" s="164"/>
      <c r="Z120" s="164"/>
      <c r="AA120" s="164"/>
      <c r="AB120" s="164"/>
      <c r="AC120" s="164"/>
      <c r="AE120" s="164"/>
      <c r="AF120" s="164"/>
      <c r="AG120" s="164"/>
      <c r="AH120" s="164"/>
      <c r="AI120" s="164"/>
      <c r="AJ120" s="164"/>
      <c r="AK120" s="164"/>
      <c r="AL120" s="164"/>
      <c r="AM120" s="164"/>
      <c r="AN120" s="164"/>
      <c r="AO120" s="164"/>
      <c r="AP120" s="164"/>
      <c r="AQ120" s="164"/>
      <c r="AR120" s="164"/>
      <c r="AS120" s="164"/>
      <c r="AT120" s="164"/>
      <c r="AU120" s="164"/>
      <c r="AV120" s="164"/>
      <c r="AW120" s="164"/>
      <c r="AX120" s="164"/>
    </row>
    <row r="121" spans="2:50" x14ac:dyDescent="0.25">
      <c r="U121" s="164"/>
      <c r="V121" s="164"/>
      <c r="W121" s="164"/>
      <c r="X121" s="164"/>
      <c r="Y121" s="164"/>
      <c r="Z121" s="164"/>
      <c r="AA121" s="164"/>
      <c r="AB121" s="164"/>
      <c r="AC121" s="164"/>
      <c r="AE121" s="164"/>
      <c r="AF121" s="164"/>
      <c r="AG121" s="164"/>
      <c r="AH121" s="164"/>
      <c r="AI121" s="164"/>
      <c r="AJ121" s="164"/>
      <c r="AK121" s="164"/>
      <c r="AL121" s="164"/>
      <c r="AM121" s="164"/>
      <c r="AN121" s="164"/>
      <c r="AO121" s="164"/>
      <c r="AP121" s="164"/>
      <c r="AQ121" s="164"/>
      <c r="AR121" s="164"/>
      <c r="AS121" s="164"/>
      <c r="AT121" s="164"/>
      <c r="AU121" s="164"/>
      <c r="AV121" s="164"/>
      <c r="AW121" s="164"/>
      <c r="AX121" s="164"/>
    </row>
    <row r="122" spans="2:50" x14ac:dyDescent="0.25">
      <c r="U122" s="164"/>
      <c r="V122" s="164"/>
      <c r="W122" s="164"/>
      <c r="X122" s="164"/>
      <c r="Y122" s="164"/>
      <c r="Z122" s="164"/>
      <c r="AA122" s="164"/>
      <c r="AB122" s="164"/>
      <c r="AC122" s="164"/>
      <c r="AE122" s="164"/>
      <c r="AF122" s="164"/>
      <c r="AG122" s="164"/>
      <c r="AH122" s="164"/>
      <c r="AI122" s="164"/>
      <c r="AJ122" s="164"/>
      <c r="AK122" s="164"/>
      <c r="AL122" s="164"/>
      <c r="AM122" s="164"/>
      <c r="AN122" s="164"/>
      <c r="AO122" s="164"/>
      <c r="AP122" s="164"/>
      <c r="AQ122" s="164"/>
      <c r="AR122" s="164"/>
      <c r="AS122" s="164"/>
      <c r="AT122" s="164"/>
      <c r="AU122" s="164"/>
      <c r="AV122" s="164"/>
      <c r="AW122" s="164"/>
      <c r="AX122" s="164"/>
    </row>
    <row r="123" spans="2:50" x14ac:dyDescent="0.25">
      <c r="U123" s="164"/>
      <c r="V123" s="164"/>
      <c r="W123" s="164"/>
      <c r="X123" s="164"/>
      <c r="Y123" s="164"/>
      <c r="Z123" s="164"/>
      <c r="AA123" s="164"/>
      <c r="AB123" s="164"/>
      <c r="AC123" s="164"/>
      <c r="AE123" s="164"/>
      <c r="AF123" s="164"/>
      <c r="AG123" s="164"/>
      <c r="AH123" s="164"/>
      <c r="AI123" s="164"/>
      <c r="AJ123" s="164"/>
      <c r="AK123" s="164"/>
      <c r="AL123" s="164"/>
      <c r="AM123" s="164"/>
      <c r="AN123" s="164"/>
      <c r="AO123" s="164"/>
      <c r="AP123" s="164"/>
      <c r="AQ123" s="164"/>
      <c r="AR123" s="164"/>
      <c r="AS123" s="164"/>
      <c r="AT123" s="164"/>
      <c r="AU123" s="164"/>
      <c r="AV123" s="164"/>
      <c r="AW123" s="164"/>
      <c r="AX123" s="164"/>
    </row>
    <row r="124" spans="2:50" x14ac:dyDescent="0.25">
      <c r="U124" s="164"/>
      <c r="V124" s="164"/>
      <c r="W124" s="164"/>
      <c r="X124" s="164"/>
      <c r="Y124" s="164"/>
      <c r="Z124" s="164"/>
      <c r="AA124" s="164"/>
      <c r="AB124" s="164"/>
      <c r="AC124" s="164"/>
      <c r="AE124" s="164"/>
      <c r="AF124" s="164"/>
      <c r="AG124" s="164"/>
      <c r="AH124" s="164"/>
      <c r="AI124" s="164"/>
      <c r="AJ124" s="164"/>
      <c r="AK124" s="164"/>
      <c r="AL124" s="164"/>
      <c r="AM124" s="164"/>
      <c r="AN124" s="164"/>
      <c r="AO124" s="164"/>
      <c r="AP124" s="164"/>
      <c r="AQ124" s="164"/>
      <c r="AR124" s="164"/>
      <c r="AS124" s="164"/>
      <c r="AT124" s="164"/>
      <c r="AU124" s="164"/>
      <c r="AV124" s="164"/>
      <c r="AW124" s="164"/>
      <c r="AX124" s="164"/>
    </row>
    <row r="125" spans="2:50" x14ac:dyDescent="0.25">
      <c r="U125" s="164"/>
      <c r="V125" s="164"/>
      <c r="W125" s="164"/>
      <c r="X125" s="164"/>
      <c r="Y125" s="164"/>
      <c r="Z125" s="164"/>
      <c r="AA125" s="164"/>
      <c r="AB125" s="164"/>
      <c r="AC125" s="164"/>
      <c r="AE125" s="164"/>
      <c r="AF125" s="164"/>
      <c r="AG125" s="164"/>
      <c r="AH125" s="164"/>
      <c r="AI125" s="164"/>
      <c r="AJ125" s="164"/>
      <c r="AK125" s="164"/>
      <c r="AL125" s="164"/>
      <c r="AM125" s="164"/>
      <c r="AN125" s="164"/>
      <c r="AO125" s="164"/>
      <c r="AP125" s="164"/>
      <c r="AQ125" s="164"/>
      <c r="AR125" s="164"/>
      <c r="AS125" s="164"/>
      <c r="AT125" s="164"/>
      <c r="AU125" s="164"/>
      <c r="AV125" s="164"/>
      <c r="AW125" s="164"/>
      <c r="AX125" s="164"/>
    </row>
    <row r="126" spans="2:50" x14ac:dyDescent="0.25">
      <c r="U126" s="164"/>
      <c r="V126" s="164"/>
      <c r="W126" s="164"/>
      <c r="X126" s="164"/>
      <c r="Y126" s="164"/>
      <c r="Z126" s="164"/>
      <c r="AA126" s="164"/>
      <c r="AB126" s="164"/>
      <c r="AC126" s="164"/>
      <c r="AE126" s="164"/>
      <c r="AF126" s="164"/>
      <c r="AG126" s="164"/>
      <c r="AH126" s="164"/>
      <c r="AI126" s="164"/>
      <c r="AJ126" s="164"/>
      <c r="AK126" s="164"/>
      <c r="AL126" s="164"/>
      <c r="AM126" s="164"/>
      <c r="AN126" s="164"/>
      <c r="AO126" s="164"/>
      <c r="AP126" s="164"/>
      <c r="AQ126" s="164"/>
      <c r="AR126" s="164"/>
      <c r="AS126" s="164"/>
      <c r="AT126" s="164"/>
      <c r="AU126" s="164"/>
      <c r="AV126" s="164"/>
      <c r="AW126" s="164"/>
      <c r="AX126" s="164"/>
    </row>
    <row r="127" spans="2:50" x14ac:dyDescent="0.25">
      <c r="U127" s="164"/>
      <c r="V127" s="164"/>
      <c r="W127" s="164"/>
      <c r="X127" s="164"/>
      <c r="Y127" s="164"/>
      <c r="Z127" s="164"/>
      <c r="AA127" s="164"/>
      <c r="AB127" s="164"/>
      <c r="AC127" s="164"/>
      <c r="AE127" s="164"/>
      <c r="AF127" s="164"/>
      <c r="AG127" s="164"/>
      <c r="AH127" s="164"/>
      <c r="AI127" s="164"/>
      <c r="AJ127" s="164"/>
      <c r="AK127" s="164"/>
      <c r="AL127" s="164"/>
      <c r="AM127" s="164"/>
      <c r="AN127" s="164"/>
      <c r="AO127" s="164"/>
      <c r="AP127" s="164"/>
      <c r="AQ127" s="164"/>
      <c r="AR127" s="164"/>
      <c r="AS127" s="164"/>
      <c r="AT127" s="164"/>
      <c r="AU127" s="164"/>
      <c r="AV127" s="164"/>
      <c r="AW127" s="164"/>
      <c r="AX127" s="164"/>
    </row>
    <row r="128" spans="2:50" x14ac:dyDescent="0.25">
      <c r="U128" s="164"/>
      <c r="V128" s="164"/>
      <c r="W128" s="164"/>
      <c r="X128" s="164"/>
      <c r="Y128" s="164"/>
      <c r="Z128" s="164"/>
      <c r="AA128" s="164"/>
      <c r="AB128" s="164"/>
      <c r="AC128" s="164"/>
      <c r="AE128" s="164"/>
      <c r="AF128" s="164"/>
      <c r="AG128" s="164"/>
      <c r="AH128" s="164"/>
      <c r="AI128" s="164"/>
      <c r="AJ128" s="164"/>
      <c r="AK128" s="164"/>
      <c r="AL128" s="164"/>
      <c r="AM128" s="164"/>
      <c r="AN128" s="164"/>
      <c r="AO128" s="164"/>
      <c r="AP128" s="164"/>
      <c r="AQ128" s="164"/>
      <c r="AR128" s="164"/>
      <c r="AS128" s="164"/>
      <c r="AT128" s="164"/>
      <c r="AU128" s="164"/>
      <c r="AV128" s="164"/>
      <c r="AW128" s="164"/>
      <c r="AX128" s="164"/>
    </row>
    <row r="129" spans="21:50" x14ac:dyDescent="0.25">
      <c r="U129" s="164"/>
      <c r="V129" s="164"/>
      <c r="W129" s="164"/>
      <c r="X129" s="164"/>
      <c r="Y129" s="164"/>
      <c r="Z129" s="164"/>
      <c r="AA129" s="164"/>
      <c r="AB129" s="164"/>
      <c r="AC129" s="164"/>
      <c r="AE129" s="164"/>
      <c r="AF129" s="164"/>
      <c r="AG129" s="164"/>
      <c r="AH129" s="164"/>
      <c r="AI129" s="164"/>
      <c r="AJ129" s="164"/>
      <c r="AK129" s="164"/>
      <c r="AL129" s="164"/>
      <c r="AM129" s="164"/>
      <c r="AN129" s="164"/>
      <c r="AO129" s="164"/>
      <c r="AP129" s="164"/>
      <c r="AQ129" s="164"/>
      <c r="AR129" s="164"/>
      <c r="AS129" s="164"/>
      <c r="AT129" s="164"/>
      <c r="AU129" s="164"/>
      <c r="AV129" s="164"/>
      <c r="AW129" s="164"/>
      <c r="AX129" s="164"/>
    </row>
    <row r="130" spans="21:50" x14ac:dyDescent="0.25">
      <c r="U130" s="164"/>
      <c r="V130" s="164"/>
      <c r="W130" s="164"/>
      <c r="X130" s="164"/>
      <c r="Y130" s="164"/>
      <c r="Z130" s="164"/>
      <c r="AA130" s="164"/>
      <c r="AB130" s="164"/>
      <c r="AC130" s="164"/>
      <c r="AE130" s="164"/>
      <c r="AF130" s="164"/>
      <c r="AG130" s="164"/>
      <c r="AH130" s="164"/>
      <c r="AI130" s="164"/>
      <c r="AJ130" s="164"/>
      <c r="AK130" s="164"/>
      <c r="AL130" s="164"/>
      <c r="AM130" s="164"/>
      <c r="AN130" s="164"/>
      <c r="AO130" s="164"/>
      <c r="AP130" s="164"/>
      <c r="AQ130" s="164"/>
      <c r="AR130" s="164"/>
      <c r="AS130" s="164"/>
      <c r="AT130" s="164"/>
      <c r="AU130" s="164"/>
      <c r="AV130" s="164"/>
      <c r="AW130" s="164"/>
      <c r="AX130" s="164"/>
    </row>
    <row r="131" spans="21:50" x14ac:dyDescent="0.25">
      <c r="U131" s="164"/>
      <c r="V131" s="164"/>
      <c r="W131" s="164"/>
      <c r="X131" s="164"/>
      <c r="Y131" s="164"/>
      <c r="Z131" s="164"/>
      <c r="AA131" s="164"/>
      <c r="AB131" s="164"/>
      <c r="AC131" s="164"/>
      <c r="AE131" s="164"/>
      <c r="AF131" s="164"/>
      <c r="AG131" s="164"/>
      <c r="AH131" s="164"/>
      <c r="AI131" s="164"/>
      <c r="AJ131" s="164"/>
      <c r="AK131" s="164"/>
      <c r="AL131" s="164"/>
      <c r="AM131" s="164"/>
      <c r="AN131" s="164"/>
      <c r="AO131" s="164"/>
      <c r="AP131" s="164"/>
      <c r="AQ131" s="164"/>
      <c r="AR131" s="164"/>
      <c r="AS131" s="164"/>
      <c r="AT131" s="164"/>
      <c r="AU131" s="164"/>
      <c r="AV131" s="164"/>
      <c r="AW131" s="164"/>
      <c r="AX131" s="164"/>
    </row>
    <row r="132" spans="21:50" x14ac:dyDescent="0.25">
      <c r="U132" s="164"/>
      <c r="V132" s="164"/>
      <c r="W132" s="164"/>
      <c r="X132" s="164"/>
      <c r="Y132" s="164"/>
      <c r="Z132" s="164"/>
      <c r="AA132" s="164"/>
      <c r="AB132" s="164"/>
      <c r="AC132" s="164"/>
      <c r="AE132" s="164"/>
      <c r="AF132" s="164"/>
      <c r="AG132" s="164"/>
      <c r="AH132" s="164"/>
      <c r="AI132" s="164"/>
      <c r="AJ132" s="164"/>
      <c r="AK132" s="164"/>
      <c r="AL132" s="164"/>
      <c r="AM132" s="164"/>
      <c r="AN132" s="164"/>
      <c r="AO132" s="164"/>
      <c r="AP132" s="164"/>
      <c r="AQ132" s="164"/>
      <c r="AR132" s="164"/>
      <c r="AS132" s="164"/>
      <c r="AT132" s="164"/>
      <c r="AU132" s="164"/>
      <c r="AV132" s="164"/>
      <c r="AW132" s="164"/>
      <c r="AX132" s="164"/>
    </row>
    <row r="133" spans="21:50" x14ac:dyDescent="0.25">
      <c r="U133" s="164"/>
      <c r="V133" s="164"/>
      <c r="W133" s="164"/>
      <c r="X133" s="164"/>
      <c r="Y133" s="164"/>
      <c r="Z133" s="164"/>
      <c r="AA133" s="164"/>
      <c r="AB133" s="164"/>
      <c r="AC133" s="164"/>
      <c r="AE133" s="164"/>
      <c r="AF133" s="164"/>
      <c r="AG133" s="164"/>
      <c r="AH133" s="164"/>
      <c r="AI133" s="164"/>
      <c r="AJ133" s="164"/>
      <c r="AK133" s="164"/>
      <c r="AL133" s="164"/>
      <c r="AM133" s="164"/>
      <c r="AN133" s="164"/>
      <c r="AO133" s="164"/>
      <c r="AP133" s="164"/>
      <c r="AQ133" s="164"/>
      <c r="AR133" s="164"/>
      <c r="AS133" s="164"/>
      <c r="AT133" s="164"/>
      <c r="AU133" s="164"/>
      <c r="AV133" s="164"/>
      <c r="AW133" s="164"/>
      <c r="AX133" s="164"/>
    </row>
    <row r="134" spans="21:50" x14ac:dyDescent="0.25">
      <c r="U134" s="164"/>
      <c r="V134" s="164"/>
      <c r="W134" s="164"/>
      <c r="X134" s="164"/>
      <c r="Y134" s="164"/>
      <c r="Z134" s="164"/>
      <c r="AA134" s="164"/>
      <c r="AB134" s="164"/>
      <c r="AC134" s="164"/>
      <c r="AE134" s="164"/>
      <c r="AF134" s="164"/>
      <c r="AG134" s="164"/>
      <c r="AH134" s="164"/>
      <c r="AI134" s="164"/>
      <c r="AJ134" s="164"/>
      <c r="AK134" s="164"/>
      <c r="AL134" s="164"/>
      <c r="AM134" s="164"/>
      <c r="AN134" s="164"/>
      <c r="AO134" s="164"/>
      <c r="AP134" s="164"/>
      <c r="AQ134" s="164"/>
      <c r="AR134" s="164"/>
      <c r="AS134" s="164"/>
      <c r="AT134" s="164"/>
      <c r="AU134" s="164"/>
      <c r="AV134" s="164"/>
      <c r="AW134" s="164"/>
      <c r="AX134" s="164"/>
    </row>
    <row r="135" spans="21:50" x14ac:dyDescent="0.25">
      <c r="U135" s="164"/>
      <c r="V135" s="164"/>
      <c r="W135" s="164"/>
      <c r="X135" s="164"/>
      <c r="Y135" s="164"/>
      <c r="Z135" s="164"/>
      <c r="AA135" s="164"/>
      <c r="AB135" s="164"/>
      <c r="AC135" s="164"/>
      <c r="AE135" s="164"/>
      <c r="AF135" s="164"/>
      <c r="AG135" s="164"/>
      <c r="AH135" s="164"/>
      <c r="AI135" s="164"/>
      <c r="AJ135" s="164"/>
      <c r="AK135" s="164"/>
      <c r="AL135" s="164"/>
      <c r="AM135" s="164"/>
      <c r="AN135" s="164"/>
      <c r="AO135" s="164"/>
      <c r="AP135" s="164"/>
      <c r="AQ135" s="164"/>
      <c r="AR135" s="164"/>
      <c r="AS135" s="164"/>
      <c r="AT135" s="164"/>
      <c r="AU135" s="164"/>
      <c r="AV135" s="164"/>
      <c r="AW135" s="164"/>
      <c r="AX135" s="164"/>
    </row>
    <row r="136" spans="21:50" x14ac:dyDescent="0.25">
      <c r="U136" s="164"/>
      <c r="V136" s="164"/>
      <c r="W136" s="164"/>
      <c r="X136" s="164"/>
      <c r="Y136" s="164"/>
      <c r="Z136" s="164"/>
      <c r="AA136" s="164"/>
      <c r="AB136" s="164"/>
      <c r="AC136" s="164"/>
      <c r="AE136" s="164"/>
      <c r="AF136" s="164"/>
      <c r="AG136" s="164"/>
      <c r="AH136" s="164"/>
      <c r="AI136" s="164"/>
      <c r="AJ136" s="164"/>
      <c r="AK136" s="164"/>
      <c r="AL136" s="164"/>
      <c r="AM136" s="164"/>
      <c r="AN136" s="164"/>
      <c r="AO136" s="164"/>
      <c r="AP136" s="164"/>
      <c r="AQ136" s="164"/>
      <c r="AR136" s="164"/>
      <c r="AS136" s="164"/>
      <c r="AT136" s="164"/>
      <c r="AU136" s="164"/>
      <c r="AV136" s="164"/>
      <c r="AW136" s="164"/>
      <c r="AX136" s="164"/>
    </row>
    <row r="137" spans="21:50" x14ac:dyDescent="0.25">
      <c r="U137" s="164"/>
      <c r="V137" s="164"/>
      <c r="W137" s="164"/>
      <c r="X137" s="164"/>
      <c r="Y137" s="164"/>
      <c r="Z137" s="164"/>
      <c r="AA137" s="164"/>
      <c r="AB137" s="164"/>
      <c r="AC137" s="164"/>
      <c r="AE137" s="164"/>
      <c r="AF137" s="164"/>
      <c r="AG137" s="164"/>
      <c r="AH137" s="164"/>
      <c r="AI137" s="164"/>
      <c r="AJ137" s="164"/>
      <c r="AK137" s="164"/>
      <c r="AL137" s="164"/>
      <c r="AM137" s="164"/>
      <c r="AN137" s="164"/>
      <c r="AO137" s="164"/>
      <c r="AP137" s="164"/>
      <c r="AQ137" s="164"/>
      <c r="AR137" s="164"/>
      <c r="AS137" s="164"/>
      <c r="AT137" s="164"/>
      <c r="AU137" s="164"/>
      <c r="AV137" s="164"/>
      <c r="AW137" s="164"/>
      <c r="AX137" s="164"/>
    </row>
    <row r="138" spans="21:50" x14ac:dyDescent="0.25">
      <c r="U138" s="164"/>
      <c r="V138" s="164"/>
      <c r="W138" s="164"/>
      <c r="X138" s="164"/>
      <c r="Y138" s="164"/>
      <c r="Z138" s="164"/>
      <c r="AA138" s="164"/>
      <c r="AB138" s="164"/>
      <c r="AC138" s="164"/>
      <c r="AE138" s="164"/>
      <c r="AF138" s="164"/>
      <c r="AG138" s="164"/>
      <c r="AH138" s="164"/>
      <c r="AI138" s="164"/>
      <c r="AJ138" s="164"/>
      <c r="AK138" s="164"/>
      <c r="AL138" s="164"/>
      <c r="AM138" s="164"/>
      <c r="AN138" s="164"/>
      <c r="AO138" s="164"/>
      <c r="AP138" s="164"/>
      <c r="AQ138" s="164"/>
      <c r="AR138" s="164"/>
      <c r="AS138" s="164"/>
      <c r="AT138" s="164"/>
      <c r="AU138" s="164"/>
      <c r="AV138" s="164"/>
      <c r="AW138" s="164"/>
      <c r="AX138" s="164"/>
    </row>
    <row r="139" spans="21:50" x14ac:dyDescent="0.25">
      <c r="U139" s="164"/>
      <c r="V139" s="164"/>
      <c r="W139" s="164"/>
      <c r="X139" s="164"/>
      <c r="Y139" s="164"/>
      <c r="Z139" s="164"/>
      <c r="AA139" s="164"/>
      <c r="AB139" s="164"/>
      <c r="AC139" s="164"/>
      <c r="AE139" s="164"/>
      <c r="AF139" s="164"/>
      <c r="AG139" s="164"/>
      <c r="AH139" s="164"/>
      <c r="AI139" s="164"/>
      <c r="AJ139" s="164"/>
      <c r="AK139" s="164"/>
      <c r="AL139" s="164"/>
      <c r="AM139" s="164"/>
      <c r="AN139" s="164"/>
      <c r="AO139" s="164"/>
      <c r="AP139" s="164"/>
      <c r="AQ139" s="164"/>
      <c r="AR139" s="164"/>
      <c r="AS139" s="164"/>
      <c r="AT139" s="164"/>
      <c r="AU139" s="164"/>
      <c r="AV139" s="164"/>
      <c r="AW139" s="164"/>
      <c r="AX139" s="164"/>
    </row>
    <row r="140" spans="21:50" x14ac:dyDescent="0.25">
      <c r="U140" s="164"/>
      <c r="V140" s="164"/>
      <c r="W140" s="164"/>
      <c r="X140" s="164"/>
      <c r="Y140" s="164"/>
      <c r="Z140" s="164"/>
      <c r="AA140" s="164"/>
      <c r="AB140" s="164"/>
      <c r="AC140" s="164"/>
      <c r="AE140" s="164"/>
      <c r="AF140" s="164"/>
      <c r="AG140" s="164"/>
      <c r="AH140" s="164"/>
      <c r="AI140" s="164"/>
      <c r="AJ140" s="164"/>
      <c r="AK140" s="164"/>
      <c r="AL140" s="164"/>
      <c r="AM140" s="164"/>
      <c r="AN140" s="164"/>
      <c r="AO140" s="164"/>
      <c r="AP140" s="164"/>
      <c r="AQ140" s="164"/>
      <c r="AR140" s="164"/>
      <c r="AS140" s="164"/>
      <c r="AT140" s="164"/>
      <c r="AU140" s="164"/>
      <c r="AV140" s="164"/>
      <c r="AW140" s="164"/>
      <c r="AX140" s="164"/>
    </row>
    <row r="141" spans="21:50" x14ac:dyDescent="0.25">
      <c r="U141" s="164"/>
      <c r="V141" s="164"/>
      <c r="W141" s="164"/>
      <c r="X141" s="164"/>
      <c r="Y141" s="164"/>
      <c r="Z141" s="164"/>
      <c r="AA141" s="164"/>
      <c r="AB141" s="164"/>
      <c r="AC141" s="164"/>
      <c r="AE141" s="164"/>
      <c r="AF141" s="164"/>
      <c r="AG141" s="164"/>
      <c r="AH141" s="164"/>
      <c r="AI141" s="164"/>
      <c r="AJ141" s="164"/>
      <c r="AK141" s="164"/>
      <c r="AL141" s="164"/>
      <c r="AM141" s="164"/>
      <c r="AN141" s="164"/>
      <c r="AO141" s="164"/>
      <c r="AP141" s="164"/>
      <c r="AQ141" s="164"/>
      <c r="AR141" s="164"/>
      <c r="AS141" s="164"/>
      <c r="AT141" s="164"/>
      <c r="AU141" s="164"/>
      <c r="AV141" s="164"/>
      <c r="AW141" s="164"/>
      <c r="AX141" s="164"/>
    </row>
    <row r="142" spans="21:50" x14ac:dyDescent="0.25">
      <c r="U142" s="164"/>
      <c r="V142" s="164"/>
      <c r="W142" s="164"/>
      <c r="X142" s="164"/>
      <c r="Y142" s="164"/>
      <c r="Z142" s="164"/>
      <c r="AA142" s="164"/>
      <c r="AB142" s="164"/>
      <c r="AC142" s="164"/>
      <c r="AE142" s="164"/>
      <c r="AF142" s="164"/>
      <c r="AG142" s="164"/>
      <c r="AH142" s="164"/>
      <c r="AI142" s="164"/>
      <c r="AJ142" s="164"/>
      <c r="AK142" s="164"/>
      <c r="AL142" s="164"/>
      <c r="AM142" s="164"/>
      <c r="AN142" s="164"/>
      <c r="AO142" s="164"/>
      <c r="AP142" s="164"/>
      <c r="AQ142" s="164"/>
      <c r="AR142" s="164"/>
      <c r="AS142" s="164"/>
      <c r="AT142" s="164"/>
      <c r="AU142" s="164"/>
      <c r="AV142" s="164"/>
      <c r="AW142" s="164"/>
      <c r="AX142" s="164"/>
    </row>
    <row r="143" spans="21:50" x14ac:dyDescent="0.25">
      <c r="U143" s="164"/>
      <c r="V143" s="164"/>
      <c r="W143" s="164"/>
      <c r="X143" s="164"/>
      <c r="Y143" s="164"/>
      <c r="Z143" s="164"/>
      <c r="AA143" s="164"/>
      <c r="AB143" s="164"/>
      <c r="AC143" s="164"/>
      <c r="AE143" s="164"/>
      <c r="AF143" s="164"/>
      <c r="AG143" s="164"/>
      <c r="AH143" s="164"/>
      <c r="AI143" s="164"/>
      <c r="AJ143" s="164"/>
      <c r="AK143" s="164"/>
      <c r="AL143" s="164"/>
      <c r="AM143" s="164"/>
      <c r="AN143" s="164"/>
      <c r="AO143" s="164"/>
      <c r="AP143" s="164"/>
      <c r="AQ143" s="164"/>
      <c r="AR143" s="164"/>
      <c r="AS143" s="164"/>
      <c r="AT143" s="164"/>
      <c r="AU143" s="164"/>
      <c r="AV143" s="164"/>
      <c r="AW143" s="164"/>
      <c r="AX143" s="164"/>
    </row>
    <row r="144" spans="21:50" x14ac:dyDescent="0.25">
      <c r="U144" s="164"/>
      <c r="V144" s="164"/>
      <c r="W144" s="164"/>
      <c r="X144" s="164"/>
      <c r="Y144" s="164"/>
      <c r="Z144" s="164"/>
      <c r="AA144" s="164"/>
      <c r="AB144" s="164"/>
      <c r="AC144" s="164"/>
      <c r="AE144" s="164"/>
      <c r="AF144" s="164"/>
      <c r="AG144" s="164"/>
      <c r="AH144" s="164"/>
      <c r="AI144" s="164"/>
      <c r="AJ144" s="164"/>
      <c r="AK144" s="164"/>
      <c r="AL144" s="164"/>
      <c r="AM144" s="164"/>
      <c r="AN144" s="164"/>
      <c r="AO144" s="164"/>
      <c r="AP144" s="164"/>
      <c r="AQ144" s="164"/>
      <c r="AR144" s="164"/>
      <c r="AS144" s="164"/>
      <c r="AT144" s="164"/>
      <c r="AU144" s="164"/>
      <c r="AV144" s="164"/>
      <c r="AW144" s="164"/>
      <c r="AX144" s="164"/>
    </row>
    <row r="145" spans="21:50" x14ac:dyDescent="0.25">
      <c r="U145" s="164"/>
      <c r="V145" s="164"/>
      <c r="W145" s="164"/>
      <c r="X145" s="164"/>
      <c r="Y145" s="164"/>
      <c r="Z145" s="164"/>
      <c r="AA145" s="164"/>
      <c r="AB145" s="164"/>
      <c r="AC145" s="164"/>
      <c r="AE145" s="164"/>
      <c r="AF145" s="164"/>
      <c r="AG145" s="164"/>
      <c r="AH145" s="164"/>
      <c r="AI145" s="164"/>
      <c r="AJ145" s="164"/>
      <c r="AK145" s="164"/>
      <c r="AL145" s="164"/>
      <c r="AM145" s="164"/>
      <c r="AN145" s="164"/>
      <c r="AO145" s="164"/>
      <c r="AP145" s="164"/>
      <c r="AQ145" s="164"/>
      <c r="AR145" s="164"/>
      <c r="AS145" s="164"/>
      <c r="AT145" s="164"/>
      <c r="AU145" s="164"/>
      <c r="AV145" s="164"/>
      <c r="AW145" s="164"/>
      <c r="AX145" s="164"/>
    </row>
    <row r="146" spans="21:50" x14ac:dyDescent="0.25">
      <c r="U146" s="164"/>
      <c r="V146" s="164"/>
      <c r="W146" s="164"/>
      <c r="X146" s="164"/>
      <c r="Y146" s="164"/>
      <c r="Z146" s="164"/>
      <c r="AA146" s="164"/>
      <c r="AB146" s="164"/>
      <c r="AC146" s="164"/>
      <c r="AE146" s="164"/>
      <c r="AF146" s="164"/>
      <c r="AG146" s="164"/>
      <c r="AH146" s="164"/>
      <c r="AI146" s="164"/>
      <c r="AJ146" s="164"/>
      <c r="AK146" s="164"/>
      <c r="AL146" s="164"/>
      <c r="AM146" s="164"/>
      <c r="AN146" s="164"/>
      <c r="AO146" s="164"/>
      <c r="AP146" s="164"/>
      <c r="AQ146" s="164"/>
      <c r="AR146" s="164"/>
      <c r="AS146" s="164"/>
      <c r="AT146" s="164"/>
      <c r="AU146" s="164"/>
      <c r="AV146" s="164"/>
      <c r="AW146" s="164"/>
      <c r="AX146" s="164"/>
    </row>
    <row r="147" spans="21:50" x14ac:dyDescent="0.25">
      <c r="U147" s="164"/>
      <c r="V147" s="164"/>
      <c r="W147" s="164"/>
      <c r="X147" s="164"/>
      <c r="Y147" s="164"/>
      <c r="Z147" s="164"/>
      <c r="AA147" s="164"/>
      <c r="AB147" s="164"/>
      <c r="AC147" s="164"/>
      <c r="AE147" s="164"/>
      <c r="AF147" s="164"/>
      <c r="AG147" s="164"/>
      <c r="AH147" s="164"/>
      <c r="AI147" s="164"/>
      <c r="AJ147" s="164"/>
      <c r="AK147" s="164"/>
      <c r="AL147" s="164"/>
      <c r="AM147" s="164"/>
      <c r="AN147" s="164"/>
      <c r="AO147" s="164"/>
      <c r="AP147" s="164"/>
      <c r="AQ147" s="164"/>
      <c r="AR147" s="164"/>
      <c r="AS147" s="164"/>
      <c r="AT147" s="164"/>
      <c r="AU147" s="164"/>
      <c r="AV147" s="164"/>
      <c r="AW147" s="164"/>
      <c r="AX147" s="164"/>
    </row>
    <row r="148" spans="21:50" x14ac:dyDescent="0.25">
      <c r="U148" s="164"/>
      <c r="V148" s="164"/>
      <c r="W148" s="164"/>
      <c r="X148" s="164"/>
      <c r="Y148" s="164"/>
      <c r="Z148" s="164"/>
      <c r="AA148" s="164"/>
      <c r="AB148" s="164"/>
      <c r="AC148" s="164"/>
      <c r="AE148" s="164"/>
      <c r="AF148" s="164"/>
      <c r="AG148" s="164"/>
      <c r="AH148" s="164"/>
      <c r="AI148" s="164"/>
      <c r="AJ148" s="164"/>
      <c r="AK148" s="164"/>
      <c r="AL148" s="164"/>
      <c r="AM148" s="164"/>
      <c r="AN148" s="164"/>
      <c r="AO148" s="164"/>
      <c r="AP148" s="164"/>
      <c r="AQ148" s="164"/>
      <c r="AR148" s="164"/>
      <c r="AS148" s="164"/>
      <c r="AT148" s="164"/>
      <c r="AU148" s="164"/>
      <c r="AV148" s="164"/>
      <c r="AW148" s="164"/>
      <c r="AX148" s="164"/>
    </row>
    <row r="149" spans="21:50" x14ac:dyDescent="0.25">
      <c r="U149" s="164"/>
      <c r="V149" s="164"/>
      <c r="W149" s="164"/>
      <c r="X149" s="164"/>
      <c r="Y149" s="164"/>
      <c r="Z149" s="164"/>
      <c r="AA149" s="164"/>
      <c r="AB149" s="164"/>
      <c r="AC149" s="164"/>
      <c r="AE149" s="164"/>
      <c r="AF149" s="164"/>
      <c r="AG149" s="164"/>
      <c r="AH149" s="164"/>
      <c r="AI149" s="164"/>
      <c r="AJ149" s="164"/>
      <c r="AK149" s="164"/>
      <c r="AL149" s="164"/>
      <c r="AM149" s="164"/>
      <c r="AN149" s="164"/>
      <c r="AO149" s="164"/>
      <c r="AP149" s="164"/>
      <c r="AQ149" s="164"/>
      <c r="AR149" s="164"/>
      <c r="AS149" s="164"/>
      <c r="AT149" s="164"/>
      <c r="AU149" s="164"/>
      <c r="AV149" s="164"/>
      <c r="AW149" s="164"/>
      <c r="AX149" s="164"/>
    </row>
    <row r="150" spans="21:50" x14ac:dyDescent="0.25">
      <c r="U150" s="164"/>
      <c r="V150" s="164"/>
      <c r="W150" s="164"/>
      <c r="X150" s="164"/>
      <c r="Y150" s="164"/>
      <c r="Z150" s="164"/>
      <c r="AA150" s="164"/>
      <c r="AB150" s="164"/>
      <c r="AC150" s="164"/>
      <c r="AE150" s="164"/>
      <c r="AF150" s="164"/>
      <c r="AG150" s="164"/>
      <c r="AH150" s="164"/>
      <c r="AI150" s="164"/>
      <c r="AJ150" s="164"/>
      <c r="AK150" s="164"/>
      <c r="AL150" s="164"/>
      <c r="AM150" s="164"/>
      <c r="AN150" s="164"/>
      <c r="AO150" s="164"/>
      <c r="AP150" s="164"/>
      <c r="AQ150" s="164"/>
      <c r="AR150" s="164"/>
      <c r="AS150" s="164"/>
      <c r="AT150" s="164"/>
      <c r="AU150" s="164"/>
      <c r="AV150" s="164"/>
      <c r="AW150" s="164"/>
      <c r="AX150" s="164"/>
    </row>
    <row r="151" spans="21:50" x14ac:dyDescent="0.25">
      <c r="U151" s="164"/>
      <c r="V151" s="164"/>
      <c r="W151" s="164"/>
      <c r="X151" s="164"/>
      <c r="Y151" s="164"/>
      <c r="Z151" s="164"/>
      <c r="AA151" s="164"/>
      <c r="AB151" s="164"/>
      <c r="AC151" s="164"/>
      <c r="AE151" s="164"/>
      <c r="AF151" s="164"/>
      <c r="AG151" s="164"/>
      <c r="AH151" s="164"/>
      <c r="AI151" s="164"/>
      <c r="AJ151" s="164"/>
      <c r="AK151" s="164"/>
      <c r="AL151" s="164"/>
      <c r="AM151" s="164"/>
      <c r="AN151" s="164"/>
      <c r="AO151" s="164"/>
      <c r="AP151" s="164"/>
      <c r="AQ151" s="164"/>
      <c r="AR151" s="164"/>
      <c r="AS151" s="164"/>
      <c r="AT151" s="164"/>
      <c r="AU151" s="164"/>
      <c r="AV151" s="164"/>
      <c r="AW151" s="164"/>
      <c r="AX151" s="164"/>
    </row>
    <row r="152" spans="21:50" x14ac:dyDescent="0.25">
      <c r="U152" s="164"/>
      <c r="V152" s="164"/>
      <c r="W152" s="164"/>
      <c r="X152" s="164"/>
      <c r="Y152" s="164"/>
      <c r="Z152" s="164"/>
      <c r="AA152" s="164"/>
      <c r="AB152" s="164"/>
      <c r="AC152" s="164"/>
      <c r="AE152" s="164"/>
      <c r="AF152" s="164"/>
      <c r="AG152" s="164"/>
      <c r="AH152" s="164"/>
      <c r="AI152" s="164"/>
      <c r="AJ152" s="164"/>
      <c r="AK152" s="164"/>
      <c r="AL152" s="164"/>
      <c r="AM152" s="164"/>
      <c r="AN152" s="164"/>
      <c r="AO152" s="164"/>
      <c r="AP152" s="164"/>
      <c r="AQ152" s="164"/>
      <c r="AR152" s="164"/>
      <c r="AS152" s="164"/>
      <c r="AT152" s="164"/>
      <c r="AU152" s="164"/>
      <c r="AV152" s="164"/>
      <c r="AW152" s="164"/>
      <c r="AX152" s="164"/>
    </row>
    <row r="153" spans="21:50" x14ac:dyDescent="0.25">
      <c r="U153" s="164"/>
      <c r="V153" s="164"/>
      <c r="W153" s="164"/>
      <c r="X153" s="164"/>
      <c r="Y153" s="164"/>
      <c r="Z153" s="164"/>
      <c r="AA153" s="164"/>
      <c r="AB153" s="164"/>
      <c r="AC153" s="164"/>
      <c r="AE153" s="164"/>
      <c r="AF153" s="164"/>
      <c r="AG153" s="164"/>
      <c r="AH153" s="164"/>
      <c r="AI153" s="164"/>
      <c r="AJ153" s="164"/>
      <c r="AK153" s="164"/>
      <c r="AL153" s="164"/>
      <c r="AM153" s="164"/>
      <c r="AN153" s="164"/>
      <c r="AO153" s="164"/>
      <c r="AP153" s="164"/>
      <c r="AQ153" s="164"/>
      <c r="AR153" s="164"/>
      <c r="AS153" s="164"/>
      <c r="AT153" s="164"/>
      <c r="AU153" s="164"/>
      <c r="AV153" s="164"/>
      <c r="AW153" s="164"/>
      <c r="AX153" s="164"/>
    </row>
    <row r="154" spans="21:50" x14ac:dyDescent="0.25">
      <c r="U154" s="164"/>
      <c r="V154" s="164"/>
      <c r="W154" s="164"/>
      <c r="X154" s="164"/>
      <c r="Y154" s="164"/>
      <c r="Z154" s="164"/>
      <c r="AA154" s="164"/>
      <c r="AB154" s="164"/>
      <c r="AC154" s="164"/>
      <c r="AE154" s="164"/>
      <c r="AF154" s="164"/>
      <c r="AG154" s="164"/>
      <c r="AH154" s="164"/>
      <c r="AI154" s="164"/>
      <c r="AJ154" s="164"/>
      <c r="AK154" s="164"/>
      <c r="AL154" s="164"/>
      <c r="AM154" s="164"/>
      <c r="AN154" s="164"/>
      <c r="AO154" s="164"/>
      <c r="AP154" s="164"/>
      <c r="AQ154" s="164"/>
      <c r="AR154" s="164"/>
      <c r="AS154" s="164"/>
      <c r="AT154" s="164"/>
      <c r="AU154" s="164"/>
      <c r="AV154" s="164"/>
      <c r="AW154" s="164"/>
      <c r="AX154" s="164"/>
    </row>
    <row r="155" spans="21:50" x14ac:dyDescent="0.25">
      <c r="U155" s="164"/>
      <c r="V155" s="164"/>
      <c r="W155" s="164"/>
      <c r="X155" s="164"/>
      <c r="Y155" s="164"/>
      <c r="Z155" s="164"/>
      <c r="AA155" s="164"/>
      <c r="AB155" s="164"/>
      <c r="AC155" s="164"/>
      <c r="AE155" s="164"/>
      <c r="AF155" s="164"/>
      <c r="AG155" s="164"/>
      <c r="AH155" s="164"/>
      <c r="AI155" s="164"/>
      <c r="AJ155" s="164"/>
      <c r="AK155" s="164"/>
      <c r="AL155" s="164"/>
      <c r="AM155" s="164"/>
      <c r="AN155" s="164"/>
      <c r="AO155" s="164"/>
      <c r="AP155" s="164"/>
      <c r="AQ155" s="164"/>
      <c r="AR155" s="164"/>
      <c r="AS155" s="164"/>
      <c r="AT155" s="164"/>
      <c r="AU155" s="164"/>
      <c r="AV155" s="164"/>
      <c r="AW155" s="164"/>
      <c r="AX155" s="164"/>
    </row>
    <row r="156" spans="21:50" x14ac:dyDescent="0.25">
      <c r="U156" s="164"/>
      <c r="V156" s="164"/>
      <c r="W156" s="164"/>
      <c r="X156" s="164"/>
      <c r="Y156" s="164"/>
      <c r="Z156" s="164"/>
      <c r="AA156" s="164"/>
      <c r="AB156" s="164"/>
      <c r="AC156" s="164"/>
      <c r="AE156" s="164"/>
      <c r="AF156" s="164"/>
      <c r="AG156" s="164"/>
      <c r="AH156" s="164"/>
      <c r="AI156" s="164"/>
      <c r="AJ156" s="164"/>
      <c r="AK156" s="164"/>
      <c r="AL156" s="164"/>
      <c r="AM156" s="164"/>
      <c r="AN156" s="164"/>
      <c r="AO156" s="164"/>
      <c r="AP156" s="164"/>
      <c r="AQ156" s="164"/>
      <c r="AR156" s="164"/>
      <c r="AS156" s="164"/>
      <c r="AT156" s="164"/>
      <c r="AU156" s="164"/>
      <c r="AV156" s="164"/>
      <c r="AW156" s="164"/>
      <c r="AX156" s="164"/>
    </row>
    <row r="157" spans="21:50" x14ac:dyDescent="0.25">
      <c r="U157" s="164"/>
      <c r="V157" s="164"/>
      <c r="W157" s="164"/>
      <c r="X157" s="164"/>
      <c r="Y157" s="164"/>
      <c r="Z157" s="164"/>
      <c r="AA157" s="164"/>
      <c r="AB157" s="164"/>
      <c r="AC157" s="164"/>
      <c r="AE157" s="164"/>
      <c r="AF157" s="164"/>
      <c r="AG157" s="164"/>
      <c r="AH157" s="164"/>
      <c r="AI157" s="164"/>
      <c r="AJ157" s="164"/>
      <c r="AK157" s="164"/>
      <c r="AL157" s="164"/>
      <c r="AM157" s="164"/>
      <c r="AN157" s="164"/>
      <c r="AO157" s="164"/>
      <c r="AP157" s="164"/>
      <c r="AQ157" s="164"/>
      <c r="AR157" s="164"/>
      <c r="AS157" s="164"/>
      <c r="AT157" s="164"/>
      <c r="AU157" s="164"/>
      <c r="AV157" s="164"/>
      <c r="AW157" s="164"/>
      <c r="AX157" s="164"/>
    </row>
    <row r="158" spans="21:50" x14ac:dyDescent="0.25">
      <c r="U158" s="164"/>
      <c r="V158" s="164"/>
      <c r="W158" s="164"/>
      <c r="X158" s="164"/>
      <c r="Y158" s="164"/>
      <c r="Z158" s="164"/>
      <c r="AA158" s="164"/>
      <c r="AB158" s="164"/>
      <c r="AC158" s="164"/>
      <c r="AE158" s="164"/>
      <c r="AF158" s="164"/>
      <c r="AG158" s="164"/>
      <c r="AH158" s="164"/>
      <c r="AI158" s="164"/>
      <c r="AJ158" s="164"/>
      <c r="AK158" s="164"/>
      <c r="AL158" s="164"/>
      <c r="AM158" s="164"/>
      <c r="AN158" s="164"/>
      <c r="AO158" s="164"/>
      <c r="AP158" s="164"/>
      <c r="AQ158" s="164"/>
      <c r="AR158" s="164"/>
      <c r="AS158" s="164"/>
      <c r="AT158" s="164"/>
      <c r="AU158" s="164"/>
      <c r="AV158" s="164"/>
      <c r="AW158" s="164"/>
      <c r="AX158" s="164"/>
    </row>
    <row r="159" spans="21:50" x14ac:dyDescent="0.25">
      <c r="U159" s="164"/>
      <c r="V159" s="164"/>
      <c r="W159" s="164"/>
      <c r="X159" s="164"/>
      <c r="Y159" s="164"/>
      <c r="Z159" s="164"/>
      <c r="AA159" s="164"/>
      <c r="AB159" s="164"/>
      <c r="AC159" s="164"/>
      <c r="AE159" s="164"/>
      <c r="AF159" s="164"/>
      <c r="AG159" s="164"/>
      <c r="AH159" s="164"/>
      <c r="AI159" s="164"/>
      <c r="AJ159" s="164"/>
      <c r="AK159" s="164"/>
      <c r="AL159" s="164"/>
      <c r="AM159" s="164"/>
      <c r="AN159" s="164"/>
      <c r="AO159" s="164"/>
      <c r="AP159" s="164"/>
      <c r="AQ159" s="164"/>
      <c r="AR159" s="164"/>
      <c r="AS159" s="164"/>
      <c r="AT159" s="164"/>
      <c r="AU159" s="164"/>
      <c r="AV159" s="164"/>
      <c r="AW159" s="164"/>
      <c r="AX159" s="164"/>
    </row>
    <row r="160" spans="21:50" x14ac:dyDescent="0.25">
      <c r="U160" s="164"/>
      <c r="V160" s="164"/>
      <c r="W160" s="164"/>
      <c r="X160" s="164"/>
      <c r="Y160" s="164"/>
      <c r="Z160" s="164"/>
      <c r="AA160" s="164"/>
      <c r="AB160" s="164"/>
      <c r="AC160" s="164"/>
      <c r="AE160" s="164"/>
      <c r="AF160" s="164"/>
      <c r="AG160" s="164"/>
      <c r="AH160" s="164"/>
      <c r="AI160" s="164"/>
      <c r="AJ160" s="164"/>
      <c r="AK160" s="164"/>
      <c r="AL160" s="164"/>
      <c r="AM160" s="164"/>
      <c r="AN160" s="164"/>
      <c r="AO160" s="164"/>
      <c r="AP160" s="164"/>
      <c r="AQ160" s="164"/>
      <c r="AR160" s="164"/>
      <c r="AS160" s="164"/>
      <c r="AT160" s="164"/>
      <c r="AU160" s="164"/>
      <c r="AV160" s="164"/>
      <c r="AW160" s="164"/>
      <c r="AX160" s="164"/>
    </row>
    <row r="161" spans="21:50" x14ac:dyDescent="0.25">
      <c r="U161" s="164"/>
      <c r="V161" s="164"/>
      <c r="W161" s="164"/>
      <c r="X161" s="164"/>
      <c r="Y161" s="164"/>
      <c r="Z161" s="164"/>
      <c r="AA161" s="164"/>
      <c r="AB161" s="164"/>
      <c r="AC161" s="164"/>
      <c r="AE161" s="164"/>
      <c r="AF161" s="164"/>
      <c r="AG161" s="164"/>
      <c r="AH161" s="164"/>
      <c r="AI161" s="164"/>
      <c r="AJ161" s="164"/>
      <c r="AK161" s="164"/>
      <c r="AL161" s="164"/>
      <c r="AM161" s="164"/>
      <c r="AN161" s="164"/>
      <c r="AO161" s="164"/>
      <c r="AP161" s="164"/>
      <c r="AQ161" s="164"/>
      <c r="AR161" s="164"/>
      <c r="AS161" s="164"/>
      <c r="AT161" s="164"/>
      <c r="AU161" s="164"/>
      <c r="AV161" s="164"/>
      <c r="AW161" s="164"/>
      <c r="AX161" s="164"/>
    </row>
    <row r="162" spans="21:50" x14ac:dyDescent="0.25">
      <c r="U162" s="164"/>
      <c r="V162" s="164"/>
      <c r="W162" s="164"/>
      <c r="X162" s="164"/>
      <c r="Y162" s="164"/>
      <c r="Z162" s="164"/>
      <c r="AA162" s="164"/>
      <c r="AB162" s="164"/>
      <c r="AC162" s="164"/>
      <c r="AE162" s="164"/>
      <c r="AF162" s="164"/>
      <c r="AG162" s="164"/>
      <c r="AH162" s="164"/>
      <c r="AI162" s="164"/>
      <c r="AJ162" s="164"/>
      <c r="AK162" s="164"/>
      <c r="AL162" s="164"/>
      <c r="AM162" s="164"/>
      <c r="AN162" s="164"/>
      <c r="AO162" s="164"/>
      <c r="AP162" s="164"/>
      <c r="AQ162" s="164"/>
      <c r="AR162" s="164"/>
      <c r="AS162" s="164"/>
      <c r="AT162" s="164"/>
      <c r="AU162" s="164"/>
      <c r="AV162" s="164"/>
      <c r="AW162" s="164"/>
      <c r="AX162" s="164"/>
    </row>
    <row r="163" spans="21:50" x14ac:dyDescent="0.25">
      <c r="U163" s="164"/>
      <c r="V163" s="164"/>
      <c r="W163" s="164"/>
      <c r="X163" s="164"/>
      <c r="Y163" s="164"/>
      <c r="Z163" s="164"/>
      <c r="AA163" s="164"/>
      <c r="AB163" s="164"/>
      <c r="AC163" s="164"/>
      <c r="AE163" s="164"/>
      <c r="AF163" s="164"/>
      <c r="AG163" s="164"/>
      <c r="AH163" s="164"/>
      <c r="AI163" s="164"/>
      <c r="AJ163" s="164"/>
      <c r="AK163" s="164"/>
      <c r="AL163" s="164"/>
      <c r="AM163" s="164"/>
      <c r="AN163" s="164"/>
      <c r="AO163" s="164"/>
      <c r="AP163" s="164"/>
      <c r="AQ163" s="164"/>
      <c r="AR163" s="164"/>
      <c r="AS163" s="164"/>
      <c r="AT163" s="164"/>
      <c r="AU163" s="164"/>
      <c r="AV163" s="164"/>
      <c r="AW163" s="164"/>
      <c r="AX163" s="164"/>
    </row>
    <row r="164" spans="21:50" x14ac:dyDescent="0.25">
      <c r="U164" s="164"/>
      <c r="V164" s="164"/>
      <c r="W164" s="164"/>
      <c r="X164" s="164"/>
      <c r="Y164" s="164"/>
      <c r="Z164" s="164"/>
      <c r="AA164" s="164"/>
      <c r="AB164" s="164"/>
      <c r="AC164" s="164"/>
      <c r="AE164" s="164"/>
      <c r="AF164" s="164"/>
      <c r="AG164" s="164"/>
      <c r="AH164" s="164"/>
      <c r="AI164" s="164"/>
      <c r="AJ164" s="164"/>
      <c r="AK164" s="164"/>
      <c r="AL164" s="164"/>
      <c r="AM164" s="164"/>
      <c r="AN164" s="164"/>
      <c r="AO164" s="164"/>
      <c r="AP164" s="164"/>
      <c r="AQ164" s="164"/>
      <c r="AR164" s="164"/>
      <c r="AS164" s="164"/>
      <c r="AT164" s="164"/>
      <c r="AU164" s="164"/>
      <c r="AV164" s="164"/>
      <c r="AW164" s="164"/>
      <c r="AX164" s="164"/>
    </row>
    <row r="165" spans="21:50" x14ac:dyDescent="0.25">
      <c r="U165" s="164"/>
      <c r="V165" s="164"/>
      <c r="W165" s="164"/>
      <c r="X165" s="164"/>
      <c r="Y165" s="164"/>
      <c r="Z165" s="164"/>
      <c r="AA165" s="164"/>
      <c r="AB165" s="164"/>
      <c r="AC165" s="164"/>
      <c r="AE165" s="164"/>
      <c r="AF165" s="164"/>
      <c r="AG165" s="164"/>
      <c r="AH165" s="164"/>
      <c r="AI165" s="164"/>
      <c r="AJ165" s="164"/>
      <c r="AK165" s="164"/>
      <c r="AL165" s="164"/>
      <c r="AM165" s="164"/>
      <c r="AN165" s="164"/>
      <c r="AO165" s="164"/>
      <c r="AP165" s="164"/>
      <c r="AQ165" s="164"/>
      <c r="AR165" s="164"/>
      <c r="AS165" s="164"/>
      <c r="AT165" s="164"/>
      <c r="AU165" s="164"/>
      <c r="AV165" s="164"/>
      <c r="AW165" s="164"/>
      <c r="AX165" s="164"/>
    </row>
    <row r="166" spans="21:50" x14ac:dyDescent="0.25">
      <c r="U166" s="164"/>
      <c r="V166" s="164"/>
      <c r="W166" s="164"/>
      <c r="X166" s="164"/>
      <c r="Y166" s="164"/>
      <c r="Z166" s="164"/>
      <c r="AA166" s="164"/>
      <c r="AB166" s="164"/>
      <c r="AC166" s="164"/>
      <c r="AE166" s="164"/>
      <c r="AF166" s="164"/>
      <c r="AG166" s="164"/>
      <c r="AH166" s="164"/>
      <c r="AI166" s="164"/>
      <c r="AJ166" s="164"/>
      <c r="AK166" s="164"/>
      <c r="AL166" s="164"/>
      <c r="AM166" s="164"/>
      <c r="AN166" s="164"/>
      <c r="AO166" s="164"/>
      <c r="AP166" s="164"/>
      <c r="AQ166" s="164"/>
      <c r="AR166" s="164"/>
      <c r="AS166" s="164"/>
      <c r="AT166" s="164"/>
      <c r="AU166" s="164"/>
      <c r="AV166" s="164"/>
      <c r="AW166" s="164"/>
      <c r="AX166" s="164"/>
    </row>
    <row r="167" spans="21:50" x14ac:dyDescent="0.25">
      <c r="U167" s="164"/>
      <c r="V167" s="164"/>
      <c r="W167" s="164"/>
      <c r="X167" s="164"/>
      <c r="Y167" s="164"/>
      <c r="Z167" s="164"/>
      <c r="AA167" s="164"/>
      <c r="AB167" s="164"/>
      <c r="AC167" s="164"/>
      <c r="AE167" s="164"/>
      <c r="AF167" s="164"/>
      <c r="AG167" s="164"/>
      <c r="AH167" s="164"/>
      <c r="AI167" s="164"/>
      <c r="AJ167" s="164"/>
      <c r="AK167" s="164"/>
      <c r="AL167" s="164"/>
      <c r="AM167" s="164"/>
      <c r="AN167" s="164"/>
      <c r="AO167" s="164"/>
      <c r="AP167" s="164"/>
      <c r="AQ167" s="164"/>
      <c r="AR167" s="164"/>
      <c r="AS167" s="164"/>
      <c r="AT167" s="164"/>
      <c r="AU167" s="164"/>
      <c r="AV167" s="164"/>
      <c r="AW167" s="164"/>
      <c r="AX167" s="164"/>
    </row>
    <row r="168" spans="21:50" x14ac:dyDescent="0.25">
      <c r="U168" s="164"/>
      <c r="V168" s="164"/>
      <c r="W168" s="164"/>
      <c r="X168" s="164"/>
      <c r="Y168" s="164"/>
      <c r="Z168" s="164"/>
      <c r="AA168" s="164"/>
      <c r="AB168" s="164"/>
      <c r="AC168" s="164"/>
      <c r="AE168" s="164"/>
      <c r="AF168" s="164"/>
      <c r="AG168" s="164"/>
      <c r="AH168" s="164"/>
      <c r="AI168" s="164"/>
      <c r="AJ168" s="164"/>
      <c r="AK168" s="164"/>
      <c r="AL168" s="164"/>
      <c r="AM168" s="164"/>
      <c r="AN168" s="164"/>
      <c r="AO168" s="164"/>
      <c r="AP168" s="164"/>
      <c r="AQ168" s="164"/>
      <c r="AR168" s="164"/>
      <c r="AS168" s="164"/>
      <c r="AT168" s="164"/>
      <c r="AU168" s="164"/>
      <c r="AV168" s="164"/>
      <c r="AW168" s="164"/>
      <c r="AX168" s="164"/>
    </row>
    <row r="169" spans="21:50" x14ac:dyDescent="0.25">
      <c r="U169" s="164"/>
      <c r="V169" s="164"/>
      <c r="W169" s="164"/>
      <c r="X169" s="164"/>
      <c r="Y169" s="164"/>
      <c r="Z169" s="164"/>
      <c r="AA169" s="164"/>
      <c r="AB169" s="164"/>
      <c r="AC169" s="164"/>
      <c r="AE169" s="164"/>
      <c r="AF169" s="164"/>
      <c r="AG169" s="164"/>
      <c r="AH169" s="164"/>
      <c r="AI169" s="164"/>
      <c r="AJ169" s="164"/>
      <c r="AK169" s="164"/>
      <c r="AL169" s="164"/>
      <c r="AM169" s="164"/>
      <c r="AN169" s="164"/>
      <c r="AO169" s="164"/>
      <c r="AP169" s="164"/>
      <c r="AQ169" s="164"/>
      <c r="AR169" s="164"/>
      <c r="AS169" s="164"/>
      <c r="AT169" s="164"/>
      <c r="AU169" s="164"/>
      <c r="AV169" s="164"/>
      <c r="AW169" s="164"/>
      <c r="AX169" s="164"/>
    </row>
    <row r="170" spans="21:50" x14ac:dyDescent="0.25">
      <c r="U170" s="164"/>
      <c r="V170" s="164"/>
      <c r="W170" s="164"/>
      <c r="X170" s="164"/>
      <c r="Y170" s="164"/>
      <c r="Z170" s="164"/>
      <c r="AA170" s="164"/>
      <c r="AB170" s="164"/>
      <c r="AC170" s="164"/>
      <c r="AE170" s="164"/>
      <c r="AF170" s="164"/>
      <c r="AG170" s="164"/>
      <c r="AH170" s="164"/>
      <c r="AI170" s="164"/>
      <c r="AJ170" s="164"/>
      <c r="AK170" s="164"/>
      <c r="AL170" s="164"/>
      <c r="AM170" s="164"/>
      <c r="AN170" s="164"/>
      <c r="AO170" s="164"/>
      <c r="AP170" s="164"/>
      <c r="AQ170" s="164"/>
      <c r="AR170" s="164"/>
      <c r="AS170" s="164"/>
      <c r="AT170" s="164"/>
      <c r="AU170" s="164"/>
      <c r="AV170" s="164"/>
      <c r="AW170" s="164"/>
      <c r="AX170" s="164"/>
    </row>
    <row r="171" spans="21:50" x14ac:dyDescent="0.25">
      <c r="U171" s="164"/>
      <c r="V171" s="164"/>
      <c r="W171" s="164"/>
      <c r="X171" s="164"/>
      <c r="Y171" s="164"/>
      <c r="Z171" s="164"/>
      <c r="AA171" s="164"/>
      <c r="AB171" s="164"/>
      <c r="AC171" s="164"/>
      <c r="AE171" s="164"/>
      <c r="AF171" s="164"/>
      <c r="AG171" s="164"/>
      <c r="AH171" s="164"/>
      <c r="AI171" s="164"/>
      <c r="AJ171" s="164"/>
      <c r="AK171" s="164"/>
      <c r="AL171" s="164"/>
      <c r="AM171" s="164"/>
      <c r="AN171" s="164"/>
      <c r="AO171" s="164"/>
      <c r="AP171" s="164"/>
      <c r="AQ171" s="164"/>
      <c r="AR171" s="164"/>
      <c r="AS171" s="164"/>
      <c r="AT171" s="164"/>
      <c r="AU171" s="164"/>
      <c r="AV171" s="164"/>
      <c r="AW171" s="164"/>
      <c r="AX171" s="164"/>
    </row>
    <row r="172" spans="21:50" x14ac:dyDescent="0.25">
      <c r="U172" s="164"/>
      <c r="V172" s="164"/>
      <c r="W172" s="164"/>
      <c r="X172" s="164"/>
      <c r="Y172" s="164"/>
      <c r="Z172" s="164"/>
      <c r="AA172" s="164"/>
      <c r="AB172" s="164"/>
      <c r="AC172" s="164"/>
      <c r="AE172" s="164"/>
      <c r="AF172" s="164"/>
      <c r="AG172" s="164"/>
      <c r="AH172" s="164"/>
      <c r="AI172" s="164"/>
      <c r="AJ172" s="164"/>
      <c r="AK172" s="164"/>
      <c r="AL172" s="164"/>
      <c r="AM172" s="164"/>
      <c r="AN172" s="164"/>
      <c r="AO172" s="164"/>
      <c r="AP172" s="164"/>
      <c r="AQ172" s="164"/>
      <c r="AR172" s="164"/>
      <c r="AS172" s="164"/>
      <c r="AT172" s="164"/>
      <c r="AU172" s="164"/>
      <c r="AV172" s="164"/>
      <c r="AW172" s="164"/>
      <c r="AX172" s="164"/>
    </row>
    <row r="173" spans="21:50" x14ac:dyDescent="0.25">
      <c r="U173" s="164"/>
      <c r="V173" s="164"/>
      <c r="W173" s="164"/>
      <c r="X173" s="164"/>
      <c r="Y173" s="164"/>
      <c r="Z173" s="164"/>
      <c r="AA173" s="164"/>
      <c r="AB173" s="164"/>
      <c r="AC173" s="164"/>
      <c r="AE173" s="164"/>
      <c r="AF173" s="164"/>
      <c r="AG173" s="164"/>
      <c r="AH173" s="164"/>
      <c r="AI173" s="164"/>
      <c r="AJ173" s="164"/>
      <c r="AK173" s="164"/>
      <c r="AL173" s="164"/>
      <c r="AM173" s="164"/>
      <c r="AN173" s="164"/>
      <c r="AO173" s="164"/>
      <c r="AP173" s="164"/>
      <c r="AQ173" s="164"/>
      <c r="AR173" s="164"/>
      <c r="AS173" s="164"/>
      <c r="AT173" s="164"/>
      <c r="AU173" s="164"/>
      <c r="AV173" s="164"/>
      <c r="AW173" s="164"/>
      <c r="AX173" s="164"/>
    </row>
    <row r="174" spans="21:50" x14ac:dyDescent="0.25">
      <c r="U174" s="164"/>
      <c r="V174" s="164"/>
      <c r="W174" s="164"/>
      <c r="X174" s="164"/>
      <c r="Y174" s="164"/>
      <c r="Z174" s="164"/>
      <c r="AA174" s="164"/>
      <c r="AB174" s="164"/>
      <c r="AC174" s="164"/>
      <c r="AE174" s="164"/>
      <c r="AF174" s="164"/>
      <c r="AG174" s="164"/>
      <c r="AH174" s="164"/>
      <c r="AI174" s="164"/>
      <c r="AJ174" s="164"/>
      <c r="AK174" s="164"/>
      <c r="AL174" s="164"/>
      <c r="AM174" s="164"/>
      <c r="AN174" s="164"/>
      <c r="AO174" s="164"/>
      <c r="AP174" s="164"/>
      <c r="AQ174" s="164"/>
      <c r="AR174" s="164"/>
      <c r="AS174" s="164"/>
      <c r="AT174" s="164"/>
      <c r="AU174" s="164"/>
      <c r="AV174" s="164"/>
      <c r="AW174" s="164"/>
      <c r="AX174" s="164"/>
    </row>
    <row r="175" spans="21:50" x14ac:dyDescent="0.25">
      <c r="U175" s="164"/>
      <c r="V175" s="164"/>
      <c r="W175" s="164"/>
      <c r="X175" s="164"/>
      <c r="Y175" s="164"/>
      <c r="Z175" s="164"/>
      <c r="AA175" s="164"/>
      <c r="AB175" s="164"/>
      <c r="AC175" s="164"/>
      <c r="AE175" s="164"/>
      <c r="AF175" s="164"/>
      <c r="AG175" s="164"/>
      <c r="AH175" s="164"/>
      <c r="AI175" s="164"/>
      <c r="AJ175" s="164"/>
      <c r="AK175" s="164"/>
      <c r="AL175" s="164"/>
      <c r="AM175" s="164"/>
      <c r="AN175" s="164"/>
      <c r="AO175" s="164"/>
      <c r="AP175" s="164"/>
      <c r="AQ175" s="164"/>
      <c r="AR175" s="164"/>
      <c r="AS175" s="164"/>
      <c r="AT175" s="164"/>
      <c r="AU175" s="164"/>
      <c r="AV175" s="164"/>
      <c r="AW175" s="164"/>
      <c r="AX175" s="164"/>
    </row>
    <row r="176" spans="21:50" x14ac:dyDescent="0.25">
      <c r="U176" s="164"/>
      <c r="V176" s="164"/>
      <c r="W176" s="164"/>
      <c r="X176" s="164"/>
      <c r="Y176" s="164"/>
      <c r="Z176" s="164"/>
      <c r="AA176" s="164"/>
      <c r="AB176" s="164"/>
      <c r="AC176" s="164"/>
      <c r="AE176" s="164"/>
      <c r="AF176" s="164"/>
      <c r="AG176" s="164"/>
      <c r="AH176" s="164"/>
      <c r="AI176" s="164"/>
      <c r="AJ176" s="164"/>
      <c r="AK176" s="164"/>
      <c r="AL176" s="164"/>
      <c r="AM176" s="164"/>
      <c r="AN176" s="164"/>
      <c r="AO176" s="164"/>
      <c r="AP176" s="164"/>
      <c r="AQ176" s="164"/>
      <c r="AR176" s="164"/>
      <c r="AS176" s="164"/>
      <c r="AT176" s="164"/>
      <c r="AU176" s="164"/>
      <c r="AV176" s="164"/>
      <c r="AW176" s="164"/>
      <c r="AX176" s="164"/>
    </row>
    <row r="177" spans="21:50" x14ac:dyDescent="0.25">
      <c r="U177" s="164"/>
      <c r="V177" s="164"/>
      <c r="W177" s="164"/>
      <c r="X177" s="164"/>
      <c r="Y177" s="164"/>
      <c r="Z177" s="164"/>
      <c r="AA177" s="164"/>
      <c r="AB177" s="164"/>
      <c r="AC177" s="164"/>
      <c r="AE177" s="164"/>
      <c r="AF177" s="164"/>
      <c r="AG177" s="164"/>
      <c r="AH177" s="164"/>
      <c r="AI177" s="164"/>
      <c r="AJ177" s="164"/>
      <c r="AK177" s="164"/>
      <c r="AL177" s="164"/>
      <c r="AM177" s="164"/>
      <c r="AN177" s="164"/>
      <c r="AO177" s="164"/>
      <c r="AP177" s="164"/>
      <c r="AQ177" s="164"/>
      <c r="AR177" s="164"/>
      <c r="AS177" s="164"/>
      <c r="AT177" s="164"/>
      <c r="AU177" s="164"/>
      <c r="AV177" s="164"/>
      <c r="AW177" s="164"/>
      <c r="AX177" s="164"/>
    </row>
    <row r="178" spans="21:50" x14ac:dyDescent="0.25">
      <c r="U178" s="164"/>
      <c r="V178" s="164"/>
      <c r="W178" s="164"/>
      <c r="X178" s="164"/>
      <c r="Y178" s="164"/>
      <c r="Z178" s="164"/>
      <c r="AA178" s="164"/>
      <c r="AB178" s="164"/>
      <c r="AC178" s="164"/>
      <c r="AE178" s="164"/>
      <c r="AF178" s="164"/>
      <c r="AG178" s="164"/>
      <c r="AH178" s="164"/>
      <c r="AI178" s="164"/>
      <c r="AJ178" s="164"/>
      <c r="AK178" s="164"/>
      <c r="AL178" s="164"/>
      <c r="AM178" s="164"/>
      <c r="AN178" s="164"/>
      <c r="AO178" s="164"/>
      <c r="AP178" s="164"/>
      <c r="AQ178" s="164"/>
      <c r="AR178" s="164"/>
      <c r="AS178" s="164"/>
      <c r="AT178" s="164"/>
      <c r="AU178" s="164"/>
      <c r="AV178" s="164"/>
      <c r="AW178" s="164"/>
      <c r="AX178" s="164"/>
    </row>
    <row r="179" spans="21:50" x14ac:dyDescent="0.25">
      <c r="U179" s="164"/>
      <c r="V179" s="164"/>
      <c r="W179" s="164"/>
      <c r="X179" s="164"/>
      <c r="Y179" s="164"/>
      <c r="Z179" s="164"/>
      <c r="AA179" s="164"/>
      <c r="AB179" s="164"/>
      <c r="AC179" s="164"/>
      <c r="AE179" s="164"/>
      <c r="AF179" s="164"/>
      <c r="AG179" s="164"/>
      <c r="AH179" s="164"/>
      <c r="AI179" s="164"/>
      <c r="AJ179" s="164"/>
      <c r="AK179" s="164"/>
      <c r="AL179" s="164"/>
      <c r="AM179" s="164"/>
      <c r="AN179" s="164"/>
      <c r="AO179" s="164"/>
      <c r="AP179" s="164"/>
      <c r="AQ179" s="164"/>
      <c r="AR179" s="164"/>
      <c r="AS179" s="164"/>
      <c r="AT179" s="164"/>
      <c r="AU179" s="164"/>
      <c r="AV179" s="164"/>
      <c r="AW179" s="164"/>
      <c r="AX179" s="164"/>
    </row>
    <row r="180" spans="21:50" x14ac:dyDescent="0.25">
      <c r="U180" s="164"/>
      <c r="V180" s="164"/>
      <c r="W180" s="164"/>
      <c r="X180" s="164"/>
      <c r="Y180" s="164"/>
      <c r="Z180" s="164"/>
      <c r="AA180" s="164"/>
      <c r="AB180" s="164"/>
      <c r="AC180" s="164"/>
      <c r="AE180" s="164"/>
      <c r="AF180" s="164"/>
      <c r="AG180" s="164"/>
      <c r="AH180" s="164"/>
      <c r="AI180" s="164"/>
      <c r="AJ180" s="164"/>
      <c r="AK180" s="164"/>
      <c r="AL180" s="164"/>
      <c r="AM180" s="164"/>
      <c r="AN180" s="164"/>
      <c r="AO180" s="164"/>
      <c r="AP180" s="164"/>
      <c r="AQ180" s="164"/>
      <c r="AR180" s="164"/>
      <c r="AS180" s="164"/>
      <c r="AT180" s="164"/>
      <c r="AU180" s="164"/>
      <c r="AV180" s="164"/>
      <c r="AW180" s="164"/>
      <c r="AX180" s="164"/>
    </row>
    <row r="181" spans="21:50" x14ac:dyDescent="0.25">
      <c r="U181" s="164"/>
      <c r="V181" s="164"/>
      <c r="W181" s="164"/>
      <c r="X181" s="164"/>
      <c r="Y181" s="164"/>
      <c r="Z181" s="164"/>
      <c r="AA181" s="164"/>
      <c r="AB181" s="164"/>
      <c r="AC181" s="164"/>
      <c r="AE181" s="164"/>
      <c r="AF181" s="164"/>
      <c r="AG181" s="164"/>
      <c r="AH181" s="164"/>
      <c r="AI181" s="164"/>
      <c r="AJ181" s="164"/>
      <c r="AK181" s="164"/>
      <c r="AL181" s="164"/>
      <c r="AM181" s="164"/>
      <c r="AN181" s="164"/>
      <c r="AO181" s="164"/>
      <c r="AP181" s="164"/>
      <c r="AQ181" s="164"/>
      <c r="AR181" s="164"/>
      <c r="AS181" s="164"/>
      <c r="AT181" s="164"/>
      <c r="AU181" s="164"/>
      <c r="AV181" s="164"/>
      <c r="AW181" s="164"/>
      <c r="AX181" s="164"/>
    </row>
    <row r="182" spans="21:50" x14ac:dyDescent="0.25">
      <c r="U182" s="164"/>
      <c r="V182" s="164"/>
      <c r="W182" s="164"/>
      <c r="X182" s="164"/>
      <c r="Y182" s="164"/>
      <c r="Z182" s="164"/>
      <c r="AA182" s="164"/>
      <c r="AB182" s="164"/>
      <c r="AC182" s="164"/>
      <c r="AE182" s="164"/>
      <c r="AF182" s="164"/>
      <c r="AG182" s="164"/>
      <c r="AH182" s="164"/>
      <c r="AI182" s="164"/>
      <c r="AJ182" s="164"/>
      <c r="AK182" s="164"/>
      <c r="AL182" s="164"/>
      <c r="AM182" s="164"/>
      <c r="AN182" s="164"/>
      <c r="AO182" s="164"/>
      <c r="AP182" s="164"/>
      <c r="AQ182" s="164"/>
      <c r="AR182" s="164"/>
      <c r="AS182" s="164"/>
      <c r="AT182" s="164"/>
      <c r="AU182" s="164"/>
      <c r="AV182" s="164"/>
      <c r="AW182" s="164"/>
      <c r="AX182" s="164"/>
    </row>
    <row r="183" spans="21:50" x14ac:dyDescent="0.25">
      <c r="U183" s="164"/>
      <c r="V183" s="164"/>
      <c r="W183" s="164"/>
      <c r="X183" s="164"/>
      <c r="Y183" s="164"/>
      <c r="Z183" s="164"/>
      <c r="AA183" s="164"/>
      <c r="AB183" s="164"/>
      <c r="AC183" s="164"/>
      <c r="AE183" s="164"/>
      <c r="AF183" s="164"/>
      <c r="AG183" s="164"/>
      <c r="AH183" s="164"/>
      <c r="AI183" s="164"/>
      <c r="AJ183" s="164"/>
      <c r="AK183" s="164"/>
      <c r="AL183" s="164"/>
      <c r="AM183" s="164"/>
      <c r="AN183" s="164"/>
      <c r="AO183" s="164"/>
      <c r="AP183" s="164"/>
      <c r="AQ183" s="164"/>
      <c r="AR183" s="164"/>
      <c r="AS183" s="164"/>
      <c r="AT183" s="164"/>
      <c r="AU183" s="164"/>
      <c r="AV183" s="164"/>
      <c r="AW183" s="164"/>
      <c r="AX183" s="164"/>
    </row>
  </sheetData>
  <sheetProtection formatColumns="0" deleteColumns="0" deleteRows="0" selectLockedCells="1"/>
  <mergeCells count="18">
    <mergeCell ref="B81:C81"/>
    <mergeCell ref="B65:B68"/>
    <mergeCell ref="B69:C69"/>
    <mergeCell ref="B71:B74"/>
    <mergeCell ref="B75:C75"/>
    <mergeCell ref="B77:B80"/>
    <mergeCell ref="B120:C120"/>
    <mergeCell ref="B84:B87"/>
    <mergeCell ref="B88:C88"/>
    <mergeCell ref="B90:B93"/>
    <mergeCell ref="B94:C94"/>
    <mergeCell ref="B96:B99"/>
    <mergeCell ref="B100:C100"/>
    <mergeCell ref="B104:B107"/>
    <mergeCell ref="B108:C108"/>
    <mergeCell ref="B110:B113"/>
    <mergeCell ref="B114:C114"/>
    <mergeCell ref="B116:B119"/>
  </mergeCells>
  <conditionalFormatting sqref="P3:P60">
    <cfRule type="expression" dxfId="365" priority="6">
      <formula>AND(P3&lt;&gt;"",P3&lt;&gt;"OUI")</formula>
    </cfRule>
  </conditionalFormatting>
  <conditionalFormatting sqref="AL3:AM60 S3:AH60">
    <cfRule type="expression" dxfId="364" priority="5" stopIfTrue="1">
      <formula>$AH3&lt;&gt;0</formula>
    </cfRule>
  </conditionalFormatting>
  <conditionalFormatting sqref="A6:E60 C3:E5 A3:A5">
    <cfRule type="expression" dxfId="363" priority="7" stopIfTrue="1">
      <formula>AND($I3&lt;&gt;"",AND($J3="",AND($AY3="",$AZ3="")))</formula>
    </cfRule>
    <cfRule type="expression" dxfId="362" priority="8" stopIfTrue="1">
      <formula>AND($J3&lt;&gt;"",AND($AY3="",$AZ3=""))</formula>
    </cfRule>
    <cfRule type="expression" dxfId="361" priority="9" stopIfTrue="1">
      <formula>AND($AY3&lt;&gt;"",$AZ3="")</formula>
    </cfRule>
    <cfRule type="expression" dxfId="360" priority="10" stopIfTrue="1">
      <formula>$AZ3="X"</formula>
    </cfRule>
  </conditionalFormatting>
  <conditionalFormatting sqref="B3:B5">
    <cfRule type="expression" dxfId="7" priority="1" stopIfTrue="1">
      <formula>AND($I3&lt;&gt;"",AND($J3="",AND($AY3="",$AZ3="")))</formula>
    </cfRule>
    <cfRule type="expression" dxfId="6" priority="2" stopIfTrue="1">
      <formula>AND($J3&lt;&gt;"",AND($AY3="",$AZ3=""))</formula>
    </cfRule>
    <cfRule type="expression" dxfId="5" priority="3" stopIfTrue="1">
      <formula>AND($AY3&lt;&gt;"",$AZ3="")</formula>
    </cfRule>
    <cfRule type="expression" dxfId="4" priority="4" stopIfTrue="1">
      <formula>$AZ3="X"</formula>
    </cfRule>
  </conditionalFormatting>
  <dataValidations count="11">
    <dataValidation type="list" allowBlank="1" showInputMessage="1" showErrorMessage="1" sqref="H3:H60">
      <formula1>"MENSUELLE,TRIMESTRIELLE,EXERCICE,ANNUELLE"</formula1>
    </dataValidation>
    <dataValidation type="list" allowBlank="1" showInputMessage="1" showErrorMessage="1" sqref="BG3:BI60">
      <formula1>"OUI,NON,N/C"</formula1>
    </dataValidation>
    <dataValidation type="list" allowBlank="1" showInputMessage="1" showErrorMessage="1" sqref="AL3:AL60">
      <formula1>"ABONNE COURT,ABONNE LONG"</formula1>
    </dataValidation>
    <dataValidation type="list" allowBlank="1" showInputMessage="1" showErrorMessage="1" sqref="P3:P60">
      <formula1>"OUI,NON,A TERMINER,A FAIRE"</formula1>
    </dataValidation>
    <dataValidation type="list" allowBlank="1" showInputMessage="1" showErrorMessage="1" sqref="AY3:BA60">
      <formula1>"X"</formula1>
    </dataValidation>
    <dataValidation type="list" allowBlank="1" showInputMessage="1" showErrorMessage="1" sqref="R3:R60">
      <formula1>"OUI,NON,A FAIRE,N/A"</formula1>
    </dataValidation>
    <dataValidation type="list" allowBlank="1" showInputMessage="1" showErrorMessage="1" sqref="Q3:Q60 AM3:AM60">
      <formula1>"OUI,NON"</formula1>
    </dataValidation>
    <dataValidation type="list" allowBlank="1" showInputMessage="1" showErrorMessage="1" sqref="O3:O60">
      <formula1>"COMPTABLE,CONSEILLER"</formula1>
    </dataValidation>
    <dataValidation type="list" allowBlank="1" showInputMessage="1" showErrorMessage="1" sqref="M3:N60">
      <formula1>"OUI,NON,A FAIRE"</formula1>
    </dataValidation>
    <dataValidation type="list" allowBlank="1" showInputMessage="1" showErrorMessage="1" sqref="JW3:JW60 TS3:TS60 ADO3:ADO60 ANK3:ANK60 AXG3:AXG60 BHC3:BHC60 BQY3:BQY60 CAU3:CAU60 CKQ3:CKQ60 CUM3:CUM60 DEI3:DEI60 DOE3:DOE60 DYA3:DYA60 EHW3:EHW60 ERS3:ERS60 FBO3:FBO60 FLK3:FLK60 FVG3:FVG60 GFC3:GFC60 GOY3:GOY60 GYU3:GYU60 HIQ3:HIQ60 HSM3:HSM60 ICI3:ICI60 IME3:IME60 IWA3:IWA60 JFW3:JFW60 JPS3:JPS60 JZO3:JZO60 KJK3:KJK60 KTG3:KTG60 LDC3:LDC60 LMY3:LMY60 LWU3:LWU60 MGQ3:MGQ60 MQM3:MQM60 NAI3:NAI60 NKE3:NKE60 NUA3:NUA60 ODW3:ODW60 ONS3:ONS60 OXO3:OXO60 PHK3:PHK60 PRG3:PRG60 QBC3:QBC60 QKY3:QKY60 QUU3:QUU60 REQ3:REQ60 ROM3:ROM60 RYI3:RYI60 SIE3:SIE60 SSA3:SSA60 TBW3:TBW60 TLS3:TLS60 TVO3:TVO60 UFK3:UFK60 UPG3:UPG60 UZC3:UZC60 VIY3:VIY60 VSU3:VSU60 WCQ3:WCQ60 WMM3:WMM60 WWI3:WWI60 G65539:G65596 JV65539:JV65596 TR65539:TR65596 ADN65539:ADN65596 ANJ65539:ANJ65596 AXF65539:AXF65596 BHB65539:BHB65596 BQX65539:BQX65596 CAT65539:CAT65596 CKP65539:CKP65596 CUL65539:CUL65596 DEH65539:DEH65596 DOD65539:DOD65596 DXZ65539:DXZ65596 EHV65539:EHV65596 ERR65539:ERR65596 FBN65539:FBN65596 FLJ65539:FLJ65596 FVF65539:FVF65596 GFB65539:GFB65596 GOX65539:GOX65596 GYT65539:GYT65596 HIP65539:HIP65596 HSL65539:HSL65596 ICH65539:ICH65596 IMD65539:IMD65596 IVZ65539:IVZ65596 JFV65539:JFV65596 JPR65539:JPR65596 JZN65539:JZN65596 KJJ65539:KJJ65596 KTF65539:KTF65596 LDB65539:LDB65596 LMX65539:LMX65596 LWT65539:LWT65596 MGP65539:MGP65596 MQL65539:MQL65596 NAH65539:NAH65596 NKD65539:NKD65596 NTZ65539:NTZ65596 ODV65539:ODV65596 ONR65539:ONR65596 OXN65539:OXN65596 PHJ65539:PHJ65596 PRF65539:PRF65596 QBB65539:QBB65596 QKX65539:QKX65596 QUT65539:QUT65596 REP65539:REP65596 ROL65539:ROL65596 RYH65539:RYH65596 SID65539:SID65596 SRZ65539:SRZ65596 TBV65539:TBV65596 TLR65539:TLR65596 TVN65539:TVN65596 UFJ65539:UFJ65596 UPF65539:UPF65596 UZB65539:UZB65596 VIX65539:VIX65596 VST65539:VST65596 WCP65539:WCP65596 WML65539:WML65596 WWH65539:WWH65596 G131075:G131132 JV131075:JV131132 TR131075:TR131132 ADN131075:ADN131132 ANJ131075:ANJ131132 AXF131075:AXF131132 BHB131075:BHB131132 BQX131075:BQX131132 CAT131075:CAT131132 CKP131075:CKP131132 CUL131075:CUL131132 DEH131075:DEH131132 DOD131075:DOD131132 DXZ131075:DXZ131132 EHV131075:EHV131132 ERR131075:ERR131132 FBN131075:FBN131132 FLJ131075:FLJ131132 FVF131075:FVF131132 GFB131075:GFB131132 GOX131075:GOX131132 GYT131075:GYT131132 HIP131075:HIP131132 HSL131075:HSL131132 ICH131075:ICH131132 IMD131075:IMD131132 IVZ131075:IVZ131132 JFV131075:JFV131132 JPR131075:JPR131132 JZN131075:JZN131132 KJJ131075:KJJ131132 KTF131075:KTF131132 LDB131075:LDB131132 LMX131075:LMX131132 LWT131075:LWT131132 MGP131075:MGP131132 MQL131075:MQL131132 NAH131075:NAH131132 NKD131075:NKD131132 NTZ131075:NTZ131132 ODV131075:ODV131132 ONR131075:ONR131132 OXN131075:OXN131132 PHJ131075:PHJ131132 PRF131075:PRF131132 QBB131075:QBB131132 QKX131075:QKX131132 QUT131075:QUT131132 REP131075:REP131132 ROL131075:ROL131132 RYH131075:RYH131132 SID131075:SID131132 SRZ131075:SRZ131132 TBV131075:TBV131132 TLR131075:TLR131132 TVN131075:TVN131132 UFJ131075:UFJ131132 UPF131075:UPF131132 UZB131075:UZB131132 VIX131075:VIX131132 VST131075:VST131132 WCP131075:WCP131132 WML131075:WML131132 WWH131075:WWH131132 G196611:G196668 JV196611:JV196668 TR196611:TR196668 ADN196611:ADN196668 ANJ196611:ANJ196668 AXF196611:AXF196668 BHB196611:BHB196668 BQX196611:BQX196668 CAT196611:CAT196668 CKP196611:CKP196668 CUL196611:CUL196668 DEH196611:DEH196668 DOD196611:DOD196668 DXZ196611:DXZ196668 EHV196611:EHV196668 ERR196611:ERR196668 FBN196611:FBN196668 FLJ196611:FLJ196668 FVF196611:FVF196668 GFB196611:GFB196668 GOX196611:GOX196668 GYT196611:GYT196668 HIP196611:HIP196668 HSL196611:HSL196668 ICH196611:ICH196668 IMD196611:IMD196668 IVZ196611:IVZ196668 JFV196611:JFV196668 JPR196611:JPR196668 JZN196611:JZN196668 KJJ196611:KJJ196668 KTF196611:KTF196668 LDB196611:LDB196668 LMX196611:LMX196668 LWT196611:LWT196668 MGP196611:MGP196668 MQL196611:MQL196668 NAH196611:NAH196668 NKD196611:NKD196668 NTZ196611:NTZ196668 ODV196611:ODV196668 ONR196611:ONR196668 OXN196611:OXN196668 PHJ196611:PHJ196668 PRF196611:PRF196668 QBB196611:QBB196668 QKX196611:QKX196668 QUT196611:QUT196668 REP196611:REP196668 ROL196611:ROL196668 RYH196611:RYH196668 SID196611:SID196668 SRZ196611:SRZ196668 TBV196611:TBV196668 TLR196611:TLR196668 TVN196611:TVN196668 UFJ196611:UFJ196668 UPF196611:UPF196668 UZB196611:UZB196668 VIX196611:VIX196668 VST196611:VST196668 WCP196611:WCP196668 WML196611:WML196668 WWH196611:WWH196668 G262147:G262204 JV262147:JV262204 TR262147:TR262204 ADN262147:ADN262204 ANJ262147:ANJ262204 AXF262147:AXF262204 BHB262147:BHB262204 BQX262147:BQX262204 CAT262147:CAT262204 CKP262147:CKP262204 CUL262147:CUL262204 DEH262147:DEH262204 DOD262147:DOD262204 DXZ262147:DXZ262204 EHV262147:EHV262204 ERR262147:ERR262204 FBN262147:FBN262204 FLJ262147:FLJ262204 FVF262147:FVF262204 GFB262147:GFB262204 GOX262147:GOX262204 GYT262147:GYT262204 HIP262147:HIP262204 HSL262147:HSL262204 ICH262147:ICH262204 IMD262147:IMD262204 IVZ262147:IVZ262204 JFV262147:JFV262204 JPR262147:JPR262204 JZN262147:JZN262204 KJJ262147:KJJ262204 KTF262147:KTF262204 LDB262147:LDB262204 LMX262147:LMX262204 LWT262147:LWT262204 MGP262147:MGP262204 MQL262147:MQL262204 NAH262147:NAH262204 NKD262147:NKD262204 NTZ262147:NTZ262204 ODV262147:ODV262204 ONR262147:ONR262204 OXN262147:OXN262204 PHJ262147:PHJ262204 PRF262147:PRF262204 QBB262147:QBB262204 QKX262147:QKX262204 QUT262147:QUT262204 REP262147:REP262204 ROL262147:ROL262204 RYH262147:RYH262204 SID262147:SID262204 SRZ262147:SRZ262204 TBV262147:TBV262204 TLR262147:TLR262204 TVN262147:TVN262204 UFJ262147:UFJ262204 UPF262147:UPF262204 UZB262147:UZB262204 VIX262147:VIX262204 VST262147:VST262204 WCP262147:WCP262204 WML262147:WML262204 WWH262147:WWH262204 G327683:G327740 JV327683:JV327740 TR327683:TR327740 ADN327683:ADN327740 ANJ327683:ANJ327740 AXF327683:AXF327740 BHB327683:BHB327740 BQX327683:BQX327740 CAT327683:CAT327740 CKP327683:CKP327740 CUL327683:CUL327740 DEH327683:DEH327740 DOD327683:DOD327740 DXZ327683:DXZ327740 EHV327683:EHV327740 ERR327683:ERR327740 FBN327683:FBN327740 FLJ327683:FLJ327740 FVF327683:FVF327740 GFB327683:GFB327740 GOX327683:GOX327740 GYT327683:GYT327740 HIP327683:HIP327740 HSL327683:HSL327740 ICH327683:ICH327740 IMD327683:IMD327740 IVZ327683:IVZ327740 JFV327683:JFV327740 JPR327683:JPR327740 JZN327683:JZN327740 KJJ327683:KJJ327740 KTF327683:KTF327740 LDB327683:LDB327740 LMX327683:LMX327740 LWT327683:LWT327740 MGP327683:MGP327740 MQL327683:MQL327740 NAH327683:NAH327740 NKD327683:NKD327740 NTZ327683:NTZ327740 ODV327683:ODV327740 ONR327683:ONR327740 OXN327683:OXN327740 PHJ327683:PHJ327740 PRF327683:PRF327740 QBB327683:QBB327740 QKX327683:QKX327740 QUT327683:QUT327740 REP327683:REP327740 ROL327683:ROL327740 RYH327683:RYH327740 SID327683:SID327740 SRZ327683:SRZ327740 TBV327683:TBV327740 TLR327683:TLR327740 TVN327683:TVN327740 UFJ327683:UFJ327740 UPF327683:UPF327740 UZB327683:UZB327740 VIX327683:VIX327740 VST327683:VST327740 WCP327683:WCP327740 WML327683:WML327740 WWH327683:WWH327740 G393219:G393276 JV393219:JV393276 TR393219:TR393276 ADN393219:ADN393276 ANJ393219:ANJ393276 AXF393219:AXF393276 BHB393219:BHB393276 BQX393219:BQX393276 CAT393219:CAT393276 CKP393219:CKP393276 CUL393219:CUL393276 DEH393219:DEH393276 DOD393219:DOD393276 DXZ393219:DXZ393276 EHV393219:EHV393276 ERR393219:ERR393276 FBN393219:FBN393276 FLJ393219:FLJ393276 FVF393219:FVF393276 GFB393219:GFB393276 GOX393219:GOX393276 GYT393219:GYT393276 HIP393219:HIP393276 HSL393219:HSL393276 ICH393219:ICH393276 IMD393219:IMD393276 IVZ393219:IVZ393276 JFV393219:JFV393276 JPR393219:JPR393276 JZN393219:JZN393276 KJJ393219:KJJ393276 KTF393219:KTF393276 LDB393219:LDB393276 LMX393219:LMX393276 LWT393219:LWT393276 MGP393219:MGP393276 MQL393219:MQL393276 NAH393219:NAH393276 NKD393219:NKD393276 NTZ393219:NTZ393276 ODV393219:ODV393276 ONR393219:ONR393276 OXN393219:OXN393276 PHJ393219:PHJ393276 PRF393219:PRF393276 QBB393219:QBB393276 QKX393219:QKX393276 QUT393219:QUT393276 REP393219:REP393276 ROL393219:ROL393276 RYH393219:RYH393276 SID393219:SID393276 SRZ393219:SRZ393276 TBV393219:TBV393276 TLR393219:TLR393276 TVN393219:TVN393276 UFJ393219:UFJ393276 UPF393219:UPF393276 UZB393219:UZB393276 VIX393219:VIX393276 VST393219:VST393276 WCP393219:WCP393276 WML393219:WML393276 WWH393219:WWH393276 G458755:G458812 JV458755:JV458812 TR458755:TR458812 ADN458755:ADN458812 ANJ458755:ANJ458812 AXF458755:AXF458812 BHB458755:BHB458812 BQX458755:BQX458812 CAT458755:CAT458812 CKP458755:CKP458812 CUL458755:CUL458812 DEH458755:DEH458812 DOD458755:DOD458812 DXZ458755:DXZ458812 EHV458755:EHV458812 ERR458755:ERR458812 FBN458755:FBN458812 FLJ458755:FLJ458812 FVF458755:FVF458812 GFB458755:GFB458812 GOX458755:GOX458812 GYT458755:GYT458812 HIP458755:HIP458812 HSL458755:HSL458812 ICH458755:ICH458812 IMD458755:IMD458812 IVZ458755:IVZ458812 JFV458755:JFV458812 JPR458755:JPR458812 JZN458755:JZN458812 KJJ458755:KJJ458812 KTF458755:KTF458812 LDB458755:LDB458812 LMX458755:LMX458812 LWT458755:LWT458812 MGP458755:MGP458812 MQL458755:MQL458812 NAH458755:NAH458812 NKD458755:NKD458812 NTZ458755:NTZ458812 ODV458755:ODV458812 ONR458755:ONR458812 OXN458755:OXN458812 PHJ458755:PHJ458812 PRF458755:PRF458812 QBB458755:QBB458812 QKX458755:QKX458812 QUT458755:QUT458812 REP458755:REP458812 ROL458755:ROL458812 RYH458755:RYH458812 SID458755:SID458812 SRZ458755:SRZ458812 TBV458755:TBV458812 TLR458755:TLR458812 TVN458755:TVN458812 UFJ458755:UFJ458812 UPF458755:UPF458812 UZB458755:UZB458812 VIX458755:VIX458812 VST458755:VST458812 WCP458755:WCP458812 WML458755:WML458812 WWH458755:WWH458812 G524291:G524348 JV524291:JV524348 TR524291:TR524348 ADN524291:ADN524348 ANJ524291:ANJ524348 AXF524291:AXF524348 BHB524291:BHB524348 BQX524291:BQX524348 CAT524291:CAT524348 CKP524291:CKP524348 CUL524291:CUL524348 DEH524291:DEH524348 DOD524291:DOD524348 DXZ524291:DXZ524348 EHV524291:EHV524348 ERR524291:ERR524348 FBN524291:FBN524348 FLJ524291:FLJ524348 FVF524291:FVF524348 GFB524291:GFB524348 GOX524291:GOX524348 GYT524291:GYT524348 HIP524291:HIP524348 HSL524291:HSL524348 ICH524291:ICH524348 IMD524291:IMD524348 IVZ524291:IVZ524348 JFV524291:JFV524348 JPR524291:JPR524348 JZN524291:JZN524348 KJJ524291:KJJ524348 KTF524291:KTF524348 LDB524291:LDB524348 LMX524291:LMX524348 LWT524291:LWT524348 MGP524291:MGP524348 MQL524291:MQL524348 NAH524291:NAH524348 NKD524291:NKD524348 NTZ524291:NTZ524348 ODV524291:ODV524348 ONR524291:ONR524348 OXN524291:OXN524348 PHJ524291:PHJ524348 PRF524291:PRF524348 QBB524291:QBB524348 QKX524291:QKX524348 QUT524291:QUT524348 REP524291:REP524348 ROL524291:ROL524348 RYH524291:RYH524348 SID524291:SID524348 SRZ524291:SRZ524348 TBV524291:TBV524348 TLR524291:TLR524348 TVN524291:TVN524348 UFJ524291:UFJ524348 UPF524291:UPF524348 UZB524291:UZB524348 VIX524291:VIX524348 VST524291:VST524348 WCP524291:WCP524348 WML524291:WML524348 WWH524291:WWH524348 G589827:G589884 JV589827:JV589884 TR589827:TR589884 ADN589827:ADN589884 ANJ589827:ANJ589884 AXF589827:AXF589884 BHB589827:BHB589884 BQX589827:BQX589884 CAT589827:CAT589884 CKP589827:CKP589884 CUL589827:CUL589884 DEH589827:DEH589884 DOD589827:DOD589884 DXZ589827:DXZ589884 EHV589827:EHV589884 ERR589827:ERR589884 FBN589827:FBN589884 FLJ589827:FLJ589884 FVF589827:FVF589884 GFB589827:GFB589884 GOX589827:GOX589884 GYT589827:GYT589884 HIP589827:HIP589884 HSL589827:HSL589884 ICH589827:ICH589884 IMD589827:IMD589884 IVZ589827:IVZ589884 JFV589827:JFV589884 JPR589827:JPR589884 JZN589827:JZN589884 KJJ589827:KJJ589884 KTF589827:KTF589884 LDB589827:LDB589884 LMX589827:LMX589884 LWT589827:LWT589884 MGP589827:MGP589884 MQL589827:MQL589884 NAH589827:NAH589884 NKD589827:NKD589884 NTZ589827:NTZ589884 ODV589827:ODV589884 ONR589827:ONR589884 OXN589827:OXN589884 PHJ589827:PHJ589884 PRF589827:PRF589884 QBB589827:QBB589884 QKX589827:QKX589884 QUT589827:QUT589884 REP589827:REP589884 ROL589827:ROL589884 RYH589827:RYH589884 SID589827:SID589884 SRZ589827:SRZ589884 TBV589827:TBV589884 TLR589827:TLR589884 TVN589827:TVN589884 UFJ589827:UFJ589884 UPF589827:UPF589884 UZB589827:UZB589884 VIX589827:VIX589884 VST589827:VST589884 WCP589827:WCP589884 WML589827:WML589884 WWH589827:WWH589884 G655363:G655420 JV655363:JV655420 TR655363:TR655420 ADN655363:ADN655420 ANJ655363:ANJ655420 AXF655363:AXF655420 BHB655363:BHB655420 BQX655363:BQX655420 CAT655363:CAT655420 CKP655363:CKP655420 CUL655363:CUL655420 DEH655363:DEH655420 DOD655363:DOD655420 DXZ655363:DXZ655420 EHV655363:EHV655420 ERR655363:ERR655420 FBN655363:FBN655420 FLJ655363:FLJ655420 FVF655363:FVF655420 GFB655363:GFB655420 GOX655363:GOX655420 GYT655363:GYT655420 HIP655363:HIP655420 HSL655363:HSL655420 ICH655363:ICH655420 IMD655363:IMD655420 IVZ655363:IVZ655420 JFV655363:JFV655420 JPR655363:JPR655420 JZN655363:JZN655420 KJJ655363:KJJ655420 KTF655363:KTF655420 LDB655363:LDB655420 LMX655363:LMX655420 LWT655363:LWT655420 MGP655363:MGP655420 MQL655363:MQL655420 NAH655363:NAH655420 NKD655363:NKD655420 NTZ655363:NTZ655420 ODV655363:ODV655420 ONR655363:ONR655420 OXN655363:OXN655420 PHJ655363:PHJ655420 PRF655363:PRF655420 QBB655363:QBB655420 QKX655363:QKX655420 QUT655363:QUT655420 REP655363:REP655420 ROL655363:ROL655420 RYH655363:RYH655420 SID655363:SID655420 SRZ655363:SRZ655420 TBV655363:TBV655420 TLR655363:TLR655420 TVN655363:TVN655420 UFJ655363:UFJ655420 UPF655363:UPF655420 UZB655363:UZB655420 VIX655363:VIX655420 VST655363:VST655420 WCP655363:WCP655420 WML655363:WML655420 WWH655363:WWH655420 G720899:G720956 JV720899:JV720956 TR720899:TR720956 ADN720899:ADN720956 ANJ720899:ANJ720956 AXF720899:AXF720956 BHB720899:BHB720956 BQX720899:BQX720956 CAT720899:CAT720956 CKP720899:CKP720956 CUL720899:CUL720956 DEH720899:DEH720956 DOD720899:DOD720956 DXZ720899:DXZ720956 EHV720899:EHV720956 ERR720899:ERR720956 FBN720899:FBN720956 FLJ720899:FLJ720956 FVF720899:FVF720956 GFB720899:GFB720956 GOX720899:GOX720956 GYT720899:GYT720956 HIP720899:HIP720956 HSL720899:HSL720956 ICH720899:ICH720956 IMD720899:IMD720956 IVZ720899:IVZ720956 JFV720899:JFV720956 JPR720899:JPR720956 JZN720899:JZN720956 KJJ720899:KJJ720956 KTF720899:KTF720956 LDB720899:LDB720956 LMX720899:LMX720956 LWT720899:LWT720956 MGP720899:MGP720956 MQL720899:MQL720956 NAH720899:NAH720956 NKD720899:NKD720956 NTZ720899:NTZ720956 ODV720899:ODV720956 ONR720899:ONR720956 OXN720899:OXN720956 PHJ720899:PHJ720956 PRF720899:PRF720956 QBB720899:QBB720956 QKX720899:QKX720956 QUT720899:QUT720956 REP720899:REP720956 ROL720899:ROL720956 RYH720899:RYH720956 SID720899:SID720956 SRZ720899:SRZ720956 TBV720899:TBV720956 TLR720899:TLR720956 TVN720899:TVN720956 UFJ720899:UFJ720956 UPF720899:UPF720956 UZB720899:UZB720956 VIX720899:VIX720956 VST720899:VST720956 WCP720899:WCP720956 WML720899:WML720956 WWH720899:WWH720956 G786435:G786492 JV786435:JV786492 TR786435:TR786492 ADN786435:ADN786492 ANJ786435:ANJ786492 AXF786435:AXF786492 BHB786435:BHB786492 BQX786435:BQX786492 CAT786435:CAT786492 CKP786435:CKP786492 CUL786435:CUL786492 DEH786435:DEH786492 DOD786435:DOD786492 DXZ786435:DXZ786492 EHV786435:EHV786492 ERR786435:ERR786492 FBN786435:FBN786492 FLJ786435:FLJ786492 FVF786435:FVF786492 GFB786435:GFB786492 GOX786435:GOX786492 GYT786435:GYT786492 HIP786435:HIP786492 HSL786435:HSL786492 ICH786435:ICH786492 IMD786435:IMD786492 IVZ786435:IVZ786492 JFV786435:JFV786492 JPR786435:JPR786492 JZN786435:JZN786492 KJJ786435:KJJ786492 KTF786435:KTF786492 LDB786435:LDB786492 LMX786435:LMX786492 LWT786435:LWT786492 MGP786435:MGP786492 MQL786435:MQL786492 NAH786435:NAH786492 NKD786435:NKD786492 NTZ786435:NTZ786492 ODV786435:ODV786492 ONR786435:ONR786492 OXN786435:OXN786492 PHJ786435:PHJ786492 PRF786435:PRF786492 QBB786435:QBB786492 QKX786435:QKX786492 QUT786435:QUT786492 REP786435:REP786492 ROL786435:ROL786492 RYH786435:RYH786492 SID786435:SID786492 SRZ786435:SRZ786492 TBV786435:TBV786492 TLR786435:TLR786492 TVN786435:TVN786492 UFJ786435:UFJ786492 UPF786435:UPF786492 UZB786435:UZB786492 VIX786435:VIX786492 VST786435:VST786492 WCP786435:WCP786492 WML786435:WML786492 WWH786435:WWH786492 G851971:G852028 JV851971:JV852028 TR851971:TR852028 ADN851971:ADN852028 ANJ851971:ANJ852028 AXF851971:AXF852028 BHB851971:BHB852028 BQX851971:BQX852028 CAT851971:CAT852028 CKP851971:CKP852028 CUL851971:CUL852028 DEH851971:DEH852028 DOD851971:DOD852028 DXZ851971:DXZ852028 EHV851971:EHV852028 ERR851971:ERR852028 FBN851971:FBN852028 FLJ851971:FLJ852028 FVF851971:FVF852028 GFB851971:GFB852028 GOX851971:GOX852028 GYT851971:GYT852028 HIP851971:HIP852028 HSL851971:HSL852028 ICH851971:ICH852028 IMD851971:IMD852028 IVZ851971:IVZ852028 JFV851971:JFV852028 JPR851971:JPR852028 JZN851971:JZN852028 KJJ851971:KJJ852028 KTF851971:KTF852028 LDB851971:LDB852028 LMX851971:LMX852028 LWT851971:LWT852028 MGP851971:MGP852028 MQL851971:MQL852028 NAH851971:NAH852028 NKD851971:NKD852028 NTZ851971:NTZ852028 ODV851971:ODV852028 ONR851971:ONR852028 OXN851971:OXN852028 PHJ851971:PHJ852028 PRF851971:PRF852028 QBB851971:QBB852028 QKX851971:QKX852028 QUT851971:QUT852028 REP851971:REP852028 ROL851971:ROL852028 RYH851971:RYH852028 SID851971:SID852028 SRZ851971:SRZ852028 TBV851971:TBV852028 TLR851971:TLR852028 TVN851971:TVN852028 UFJ851971:UFJ852028 UPF851971:UPF852028 UZB851971:UZB852028 VIX851971:VIX852028 VST851971:VST852028 WCP851971:WCP852028 WML851971:WML852028 WWH851971:WWH852028 G917507:G917564 JV917507:JV917564 TR917507:TR917564 ADN917507:ADN917564 ANJ917507:ANJ917564 AXF917507:AXF917564 BHB917507:BHB917564 BQX917507:BQX917564 CAT917507:CAT917564 CKP917507:CKP917564 CUL917507:CUL917564 DEH917507:DEH917564 DOD917507:DOD917564 DXZ917507:DXZ917564 EHV917507:EHV917564 ERR917507:ERR917564 FBN917507:FBN917564 FLJ917507:FLJ917564 FVF917507:FVF917564 GFB917507:GFB917564 GOX917507:GOX917564 GYT917507:GYT917564 HIP917507:HIP917564 HSL917507:HSL917564 ICH917507:ICH917564 IMD917507:IMD917564 IVZ917507:IVZ917564 JFV917507:JFV917564 JPR917507:JPR917564 JZN917507:JZN917564 KJJ917507:KJJ917564 KTF917507:KTF917564 LDB917507:LDB917564 LMX917507:LMX917564 LWT917507:LWT917564 MGP917507:MGP917564 MQL917507:MQL917564 NAH917507:NAH917564 NKD917507:NKD917564 NTZ917507:NTZ917564 ODV917507:ODV917564 ONR917507:ONR917564 OXN917507:OXN917564 PHJ917507:PHJ917564 PRF917507:PRF917564 QBB917507:QBB917564 QKX917507:QKX917564 QUT917507:QUT917564 REP917507:REP917564 ROL917507:ROL917564 RYH917507:RYH917564 SID917507:SID917564 SRZ917507:SRZ917564 TBV917507:TBV917564 TLR917507:TLR917564 TVN917507:TVN917564 UFJ917507:UFJ917564 UPF917507:UPF917564 UZB917507:UZB917564 VIX917507:VIX917564 VST917507:VST917564 WCP917507:WCP917564 WML917507:WML917564 WWH917507:WWH917564 G983043:G983100 JV983043:JV983100 TR983043:TR983100 ADN983043:ADN983100 ANJ983043:ANJ983100 AXF983043:AXF983100 BHB983043:BHB983100 BQX983043:BQX983100 CAT983043:CAT983100 CKP983043:CKP983100 CUL983043:CUL983100 DEH983043:DEH983100 DOD983043:DOD983100 DXZ983043:DXZ983100 EHV983043:EHV983100 ERR983043:ERR983100 FBN983043:FBN983100 FLJ983043:FLJ983100 FVF983043:FVF983100 GFB983043:GFB983100 GOX983043:GOX983100 GYT983043:GYT983100 HIP983043:HIP983100 HSL983043:HSL983100 ICH983043:ICH983100 IMD983043:IMD983100 IVZ983043:IVZ983100 JFV983043:JFV983100 JPR983043:JPR983100 JZN983043:JZN983100 KJJ983043:KJJ983100 KTF983043:KTF983100 LDB983043:LDB983100 LMX983043:LMX983100 LWT983043:LWT983100 MGP983043:MGP983100 MQL983043:MQL983100 NAH983043:NAH983100 NKD983043:NKD983100 NTZ983043:NTZ983100 ODV983043:ODV983100 ONR983043:ONR983100 OXN983043:OXN983100 PHJ983043:PHJ983100 PRF983043:PRF983100 QBB983043:QBB983100 QKX983043:QKX983100 QUT983043:QUT983100 REP983043:REP983100 ROL983043:ROL983100 RYH983043:RYH983100 SID983043:SID983100 SRZ983043:SRZ983100 TBV983043:TBV983100 TLR983043:TLR983100 TVN983043:TVN983100 UFJ983043:UFJ983100 UPF983043:UPF983100 UZB983043:UZB983100 VIX983043:VIX983100 VST983043:VST983100 WCP983043:WCP983100 WML983043:WML983100 WWH983043:WWH983100 G3:G60">
      <formula1>"IS,IR,"</formula1>
    </dataValidation>
    <dataValidation type="list" allowBlank="1" showInputMessage="1" showErrorMessage="1" sqref="D3:D60 JT3:JT60 TP3:TP60 ADL3:ADL60 ANH3:ANH60 AXD3:AXD60 BGZ3:BGZ60 BQV3:BQV60 CAR3:CAR60 CKN3:CKN60 CUJ3:CUJ60 DEF3:DEF60 DOB3:DOB60 DXX3:DXX60 EHT3:EHT60 ERP3:ERP60 FBL3:FBL60 FLH3:FLH60 FVD3:FVD60 GEZ3:GEZ60 GOV3:GOV60 GYR3:GYR60 HIN3:HIN60 HSJ3:HSJ60 ICF3:ICF60 IMB3:IMB60 IVX3:IVX60 JFT3:JFT60 JPP3:JPP60 JZL3:JZL60 KJH3:KJH60 KTD3:KTD60 LCZ3:LCZ60 LMV3:LMV60 LWR3:LWR60 MGN3:MGN60 MQJ3:MQJ60 NAF3:NAF60 NKB3:NKB60 NTX3:NTX60 ODT3:ODT60 ONP3:ONP60 OXL3:OXL60 PHH3:PHH60 PRD3:PRD60 QAZ3:QAZ60 QKV3:QKV60 QUR3:QUR60 REN3:REN60 ROJ3:ROJ60 RYF3:RYF60 SIB3:SIB60 SRX3:SRX60 TBT3:TBT60 TLP3:TLP60 TVL3:TVL60 UFH3:UFH60 UPD3:UPD60 UYZ3:UYZ60 VIV3:VIV60 VSR3:VSR60 WCN3:WCN60 WMJ3:WMJ60 WWF3:WWF60 D65539:D65596 JS65539:JS65596 TO65539:TO65596 ADK65539:ADK65596 ANG65539:ANG65596 AXC65539:AXC65596 BGY65539:BGY65596 BQU65539:BQU65596 CAQ65539:CAQ65596 CKM65539:CKM65596 CUI65539:CUI65596 DEE65539:DEE65596 DOA65539:DOA65596 DXW65539:DXW65596 EHS65539:EHS65596 ERO65539:ERO65596 FBK65539:FBK65596 FLG65539:FLG65596 FVC65539:FVC65596 GEY65539:GEY65596 GOU65539:GOU65596 GYQ65539:GYQ65596 HIM65539:HIM65596 HSI65539:HSI65596 ICE65539:ICE65596 IMA65539:IMA65596 IVW65539:IVW65596 JFS65539:JFS65596 JPO65539:JPO65596 JZK65539:JZK65596 KJG65539:KJG65596 KTC65539:KTC65596 LCY65539:LCY65596 LMU65539:LMU65596 LWQ65539:LWQ65596 MGM65539:MGM65596 MQI65539:MQI65596 NAE65539:NAE65596 NKA65539:NKA65596 NTW65539:NTW65596 ODS65539:ODS65596 ONO65539:ONO65596 OXK65539:OXK65596 PHG65539:PHG65596 PRC65539:PRC65596 QAY65539:QAY65596 QKU65539:QKU65596 QUQ65539:QUQ65596 REM65539:REM65596 ROI65539:ROI65596 RYE65539:RYE65596 SIA65539:SIA65596 SRW65539:SRW65596 TBS65539:TBS65596 TLO65539:TLO65596 TVK65539:TVK65596 UFG65539:UFG65596 UPC65539:UPC65596 UYY65539:UYY65596 VIU65539:VIU65596 VSQ65539:VSQ65596 WCM65539:WCM65596 WMI65539:WMI65596 WWE65539:WWE65596 D131075:D131132 JS131075:JS131132 TO131075:TO131132 ADK131075:ADK131132 ANG131075:ANG131132 AXC131075:AXC131132 BGY131075:BGY131132 BQU131075:BQU131132 CAQ131075:CAQ131132 CKM131075:CKM131132 CUI131075:CUI131132 DEE131075:DEE131132 DOA131075:DOA131132 DXW131075:DXW131132 EHS131075:EHS131132 ERO131075:ERO131132 FBK131075:FBK131132 FLG131075:FLG131132 FVC131075:FVC131132 GEY131075:GEY131132 GOU131075:GOU131132 GYQ131075:GYQ131132 HIM131075:HIM131132 HSI131075:HSI131132 ICE131075:ICE131132 IMA131075:IMA131132 IVW131075:IVW131132 JFS131075:JFS131132 JPO131075:JPO131132 JZK131075:JZK131132 KJG131075:KJG131132 KTC131075:KTC131132 LCY131075:LCY131132 LMU131075:LMU131132 LWQ131075:LWQ131132 MGM131075:MGM131132 MQI131075:MQI131132 NAE131075:NAE131132 NKA131075:NKA131132 NTW131075:NTW131132 ODS131075:ODS131132 ONO131075:ONO131132 OXK131075:OXK131132 PHG131075:PHG131132 PRC131075:PRC131132 QAY131075:QAY131132 QKU131075:QKU131132 QUQ131075:QUQ131132 REM131075:REM131132 ROI131075:ROI131132 RYE131075:RYE131132 SIA131075:SIA131132 SRW131075:SRW131132 TBS131075:TBS131132 TLO131075:TLO131132 TVK131075:TVK131132 UFG131075:UFG131132 UPC131075:UPC131132 UYY131075:UYY131132 VIU131075:VIU131132 VSQ131075:VSQ131132 WCM131075:WCM131132 WMI131075:WMI131132 WWE131075:WWE131132 D196611:D196668 JS196611:JS196668 TO196611:TO196668 ADK196611:ADK196668 ANG196611:ANG196668 AXC196611:AXC196668 BGY196611:BGY196668 BQU196611:BQU196668 CAQ196611:CAQ196668 CKM196611:CKM196668 CUI196611:CUI196668 DEE196611:DEE196668 DOA196611:DOA196668 DXW196611:DXW196668 EHS196611:EHS196668 ERO196611:ERO196668 FBK196611:FBK196668 FLG196611:FLG196668 FVC196611:FVC196668 GEY196611:GEY196668 GOU196611:GOU196668 GYQ196611:GYQ196668 HIM196611:HIM196668 HSI196611:HSI196668 ICE196611:ICE196668 IMA196611:IMA196668 IVW196611:IVW196668 JFS196611:JFS196668 JPO196611:JPO196668 JZK196611:JZK196668 KJG196611:KJG196668 KTC196611:KTC196668 LCY196611:LCY196668 LMU196611:LMU196668 LWQ196611:LWQ196668 MGM196611:MGM196668 MQI196611:MQI196668 NAE196611:NAE196668 NKA196611:NKA196668 NTW196611:NTW196668 ODS196611:ODS196668 ONO196611:ONO196668 OXK196611:OXK196668 PHG196611:PHG196668 PRC196611:PRC196668 QAY196611:QAY196668 QKU196611:QKU196668 QUQ196611:QUQ196668 REM196611:REM196668 ROI196611:ROI196668 RYE196611:RYE196668 SIA196611:SIA196668 SRW196611:SRW196668 TBS196611:TBS196668 TLO196611:TLO196668 TVK196611:TVK196668 UFG196611:UFG196668 UPC196611:UPC196668 UYY196611:UYY196668 VIU196611:VIU196668 VSQ196611:VSQ196668 WCM196611:WCM196668 WMI196611:WMI196668 WWE196611:WWE196668 D262147:D262204 JS262147:JS262204 TO262147:TO262204 ADK262147:ADK262204 ANG262147:ANG262204 AXC262147:AXC262204 BGY262147:BGY262204 BQU262147:BQU262204 CAQ262147:CAQ262204 CKM262147:CKM262204 CUI262147:CUI262204 DEE262147:DEE262204 DOA262147:DOA262204 DXW262147:DXW262204 EHS262147:EHS262204 ERO262147:ERO262204 FBK262147:FBK262204 FLG262147:FLG262204 FVC262147:FVC262204 GEY262147:GEY262204 GOU262147:GOU262204 GYQ262147:GYQ262204 HIM262147:HIM262204 HSI262147:HSI262204 ICE262147:ICE262204 IMA262147:IMA262204 IVW262147:IVW262204 JFS262147:JFS262204 JPO262147:JPO262204 JZK262147:JZK262204 KJG262147:KJG262204 KTC262147:KTC262204 LCY262147:LCY262204 LMU262147:LMU262204 LWQ262147:LWQ262204 MGM262147:MGM262204 MQI262147:MQI262204 NAE262147:NAE262204 NKA262147:NKA262204 NTW262147:NTW262204 ODS262147:ODS262204 ONO262147:ONO262204 OXK262147:OXK262204 PHG262147:PHG262204 PRC262147:PRC262204 QAY262147:QAY262204 QKU262147:QKU262204 QUQ262147:QUQ262204 REM262147:REM262204 ROI262147:ROI262204 RYE262147:RYE262204 SIA262147:SIA262204 SRW262147:SRW262204 TBS262147:TBS262204 TLO262147:TLO262204 TVK262147:TVK262204 UFG262147:UFG262204 UPC262147:UPC262204 UYY262147:UYY262204 VIU262147:VIU262204 VSQ262147:VSQ262204 WCM262147:WCM262204 WMI262147:WMI262204 WWE262147:WWE262204 D327683:D327740 JS327683:JS327740 TO327683:TO327740 ADK327683:ADK327740 ANG327683:ANG327740 AXC327683:AXC327740 BGY327683:BGY327740 BQU327683:BQU327740 CAQ327683:CAQ327740 CKM327683:CKM327740 CUI327683:CUI327740 DEE327683:DEE327740 DOA327683:DOA327740 DXW327683:DXW327740 EHS327683:EHS327740 ERO327683:ERO327740 FBK327683:FBK327740 FLG327683:FLG327740 FVC327683:FVC327740 GEY327683:GEY327740 GOU327683:GOU327740 GYQ327683:GYQ327740 HIM327683:HIM327740 HSI327683:HSI327740 ICE327683:ICE327740 IMA327683:IMA327740 IVW327683:IVW327740 JFS327683:JFS327740 JPO327683:JPO327740 JZK327683:JZK327740 KJG327683:KJG327740 KTC327683:KTC327740 LCY327683:LCY327740 LMU327683:LMU327740 LWQ327683:LWQ327740 MGM327683:MGM327740 MQI327683:MQI327740 NAE327683:NAE327740 NKA327683:NKA327740 NTW327683:NTW327740 ODS327683:ODS327740 ONO327683:ONO327740 OXK327683:OXK327740 PHG327683:PHG327740 PRC327683:PRC327740 QAY327683:QAY327740 QKU327683:QKU327740 QUQ327683:QUQ327740 REM327683:REM327740 ROI327683:ROI327740 RYE327683:RYE327740 SIA327683:SIA327740 SRW327683:SRW327740 TBS327683:TBS327740 TLO327683:TLO327740 TVK327683:TVK327740 UFG327683:UFG327740 UPC327683:UPC327740 UYY327683:UYY327740 VIU327683:VIU327740 VSQ327683:VSQ327740 WCM327683:WCM327740 WMI327683:WMI327740 WWE327683:WWE327740 D393219:D393276 JS393219:JS393276 TO393219:TO393276 ADK393219:ADK393276 ANG393219:ANG393276 AXC393219:AXC393276 BGY393219:BGY393276 BQU393219:BQU393276 CAQ393219:CAQ393276 CKM393219:CKM393276 CUI393219:CUI393276 DEE393219:DEE393276 DOA393219:DOA393276 DXW393219:DXW393276 EHS393219:EHS393276 ERO393219:ERO393276 FBK393219:FBK393276 FLG393219:FLG393276 FVC393219:FVC393276 GEY393219:GEY393276 GOU393219:GOU393276 GYQ393219:GYQ393276 HIM393219:HIM393276 HSI393219:HSI393276 ICE393219:ICE393276 IMA393219:IMA393276 IVW393219:IVW393276 JFS393219:JFS393276 JPO393219:JPO393276 JZK393219:JZK393276 KJG393219:KJG393276 KTC393219:KTC393276 LCY393219:LCY393276 LMU393219:LMU393276 LWQ393219:LWQ393276 MGM393219:MGM393276 MQI393219:MQI393276 NAE393219:NAE393276 NKA393219:NKA393276 NTW393219:NTW393276 ODS393219:ODS393276 ONO393219:ONO393276 OXK393219:OXK393276 PHG393219:PHG393276 PRC393219:PRC393276 QAY393219:QAY393276 QKU393219:QKU393276 QUQ393219:QUQ393276 REM393219:REM393276 ROI393219:ROI393276 RYE393219:RYE393276 SIA393219:SIA393276 SRW393219:SRW393276 TBS393219:TBS393276 TLO393219:TLO393276 TVK393219:TVK393276 UFG393219:UFG393276 UPC393219:UPC393276 UYY393219:UYY393276 VIU393219:VIU393276 VSQ393219:VSQ393276 WCM393219:WCM393276 WMI393219:WMI393276 WWE393219:WWE393276 D458755:D458812 JS458755:JS458812 TO458755:TO458812 ADK458755:ADK458812 ANG458755:ANG458812 AXC458755:AXC458812 BGY458755:BGY458812 BQU458755:BQU458812 CAQ458755:CAQ458812 CKM458755:CKM458812 CUI458755:CUI458812 DEE458755:DEE458812 DOA458755:DOA458812 DXW458755:DXW458812 EHS458755:EHS458812 ERO458755:ERO458812 FBK458755:FBK458812 FLG458755:FLG458812 FVC458755:FVC458812 GEY458755:GEY458812 GOU458755:GOU458812 GYQ458755:GYQ458812 HIM458755:HIM458812 HSI458755:HSI458812 ICE458755:ICE458812 IMA458755:IMA458812 IVW458755:IVW458812 JFS458755:JFS458812 JPO458755:JPO458812 JZK458755:JZK458812 KJG458755:KJG458812 KTC458755:KTC458812 LCY458755:LCY458812 LMU458755:LMU458812 LWQ458755:LWQ458812 MGM458755:MGM458812 MQI458755:MQI458812 NAE458755:NAE458812 NKA458755:NKA458812 NTW458755:NTW458812 ODS458755:ODS458812 ONO458755:ONO458812 OXK458755:OXK458812 PHG458755:PHG458812 PRC458755:PRC458812 QAY458755:QAY458812 QKU458755:QKU458812 QUQ458755:QUQ458812 REM458755:REM458812 ROI458755:ROI458812 RYE458755:RYE458812 SIA458755:SIA458812 SRW458755:SRW458812 TBS458755:TBS458812 TLO458755:TLO458812 TVK458755:TVK458812 UFG458755:UFG458812 UPC458755:UPC458812 UYY458755:UYY458812 VIU458755:VIU458812 VSQ458755:VSQ458812 WCM458755:WCM458812 WMI458755:WMI458812 WWE458755:WWE458812 D524291:D524348 JS524291:JS524348 TO524291:TO524348 ADK524291:ADK524348 ANG524291:ANG524348 AXC524291:AXC524348 BGY524291:BGY524348 BQU524291:BQU524348 CAQ524291:CAQ524348 CKM524291:CKM524348 CUI524291:CUI524348 DEE524291:DEE524348 DOA524291:DOA524348 DXW524291:DXW524348 EHS524291:EHS524348 ERO524291:ERO524348 FBK524291:FBK524348 FLG524291:FLG524348 FVC524291:FVC524348 GEY524291:GEY524348 GOU524291:GOU524348 GYQ524291:GYQ524348 HIM524291:HIM524348 HSI524291:HSI524348 ICE524291:ICE524348 IMA524291:IMA524348 IVW524291:IVW524348 JFS524291:JFS524348 JPO524291:JPO524348 JZK524291:JZK524348 KJG524291:KJG524348 KTC524291:KTC524348 LCY524291:LCY524348 LMU524291:LMU524348 LWQ524291:LWQ524348 MGM524291:MGM524348 MQI524291:MQI524348 NAE524291:NAE524348 NKA524291:NKA524348 NTW524291:NTW524348 ODS524291:ODS524348 ONO524291:ONO524348 OXK524291:OXK524348 PHG524291:PHG524348 PRC524291:PRC524348 QAY524291:QAY524348 QKU524291:QKU524348 QUQ524291:QUQ524348 REM524291:REM524348 ROI524291:ROI524348 RYE524291:RYE524348 SIA524291:SIA524348 SRW524291:SRW524348 TBS524291:TBS524348 TLO524291:TLO524348 TVK524291:TVK524348 UFG524291:UFG524348 UPC524291:UPC524348 UYY524291:UYY524348 VIU524291:VIU524348 VSQ524291:VSQ524348 WCM524291:WCM524348 WMI524291:WMI524348 WWE524291:WWE524348 D589827:D589884 JS589827:JS589884 TO589827:TO589884 ADK589827:ADK589884 ANG589827:ANG589884 AXC589827:AXC589884 BGY589827:BGY589884 BQU589827:BQU589884 CAQ589827:CAQ589884 CKM589827:CKM589884 CUI589827:CUI589884 DEE589827:DEE589884 DOA589827:DOA589884 DXW589827:DXW589884 EHS589827:EHS589884 ERO589827:ERO589884 FBK589827:FBK589884 FLG589827:FLG589884 FVC589827:FVC589884 GEY589827:GEY589884 GOU589827:GOU589884 GYQ589827:GYQ589884 HIM589827:HIM589884 HSI589827:HSI589884 ICE589827:ICE589884 IMA589827:IMA589884 IVW589827:IVW589884 JFS589827:JFS589884 JPO589827:JPO589884 JZK589827:JZK589884 KJG589827:KJG589884 KTC589827:KTC589884 LCY589827:LCY589884 LMU589827:LMU589884 LWQ589827:LWQ589884 MGM589827:MGM589884 MQI589827:MQI589884 NAE589827:NAE589884 NKA589827:NKA589884 NTW589827:NTW589884 ODS589827:ODS589884 ONO589827:ONO589884 OXK589827:OXK589884 PHG589827:PHG589884 PRC589827:PRC589884 QAY589827:QAY589884 QKU589827:QKU589884 QUQ589827:QUQ589884 REM589827:REM589884 ROI589827:ROI589884 RYE589827:RYE589884 SIA589827:SIA589884 SRW589827:SRW589884 TBS589827:TBS589884 TLO589827:TLO589884 TVK589827:TVK589884 UFG589827:UFG589884 UPC589827:UPC589884 UYY589827:UYY589884 VIU589827:VIU589884 VSQ589827:VSQ589884 WCM589827:WCM589884 WMI589827:WMI589884 WWE589827:WWE589884 D655363:D655420 JS655363:JS655420 TO655363:TO655420 ADK655363:ADK655420 ANG655363:ANG655420 AXC655363:AXC655420 BGY655363:BGY655420 BQU655363:BQU655420 CAQ655363:CAQ655420 CKM655363:CKM655420 CUI655363:CUI655420 DEE655363:DEE655420 DOA655363:DOA655420 DXW655363:DXW655420 EHS655363:EHS655420 ERO655363:ERO655420 FBK655363:FBK655420 FLG655363:FLG655420 FVC655363:FVC655420 GEY655363:GEY655420 GOU655363:GOU655420 GYQ655363:GYQ655420 HIM655363:HIM655420 HSI655363:HSI655420 ICE655363:ICE655420 IMA655363:IMA655420 IVW655363:IVW655420 JFS655363:JFS655420 JPO655363:JPO655420 JZK655363:JZK655420 KJG655363:KJG655420 KTC655363:KTC655420 LCY655363:LCY655420 LMU655363:LMU655420 LWQ655363:LWQ655420 MGM655363:MGM655420 MQI655363:MQI655420 NAE655363:NAE655420 NKA655363:NKA655420 NTW655363:NTW655420 ODS655363:ODS655420 ONO655363:ONO655420 OXK655363:OXK655420 PHG655363:PHG655420 PRC655363:PRC655420 QAY655363:QAY655420 QKU655363:QKU655420 QUQ655363:QUQ655420 REM655363:REM655420 ROI655363:ROI655420 RYE655363:RYE655420 SIA655363:SIA655420 SRW655363:SRW655420 TBS655363:TBS655420 TLO655363:TLO655420 TVK655363:TVK655420 UFG655363:UFG655420 UPC655363:UPC655420 UYY655363:UYY655420 VIU655363:VIU655420 VSQ655363:VSQ655420 WCM655363:WCM655420 WMI655363:WMI655420 WWE655363:WWE655420 D720899:D720956 JS720899:JS720956 TO720899:TO720956 ADK720899:ADK720956 ANG720899:ANG720956 AXC720899:AXC720956 BGY720899:BGY720956 BQU720899:BQU720956 CAQ720899:CAQ720956 CKM720899:CKM720956 CUI720899:CUI720956 DEE720899:DEE720956 DOA720899:DOA720956 DXW720899:DXW720956 EHS720899:EHS720956 ERO720899:ERO720956 FBK720899:FBK720956 FLG720899:FLG720956 FVC720899:FVC720956 GEY720899:GEY720956 GOU720899:GOU720956 GYQ720899:GYQ720956 HIM720899:HIM720956 HSI720899:HSI720956 ICE720899:ICE720956 IMA720899:IMA720956 IVW720899:IVW720956 JFS720899:JFS720956 JPO720899:JPO720956 JZK720899:JZK720956 KJG720899:KJG720956 KTC720899:KTC720956 LCY720899:LCY720956 LMU720899:LMU720956 LWQ720899:LWQ720956 MGM720899:MGM720956 MQI720899:MQI720956 NAE720899:NAE720956 NKA720899:NKA720956 NTW720899:NTW720956 ODS720899:ODS720956 ONO720899:ONO720956 OXK720899:OXK720956 PHG720899:PHG720956 PRC720899:PRC720956 QAY720899:QAY720956 QKU720899:QKU720956 QUQ720899:QUQ720956 REM720899:REM720956 ROI720899:ROI720956 RYE720899:RYE720956 SIA720899:SIA720956 SRW720899:SRW720956 TBS720899:TBS720956 TLO720899:TLO720956 TVK720899:TVK720956 UFG720899:UFG720956 UPC720899:UPC720956 UYY720899:UYY720956 VIU720899:VIU720956 VSQ720899:VSQ720956 WCM720899:WCM720956 WMI720899:WMI720956 WWE720899:WWE720956 D786435:D786492 JS786435:JS786492 TO786435:TO786492 ADK786435:ADK786492 ANG786435:ANG786492 AXC786435:AXC786492 BGY786435:BGY786492 BQU786435:BQU786492 CAQ786435:CAQ786492 CKM786435:CKM786492 CUI786435:CUI786492 DEE786435:DEE786492 DOA786435:DOA786492 DXW786435:DXW786492 EHS786435:EHS786492 ERO786435:ERO786492 FBK786435:FBK786492 FLG786435:FLG786492 FVC786435:FVC786492 GEY786435:GEY786492 GOU786435:GOU786492 GYQ786435:GYQ786492 HIM786435:HIM786492 HSI786435:HSI786492 ICE786435:ICE786492 IMA786435:IMA786492 IVW786435:IVW786492 JFS786435:JFS786492 JPO786435:JPO786492 JZK786435:JZK786492 KJG786435:KJG786492 KTC786435:KTC786492 LCY786435:LCY786492 LMU786435:LMU786492 LWQ786435:LWQ786492 MGM786435:MGM786492 MQI786435:MQI786492 NAE786435:NAE786492 NKA786435:NKA786492 NTW786435:NTW786492 ODS786435:ODS786492 ONO786435:ONO786492 OXK786435:OXK786492 PHG786435:PHG786492 PRC786435:PRC786492 QAY786435:QAY786492 QKU786435:QKU786492 QUQ786435:QUQ786492 REM786435:REM786492 ROI786435:ROI786492 RYE786435:RYE786492 SIA786435:SIA786492 SRW786435:SRW786492 TBS786435:TBS786492 TLO786435:TLO786492 TVK786435:TVK786492 UFG786435:UFG786492 UPC786435:UPC786492 UYY786435:UYY786492 VIU786435:VIU786492 VSQ786435:VSQ786492 WCM786435:WCM786492 WMI786435:WMI786492 WWE786435:WWE786492 D851971:D852028 JS851971:JS852028 TO851971:TO852028 ADK851971:ADK852028 ANG851971:ANG852028 AXC851971:AXC852028 BGY851971:BGY852028 BQU851971:BQU852028 CAQ851971:CAQ852028 CKM851971:CKM852028 CUI851971:CUI852028 DEE851971:DEE852028 DOA851971:DOA852028 DXW851971:DXW852028 EHS851971:EHS852028 ERO851971:ERO852028 FBK851971:FBK852028 FLG851971:FLG852028 FVC851971:FVC852028 GEY851971:GEY852028 GOU851971:GOU852028 GYQ851971:GYQ852028 HIM851971:HIM852028 HSI851971:HSI852028 ICE851971:ICE852028 IMA851971:IMA852028 IVW851971:IVW852028 JFS851971:JFS852028 JPO851971:JPO852028 JZK851971:JZK852028 KJG851971:KJG852028 KTC851971:KTC852028 LCY851971:LCY852028 LMU851971:LMU852028 LWQ851971:LWQ852028 MGM851971:MGM852028 MQI851971:MQI852028 NAE851971:NAE852028 NKA851971:NKA852028 NTW851971:NTW852028 ODS851971:ODS852028 ONO851971:ONO852028 OXK851971:OXK852028 PHG851971:PHG852028 PRC851971:PRC852028 QAY851971:QAY852028 QKU851971:QKU852028 QUQ851971:QUQ852028 REM851971:REM852028 ROI851971:ROI852028 RYE851971:RYE852028 SIA851971:SIA852028 SRW851971:SRW852028 TBS851971:TBS852028 TLO851971:TLO852028 TVK851971:TVK852028 UFG851971:UFG852028 UPC851971:UPC852028 UYY851971:UYY852028 VIU851971:VIU852028 VSQ851971:VSQ852028 WCM851971:WCM852028 WMI851971:WMI852028 WWE851971:WWE852028 D917507:D917564 JS917507:JS917564 TO917507:TO917564 ADK917507:ADK917564 ANG917507:ANG917564 AXC917507:AXC917564 BGY917507:BGY917564 BQU917507:BQU917564 CAQ917507:CAQ917564 CKM917507:CKM917564 CUI917507:CUI917564 DEE917507:DEE917564 DOA917507:DOA917564 DXW917507:DXW917564 EHS917507:EHS917564 ERO917507:ERO917564 FBK917507:FBK917564 FLG917507:FLG917564 FVC917507:FVC917564 GEY917507:GEY917564 GOU917507:GOU917564 GYQ917507:GYQ917564 HIM917507:HIM917564 HSI917507:HSI917564 ICE917507:ICE917564 IMA917507:IMA917564 IVW917507:IVW917564 JFS917507:JFS917564 JPO917507:JPO917564 JZK917507:JZK917564 KJG917507:KJG917564 KTC917507:KTC917564 LCY917507:LCY917564 LMU917507:LMU917564 LWQ917507:LWQ917564 MGM917507:MGM917564 MQI917507:MQI917564 NAE917507:NAE917564 NKA917507:NKA917564 NTW917507:NTW917564 ODS917507:ODS917564 ONO917507:ONO917564 OXK917507:OXK917564 PHG917507:PHG917564 PRC917507:PRC917564 QAY917507:QAY917564 QKU917507:QKU917564 QUQ917507:QUQ917564 REM917507:REM917564 ROI917507:ROI917564 RYE917507:RYE917564 SIA917507:SIA917564 SRW917507:SRW917564 TBS917507:TBS917564 TLO917507:TLO917564 TVK917507:TVK917564 UFG917507:UFG917564 UPC917507:UPC917564 UYY917507:UYY917564 VIU917507:VIU917564 VSQ917507:VSQ917564 WCM917507:WCM917564 WMI917507:WMI917564 WWE917507:WWE917564 D983043:D983100 JS983043:JS983100 TO983043:TO983100 ADK983043:ADK983100 ANG983043:ANG983100 AXC983043:AXC983100 BGY983043:BGY983100 BQU983043:BQU983100 CAQ983043:CAQ983100 CKM983043:CKM983100 CUI983043:CUI983100 DEE983043:DEE983100 DOA983043:DOA983100 DXW983043:DXW983100 EHS983043:EHS983100 ERO983043:ERO983100 FBK983043:FBK983100 FLG983043:FLG983100 FVC983043:FVC983100 GEY983043:GEY983100 GOU983043:GOU983100 GYQ983043:GYQ983100 HIM983043:HIM983100 HSI983043:HSI983100 ICE983043:ICE983100 IMA983043:IMA983100 IVW983043:IVW983100 JFS983043:JFS983100 JPO983043:JPO983100 JZK983043:JZK983100 KJG983043:KJG983100 KTC983043:KTC983100 LCY983043:LCY983100 LMU983043:LMU983100 LWQ983043:LWQ983100 MGM983043:MGM983100 MQI983043:MQI983100 NAE983043:NAE983100 NKA983043:NKA983100 NTW983043:NTW983100 ODS983043:ODS983100 ONO983043:ONO983100 OXK983043:OXK983100 PHG983043:PHG983100 PRC983043:PRC983100 QAY983043:QAY983100 QKU983043:QKU983100 QUQ983043:QUQ983100 REM983043:REM983100 ROI983043:ROI983100 RYE983043:RYE983100 SIA983043:SIA983100 SRW983043:SRW983100 TBS983043:TBS983100 TLO983043:TLO983100 TVK983043:TVK983100 UFG983043:UFG983100 UPC983043:UPC983100 UYY983043:UYY983100 VIU983043:VIU983100 VSQ983043:VSQ983100 WCM983043:WCM983100 WMI983043:WMI983100 WWE983043:WWE983100">
      <formula1>"ACS,AGRI,BNC,"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Paramètres!$O$6:$O$16</xm:f>
          </x14:formula1>
          <xm:sqref>AK3:AK60</xm:sqref>
        </x14:dataValidation>
        <x14:dataValidation type="list" allowBlank="1" showInputMessage="1" showErrorMessage="1">
          <x14:formula1>
            <xm:f>Paramètres!$O$4:$O$16</xm:f>
          </x14:formula1>
          <xm:sqref>BF3:BF60</xm:sqref>
        </x14:dataValidation>
        <x14:dataValidation type="list" allowBlank="1" showInputMessage="1" showErrorMessage="1">
          <x14:formula1>
            <xm:f>Paramètres!$N$4:$N$13</xm:f>
          </x14:formula1>
          <xm:sqref>BE3:BE60</xm:sqref>
        </x14:dataValidation>
        <x14:dataValidation type="list" allowBlank="1" showInputMessage="1" showErrorMessage="1">
          <x14:formula1>
            <xm:f>Paramètres!$K$4:$K$9</xm:f>
          </x14:formula1>
          <xm:sqref>AJ3</xm:sqref>
        </x14:dataValidation>
        <x14:dataValidation type="list" allowBlank="1" showInputMessage="1" showErrorMessage="1">
          <x14:formula1>
            <xm:f>Paramètres!$L$4:$L$11</xm:f>
          </x14:formula1>
          <xm:sqref>A3:A60</xm:sqref>
        </x14:dataValidation>
        <x14:dataValidation type="list" allowBlank="1" showInputMessage="1" showErrorMessage="1">
          <x14:formula1>
            <xm:f>Paramètres!$K$4:$K$8</xm:f>
          </x14:formula1>
          <xm:sqref>AJ4:AJ60</xm:sqref>
        </x14:dataValidation>
        <x14:dataValidation type="list" allowBlank="1" showInputMessage="1" showErrorMessage="1">
          <x14:formula1>
            <xm:f>Paramètres!$J$4:$J$7</xm:f>
          </x14:formula1>
          <xm:sqref>AI3:AI60</xm:sqref>
        </x14:dataValidation>
        <x14:dataValidation type="list" allowBlank="1" showInputMessage="1" showErrorMessage="1">
          <x14:formula1>
            <xm:f>Paramètres!$F$4:$F$17</xm:f>
          </x14:formula1>
          <xm:sqref>F3:F52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DL183"/>
  <sheetViews>
    <sheetView zoomScale="85" zoomScaleNormal="85" workbookViewId="0">
      <pane xSplit="5" ySplit="2" topLeftCell="F3" activePane="bottomRight" state="frozen"/>
      <selection pane="topRight" activeCell="F1" sqref="F1"/>
      <selection pane="bottomLeft" activeCell="A3" sqref="A3"/>
      <selection pane="bottomRight" activeCell="A3" sqref="A3:A5"/>
    </sheetView>
  </sheetViews>
  <sheetFormatPr baseColWidth="10" defaultRowHeight="15" x14ac:dyDescent="0.25"/>
  <cols>
    <col min="1" max="1" width="24.42578125" style="89" bestFit="1" customWidth="1"/>
    <col min="2" max="2" width="15.42578125" style="89" customWidth="1"/>
    <col min="3" max="3" width="33.7109375" style="89" customWidth="1"/>
    <col min="4" max="4" width="19" style="89" customWidth="1"/>
    <col min="5" max="5" width="19.85546875" style="89" customWidth="1"/>
    <col min="6" max="6" width="18.5703125" style="89" customWidth="1"/>
    <col min="7" max="7" width="19.7109375" style="89" customWidth="1"/>
    <col min="8" max="8" width="14.85546875" style="89" customWidth="1"/>
    <col min="9" max="9" width="16.85546875" style="89" customWidth="1"/>
    <col min="10" max="12" width="11.42578125" style="89" customWidth="1"/>
    <col min="13" max="13" width="18.140625" style="89" customWidth="1"/>
    <col min="14" max="14" width="11.42578125" style="89" customWidth="1"/>
    <col min="15" max="15" width="12.5703125" style="89" customWidth="1"/>
    <col min="16" max="16" width="25" style="89" customWidth="1"/>
    <col min="17" max="17" width="16.5703125" style="89" customWidth="1"/>
    <col min="18" max="18" width="24" style="89" customWidth="1"/>
    <col min="19" max="19" width="16.5703125" style="89" customWidth="1"/>
    <col min="20" max="21" width="20" style="89" customWidth="1"/>
    <col min="22" max="22" width="20.85546875" style="89" customWidth="1"/>
    <col min="23" max="23" width="11.42578125" style="89" customWidth="1"/>
    <col min="24" max="24" width="23.7109375" style="89" customWidth="1"/>
    <col min="25" max="25" width="14" style="89" customWidth="1"/>
    <col min="26" max="26" width="13.28515625" style="89" customWidth="1"/>
    <col min="27" max="28" width="18.5703125" style="89" customWidth="1"/>
    <col min="29" max="29" width="18" style="89" customWidth="1"/>
    <col min="30" max="30" width="11.42578125" style="241" customWidth="1"/>
    <col min="31" max="32" width="18" style="89" customWidth="1"/>
    <col min="33" max="33" width="11.42578125" style="89" customWidth="1"/>
    <col min="34" max="35" width="18.7109375" style="241" customWidth="1"/>
    <col min="36" max="36" width="20" style="241" customWidth="1"/>
    <col min="37" max="37" width="18" style="89" customWidth="1"/>
    <col min="38" max="43" width="19" style="89" customWidth="1"/>
    <col min="44" max="44" width="11.42578125" style="241" customWidth="1"/>
    <col min="45" max="49" width="11.42578125" style="89" customWidth="1"/>
    <col min="50" max="50" width="15.140625" style="89" customWidth="1"/>
    <col min="51" max="51" width="14" style="89" customWidth="1"/>
    <col min="52" max="52" width="15.140625" style="89" customWidth="1"/>
    <col min="53" max="53" width="11.42578125" style="89" customWidth="1"/>
    <col min="54" max="54" width="22.28515625" style="89" customWidth="1"/>
    <col min="55" max="56" width="29.5703125" style="89" customWidth="1"/>
    <col min="57" max="57" width="30.85546875" style="89" customWidth="1"/>
    <col min="58" max="62" width="11.42578125" style="89" customWidth="1"/>
    <col min="63" max="76" width="30.7109375" style="89" customWidth="1"/>
    <col min="77" max="112" width="11.42578125" style="89" customWidth="1"/>
    <col min="113" max="116" width="11.42578125" style="89" hidden="1" customWidth="1"/>
    <col min="117" max="276" width="11.42578125" style="89"/>
    <col min="277" max="277" width="15.5703125" style="89" bestFit="1" customWidth="1"/>
    <col min="278" max="278" width="33.7109375" style="89" customWidth="1"/>
    <col min="279" max="279" width="19" style="89" customWidth="1"/>
    <col min="280" max="280" width="19.85546875" style="89" customWidth="1"/>
    <col min="281" max="281" width="18.5703125" style="89" customWidth="1"/>
    <col min="282" max="282" width="19.7109375" style="89" customWidth="1"/>
    <col min="283" max="283" width="14.85546875" style="89" customWidth="1"/>
    <col min="284" max="284" width="16.85546875" style="89" customWidth="1"/>
    <col min="285" max="287" width="11.42578125" style="89" customWidth="1"/>
    <col min="288" max="288" width="18.140625" style="89" customWidth="1"/>
    <col min="289" max="289" width="11.42578125" style="89" customWidth="1"/>
    <col min="290" max="290" width="12.5703125" style="89" customWidth="1"/>
    <col min="291" max="291" width="25" style="89" customWidth="1"/>
    <col min="292" max="292" width="16.5703125" style="89" bestFit="1" customWidth="1"/>
    <col min="293" max="293" width="24" style="89" customWidth="1"/>
    <col min="294" max="294" width="11.42578125" style="89" customWidth="1"/>
    <col min="295" max="295" width="20" style="89" customWidth="1"/>
    <col min="296" max="296" width="11.42578125" style="89" customWidth="1"/>
    <col min="297" max="297" width="19" style="89" customWidth="1"/>
    <col min="298" max="301" width="11.42578125" style="89" customWidth="1"/>
    <col min="302" max="302" width="15.140625" style="89" customWidth="1"/>
    <col min="303" max="303" width="14" style="89" customWidth="1"/>
    <col min="304" max="304" width="15.140625" style="89" customWidth="1"/>
    <col min="305" max="305" width="11.42578125" style="89" customWidth="1"/>
    <col min="306" max="306" width="51.7109375" style="89" customWidth="1"/>
    <col min="307" max="308" width="29.5703125" style="89" customWidth="1"/>
    <col min="309" max="309" width="44.42578125" style="89" customWidth="1"/>
    <col min="310" max="310" width="36.28515625" style="89" customWidth="1"/>
    <col min="311" max="311" width="27.42578125" style="89" bestFit="1" customWidth="1"/>
    <col min="312" max="532" width="11.42578125" style="89"/>
    <col min="533" max="533" width="15.5703125" style="89" bestFit="1" customWidth="1"/>
    <col min="534" max="534" width="33.7109375" style="89" customWidth="1"/>
    <col min="535" max="535" width="19" style="89" customWidth="1"/>
    <col min="536" max="536" width="19.85546875" style="89" customWidth="1"/>
    <col min="537" max="537" width="18.5703125" style="89" customWidth="1"/>
    <col min="538" max="538" width="19.7109375" style="89" customWidth="1"/>
    <col min="539" max="539" width="14.85546875" style="89" customWidth="1"/>
    <col min="540" max="540" width="16.85546875" style="89" customWidth="1"/>
    <col min="541" max="543" width="11.42578125" style="89" customWidth="1"/>
    <col min="544" max="544" width="18.140625" style="89" customWidth="1"/>
    <col min="545" max="545" width="11.42578125" style="89" customWidth="1"/>
    <col min="546" max="546" width="12.5703125" style="89" customWidth="1"/>
    <col min="547" max="547" width="25" style="89" customWidth="1"/>
    <col min="548" max="548" width="16.5703125" style="89" bestFit="1" customWidth="1"/>
    <col min="549" max="549" width="24" style="89" customWidth="1"/>
    <col min="550" max="550" width="11.42578125" style="89" customWidth="1"/>
    <col min="551" max="551" width="20" style="89" customWidth="1"/>
    <col min="552" max="552" width="11.42578125" style="89" customWidth="1"/>
    <col min="553" max="553" width="19" style="89" customWidth="1"/>
    <col min="554" max="557" width="11.42578125" style="89" customWidth="1"/>
    <col min="558" max="558" width="15.140625" style="89" customWidth="1"/>
    <col min="559" max="559" width="14" style="89" customWidth="1"/>
    <col min="560" max="560" width="15.140625" style="89" customWidth="1"/>
    <col min="561" max="561" width="11.42578125" style="89" customWidth="1"/>
    <col min="562" max="562" width="51.7109375" style="89" customWidth="1"/>
    <col min="563" max="564" width="29.5703125" style="89" customWidth="1"/>
    <col min="565" max="565" width="44.42578125" style="89" customWidth="1"/>
    <col min="566" max="566" width="36.28515625" style="89" customWidth="1"/>
    <col min="567" max="567" width="27.42578125" style="89" bestFit="1" customWidth="1"/>
    <col min="568" max="788" width="11.42578125" style="89"/>
    <col min="789" max="789" width="15.5703125" style="89" bestFit="1" customWidth="1"/>
    <col min="790" max="790" width="33.7109375" style="89" customWidth="1"/>
    <col min="791" max="791" width="19" style="89" customWidth="1"/>
    <col min="792" max="792" width="19.85546875" style="89" customWidth="1"/>
    <col min="793" max="793" width="18.5703125" style="89" customWidth="1"/>
    <col min="794" max="794" width="19.7109375" style="89" customWidth="1"/>
    <col min="795" max="795" width="14.85546875" style="89" customWidth="1"/>
    <col min="796" max="796" width="16.85546875" style="89" customWidth="1"/>
    <col min="797" max="799" width="11.42578125" style="89" customWidth="1"/>
    <col min="800" max="800" width="18.140625" style="89" customWidth="1"/>
    <col min="801" max="801" width="11.42578125" style="89" customWidth="1"/>
    <col min="802" max="802" width="12.5703125" style="89" customWidth="1"/>
    <col min="803" max="803" width="25" style="89" customWidth="1"/>
    <col min="804" max="804" width="16.5703125" style="89" bestFit="1" customWidth="1"/>
    <col min="805" max="805" width="24" style="89" customWidth="1"/>
    <col min="806" max="806" width="11.42578125" style="89" customWidth="1"/>
    <col min="807" max="807" width="20" style="89" customWidth="1"/>
    <col min="808" max="808" width="11.42578125" style="89" customWidth="1"/>
    <col min="809" max="809" width="19" style="89" customWidth="1"/>
    <col min="810" max="813" width="11.42578125" style="89" customWidth="1"/>
    <col min="814" max="814" width="15.140625" style="89" customWidth="1"/>
    <col min="815" max="815" width="14" style="89" customWidth="1"/>
    <col min="816" max="816" width="15.140625" style="89" customWidth="1"/>
    <col min="817" max="817" width="11.42578125" style="89" customWidth="1"/>
    <col min="818" max="818" width="51.7109375" style="89" customWidth="1"/>
    <col min="819" max="820" width="29.5703125" style="89" customWidth="1"/>
    <col min="821" max="821" width="44.42578125" style="89" customWidth="1"/>
    <col min="822" max="822" width="36.28515625" style="89" customWidth="1"/>
    <col min="823" max="823" width="27.42578125" style="89" bestFit="1" customWidth="1"/>
    <col min="824" max="1044" width="11.42578125" style="89"/>
    <col min="1045" max="1045" width="15.5703125" style="89" bestFit="1" customWidth="1"/>
    <col min="1046" max="1046" width="33.7109375" style="89" customWidth="1"/>
    <col min="1047" max="1047" width="19" style="89" customWidth="1"/>
    <col min="1048" max="1048" width="19.85546875" style="89" customWidth="1"/>
    <col min="1049" max="1049" width="18.5703125" style="89" customWidth="1"/>
    <col min="1050" max="1050" width="19.7109375" style="89" customWidth="1"/>
    <col min="1051" max="1051" width="14.85546875" style="89" customWidth="1"/>
    <col min="1052" max="1052" width="16.85546875" style="89" customWidth="1"/>
    <col min="1053" max="1055" width="11.42578125" style="89" customWidth="1"/>
    <col min="1056" max="1056" width="18.140625" style="89" customWidth="1"/>
    <col min="1057" max="1057" width="11.42578125" style="89" customWidth="1"/>
    <col min="1058" max="1058" width="12.5703125" style="89" customWidth="1"/>
    <col min="1059" max="1059" width="25" style="89" customWidth="1"/>
    <col min="1060" max="1060" width="16.5703125" style="89" bestFit="1" customWidth="1"/>
    <col min="1061" max="1061" width="24" style="89" customWidth="1"/>
    <col min="1062" max="1062" width="11.42578125" style="89" customWidth="1"/>
    <col min="1063" max="1063" width="20" style="89" customWidth="1"/>
    <col min="1064" max="1064" width="11.42578125" style="89" customWidth="1"/>
    <col min="1065" max="1065" width="19" style="89" customWidth="1"/>
    <col min="1066" max="1069" width="11.42578125" style="89" customWidth="1"/>
    <col min="1070" max="1070" width="15.140625" style="89" customWidth="1"/>
    <col min="1071" max="1071" width="14" style="89" customWidth="1"/>
    <col min="1072" max="1072" width="15.140625" style="89" customWidth="1"/>
    <col min="1073" max="1073" width="11.42578125" style="89" customWidth="1"/>
    <col min="1074" max="1074" width="51.7109375" style="89" customWidth="1"/>
    <col min="1075" max="1076" width="29.5703125" style="89" customWidth="1"/>
    <col min="1077" max="1077" width="44.42578125" style="89" customWidth="1"/>
    <col min="1078" max="1078" width="36.28515625" style="89" customWidth="1"/>
    <col min="1079" max="1079" width="27.42578125" style="89" bestFit="1" customWidth="1"/>
    <col min="1080" max="1300" width="11.42578125" style="89"/>
    <col min="1301" max="1301" width="15.5703125" style="89" bestFit="1" customWidth="1"/>
    <col min="1302" max="1302" width="33.7109375" style="89" customWidth="1"/>
    <col min="1303" max="1303" width="19" style="89" customWidth="1"/>
    <col min="1304" max="1304" width="19.85546875" style="89" customWidth="1"/>
    <col min="1305" max="1305" width="18.5703125" style="89" customWidth="1"/>
    <col min="1306" max="1306" width="19.7109375" style="89" customWidth="1"/>
    <col min="1307" max="1307" width="14.85546875" style="89" customWidth="1"/>
    <col min="1308" max="1308" width="16.85546875" style="89" customWidth="1"/>
    <col min="1309" max="1311" width="11.42578125" style="89" customWidth="1"/>
    <col min="1312" max="1312" width="18.140625" style="89" customWidth="1"/>
    <col min="1313" max="1313" width="11.42578125" style="89" customWidth="1"/>
    <col min="1314" max="1314" width="12.5703125" style="89" customWidth="1"/>
    <col min="1315" max="1315" width="25" style="89" customWidth="1"/>
    <col min="1316" max="1316" width="16.5703125" style="89" bestFit="1" customWidth="1"/>
    <col min="1317" max="1317" width="24" style="89" customWidth="1"/>
    <col min="1318" max="1318" width="11.42578125" style="89" customWidth="1"/>
    <col min="1319" max="1319" width="20" style="89" customWidth="1"/>
    <col min="1320" max="1320" width="11.42578125" style="89" customWidth="1"/>
    <col min="1321" max="1321" width="19" style="89" customWidth="1"/>
    <col min="1322" max="1325" width="11.42578125" style="89" customWidth="1"/>
    <col min="1326" max="1326" width="15.140625" style="89" customWidth="1"/>
    <col min="1327" max="1327" width="14" style="89" customWidth="1"/>
    <col min="1328" max="1328" width="15.140625" style="89" customWidth="1"/>
    <col min="1329" max="1329" width="11.42578125" style="89" customWidth="1"/>
    <col min="1330" max="1330" width="51.7109375" style="89" customWidth="1"/>
    <col min="1331" max="1332" width="29.5703125" style="89" customWidth="1"/>
    <col min="1333" max="1333" width="44.42578125" style="89" customWidth="1"/>
    <col min="1334" max="1334" width="36.28515625" style="89" customWidth="1"/>
    <col min="1335" max="1335" width="27.42578125" style="89" bestFit="1" customWidth="1"/>
    <col min="1336" max="1556" width="11.42578125" style="89"/>
    <col min="1557" max="1557" width="15.5703125" style="89" bestFit="1" customWidth="1"/>
    <col min="1558" max="1558" width="33.7109375" style="89" customWidth="1"/>
    <col min="1559" max="1559" width="19" style="89" customWidth="1"/>
    <col min="1560" max="1560" width="19.85546875" style="89" customWidth="1"/>
    <col min="1561" max="1561" width="18.5703125" style="89" customWidth="1"/>
    <col min="1562" max="1562" width="19.7109375" style="89" customWidth="1"/>
    <col min="1563" max="1563" width="14.85546875" style="89" customWidth="1"/>
    <col min="1564" max="1564" width="16.85546875" style="89" customWidth="1"/>
    <col min="1565" max="1567" width="11.42578125" style="89" customWidth="1"/>
    <col min="1568" max="1568" width="18.140625" style="89" customWidth="1"/>
    <col min="1569" max="1569" width="11.42578125" style="89" customWidth="1"/>
    <col min="1570" max="1570" width="12.5703125" style="89" customWidth="1"/>
    <col min="1571" max="1571" width="25" style="89" customWidth="1"/>
    <col min="1572" max="1572" width="16.5703125" style="89" bestFit="1" customWidth="1"/>
    <col min="1573" max="1573" width="24" style="89" customWidth="1"/>
    <col min="1574" max="1574" width="11.42578125" style="89" customWidth="1"/>
    <col min="1575" max="1575" width="20" style="89" customWidth="1"/>
    <col min="1576" max="1576" width="11.42578125" style="89" customWidth="1"/>
    <col min="1577" max="1577" width="19" style="89" customWidth="1"/>
    <col min="1578" max="1581" width="11.42578125" style="89" customWidth="1"/>
    <col min="1582" max="1582" width="15.140625" style="89" customWidth="1"/>
    <col min="1583" max="1583" width="14" style="89" customWidth="1"/>
    <col min="1584" max="1584" width="15.140625" style="89" customWidth="1"/>
    <col min="1585" max="1585" width="11.42578125" style="89" customWidth="1"/>
    <col min="1586" max="1586" width="51.7109375" style="89" customWidth="1"/>
    <col min="1587" max="1588" width="29.5703125" style="89" customWidth="1"/>
    <col min="1589" max="1589" width="44.42578125" style="89" customWidth="1"/>
    <col min="1590" max="1590" width="36.28515625" style="89" customWidth="1"/>
    <col min="1591" max="1591" width="27.42578125" style="89" bestFit="1" customWidth="1"/>
    <col min="1592" max="1812" width="11.42578125" style="89"/>
    <col min="1813" max="1813" width="15.5703125" style="89" bestFit="1" customWidth="1"/>
    <col min="1814" max="1814" width="33.7109375" style="89" customWidth="1"/>
    <col min="1815" max="1815" width="19" style="89" customWidth="1"/>
    <col min="1816" max="1816" width="19.85546875" style="89" customWidth="1"/>
    <col min="1817" max="1817" width="18.5703125" style="89" customWidth="1"/>
    <col min="1818" max="1818" width="19.7109375" style="89" customWidth="1"/>
    <col min="1819" max="1819" width="14.85546875" style="89" customWidth="1"/>
    <col min="1820" max="1820" width="16.85546875" style="89" customWidth="1"/>
    <col min="1821" max="1823" width="11.42578125" style="89" customWidth="1"/>
    <col min="1824" max="1824" width="18.140625" style="89" customWidth="1"/>
    <col min="1825" max="1825" width="11.42578125" style="89" customWidth="1"/>
    <col min="1826" max="1826" width="12.5703125" style="89" customWidth="1"/>
    <col min="1827" max="1827" width="25" style="89" customWidth="1"/>
    <col min="1828" max="1828" width="16.5703125" style="89" bestFit="1" customWidth="1"/>
    <col min="1829" max="1829" width="24" style="89" customWidth="1"/>
    <col min="1830" max="1830" width="11.42578125" style="89" customWidth="1"/>
    <col min="1831" max="1831" width="20" style="89" customWidth="1"/>
    <col min="1832" max="1832" width="11.42578125" style="89" customWidth="1"/>
    <col min="1833" max="1833" width="19" style="89" customWidth="1"/>
    <col min="1834" max="1837" width="11.42578125" style="89" customWidth="1"/>
    <col min="1838" max="1838" width="15.140625" style="89" customWidth="1"/>
    <col min="1839" max="1839" width="14" style="89" customWidth="1"/>
    <col min="1840" max="1840" width="15.140625" style="89" customWidth="1"/>
    <col min="1841" max="1841" width="11.42578125" style="89" customWidth="1"/>
    <col min="1842" max="1842" width="51.7109375" style="89" customWidth="1"/>
    <col min="1843" max="1844" width="29.5703125" style="89" customWidth="1"/>
    <col min="1845" max="1845" width="44.42578125" style="89" customWidth="1"/>
    <col min="1846" max="1846" width="36.28515625" style="89" customWidth="1"/>
    <col min="1847" max="1847" width="27.42578125" style="89" bestFit="1" customWidth="1"/>
    <col min="1848" max="2068" width="11.42578125" style="89"/>
    <col min="2069" max="2069" width="15.5703125" style="89" bestFit="1" customWidth="1"/>
    <col min="2070" max="2070" width="33.7109375" style="89" customWidth="1"/>
    <col min="2071" max="2071" width="19" style="89" customWidth="1"/>
    <col min="2072" max="2072" width="19.85546875" style="89" customWidth="1"/>
    <col min="2073" max="2073" width="18.5703125" style="89" customWidth="1"/>
    <col min="2074" max="2074" width="19.7109375" style="89" customWidth="1"/>
    <col min="2075" max="2075" width="14.85546875" style="89" customWidth="1"/>
    <col min="2076" max="2076" width="16.85546875" style="89" customWidth="1"/>
    <col min="2077" max="2079" width="11.42578125" style="89" customWidth="1"/>
    <col min="2080" max="2080" width="18.140625" style="89" customWidth="1"/>
    <col min="2081" max="2081" width="11.42578125" style="89" customWidth="1"/>
    <col min="2082" max="2082" width="12.5703125" style="89" customWidth="1"/>
    <col min="2083" max="2083" width="25" style="89" customWidth="1"/>
    <col min="2084" max="2084" width="16.5703125" style="89" bestFit="1" customWidth="1"/>
    <col min="2085" max="2085" width="24" style="89" customWidth="1"/>
    <col min="2086" max="2086" width="11.42578125" style="89" customWidth="1"/>
    <col min="2087" max="2087" width="20" style="89" customWidth="1"/>
    <col min="2088" max="2088" width="11.42578125" style="89" customWidth="1"/>
    <col min="2089" max="2089" width="19" style="89" customWidth="1"/>
    <col min="2090" max="2093" width="11.42578125" style="89" customWidth="1"/>
    <col min="2094" max="2094" width="15.140625" style="89" customWidth="1"/>
    <col min="2095" max="2095" width="14" style="89" customWidth="1"/>
    <col min="2096" max="2096" width="15.140625" style="89" customWidth="1"/>
    <col min="2097" max="2097" width="11.42578125" style="89" customWidth="1"/>
    <col min="2098" max="2098" width="51.7109375" style="89" customWidth="1"/>
    <col min="2099" max="2100" width="29.5703125" style="89" customWidth="1"/>
    <col min="2101" max="2101" width="44.42578125" style="89" customWidth="1"/>
    <col min="2102" max="2102" width="36.28515625" style="89" customWidth="1"/>
    <col min="2103" max="2103" width="27.42578125" style="89" bestFit="1" customWidth="1"/>
    <col min="2104" max="2324" width="11.42578125" style="89"/>
    <col min="2325" max="2325" width="15.5703125" style="89" bestFit="1" customWidth="1"/>
    <col min="2326" max="2326" width="33.7109375" style="89" customWidth="1"/>
    <col min="2327" max="2327" width="19" style="89" customWidth="1"/>
    <col min="2328" max="2328" width="19.85546875" style="89" customWidth="1"/>
    <col min="2329" max="2329" width="18.5703125" style="89" customWidth="1"/>
    <col min="2330" max="2330" width="19.7109375" style="89" customWidth="1"/>
    <col min="2331" max="2331" width="14.85546875" style="89" customWidth="1"/>
    <col min="2332" max="2332" width="16.85546875" style="89" customWidth="1"/>
    <col min="2333" max="2335" width="11.42578125" style="89" customWidth="1"/>
    <col min="2336" max="2336" width="18.140625" style="89" customWidth="1"/>
    <col min="2337" max="2337" width="11.42578125" style="89" customWidth="1"/>
    <col min="2338" max="2338" width="12.5703125" style="89" customWidth="1"/>
    <col min="2339" max="2339" width="25" style="89" customWidth="1"/>
    <col min="2340" max="2340" width="16.5703125" style="89" bestFit="1" customWidth="1"/>
    <col min="2341" max="2341" width="24" style="89" customWidth="1"/>
    <col min="2342" max="2342" width="11.42578125" style="89" customWidth="1"/>
    <col min="2343" max="2343" width="20" style="89" customWidth="1"/>
    <col min="2344" max="2344" width="11.42578125" style="89" customWidth="1"/>
    <col min="2345" max="2345" width="19" style="89" customWidth="1"/>
    <col min="2346" max="2349" width="11.42578125" style="89" customWidth="1"/>
    <col min="2350" max="2350" width="15.140625" style="89" customWidth="1"/>
    <col min="2351" max="2351" width="14" style="89" customWidth="1"/>
    <col min="2352" max="2352" width="15.140625" style="89" customWidth="1"/>
    <col min="2353" max="2353" width="11.42578125" style="89" customWidth="1"/>
    <col min="2354" max="2354" width="51.7109375" style="89" customWidth="1"/>
    <col min="2355" max="2356" width="29.5703125" style="89" customWidth="1"/>
    <col min="2357" max="2357" width="44.42578125" style="89" customWidth="1"/>
    <col min="2358" max="2358" width="36.28515625" style="89" customWidth="1"/>
    <col min="2359" max="2359" width="27.42578125" style="89" bestFit="1" customWidth="1"/>
    <col min="2360" max="2580" width="11.42578125" style="89"/>
    <col min="2581" max="2581" width="15.5703125" style="89" bestFit="1" customWidth="1"/>
    <col min="2582" max="2582" width="33.7109375" style="89" customWidth="1"/>
    <col min="2583" max="2583" width="19" style="89" customWidth="1"/>
    <col min="2584" max="2584" width="19.85546875" style="89" customWidth="1"/>
    <col min="2585" max="2585" width="18.5703125" style="89" customWidth="1"/>
    <col min="2586" max="2586" width="19.7109375" style="89" customWidth="1"/>
    <col min="2587" max="2587" width="14.85546875" style="89" customWidth="1"/>
    <col min="2588" max="2588" width="16.85546875" style="89" customWidth="1"/>
    <col min="2589" max="2591" width="11.42578125" style="89" customWidth="1"/>
    <col min="2592" max="2592" width="18.140625" style="89" customWidth="1"/>
    <col min="2593" max="2593" width="11.42578125" style="89" customWidth="1"/>
    <col min="2594" max="2594" width="12.5703125" style="89" customWidth="1"/>
    <col min="2595" max="2595" width="25" style="89" customWidth="1"/>
    <col min="2596" max="2596" width="16.5703125" style="89" bestFit="1" customWidth="1"/>
    <col min="2597" max="2597" width="24" style="89" customWidth="1"/>
    <col min="2598" max="2598" width="11.42578125" style="89" customWidth="1"/>
    <col min="2599" max="2599" width="20" style="89" customWidth="1"/>
    <col min="2600" max="2600" width="11.42578125" style="89" customWidth="1"/>
    <col min="2601" max="2601" width="19" style="89" customWidth="1"/>
    <col min="2602" max="2605" width="11.42578125" style="89" customWidth="1"/>
    <col min="2606" max="2606" width="15.140625" style="89" customWidth="1"/>
    <col min="2607" max="2607" width="14" style="89" customWidth="1"/>
    <col min="2608" max="2608" width="15.140625" style="89" customWidth="1"/>
    <col min="2609" max="2609" width="11.42578125" style="89" customWidth="1"/>
    <col min="2610" max="2610" width="51.7109375" style="89" customWidth="1"/>
    <col min="2611" max="2612" width="29.5703125" style="89" customWidth="1"/>
    <col min="2613" max="2613" width="44.42578125" style="89" customWidth="1"/>
    <col min="2614" max="2614" width="36.28515625" style="89" customWidth="1"/>
    <col min="2615" max="2615" width="27.42578125" style="89" bestFit="1" customWidth="1"/>
    <col min="2616" max="2836" width="11.42578125" style="89"/>
    <col min="2837" max="2837" width="15.5703125" style="89" bestFit="1" customWidth="1"/>
    <col min="2838" max="2838" width="33.7109375" style="89" customWidth="1"/>
    <col min="2839" max="2839" width="19" style="89" customWidth="1"/>
    <col min="2840" max="2840" width="19.85546875" style="89" customWidth="1"/>
    <col min="2841" max="2841" width="18.5703125" style="89" customWidth="1"/>
    <col min="2842" max="2842" width="19.7109375" style="89" customWidth="1"/>
    <col min="2843" max="2843" width="14.85546875" style="89" customWidth="1"/>
    <col min="2844" max="2844" width="16.85546875" style="89" customWidth="1"/>
    <col min="2845" max="2847" width="11.42578125" style="89" customWidth="1"/>
    <col min="2848" max="2848" width="18.140625" style="89" customWidth="1"/>
    <col min="2849" max="2849" width="11.42578125" style="89" customWidth="1"/>
    <col min="2850" max="2850" width="12.5703125" style="89" customWidth="1"/>
    <col min="2851" max="2851" width="25" style="89" customWidth="1"/>
    <col min="2852" max="2852" width="16.5703125" style="89" bestFit="1" customWidth="1"/>
    <col min="2853" max="2853" width="24" style="89" customWidth="1"/>
    <col min="2854" max="2854" width="11.42578125" style="89" customWidth="1"/>
    <col min="2855" max="2855" width="20" style="89" customWidth="1"/>
    <col min="2856" max="2856" width="11.42578125" style="89" customWidth="1"/>
    <col min="2857" max="2857" width="19" style="89" customWidth="1"/>
    <col min="2858" max="2861" width="11.42578125" style="89" customWidth="1"/>
    <col min="2862" max="2862" width="15.140625" style="89" customWidth="1"/>
    <col min="2863" max="2863" width="14" style="89" customWidth="1"/>
    <col min="2864" max="2864" width="15.140625" style="89" customWidth="1"/>
    <col min="2865" max="2865" width="11.42578125" style="89" customWidth="1"/>
    <col min="2866" max="2866" width="51.7109375" style="89" customWidth="1"/>
    <col min="2867" max="2868" width="29.5703125" style="89" customWidth="1"/>
    <col min="2869" max="2869" width="44.42578125" style="89" customWidth="1"/>
    <col min="2870" max="2870" width="36.28515625" style="89" customWidth="1"/>
    <col min="2871" max="2871" width="27.42578125" style="89" bestFit="1" customWidth="1"/>
    <col min="2872" max="3092" width="11.42578125" style="89"/>
    <col min="3093" max="3093" width="15.5703125" style="89" bestFit="1" customWidth="1"/>
    <col min="3094" max="3094" width="33.7109375" style="89" customWidth="1"/>
    <col min="3095" max="3095" width="19" style="89" customWidth="1"/>
    <col min="3096" max="3096" width="19.85546875" style="89" customWidth="1"/>
    <col min="3097" max="3097" width="18.5703125" style="89" customWidth="1"/>
    <col min="3098" max="3098" width="19.7109375" style="89" customWidth="1"/>
    <col min="3099" max="3099" width="14.85546875" style="89" customWidth="1"/>
    <col min="3100" max="3100" width="16.85546875" style="89" customWidth="1"/>
    <col min="3101" max="3103" width="11.42578125" style="89" customWidth="1"/>
    <col min="3104" max="3104" width="18.140625" style="89" customWidth="1"/>
    <col min="3105" max="3105" width="11.42578125" style="89" customWidth="1"/>
    <col min="3106" max="3106" width="12.5703125" style="89" customWidth="1"/>
    <col min="3107" max="3107" width="25" style="89" customWidth="1"/>
    <col min="3108" max="3108" width="16.5703125" style="89" bestFit="1" customWidth="1"/>
    <col min="3109" max="3109" width="24" style="89" customWidth="1"/>
    <col min="3110" max="3110" width="11.42578125" style="89" customWidth="1"/>
    <col min="3111" max="3111" width="20" style="89" customWidth="1"/>
    <col min="3112" max="3112" width="11.42578125" style="89" customWidth="1"/>
    <col min="3113" max="3113" width="19" style="89" customWidth="1"/>
    <col min="3114" max="3117" width="11.42578125" style="89" customWidth="1"/>
    <col min="3118" max="3118" width="15.140625" style="89" customWidth="1"/>
    <col min="3119" max="3119" width="14" style="89" customWidth="1"/>
    <col min="3120" max="3120" width="15.140625" style="89" customWidth="1"/>
    <col min="3121" max="3121" width="11.42578125" style="89" customWidth="1"/>
    <col min="3122" max="3122" width="51.7109375" style="89" customWidth="1"/>
    <col min="3123" max="3124" width="29.5703125" style="89" customWidth="1"/>
    <col min="3125" max="3125" width="44.42578125" style="89" customWidth="1"/>
    <col min="3126" max="3126" width="36.28515625" style="89" customWidth="1"/>
    <col min="3127" max="3127" width="27.42578125" style="89" bestFit="1" customWidth="1"/>
    <col min="3128" max="3348" width="11.42578125" style="89"/>
    <col min="3349" max="3349" width="15.5703125" style="89" bestFit="1" customWidth="1"/>
    <col min="3350" max="3350" width="33.7109375" style="89" customWidth="1"/>
    <col min="3351" max="3351" width="19" style="89" customWidth="1"/>
    <col min="3352" max="3352" width="19.85546875" style="89" customWidth="1"/>
    <col min="3353" max="3353" width="18.5703125" style="89" customWidth="1"/>
    <col min="3354" max="3354" width="19.7109375" style="89" customWidth="1"/>
    <col min="3355" max="3355" width="14.85546875" style="89" customWidth="1"/>
    <col min="3356" max="3356" width="16.85546875" style="89" customWidth="1"/>
    <col min="3357" max="3359" width="11.42578125" style="89" customWidth="1"/>
    <col min="3360" max="3360" width="18.140625" style="89" customWidth="1"/>
    <col min="3361" max="3361" width="11.42578125" style="89" customWidth="1"/>
    <col min="3362" max="3362" width="12.5703125" style="89" customWidth="1"/>
    <col min="3363" max="3363" width="25" style="89" customWidth="1"/>
    <col min="3364" max="3364" width="16.5703125" style="89" bestFit="1" customWidth="1"/>
    <col min="3365" max="3365" width="24" style="89" customWidth="1"/>
    <col min="3366" max="3366" width="11.42578125" style="89" customWidth="1"/>
    <col min="3367" max="3367" width="20" style="89" customWidth="1"/>
    <col min="3368" max="3368" width="11.42578125" style="89" customWidth="1"/>
    <col min="3369" max="3369" width="19" style="89" customWidth="1"/>
    <col min="3370" max="3373" width="11.42578125" style="89" customWidth="1"/>
    <col min="3374" max="3374" width="15.140625" style="89" customWidth="1"/>
    <col min="3375" max="3375" width="14" style="89" customWidth="1"/>
    <col min="3376" max="3376" width="15.140625" style="89" customWidth="1"/>
    <col min="3377" max="3377" width="11.42578125" style="89" customWidth="1"/>
    <col min="3378" max="3378" width="51.7109375" style="89" customWidth="1"/>
    <col min="3379" max="3380" width="29.5703125" style="89" customWidth="1"/>
    <col min="3381" max="3381" width="44.42578125" style="89" customWidth="1"/>
    <col min="3382" max="3382" width="36.28515625" style="89" customWidth="1"/>
    <col min="3383" max="3383" width="27.42578125" style="89" bestFit="1" customWidth="1"/>
    <col min="3384" max="3604" width="11.42578125" style="89"/>
    <col min="3605" max="3605" width="15.5703125" style="89" bestFit="1" customWidth="1"/>
    <col min="3606" max="3606" width="33.7109375" style="89" customWidth="1"/>
    <col min="3607" max="3607" width="19" style="89" customWidth="1"/>
    <col min="3608" max="3608" width="19.85546875" style="89" customWidth="1"/>
    <col min="3609" max="3609" width="18.5703125" style="89" customWidth="1"/>
    <col min="3610" max="3610" width="19.7109375" style="89" customWidth="1"/>
    <col min="3611" max="3611" width="14.85546875" style="89" customWidth="1"/>
    <col min="3612" max="3612" width="16.85546875" style="89" customWidth="1"/>
    <col min="3613" max="3615" width="11.42578125" style="89" customWidth="1"/>
    <col min="3616" max="3616" width="18.140625" style="89" customWidth="1"/>
    <col min="3617" max="3617" width="11.42578125" style="89" customWidth="1"/>
    <col min="3618" max="3618" width="12.5703125" style="89" customWidth="1"/>
    <col min="3619" max="3619" width="25" style="89" customWidth="1"/>
    <col min="3620" max="3620" width="16.5703125" style="89" bestFit="1" customWidth="1"/>
    <col min="3621" max="3621" width="24" style="89" customWidth="1"/>
    <col min="3622" max="3622" width="11.42578125" style="89" customWidth="1"/>
    <col min="3623" max="3623" width="20" style="89" customWidth="1"/>
    <col min="3624" max="3624" width="11.42578125" style="89" customWidth="1"/>
    <col min="3625" max="3625" width="19" style="89" customWidth="1"/>
    <col min="3626" max="3629" width="11.42578125" style="89" customWidth="1"/>
    <col min="3630" max="3630" width="15.140625" style="89" customWidth="1"/>
    <col min="3631" max="3631" width="14" style="89" customWidth="1"/>
    <col min="3632" max="3632" width="15.140625" style="89" customWidth="1"/>
    <col min="3633" max="3633" width="11.42578125" style="89" customWidth="1"/>
    <col min="3634" max="3634" width="51.7109375" style="89" customWidth="1"/>
    <col min="3635" max="3636" width="29.5703125" style="89" customWidth="1"/>
    <col min="3637" max="3637" width="44.42578125" style="89" customWidth="1"/>
    <col min="3638" max="3638" width="36.28515625" style="89" customWidth="1"/>
    <col min="3639" max="3639" width="27.42578125" style="89" bestFit="1" customWidth="1"/>
    <col min="3640" max="3860" width="11.42578125" style="89"/>
    <col min="3861" max="3861" width="15.5703125" style="89" bestFit="1" customWidth="1"/>
    <col min="3862" max="3862" width="33.7109375" style="89" customWidth="1"/>
    <col min="3863" max="3863" width="19" style="89" customWidth="1"/>
    <col min="3864" max="3864" width="19.85546875" style="89" customWidth="1"/>
    <col min="3865" max="3865" width="18.5703125" style="89" customWidth="1"/>
    <col min="3866" max="3866" width="19.7109375" style="89" customWidth="1"/>
    <col min="3867" max="3867" width="14.85546875" style="89" customWidth="1"/>
    <col min="3868" max="3868" width="16.85546875" style="89" customWidth="1"/>
    <col min="3869" max="3871" width="11.42578125" style="89" customWidth="1"/>
    <col min="3872" max="3872" width="18.140625" style="89" customWidth="1"/>
    <col min="3873" max="3873" width="11.42578125" style="89" customWidth="1"/>
    <col min="3874" max="3874" width="12.5703125" style="89" customWidth="1"/>
    <col min="3875" max="3875" width="25" style="89" customWidth="1"/>
    <col min="3876" max="3876" width="16.5703125" style="89" bestFit="1" customWidth="1"/>
    <col min="3877" max="3877" width="24" style="89" customWidth="1"/>
    <col min="3878" max="3878" width="11.42578125" style="89" customWidth="1"/>
    <col min="3879" max="3879" width="20" style="89" customWidth="1"/>
    <col min="3880" max="3880" width="11.42578125" style="89" customWidth="1"/>
    <col min="3881" max="3881" width="19" style="89" customWidth="1"/>
    <col min="3882" max="3885" width="11.42578125" style="89" customWidth="1"/>
    <col min="3886" max="3886" width="15.140625" style="89" customWidth="1"/>
    <col min="3887" max="3887" width="14" style="89" customWidth="1"/>
    <col min="3888" max="3888" width="15.140625" style="89" customWidth="1"/>
    <col min="3889" max="3889" width="11.42578125" style="89" customWidth="1"/>
    <col min="3890" max="3890" width="51.7109375" style="89" customWidth="1"/>
    <col min="3891" max="3892" width="29.5703125" style="89" customWidth="1"/>
    <col min="3893" max="3893" width="44.42578125" style="89" customWidth="1"/>
    <col min="3894" max="3894" width="36.28515625" style="89" customWidth="1"/>
    <col min="3895" max="3895" width="27.42578125" style="89" bestFit="1" customWidth="1"/>
    <col min="3896" max="4116" width="11.42578125" style="89"/>
    <col min="4117" max="4117" width="15.5703125" style="89" bestFit="1" customWidth="1"/>
    <col min="4118" max="4118" width="33.7109375" style="89" customWidth="1"/>
    <col min="4119" max="4119" width="19" style="89" customWidth="1"/>
    <col min="4120" max="4120" width="19.85546875" style="89" customWidth="1"/>
    <col min="4121" max="4121" width="18.5703125" style="89" customWidth="1"/>
    <col min="4122" max="4122" width="19.7109375" style="89" customWidth="1"/>
    <col min="4123" max="4123" width="14.85546875" style="89" customWidth="1"/>
    <col min="4124" max="4124" width="16.85546875" style="89" customWidth="1"/>
    <col min="4125" max="4127" width="11.42578125" style="89" customWidth="1"/>
    <col min="4128" max="4128" width="18.140625" style="89" customWidth="1"/>
    <col min="4129" max="4129" width="11.42578125" style="89" customWidth="1"/>
    <col min="4130" max="4130" width="12.5703125" style="89" customWidth="1"/>
    <col min="4131" max="4131" width="25" style="89" customWidth="1"/>
    <col min="4132" max="4132" width="16.5703125" style="89" bestFit="1" customWidth="1"/>
    <col min="4133" max="4133" width="24" style="89" customWidth="1"/>
    <col min="4134" max="4134" width="11.42578125" style="89" customWidth="1"/>
    <col min="4135" max="4135" width="20" style="89" customWidth="1"/>
    <col min="4136" max="4136" width="11.42578125" style="89" customWidth="1"/>
    <col min="4137" max="4137" width="19" style="89" customWidth="1"/>
    <col min="4138" max="4141" width="11.42578125" style="89" customWidth="1"/>
    <col min="4142" max="4142" width="15.140625" style="89" customWidth="1"/>
    <col min="4143" max="4143" width="14" style="89" customWidth="1"/>
    <col min="4144" max="4144" width="15.140625" style="89" customWidth="1"/>
    <col min="4145" max="4145" width="11.42578125" style="89" customWidth="1"/>
    <col min="4146" max="4146" width="51.7109375" style="89" customWidth="1"/>
    <col min="4147" max="4148" width="29.5703125" style="89" customWidth="1"/>
    <col min="4149" max="4149" width="44.42578125" style="89" customWidth="1"/>
    <col min="4150" max="4150" width="36.28515625" style="89" customWidth="1"/>
    <col min="4151" max="4151" width="27.42578125" style="89" bestFit="1" customWidth="1"/>
    <col min="4152" max="4372" width="11.42578125" style="89"/>
    <col min="4373" max="4373" width="15.5703125" style="89" bestFit="1" customWidth="1"/>
    <col min="4374" max="4374" width="33.7109375" style="89" customWidth="1"/>
    <col min="4375" max="4375" width="19" style="89" customWidth="1"/>
    <col min="4376" max="4376" width="19.85546875" style="89" customWidth="1"/>
    <col min="4377" max="4377" width="18.5703125" style="89" customWidth="1"/>
    <col min="4378" max="4378" width="19.7109375" style="89" customWidth="1"/>
    <col min="4379" max="4379" width="14.85546875" style="89" customWidth="1"/>
    <col min="4380" max="4380" width="16.85546875" style="89" customWidth="1"/>
    <col min="4381" max="4383" width="11.42578125" style="89" customWidth="1"/>
    <col min="4384" max="4384" width="18.140625" style="89" customWidth="1"/>
    <col min="4385" max="4385" width="11.42578125" style="89" customWidth="1"/>
    <col min="4386" max="4386" width="12.5703125" style="89" customWidth="1"/>
    <col min="4387" max="4387" width="25" style="89" customWidth="1"/>
    <col min="4388" max="4388" width="16.5703125" style="89" bestFit="1" customWidth="1"/>
    <col min="4389" max="4389" width="24" style="89" customWidth="1"/>
    <col min="4390" max="4390" width="11.42578125" style="89" customWidth="1"/>
    <col min="4391" max="4391" width="20" style="89" customWidth="1"/>
    <col min="4392" max="4392" width="11.42578125" style="89" customWidth="1"/>
    <col min="4393" max="4393" width="19" style="89" customWidth="1"/>
    <col min="4394" max="4397" width="11.42578125" style="89" customWidth="1"/>
    <col min="4398" max="4398" width="15.140625" style="89" customWidth="1"/>
    <col min="4399" max="4399" width="14" style="89" customWidth="1"/>
    <col min="4400" max="4400" width="15.140625" style="89" customWidth="1"/>
    <col min="4401" max="4401" width="11.42578125" style="89" customWidth="1"/>
    <col min="4402" max="4402" width="51.7109375" style="89" customWidth="1"/>
    <col min="4403" max="4404" width="29.5703125" style="89" customWidth="1"/>
    <col min="4405" max="4405" width="44.42578125" style="89" customWidth="1"/>
    <col min="4406" max="4406" width="36.28515625" style="89" customWidth="1"/>
    <col min="4407" max="4407" width="27.42578125" style="89" bestFit="1" customWidth="1"/>
    <col min="4408" max="4628" width="11.42578125" style="89"/>
    <col min="4629" max="4629" width="15.5703125" style="89" bestFit="1" customWidth="1"/>
    <col min="4630" max="4630" width="33.7109375" style="89" customWidth="1"/>
    <col min="4631" max="4631" width="19" style="89" customWidth="1"/>
    <col min="4632" max="4632" width="19.85546875" style="89" customWidth="1"/>
    <col min="4633" max="4633" width="18.5703125" style="89" customWidth="1"/>
    <col min="4634" max="4634" width="19.7109375" style="89" customWidth="1"/>
    <col min="4635" max="4635" width="14.85546875" style="89" customWidth="1"/>
    <col min="4636" max="4636" width="16.85546875" style="89" customWidth="1"/>
    <col min="4637" max="4639" width="11.42578125" style="89" customWidth="1"/>
    <col min="4640" max="4640" width="18.140625" style="89" customWidth="1"/>
    <col min="4641" max="4641" width="11.42578125" style="89" customWidth="1"/>
    <col min="4642" max="4642" width="12.5703125" style="89" customWidth="1"/>
    <col min="4643" max="4643" width="25" style="89" customWidth="1"/>
    <col min="4644" max="4644" width="16.5703125" style="89" bestFit="1" customWidth="1"/>
    <col min="4645" max="4645" width="24" style="89" customWidth="1"/>
    <col min="4646" max="4646" width="11.42578125" style="89" customWidth="1"/>
    <col min="4647" max="4647" width="20" style="89" customWidth="1"/>
    <col min="4648" max="4648" width="11.42578125" style="89" customWidth="1"/>
    <col min="4649" max="4649" width="19" style="89" customWidth="1"/>
    <col min="4650" max="4653" width="11.42578125" style="89" customWidth="1"/>
    <col min="4654" max="4654" width="15.140625" style="89" customWidth="1"/>
    <col min="4655" max="4655" width="14" style="89" customWidth="1"/>
    <col min="4656" max="4656" width="15.140625" style="89" customWidth="1"/>
    <col min="4657" max="4657" width="11.42578125" style="89" customWidth="1"/>
    <col min="4658" max="4658" width="51.7109375" style="89" customWidth="1"/>
    <col min="4659" max="4660" width="29.5703125" style="89" customWidth="1"/>
    <col min="4661" max="4661" width="44.42578125" style="89" customWidth="1"/>
    <col min="4662" max="4662" width="36.28515625" style="89" customWidth="1"/>
    <col min="4663" max="4663" width="27.42578125" style="89" bestFit="1" customWidth="1"/>
    <col min="4664" max="4884" width="11.42578125" style="89"/>
    <col min="4885" max="4885" width="15.5703125" style="89" bestFit="1" customWidth="1"/>
    <col min="4886" max="4886" width="33.7109375" style="89" customWidth="1"/>
    <col min="4887" max="4887" width="19" style="89" customWidth="1"/>
    <col min="4888" max="4888" width="19.85546875" style="89" customWidth="1"/>
    <col min="4889" max="4889" width="18.5703125" style="89" customWidth="1"/>
    <col min="4890" max="4890" width="19.7109375" style="89" customWidth="1"/>
    <col min="4891" max="4891" width="14.85546875" style="89" customWidth="1"/>
    <col min="4892" max="4892" width="16.85546875" style="89" customWidth="1"/>
    <col min="4893" max="4895" width="11.42578125" style="89" customWidth="1"/>
    <col min="4896" max="4896" width="18.140625" style="89" customWidth="1"/>
    <col min="4897" max="4897" width="11.42578125" style="89" customWidth="1"/>
    <col min="4898" max="4898" width="12.5703125" style="89" customWidth="1"/>
    <col min="4899" max="4899" width="25" style="89" customWidth="1"/>
    <col min="4900" max="4900" width="16.5703125" style="89" bestFit="1" customWidth="1"/>
    <col min="4901" max="4901" width="24" style="89" customWidth="1"/>
    <col min="4902" max="4902" width="11.42578125" style="89" customWidth="1"/>
    <col min="4903" max="4903" width="20" style="89" customWidth="1"/>
    <col min="4904" max="4904" width="11.42578125" style="89" customWidth="1"/>
    <col min="4905" max="4905" width="19" style="89" customWidth="1"/>
    <col min="4906" max="4909" width="11.42578125" style="89" customWidth="1"/>
    <col min="4910" max="4910" width="15.140625" style="89" customWidth="1"/>
    <col min="4911" max="4911" width="14" style="89" customWidth="1"/>
    <col min="4912" max="4912" width="15.140625" style="89" customWidth="1"/>
    <col min="4913" max="4913" width="11.42578125" style="89" customWidth="1"/>
    <col min="4914" max="4914" width="51.7109375" style="89" customWidth="1"/>
    <col min="4915" max="4916" width="29.5703125" style="89" customWidth="1"/>
    <col min="4917" max="4917" width="44.42578125" style="89" customWidth="1"/>
    <col min="4918" max="4918" width="36.28515625" style="89" customWidth="1"/>
    <col min="4919" max="4919" width="27.42578125" style="89" bestFit="1" customWidth="1"/>
    <col min="4920" max="5140" width="11.42578125" style="89"/>
    <col min="5141" max="5141" width="15.5703125" style="89" bestFit="1" customWidth="1"/>
    <col min="5142" max="5142" width="33.7109375" style="89" customWidth="1"/>
    <col min="5143" max="5143" width="19" style="89" customWidth="1"/>
    <col min="5144" max="5144" width="19.85546875" style="89" customWidth="1"/>
    <col min="5145" max="5145" width="18.5703125" style="89" customWidth="1"/>
    <col min="5146" max="5146" width="19.7109375" style="89" customWidth="1"/>
    <col min="5147" max="5147" width="14.85546875" style="89" customWidth="1"/>
    <col min="5148" max="5148" width="16.85546875" style="89" customWidth="1"/>
    <col min="5149" max="5151" width="11.42578125" style="89" customWidth="1"/>
    <col min="5152" max="5152" width="18.140625" style="89" customWidth="1"/>
    <col min="5153" max="5153" width="11.42578125" style="89" customWidth="1"/>
    <col min="5154" max="5154" width="12.5703125" style="89" customWidth="1"/>
    <col min="5155" max="5155" width="25" style="89" customWidth="1"/>
    <col min="5156" max="5156" width="16.5703125" style="89" bestFit="1" customWidth="1"/>
    <col min="5157" max="5157" width="24" style="89" customWidth="1"/>
    <col min="5158" max="5158" width="11.42578125" style="89" customWidth="1"/>
    <col min="5159" max="5159" width="20" style="89" customWidth="1"/>
    <col min="5160" max="5160" width="11.42578125" style="89" customWidth="1"/>
    <col min="5161" max="5161" width="19" style="89" customWidth="1"/>
    <col min="5162" max="5165" width="11.42578125" style="89" customWidth="1"/>
    <col min="5166" max="5166" width="15.140625" style="89" customWidth="1"/>
    <col min="5167" max="5167" width="14" style="89" customWidth="1"/>
    <col min="5168" max="5168" width="15.140625" style="89" customWidth="1"/>
    <col min="5169" max="5169" width="11.42578125" style="89" customWidth="1"/>
    <col min="5170" max="5170" width="51.7109375" style="89" customWidth="1"/>
    <col min="5171" max="5172" width="29.5703125" style="89" customWidth="1"/>
    <col min="5173" max="5173" width="44.42578125" style="89" customWidth="1"/>
    <col min="5174" max="5174" width="36.28515625" style="89" customWidth="1"/>
    <col min="5175" max="5175" width="27.42578125" style="89" bestFit="1" customWidth="1"/>
    <col min="5176" max="5396" width="11.42578125" style="89"/>
    <col min="5397" max="5397" width="15.5703125" style="89" bestFit="1" customWidth="1"/>
    <col min="5398" max="5398" width="33.7109375" style="89" customWidth="1"/>
    <col min="5399" max="5399" width="19" style="89" customWidth="1"/>
    <col min="5400" max="5400" width="19.85546875" style="89" customWidth="1"/>
    <col min="5401" max="5401" width="18.5703125" style="89" customWidth="1"/>
    <col min="5402" max="5402" width="19.7109375" style="89" customWidth="1"/>
    <col min="5403" max="5403" width="14.85546875" style="89" customWidth="1"/>
    <col min="5404" max="5404" width="16.85546875" style="89" customWidth="1"/>
    <col min="5405" max="5407" width="11.42578125" style="89" customWidth="1"/>
    <col min="5408" max="5408" width="18.140625" style="89" customWidth="1"/>
    <col min="5409" max="5409" width="11.42578125" style="89" customWidth="1"/>
    <col min="5410" max="5410" width="12.5703125" style="89" customWidth="1"/>
    <col min="5411" max="5411" width="25" style="89" customWidth="1"/>
    <col min="5412" max="5412" width="16.5703125" style="89" bestFit="1" customWidth="1"/>
    <col min="5413" max="5413" width="24" style="89" customWidth="1"/>
    <col min="5414" max="5414" width="11.42578125" style="89" customWidth="1"/>
    <col min="5415" max="5415" width="20" style="89" customWidth="1"/>
    <col min="5416" max="5416" width="11.42578125" style="89" customWidth="1"/>
    <col min="5417" max="5417" width="19" style="89" customWidth="1"/>
    <col min="5418" max="5421" width="11.42578125" style="89" customWidth="1"/>
    <col min="5422" max="5422" width="15.140625" style="89" customWidth="1"/>
    <col min="5423" max="5423" width="14" style="89" customWidth="1"/>
    <col min="5424" max="5424" width="15.140625" style="89" customWidth="1"/>
    <col min="5425" max="5425" width="11.42578125" style="89" customWidth="1"/>
    <col min="5426" max="5426" width="51.7109375" style="89" customWidth="1"/>
    <col min="5427" max="5428" width="29.5703125" style="89" customWidth="1"/>
    <col min="5429" max="5429" width="44.42578125" style="89" customWidth="1"/>
    <col min="5430" max="5430" width="36.28515625" style="89" customWidth="1"/>
    <col min="5431" max="5431" width="27.42578125" style="89" bestFit="1" customWidth="1"/>
    <col min="5432" max="5652" width="11.42578125" style="89"/>
    <col min="5653" max="5653" width="15.5703125" style="89" bestFit="1" customWidth="1"/>
    <col min="5654" max="5654" width="33.7109375" style="89" customWidth="1"/>
    <col min="5655" max="5655" width="19" style="89" customWidth="1"/>
    <col min="5656" max="5656" width="19.85546875" style="89" customWidth="1"/>
    <col min="5657" max="5657" width="18.5703125" style="89" customWidth="1"/>
    <col min="5658" max="5658" width="19.7109375" style="89" customWidth="1"/>
    <col min="5659" max="5659" width="14.85546875" style="89" customWidth="1"/>
    <col min="5660" max="5660" width="16.85546875" style="89" customWidth="1"/>
    <col min="5661" max="5663" width="11.42578125" style="89" customWidth="1"/>
    <col min="5664" max="5664" width="18.140625" style="89" customWidth="1"/>
    <col min="5665" max="5665" width="11.42578125" style="89" customWidth="1"/>
    <col min="5666" max="5666" width="12.5703125" style="89" customWidth="1"/>
    <col min="5667" max="5667" width="25" style="89" customWidth="1"/>
    <col min="5668" max="5668" width="16.5703125" style="89" bestFit="1" customWidth="1"/>
    <col min="5669" max="5669" width="24" style="89" customWidth="1"/>
    <col min="5670" max="5670" width="11.42578125" style="89" customWidth="1"/>
    <col min="5671" max="5671" width="20" style="89" customWidth="1"/>
    <col min="5672" max="5672" width="11.42578125" style="89" customWidth="1"/>
    <col min="5673" max="5673" width="19" style="89" customWidth="1"/>
    <col min="5674" max="5677" width="11.42578125" style="89" customWidth="1"/>
    <col min="5678" max="5678" width="15.140625" style="89" customWidth="1"/>
    <col min="5679" max="5679" width="14" style="89" customWidth="1"/>
    <col min="5680" max="5680" width="15.140625" style="89" customWidth="1"/>
    <col min="5681" max="5681" width="11.42578125" style="89" customWidth="1"/>
    <col min="5682" max="5682" width="51.7109375" style="89" customWidth="1"/>
    <col min="5683" max="5684" width="29.5703125" style="89" customWidth="1"/>
    <col min="5685" max="5685" width="44.42578125" style="89" customWidth="1"/>
    <col min="5686" max="5686" width="36.28515625" style="89" customWidth="1"/>
    <col min="5687" max="5687" width="27.42578125" style="89" bestFit="1" customWidth="1"/>
    <col min="5688" max="5908" width="11.42578125" style="89"/>
    <col min="5909" max="5909" width="15.5703125" style="89" bestFit="1" customWidth="1"/>
    <col min="5910" max="5910" width="33.7109375" style="89" customWidth="1"/>
    <col min="5911" max="5911" width="19" style="89" customWidth="1"/>
    <col min="5912" max="5912" width="19.85546875" style="89" customWidth="1"/>
    <col min="5913" max="5913" width="18.5703125" style="89" customWidth="1"/>
    <col min="5914" max="5914" width="19.7109375" style="89" customWidth="1"/>
    <col min="5915" max="5915" width="14.85546875" style="89" customWidth="1"/>
    <col min="5916" max="5916" width="16.85546875" style="89" customWidth="1"/>
    <col min="5917" max="5919" width="11.42578125" style="89" customWidth="1"/>
    <col min="5920" max="5920" width="18.140625" style="89" customWidth="1"/>
    <col min="5921" max="5921" width="11.42578125" style="89" customWidth="1"/>
    <col min="5922" max="5922" width="12.5703125" style="89" customWidth="1"/>
    <col min="5923" max="5923" width="25" style="89" customWidth="1"/>
    <col min="5924" max="5924" width="16.5703125" style="89" bestFit="1" customWidth="1"/>
    <col min="5925" max="5925" width="24" style="89" customWidth="1"/>
    <col min="5926" max="5926" width="11.42578125" style="89" customWidth="1"/>
    <col min="5927" max="5927" width="20" style="89" customWidth="1"/>
    <col min="5928" max="5928" width="11.42578125" style="89" customWidth="1"/>
    <col min="5929" max="5929" width="19" style="89" customWidth="1"/>
    <col min="5930" max="5933" width="11.42578125" style="89" customWidth="1"/>
    <col min="5934" max="5934" width="15.140625" style="89" customWidth="1"/>
    <col min="5935" max="5935" width="14" style="89" customWidth="1"/>
    <col min="5936" max="5936" width="15.140625" style="89" customWidth="1"/>
    <col min="5937" max="5937" width="11.42578125" style="89" customWidth="1"/>
    <col min="5938" max="5938" width="51.7109375" style="89" customWidth="1"/>
    <col min="5939" max="5940" width="29.5703125" style="89" customWidth="1"/>
    <col min="5941" max="5941" width="44.42578125" style="89" customWidth="1"/>
    <col min="5942" max="5942" width="36.28515625" style="89" customWidth="1"/>
    <col min="5943" max="5943" width="27.42578125" style="89" bestFit="1" customWidth="1"/>
    <col min="5944" max="6164" width="11.42578125" style="89"/>
    <col min="6165" max="6165" width="15.5703125" style="89" bestFit="1" customWidth="1"/>
    <col min="6166" max="6166" width="33.7109375" style="89" customWidth="1"/>
    <col min="6167" max="6167" width="19" style="89" customWidth="1"/>
    <col min="6168" max="6168" width="19.85546875" style="89" customWidth="1"/>
    <col min="6169" max="6169" width="18.5703125" style="89" customWidth="1"/>
    <col min="6170" max="6170" width="19.7109375" style="89" customWidth="1"/>
    <col min="6171" max="6171" width="14.85546875" style="89" customWidth="1"/>
    <col min="6172" max="6172" width="16.85546875" style="89" customWidth="1"/>
    <col min="6173" max="6175" width="11.42578125" style="89" customWidth="1"/>
    <col min="6176" max="6176" width="18.140625" style="89" customWidth="1"/>
    <col min="6177" max="6177" width="11.42578125" style="89" customWidth="1"/>
    <col min="6178" max="6178" width="12.5703125" style="89" customWidth="1"/>
    <col min="6179" max="6179" width="25" style="89" customWidth="1"/>
    <col min="6180" max="6180" width="16.5703125" style="89" bestFit="1" customWidth="1"/>
    <col min="6181" max="6181" width="24" style="89" customWidth="1"/>
    <col min="6182" max="6182" width="11.42578125" style="89" customWidth="1"/>
    <col min="6183" max="6183" width="20" style="89" customWidth="1"/>
    <col min="6184" max="6184" width="11.42578125" style="89" customWidth="1"/>
    <col min="6185" max="6185" width="19" style="89" customWidth="1"/>
    <col min="6186" max="6189" width="11.42578125" style="89" customWidth="1"/>
    <col min="6190" max="6190" width="15.140625" style="89" customWidth="1"/>
    <col min="6191" max="6191" width="14" style="89" customWidth="1"/>
    <col min="6192" max="6192" width="15.140625" style="89" customWidth="1"/>
    <col min="6193" max="6193" width="11.42578125" style="89" customWidth="1"/>
    <col min="6194" max="6194" width="51.7109375" style="89" customWidth="1"/>
    <col min="6195" max="6196" width="29.5703125" style="89" customWidth="1"/>
    <col min="6197" max="6197" width="44.42578125" style="89" customWidth="1"/>
    <col min="6198" max="6198" width="36.28515625" style="89" customWidth="1"/>
    <col min="6199" max="6199" width="27.42578125" style="89" bestFit="1" customWidth="1"/>
    <col min="6200" max="6420" width="11.42578125" style="89"/>
    <col min="6421" max="6421" width="15.5703125" style="89" bestFit="1" customWidth="1"/>
    <col min="6422" max="6422" width="33.7109375" style="89" customWidth="1"/>
    <col min="6423" max="6423" width="19" style="89" customWidth="1"/>
    <col min="6424" max="6424" width="19.85546875" style="89" customWidth="1"/>
    <col min="6425" max="6425" width="18.5703125" style="89" customWidth="1"/>
    <col min="6426" max="6426" width="19.7109375" style="89" customWidth="1"/>
    <col min="6427" max="6427" width="14.85546875" style="89" customWidth="1"/>
    <col min="6428" max="6428" width="16.85546875" style="89" customWidth="1"/>
    <col min="6429" max="6431" width="11.42578125" style="89" customWidth="1"/>
    <col min="6432" max="6432" width="18.140625" style="89" customWidth="1"/>
    <col min="6433" max="6433" width="11.42578125" style="89" customWidth="1"/>
    <col min="6434" max="6434" width="12.5703125" style="89" customWidth="1"/>
    <col min="6435" max="6435" width="25" style="89" customWidth="1"/>
    <col min="6436" max="6436" width="16.5703125" style="89" bestFit="1" customWidth="1"/>
    <col min="6437" max="6437" width="24" style="89" customWidth="1"/>
    <col min="6438" max="6438" width="11.42578125" style="89" customWidth="1"/>
    <col min="6439" max="6439" width="20" style="89" customWidth="1"/>
    <col min="6440" max="6440" width="11.42578125" style="89" customWidth="1"/>
    <col min="6441" max="6441" width="19" style="89" customWidth="1"/>
    <col min="6442" max="6445" width="11.42578125" style="89" customWidth="1"/>
    <col min="6446" max="6446" width="15.140625" style="89" customWidth="1"/>
    <col min="6447" max="6447" width="14" style="89" customWidth="1"/>
    <col min="6448" max="6448" width="15.140625" style="89" customWidth="1"/>
    <col min="6449" max="6449" width="11.42578125" style="89" customWidth="1"/>
    <col min="6450" max="6450" width="51.7109375" style="89" customWidth="1"/>
    <col min="6451" max="6452" width="29.5703125" style="89" customWidth="1"/>
    <col min="6453" max="6453" width="44.42578125" style="89" customWidth="1"/>
    <col min="6454" max="6454" width="36.28515625" style="89" customWidth="1"/>
    <col min="6455" max="6455" width="27.42578125" style="89" bestFit="1" customWidth="1"/>
    <col min="6456" max="6676" width="11.42578125" style="89"/>
    <col min="6677" max="6677" width="15.5703125" style="89" bestFit="1" customWidth="1"/>
    <col min="6678" max="6678" width="33.7109375" style="89" customWidth="1"/>
    <col min="6679" max="6679" width="19" style="89" customWidth="1"/>
    <col min="6680" max="6680" width="19.85546875" style="89" customWidth="1"/>
    <col min="6681" max="6681" width="18.5703125" style="89" customWidth="1"/>
    <col min="6682" max="6682" width="19.7109375" style="89" customWidth="1"/>
    <col min="6683" max="6683" width="14.85546875" style="89" customWidth="1"/>
    <col min="6684" max="6684" width="16.85546875" style="89" customWidth="1"/>
    <col min="6685" max="6687" width="11.42578125" style="89" customWidth="1"/>
    <col min="6688" max="6688" width="18.140625" style="89" customWidth="1"/>
    <col min="6689" max="6689" width="11.42578125" style="89" customWidth="1"/>
    <col min="6690" max="6690" width="12.5703125" style="89" customWidth="1"/>
    <col min="6691" max="6691" width="25" style="89" customWidth="1"/>
    <col min="6692" max="6692" width="16.5703125" style="89" bestFit="1" customWidth="1"/>
    <col min="6693" max="6693" width="24" style="89" customWidth="1"/>
    <col min="6694" max="6694" width="11.42578125" style="89" customWidth="1"/>
    <col min="6695" max="6695" width="20" style="89" customWidth="1"/>
    <col min="6696" max="6696" width="11.42578125" style="89" customWidth="1"/>
    <col min="6697" max="6697" width="19" style="89" customWidth="1"/>
    <col min="6698" max="6701" width="11.42578125" style="89" customWidth="1"/>
    <col min="6702" max="6702" width="15.140625" style="89" customWidth="1"/>
    <col min="6703" max="6703" width="14" style="89" customWidth="1"/>
    <col min="6704" max="6704" width="15.140625" style="89" customWidth="1"/>
    <col min="6705" max="6705" width="11.42578125" style="89" customWidth="1"/>
    <col min="6706" max="6706" width="51.7109375" style="89" customWidth="1"/>
    <col min="6707" max="6708" width="29.5703125" style="89" customWidth="1"/>
    <col min="6709" max="6709" width="44.42578125" style="89" customWidth="1"/>
    <col min="6710" max="6710" width="36.28515625" style="89" customWidth="1"/>
    <col min="6711" max="6711" width="27.42578125" style="89" bestFit="1" customWidth="1"/>
    <col min="6712" max="6932" width="11.42578125" style="89"/>
    <col min="6933" max="6933" width="15.5703125" style="89" bestFit="1" customWidth="1"/>
    <col min="6934" max="6934" width="33.7109375" style="89" customWidth="1"/>
    <col min="6935" max="6935" width="19" style="89" customWidth="1"/>
    <col min="6936" max="6936" width="19.85546875" style="89" customWidth="1"/>
    <col min="6937" max="6937" width="18.5703125" style="89" customWidth="1"/>
    <col min="6938" max="6938" width="19.7109375" style="89" customWidth="1"/>
    <col min="6939" max="6939" width="14.85546875" style="89" customWidth="1"/>
    <col min="6940" max="6940" width="16.85546875" style="89" customWidth="1"/>
    <col min="6941" max="6943" width="11.42578125" style="89" customWidth="1"/>
    <col min="6944" max="6944" width="18.140625" style="89" customWidth="1"/>
    <col min="6945" max="6945" width="11.42578125" style="89" customWidth="1"/>
    <col min="6946" max="6946" width="12.5703125" style="89" customWidth="1"/>
    <col min="6947" max="6947" width="25" style="89" customWidth="1"/>
    <col min="6948" max="6948" width="16.5703125" style="89" bestFit="1" customWidth="1"/>
    <col min="6949" max="6949" width="24" style="89" customWidth="1"/>
    <col min="6950" max="6950" width="11.42578125" style="89" customWidth="1"/>
    <col min="6951" max="6951" width="20" style="89" customWidth="1"/>
    <col min="6952" max="6952" width="11.42578125" style="89" customWidth="1"/>
    <col min="6953" max="6953" width="19" style="89" customWidth="1"/>
    <col min="6954" max="6957" width="11.42578125" style="89" customWidth="1"/>
    <col min="6958" max="6958" width="15.140625" style="89" customWidth="1"/>
    <col min="6959" max="6959" width="14" style="89" customWidth="1"/>
    <col min="6960" max="6960" width="15.140625" style="89" customWidth="1"/>
    <col min="6961" max="6961" width="11.42578125" style="89" customWidth="1"/>
    <col min="6962" max="6962" width="51.7109375" style="89" customWidth="1"/>
    <col min="6963" max="6964" width="29.5703125" style="89" customWidth="1"/>
    <col min="6965" max="6965" width="44.42578125" style="89" customWidth="1"/>
    <col min="6966" max="6966" width="36.28515625" style="89" customWidth="1"/>
    <col min="6967" max="6967" width="27.42578125" style="89" bestFit="1" customWidth="1"/>
    <col min="6968" max="7188" width="11.42578125" style="89"/>
    <col min="7189" max="7189" width="15.5703125" style="89" bestFit="1" customWidth="1"/>
    <col min="7190" max="7190" width="33.7109375" style="89" customWidth="1"/>
    <col min="7191" max="7191" width="19" style="89" customWidth="1"/>
    <col min="7192" max="7192" width="19.85546875" style="89" customWidth="1"/>
    <col min="7193" max="7193" width="18.5703125" style="89" customWidth="1"/>
    <col min="7194" max="7194" width="19.7109375" style="89" customWidth="1"/>
    <col min="7195" max="7195" width="14.85546875" style="89" customWidth="1"/>
    <col min="7196" max="7196" width="16.85546875" style="89" customWidth="1"/>
    <col min="7197" max="7199" width="11.42578125" style="89" customWidth="1"/>
    <col min="7200" max="7200" width="18.140625" style="89" customWidth="1"/>
    <col min="7201" max="7201" width="11.42578125" style="89" customWidth="1"/>
    <col min="7202" max="7202" width="12.5703125" style="89" customWidth="1"/>
    <col min="7203" max="7203" width="25" style="89" customWidth="1"/>
    <col min="7204" max="7204" width="16.5703125" style="89" bestFit="1" customWidth="1"/>
    <col min="7205" max="7205" width="24" style="89" customWidth="1"/>
    <col min="7206" max="7206" width="11.42578125" style="89" customWidth="1"/>
    <col min="7207" max="7207" width="20" style="89" customWidth="1"/>
    <col min="7208" max="7208" width="11.42578125" style="89" customWidth="1"/>
    <col min="7209" max="7209" width="19" style="89" customWidth="1"/>
    <col min="7210" max="7213" width="11.42578125" style="89" customWidth="1"/>
    <col min="7214" max="7214" width="15.140625" style="89" customWidth="1"/>
    <col min="7215" max="7215" width="14" style="89" customWidth="1"/>
    <col min="7216" max="7216" width="15.140625" style="89" customWidth="1"/>
    <col min="7217" max="7217" width="11.42578125" style="89" customWidth="1"/>
    <col min="7218" max="7218" width="51.7109375" style="89" customWidth="1"/>
    <col min="7219" max="7220" width="29.5703125" style="89" customWidth="1"/>
    <col min="7221" max="7221" width="44.42578125" style="89" customWidth="1"/>
    <col min="7222" max="7222" width="36.28515625" style="89" customWidth="1"/>
    <col min="7223" max="7223" width="27.42578125" style="89" bestFit="1" customWidth="1"/>
    <col min="7224" max="7444" width="11.42578125" style="89"/>
    <col min="7445" max="7445" width="15.5703125" style="89" bestFit="1" customWidth="1"/>
    <col min="7446" max="7446" width="33.7109375" style="89" customWidth="1"/>
    <col min="7447" max="7447" width="19" style="89" customWidth="1"/>
    <col min="7448" max="7448" width="19.85546875" style="89" customWidth="1"/>
    <col min="7449" max="7449" width="18.5703125" style="89" customWidth="1"/>
    <col min="7450" max="7450" width="19.7109375" style="89" customWidth="1"/>
    <col min="7451" max="7451" width="14.85546875" style="89" customWidth="1"/>
    <col min="7452" max="7452" width="16.85546875" style="89" customWidth="1"/>
    <col min="7453" max="7455" width="11.42578125" style="89" customWidth="1"/>
    <col min="7456" max="7456" width="18.140625" style="89" customWidth="1"/>
    <col min="7457" max="7457" width="11.42578125" style="89" customWidth="1"/>
    <col min="7458" max="7458" width="12.5703125" style="89" customWidth="1"/>
    <col min="7459" max="7459" width="25" style="89" customWidth="1"/>
    <col min="7460" max="7460" width="16.5703125" style="89" bestFit="1" customWidth="1"/>
    <col min="7461" max="7461" width="24" style="89" customWidth="1"/>
    <col min="7462" max="7462" width="11.42578125" style="89" customWidth="1"/>
    <col min="7463" max="7463" width="20" style="89" customWidth="1"/>
    <col min="7464" max="7464" width="11.42578125" style="89" customWidth="1"/>
    <col min="7465" max="7465" width="19" style="89" customWidth="1"/>
    <col min="7466" max="7469" width="11.42578125" style="89" customWidth="1"/>
    <col min="7470" max="7470" width="15.140625" style="89" customWidth="1"/>
    <col min="7471" max="7471" width="14" style="89" customWidth="1"/>
    <col min="7472" max="7472" width="15.140625" style="89" customWidth="1"/>
    <col min="7473" max="7473" width="11.42578125" style="89" customWidth="1"/>
    <col min="7474" max="7474" width="51.7109375" style="89" customWidth="1"/>
    <col min="7475" max="7476" width="29.5703125" style="89" customWidth="1"/>
    <col min="7477" max="7477" width="44.42578125" style="89" customWidth="1"/>
    <col min="7478" max="7478" width="36.28515625" style="89" customWidth="1"/>
    <col min="7479" max="7479" width="27.42578125" style="89" bestFit="1" customWidth="1"/>
    <col min="7480" max="7700" width="11.42578125" style="89"/>
    <col min="7701" max="7701" width="15.5703125" style="89" bestFit="1" customWidth="1"/>
    <col min="7702" max="7702" width="33.7109375" style="89" customWidth="1"/>
    <col min="7703" max="7703" width="19" style="89" customWidth="1"/>
    <col min="7704" max="7704" width="19.85546875" style="89" customWidth="1"/>
    <col min="7705" max="7705" width="18.5703125" style="89" customWidth="1"/>
    <col min="7706" max="7706" width="19.7109375" style="89" customWidth="1"/>
    <col min="7707" max="7707" width="14.85546875" style="89" customWidth="1"/>
    <col min="7708" max="7708" width="16.85546875" style="89" customWidth="1"/>
    <col min="7709" max="7711" width="11.42578125" style="89" customWidth="1"/>
    <col min="7712" max="7712" width="18.140625" style="89" customWidth="1"/>
    <col min="7713" max="7713" width="11.42578125" style="89" customWidth="1"/>
    <col min="7714" max="7714" width="12.5703125" style="89" customWidth="1"/>
    <col min="7715" max="7715" width="25" style="89" customWidth="1"/>
    <col min="7716" max="7716" width="16.5703125" style="89" bestFit="1" customWidth="1"/>
    <col min="7717" max="7717" width="24" style="89" customWidth="1"/>
    <col min="7718" max="7718" width="11.42578125" style="89" customWidth="1"/>
    <col min="7719" max="7719" width="20" style="89" customWidth="1"/>
    <col min="7720" max="7720" width="11.42578125" style="89" customWidth="1"/>
    <col min="7721" max="7721" width="19" style="89" customWidth="1"/>
    <col min="7722" max="7725" width="11.42578125" style="89" customWidth="1"/>
    <col min="7726" max="7726" width="15.140625" style="89" customWidth="1"/>
    <col min="7727" max="7727" width="14" style="89" customWidth="1"/>
    <col min="7728" max="7728" width="15.140625" style="89" customWidth="1"/>
    <col min="7729" max="7729" width="11.42578125" style="89" customWidth="1"/>
    <col min="7730" max="7730" width="51.7109375" style="89" customWidth="1"/>
    <col min="7731" max="7732" width="29.5703125" style="89" customWidth="1"/>
    <col min="7733" max="7733" width="44.42578125" style="89" customWidth="1"/>
    <col min="7734" max="7734" width="36.28515625" style="89" customWidth="1"/>
    <col min="7735" max="7735" width="27.42578125" style="89" bestFit="1" customWidth="1"/>
    <col min="7736" max="7956" width="11.42578125" style="89"/>
    <col min="7957" max="7957" width="15.5703125" style="89" bestFit="1" customWidth="1"/>
    <col min="7958" max="7958" width="33.7109375" style="89" customWidth="1"/>
    <col min="7959" max="7959" width="19" style="89" customWidth="1"/>
    <col min="7960" max="7960" width="19.85546875" style="89" customWidth="1"/>
    <col min="7961" max="7961" width="18.5703125" style="89" customWidth="1"/>
    <col min="7962" max="7962" width="19.7109375" style="89" customWidth="1"/>
    <col min="7963" max="7963" width="14.85546875" style="89" customWidth="1"/>
    <col min="7964" max="7964" width="16.85546875" style="89" customWidth="1"/>
    <col min="7965" max="7967" width="11.42578125" style="89" customWidth="1"/>
    <col min="7968" max="7968" width="18.140625" style="89" customWidth="1"/>
    <col min="7969" max="7969" width="11.42578125" style="89" customWidth="1"/>
    <col min="7970" max="7970" width="12.5703125" style="89" customWidth="1"/>
    <col min="7971" max="7971" width="25" style="89" customWidth="1"/>
    <col min="7972" max="7972" width="16.5703125" style="89" bestFit="1" customWidth="1"/>
    <col min="7973" max="7973" width="24" style="89" customWidth="1"/>
    <col min="7974" max="7974" width="11.42578125" style="89" customWidth="1"/>
    <col min="7975" max="7975" width="20" style="89" customWidth="1"/>
    <col min="7976" max="7976" width="11.42578125" style="89" customWidth="1"/>
    <col min="7977" max="7977" width="19" style="89" customWidth="1"/>
    <col min="7978" max="7981" width="11.42578125" style="89" customWidth="1"/>
    <col min="7982" max="7982" width="15.140625" style="89" customWidth="1"/>
    <col min="7983" max="7983" width="14" style="89" customWidth="1"/>
    <col min="7984" max="7984" width="15.140625" style="89" customWidth="1"/>
    <col min="7985" max="7985" width="11.42578125" style="89" customWidth="1"/>
    <col min="7986" max="7986" width="51.7109375" style="89" customWidth="1"/>
    <col min="7987" max="7988" width="29.5703125" style="89" customWidth="1"/>
    <col min="7989" max="7989" width="44.42578125" style="89" customWidth="1"/>
    <col min="7990" max="7990" width="36.28515625" style="89" customWidth="1"/>
    <col min="7991" max="7991" width="27.42578125" style="89" bestFit="1" customWidth="1"/>
    <col min="7992" max="8212" width="11.42578125" style="89"/>
    <col min="8213" max="8213" width="15.5703125" style="89" bestFit="1" customWidth="1"/>
    <col min="8214" max="8214" width="33.7109375" style="89" customWidth="1"/>
    <col min="8215" max="8215" width="19" style="89" customWidth="1"/>
    <col min="8216" max="8216" width="19.85546875" style="89" customWidth="1"/>
    <col min="8217" max="8217" width="18.5703125" style="89" customWidth="1"/>
    <col min="8218" max="8218" width="19.7109375" style="89" customWidth="1"/>
    <col min="8219" max="8219" width="14.85546875" style="89" customWidth="1"/>
    <col min="8220" max="8220" width="16.85546875" style="89" customWidth="1"/>
    <col min="8221" max="8223" width="11.42578125" style="89" customWidth="1"/>
    <col min="8224" max="8224" width="18.140625" style="89" customWidth="1"/>
    <col min="8225" max="8225" width="11.42578125" style="89" customWidth="1"/>
    <col min="8226" max="8226" width="12.5703125" style="89" customWidth="1"/>
    <col min="8227" max="8227" width="25" style="89" customWidth="1"/>
    <col min="8228" max="8228" width="16.5703125" style="89" bestFit="1" customWidth="1"/>
    <col min="8229" max="8229" width="24" style="89" customWidth="1"/>
    <col min="8230" max="8230" width="11.42578125" style="89" customWidth="1"/>
    <col min="8231" max="8231" width="20" style="89" customWidth="1"/>
    <col min="8232" max="8232" width="11.42578125" style="89" customWidth="1"/>
    <col min="8233" max="8233" width="19" style="89" customWidth="1"/>
    <col min="8234" max="8237" width="11.42578125" style="89" customWidth="1"/>
    <col min="8238" max="8238" width="15.140625" style="89" customWidth="1"/>
    <col min="8239" max="8239" width="14" style="89" customWidth="1"/>
    <col min="8240" max="8240" width="15.140625" style="89" customWidth="1"/>
    <col min="8241" max="8241" width="11.42578125" style="89" customWidth="1"/>
    <col min="8242" max="8242" width="51.7109375" style="89" customWidth="1"/>
    <col min="8243" max="8244" width="29.5703125" style="89" customWidth="1"/>
    <col min="8245" max="8245" width="44.42578125" style="89" customWidth="1"/>
    <col min="8246" max="8246" width="36.28515625" style="89" customWidth="1"/>
    <col min="8247" max="8247" width="27.42578125" style="89" bestFit="1" customWidth="1"/>
    <col min="8248" max="8468" width="11.42578125" style="89"/>
    <col min="8469" max="8469" width="15.5703125" style="89" bestFit="1" customWidth="1"/>
    <col min="8470" max="8470" width="33.7109375" style="89" customWidth="1"/>
    <col min="8471" max="8471" width="19" style="89" customWidth="1"/>
    <col min="8472" max="8472" width="19.85546875" style="89" customWidth="1"/>
    <col min="8473" max="8473" width="18.5703125" style="89" customWidth="1"/>
    <col min="8474" max="8474" width="19.7109375" style="89" customWidth="1"/>
    <col min="8475" max="8475" width="14.85546875" style="89" customWidth="1"/>
    <col min="8476" max="8476" width="16.85546875" style="89" customWidth="1"/>
    <col min="8477" max="8479" width="11.42578125" style="89" customWidth="1"/>
    <col min="8480" max="8480" width="18.140625" style="89" customWidth="1"/>
    <col min="8481" max="8481" width="11.42578125" style="89" customWidth="1"/>
    <col min="8482" max="8482" width="12.5703125" style="89" customWidth="1"/>
    <col min="8483" max="8483" width="25" style="89" customWidth="1"/>
    <col min="8484" max="8484" width="16.5703125" style="89" bestFit="1" customWidth="1"/>
    <col min="8485" max="8485" width="24" style="89" customWidth="1"/>
    <col min="8486" max="8486" width="11.42578125" style="89" customWidth="1"/>
    <col min="8487" max="8487" width="20" style="89" customWidth="1"/>
    <col min="8488" max="8488" width="11.42578125" style="89" customWidth="1"/>
    <col min="8489" max="8489" width="19" style="89" customWidth="1"/>
    <col min="8490" max="8493" width="11.42578125" style="89" customWidth="1"/>
    <col min="8494" max="8494" width="15.140625" style="89" customWidth="1"/>
    <col min="8495" max="8495" width="14" style="89" customWidth="1"/>
    <col min="8496" max="8496" width="15.140625" style="89" customWidth="1"/>
    <col min="8497" max="8497" width="11.42578125" style="89" customWidth="1"/>
    <col min="8498" max="8498" width="51.7109375" style="89" customWidth="1"/>
    <col min="8499" max="8500" width="29.5703125" style="89" customWidth="1"/>
    <col min="8501" max="8501" width="44.42578125" style="89" customWidth="1"/>
    <col min="8502" max="8502" width="36.28515625" style="89" customWidth="1"/>
    <col min="8503" max="8503" width="27.42578125" style="89" bestFit="1" customWidth="1"/>
    <col min="8504" max="8724" width="11.42578125" style="89"/>
    <col min="8725" max="8725" width="15.5703125" style="89" bestFit="1" customWidth="1"/>
    <col min="8726" max="8726" width="33.7109375" style="89" customWidth="1"/>
    <col min="8727" max="8727" width="19" style="89" customWidth="1"/>
    <col min="8728" max="8728" width="19.85546875" style="89" customWidth="1"/>
    <col min="8729" max="8729" width="18.5703125" style="89" customWidth="1"/>
    <col min="8730" max="8730" width="19.7109375" style="89" customWidth="1"/>
    <col min="8731" max="8731" width="14.85546875" style="89" customWidth="1"/>
    <col min="8732" max="8732" width="16.85546875" style="89" customWidth="1"/>
    <col min="8733" max="8735" width="11.42578125" style="89" customWidth="1"/>
    <col min="8736" max="8736" width="18.140625" style="89" customWidth="1"/>
    <col min="8737" max="8737" width="11.42578125" style="89" customWidth="1"/>
    <col min="8738" max="8738" width="12.5703125" style="89" customWidth="1"/>
    <col min="8739" max="8739" width="25" style="89" customWidth="1"/>
    <col min="8740" max="8740" width="16.5703125" style="89" bestFit="1" customWidth="1"/>
    <col min="8741" max="8741" width="24" style="89" customWidth="1"/>
    <col min="8742" max="8742" width="11.42578125" style="89" customWidth="1"/>
    <col min="8743" max="8743" width="20" style="89" customWidth="1"/>
    <col min="8744" max="8744" width="11.42578125" style="89" customWidth="1"/>
    <col min="8745" max="8745" width="19" style="89" customWidth="1"/>
    <col min="8746" max="8749" width="11.42578125" style="89" customWidth="1"/>
    <col min="8750" max="8750" width="15.140625" style="89" customWidth="1"/>
    <col min="8751" max="8751" width="14" style="89" customWidth="1"/>
    <col min="8752" max="8752" width="15.140625" style="89" customWidth="1"/>
    <col min="8753" max="8753" width="11.42578125" style="89" customWidth="1"/>
    <col min="8754" max="8754" width="51.7109375" style="89" customWidth="1"/>
    <col min="8755" max="8756" width="29.5703125" style="89" customWidth="1"/>
    <col min="8757" max="8757" width="44.42578125" style="89" customWidth="1"/>
    <col min="8758" max="8758" width="36.28515625" style="89" customWidth="1"/>
    <col min="8759" max="8759" width="27.42578125" style="89" bestFit="1" customWidth="1"/>
    <col min="8760" max="8980" width="11.42578125" style="89"/>
    <col min="8981" max="8981" width="15.5703125" style="89" bestFit="1" customWidth="1"/>
    <col min="8982" max="8982" width="33.7109375" style="89" customWidth="1"/>
    <col min="8983" max="8983" width="19" style="89" customWidth="1"/>
    <col min="8984" max="8984" width="19.85546875" style="89" customWidth="1"/>
    <col min="8985" max="8985" width="18.5703125" style="89" customWidth="1"/>
    <col min="8986" max="8986" width="19.7109375" style="89" customWidth="1"/>
    <col min="8987" max="8987" width="14.85546875" style="89" customWidth="1"/>
    <col min="8988" max="8988" width="16.85546875" style="89" customWidth="1"/>
    <col min="8989" max="8991" width="11.42578125" style="89" customWidth="1"/>
    <col min="8992" max="8992" width="18.140625" style="89" customWidth="1"/>
    <col min="8993" max="8993" width="11.42578125" style="89" customWidth="1"/>
    <col min="8994" max="8994" width="12.5703125" style="89" customWidth="1"/>
    <col min="8995" max="8995" width="25" style="89" customWidth="1"/>
    <col min="8996" max="8996" width="16.5703125" style="89" bestFit="1" customWidth="1"/>
    <col min="8997" max="8997" width="24" style="89" customWidth="1"/>
    <col min="8998" max="8998" width="11.42578125" style="89" customWidth="1"/>
    <col min="8999" max="8999" width="20" style="89" customWidth="1"/>
    <col min="9000" max="9000" width="11.42578125" style="89" customWidth="1"/>
    <col min="9001" max="9001" width="19" style="89" customWidth="1"/>
    <col min="9002" max="9005" width="11.42578125" style="89" customWidth="1"/>
    <col min="9006" max="9006" width="15.140625" style="89" customWidth="1"/>
    <col min="9007" max="9007" width="14" style="89" customWidth="1"/>
    <col min="9008" max="9008" width="15.140625" style="89" customWidth="1"/>
    <col min="9009" max="9009" width="11.42578125" style="89" customWidth="1"/>
    <col min="9010" max="9010" width="51.7109375" style="89" customWidth="1"/>
    <col min="9011" max="9012" width="29.5703125" style="89" customWidth="1"/>
    <col min="9013" max="9013" width="44.42578125" style="89" customWidth="1"/>
    <col min="9014" max="9014" width="36.28515625" style="89" customWidth="1"/>
    <col min="9015" max="9015" width="27.42578125" style="89" bestFit="1" customWidth="1"/>
    <col min="9016" max="9236" width="11.42578125" style="89"/>
    <col min="9237" max="9237" width="15.5703125" style="89" bestFit="1" customWidth="1"/>
    <col min="9238" max="9238" width="33.7109375" style="89" customWidth="1"/>
    <col min="9239" max="9239" width="19" style="89" customWidth="1"/>
    <col min="9240" max="9240" width="19.85546875" style="89" customWidth="1"/>
    <col min="9241" max="9241" width="18.5703125" style="89" customWidth="1"/>
    <col min="9242" max="9242" width="19.7109375" style="89" customWidth="1"/>
    <col min="9243" max="9243" width="14.85546875" style="89" customWidth="1"/>
    <col min="9244" max="9244" width="16.85546875" style="89" customWidth="1"/>
    <col min="9245" max="9247" width="11.42578125" style="89" customWidth="1"/>
    <col min="9248" max="9248" width="18.140625" style="89" customWidth="1"/>
    <col min="9249" max="9249" width="11.42578125" style="89" customWidth="1"/>
    <col min="9250" max="9250" width="12.5703125" style="89" customWidth="1"/>
    <col min="9251" max="9251" width="25" style="89" customWidth="1"/>
    <col min="9252" max="9252" width="16.5703125" style="89" bestFit="1" customWidth="1"/>
    <col min="9253" max="9253" width="24" style="89" customWidth="1"/>
    <col min="9254" max="9254" width="11.42578125" style="89" customWidth="1"/>
    <col min="9255" max="9255" width="20" style="89" customWidth="1"/>
    <col min="9256" max="9256" width="11.42578125" style="89" customWidth="1"/>
    <col min="9257" max="9257" width="19" style="89" customWidth="1"/>
    <col min="9258" max="9261" width="11.42578125" style="89" customWidth="1"/>
    <col min="9262" max="9262" width="15.140625" style="89" customWidth="1"/>
    <col min="9263" max="9263" width="14" style="89" customWidth="1"/>
    <col min="9264" max="9264" width="15.140625" style="89" customWidth="1"/>
    <col min="9265" max="9265" width="11.42578125" style="89" customWidth="1"/>
    <col min="9266" max="9266" width="51.7109375" style="89" customWidth="1"/>
    <col min="9267" max="9268" width="29.5703125" style="89" customWidth="1"/>
    <col min="9269" max="9269" width="44.42578125" style="89" customWidth="1"/>
    <col min="9270" max="9270" width="36.28515625" style="89" customWidth="1"/>
    <col min="9271" max="9271" width="27.42578125" style="89" bestFit="1" customWidth="1"/>
    <col min="9272" max="9492" width="11.42578125" style="89"/>
    <col min="9493" max="9493" width="15.5703125" style="89" bestFit="1" customWidth="1"/>
    <col min="9494" max="9494" width="33.7109375" style="89" customWidth="1"/>
    <col min="9495" max="9495" width="19" style="89" customWidth="1"/>
    <col min="9496" max="9496" width="19.85546875" style="89" customWidth="1"/>
    <col min="9497" max="9497" width="18.5703125" style="89" customWidth="1"/>
    <col min="9498" max="9498" width="19.7109375" style="89" customWidth="1"/>
    <col min="9499" max="9499" width="14.85546875" style="89" customWidth="1"/>
    <col min="9500" max="9500" width="16.85546875" style="89" customWidth="1"/>
    <col min="9501" max="9503" width="11.42578125" style="89" customWidth="1"/>
    <col min="9504" max="9504" width="18.140625" style="89" customWidth="1"/>
    <col min="9505" max="9505" width="11.42578125" style="89" customWidth="1"/>
    <col min="9506" max="9506" width="12.5703125" style="89" customWidth="1"/>
    <col min="9507" max="9507" width="25" style="89" customWidth="1"/>
    <col min="9508" max="9508" width="16.5703125" style="89" bestFit="1" customWidth="1"/>
    <col min="9509" max="9509" width="24" style="89" customWidth="1"/>
    <col min="9510" max="9510" width="11.42578125" style="89" customWidth="1"/>
    <col min="9511" max="9511" width="20" style="89" customWidth="1"/>
    <col min="9512" max="9512" width="11.42578125" style="89" customWidth="1"/>
    <col min="9513" max="9513" width="19" style="89" customWidth="1"/>
    <col min="9514" max="9517" width="11.42578125" style="89" customWidth="1"/>
    <col min="9518" max="9518" width="15.140625" style="89" customWidth="1"/>
    <col min="9519" max="9519" width="14" style="89" customWidth="1"/>
    <col min="9520" max="9520" width="15.140625" style="89" customWidth="1"/>
    <col min="9521" max="9521" width="11.42578125" style="89" customWidth="1"/>
    <col min="9522" max="9522" width="51.7109375" style="89" customWidth="1"/>
    <col min="9523" max="9524" width="29.5703125" style="89" customWidth="1"/>
    <col min="9525" max="9525" width="44.42578125" style="89" customWidth="1"/>
    <col min="9526" max="9526" width="36.28515625" style="89" customWidth="1"/>
    <col min="9527" max="9527" width="27.42578125" style="89" bestFit="1" customWidth="1"/>
    <col min="9528" max="9748" width="11.42578125" style="89"/>
    <col min="9749" max="9749" width="15.5703125" style="89" bestFit="1" customWidth="1"/>
    <col min="9750" max="9750" width="33.7109375" style="89" customWidth="1"/>
    <col min="9751" max="9751" width="19" style="89" customWidth="1"/>
    <col min="9752" max="9752" width="19.85546875" style="89" customWidth="1"/>
    <col min="9753" max="9753" width="18.5703125" style="89" customWidth="1"/>
    <col min="9754" max="9754" width="19.7109375" style="89" customWidth="1"/>
    <col min="9755" max="9755" width="14.85546875" style="89" customWidth="1"/>
    <col min="9756" max="9756" width="16.85546875" style="89" customWidth="1"/>
    <col min="9757" max="9759" width="11.42578125" style="89" customWidth="1"/>
    <col min="9760" max="9760" width="18.140625" style="89" customWidth="1"/>
    <col min="9761" max="9761" width="11.42578125" style="89" customWidth="1"/>
    <col min="9762" max="9762" width="12.5703125" style="89" customWidth="1"/>
    <col min="9763" max="9763" width="25" style="89" customWidth="1"/>
    <col min="9764" max="9764" width="16.5703125" style="89" bestFit="1" customWidth="1"/>
    <col min="9765" max="9765" width="24" style="89" customWidth="1"/>
    <col min="9766" max="9766" width="11.42578125" style="89" customWidth="1"/>
    <col min="9767" max="9767" width="20" style="89" customWidth="1"/>
    <col min="9768" max="9768" width="11.42578125" style="89" customWidth="1"/>
    <col min="9769" max="9769" width="19" style="89" customWidth="1"/>
    <col min="9770" max="9773" width="11.42578125" style="89" customWidth="1"/>
    <col min="9774" max="9774" width="15.140625" style="89" customWidth="1"/>
    <col min="9775" max="9775" width="14" style="89" customWidth="1"/>
    <col min="9776" max="9776" width="15.140625" style="89" customWidth="1"/>
    <col min="9777" max="9777" width="11.42578125" style="89" customWidth="1"/>
    <col min="9778" max="9778" width="51.7109375" style="89" customWidth="1"/>
    <col min="9779" max="9780" width="29.5703125" style="89" customWidth="1"/>
    <col min="9781" max="9781" width="44.42578125" style="89" customWidth="1"/>
    <col min="9782" max="9782" width="36.28515625" style="89" customWidth="1"/>
    <col min="9783" max="9783" width="27.42578125" style="89" bestFit="1" customWidth="1"/>
    <col min="9784" max="10004" width="11.42578125" style="89"/>
    <col min="10005" max="10005" width="15.5703125" style="89" bestFit="1" customWidth="1"/>
    <col min="10006" max="10006" width="33.7109375" style="89" customWidth="1"/>
    <col min="10007" max="10007" width="19" style="89" customWidth="1"/>
    <col min="10008" max="10008" width="19.85546875" style="89" customWidth="1"/>
    <col min="10009" max="10009" width="18.5703125" style="89" customWidth="1"/>
    <col min="10010" max="10010" width="19.7109375" style="89" customWidth="1"/>
    <col min="10011" max="10011" width="14.85546875" style="89" customWidth="1"/>
    <col min="10012" max="10012" width="16.85546875" style="89" customWidth="1"/>
    <col min="10013" max="10015" width="11.42578125" style="89" customWidth="1"/>
    <col min="10016" max="10016" width="18.140625" style="89" customWidth="1"/>
    <col min="10017" max="10017" width="11.42578125" style="89" customWidth="1"/>
    <col min="10018" max="10018" width="12.5703125" style="89" customWidth="1"/>
    <col min="10019" max="10019" width="25" style="89" customWidth="1"/>
    <col min="10020" max="10020" width="16.5703125" style="89" bestFit="1" customWidth="1"/>
    <col min="10021" max="10021" width="24" style="89" customWidth="1"/>
    <col min="10022" max="10022" width="11.42578125" style="89" customWidth="1"/>
    <col min="10023" max="10023" width="20" style="89" customWidth="1"/>
    <col min="10024" max="10024" width="11.42578125" style="89" customWidth="1"/>
    <col min="10025" max="10025" width="19" style="89" customWidth="1"/>
    <col min="10026" max="10029" width="11.42578125" style="89" customWidth="1"/>
    <col min="10030" max="10030" width="15.140625" style="89" customWidth="1"/>
    <col min="10031" max="10031" width="14" style="89" customWidth="1"/>
    <col min="10032" max="10032" width="15.140625" style="89" customWidth="1"/>
    <col min="10033" max="10033" width="11.42578125" style="89" customWidth="1"/>
    <col min="10034" max="10034" width="51.7109375" style="89" customWidth="1"/>
    <col min="10035" max="10036" width="29.5703125" style="89" customWidth="1"/>
    <col min="10037" max="10037" width="44.42578125" style="89" customWidth="1"/>
    <col min="10038" max="10038" width="36.28515625" style="89" customWidth="1"/>
    <col min="10039" max="10039" width="27.42578125" style="89" bestFit="1" customWidth="1"/>
    <col min="10040" max="10260" width="11.42578125" style="89"/>
    <col min="10261" max="10261" width="15.5703125" style="89" bestFit="1" customWidth="1"/>
    <col min="10262" max="10262" width="33.7109375" style="89" customWidth="1"/>
    <col min="10263" max="10263" width="19" style="89" customWidth="1"/>
    <col min="10264" max="10264" width="19.85546875" style="89" customWidth="1"/>
    <col min="10265" max="10265" width="18.5703125" style="89" customWidth="1"/>
    <col min="10266" max="10266" width="19.7109375" style="89" customWidth="1"/>
    <col min="10267" max="10267" width="14.85546875" style="89" customWidth="1"/>
    <col min="10268" max="10268" width="16.85546875" style="89" customWidth="1"/>
    <col min="10269" max="10271" width="11.42578125" style="89" customWidth="1"/>
    <col min="10272" max="10272" width="18.140625" style="89" customWidth="1"/>
    <col min="10273" max="10273" width="11.42578125" style="89" customWidth="1"/>
    <col min="10274" max="10274" width="12.5703125" style="89" customWidth="1"/>
    <col min="10275" max="10275" width="25" style="89" customWidth="1"/>
    <col min="10276" max="10276" width="16.5703125" style="89" bestFit="1" customWidth="1"/>
    <col min="10277" max="10277" width="24" style="89" customWidth="1"/>
    <col min="10278" max="10278" width="11.42578125" style="89" customWidth="1"/>
    <col min="10279" max="10279" width="20" style="89" customWidth="1"/>
    <col min="10280" max="10280" width="11.42578125" style="89" customWidth="1"/>
    <col min="10281" max="10281" width="19" style="89" customWidth="1"/>
    <col min="10282" max="10285" width="11.42578125" style="89" customWidth="1"/>
    <col min="10286" max="10286" width="15.140625" style="89" customWidth="1"/>
    <col min="10287" max="10287" width="14" style="89" customWidth="1"/>
    <col min="10288" max="10288" width="15.140625" style="89" customWidth="1"/>
    <col min="10289" max="10289" width="11.42578125" style="89" customWidth="1"/>
    <col min="10290" max="10290" width="51.7109375" style="89" customWidth="1"/>
    <col min="10291" max="10292" width="29.5703125" style="89" customWidth="1"/>
    <col min="10293" max="10293" width="44.42578125" style="89" customWidth="1"/>
    <col min="10294" max="10294" width="36.28515625" style="89" customWidth="1"/>
    <col min="10295" max="10295" width="27.42578125" style="89" bestFit="1" customWidth="1"/>
    <col min="10296" max="10516" width="11.42578125" style="89"/>
    <col min="10517" max="10517" width="15.5703125" style="89" bestFit="1" customWidth="1"/>
    <col min="10518" max="10518" width="33.7109375" style="89" customWidth="1"/>
    <col min="10519" max="10519" width="19" style="89" customWidth="1"/>
    <col min="10520" max="10520" width="19.85546875" style="89" customWidth="1"/>
    <col min="10521" max="10521" width="18.5703125" style="89" customWidth="1"/>
    <col min="10522" max="10522" width="19.7109375" style="89" customWidth="1"/>
    <col min="10523" max="10523" width="14.85546875" style="89" customWidth="1"/>
    <col min="10524" max="10524" width="16.85546875" style="89" customWidth="1"/>
    <col min="10525" max="10527" width="11.42578125" style="89" customWidth="1"/>
    <col min="10528" max="10528" width="18.140625" style="89" customWidth="1"/>
    <col min="10529" max="10529" width="11.42578125" style="89" customWidth="1"/>
    <col min="10530" max="10530" width="12.5703125" style="89" customWidth="1"/>
    <col min="10531" max="10531" width="25" style="89" customWidth="1"/>
    <col min="10532" max="10532" width="16.5703125" style="89" bestFit="1" customWidth="1"/>
    <col min="10533" max="10533" width="24" style="89" customWidth="1"/>
    <col min="10534" max="10534" width="11.42578125" style="89" customWidth="1"/>
    <col min="10535" max="10535" width="20" style="89" customWidth="1"/>
    <col min="10536" max="10536" width="11.42578125" style="89" customWidth="1"/>
    <col min="10537" max="10537" width="19" style="89" customWidth="1"/>
    <col min="10538" max="10541" width="11.42578125" style="89" customWidth="1"/>
    <col min="10542" max="10542" width="15.140625" style="89" customWidth="1"/>
    <col min="10543" max="10543" width="14" style="89" customWidth="1"/>
    <col min="10544" max="10544" width="15.140625" style="89" customWidth="1"/>
    <col min="10545" max="10545" width="11.42578125" style="89" customWidth="1"/>
    <col min="10546" max="10546" width="51.7109375" style="89" customWidth="1"/>
    <col min="10547" max="10548" width="29.5703125" style="89" customWidth="1"/>
    <col min="10549" max="10549" width="44.42578125" style="89" customWidth="1"/>
    <col min="10550" max="10550" width="36.28515625" style="89" customWidth="1"/>
    <col min="10551" max="10551" width="27.42578125" style="89" bestFit="1" customWidth="1"/>
    <col min="10552" max="10772" width="11.42578125" style="89"/>
    <col min="10773" max="10773" width="15.5703125" style="89" bestFit="1" customWidth="1"/>
    <col min="10774" max="10774" width="33.7109375" style="89" customWidth="1"/>
    <col min="10775" max="10775" width="19" style="89" customWidth="1"/>
    <col min="10776" max="10776" width="19.85546875" style="89" customWidth="1"/>
    <col min="10777" max="10777" width="18.5703125" style="89" customWidth="1"/>
    <col min="10778" max="10778" width="19.7109375" style="89" customWidth="1"/>
    <col min="10779" max="10779" width="14.85546875" style="89" customWidth="1"/>
    <col min="10780" max="10780" width="16.85546875" style="89" customWidth="1"/>
    <col min="10781" max="10783" width="11.42578125" style="89" customWidth="1"/>
    <col min="10784" max="10784" width="18.140625" style="89" customWidth="1"/>
    <col min="10785" max="10785" width="11.42578125" style="89" customWidth="1"/>
    <col min="10786" max="10786" width="12.5703125" style="89" customWidth="1"/>
    <col min="10787" max="10787" width="25" style="89" customWidth="1"/>
    <col min="10788" max="10788" width="16.5703125" style="89" bestFit="1" customWidth="1"/>
    <col min="10789" max="10789" width="24" style="89" customWidth="1"/>
    <col min="10790" max="10790" width="11.42578125" style="89" customWidth="1"/>
    <col min="10791" max="10791" width="20" style="89" customWidth="1"/>
    <col min="10792" max="10792" width="11.42578125" style="89" customWidth="1"/>
    <col min="10793" max="10793" width="19" style="89" customWidth="1"/>
    <col min="10794" max="10797" width="11.42578125" style="89" customWidth="1"/>
    <col min="10798" max="10798" width="15.140625" style="89" customWidth="1"/>
    <col min="10799" max="10799" width="14" style="89" customWidth="1"/>
    <col min="10800" max="10800" width="15.140625" style="89" customWidth="1"/>
    <col min="10801" max="10801" width="11.42578125" style="89" customWidth="1"/>
    <col min="10802" max="10802" width="51.7109375" style="89" customWidth="1"/>
    <col min="10803" max="10804" width="29.5703125" style="89" customWidth="1"/>
    <col min="10805" max="10805" width="44.42578125" style="89" customWidth="1"/>
    <col min="10806" max="10806" width="36.28515625" style="89" customWidth="1"/>
    <col min="10807" max="10807" width="27.42578125" style="89" bestFit="1" customWidth="1"/>
    <col min="10808" max="11028" width="11.42578125" style="89"/>
    <col min="11029" max="11029" width="15.5703125" style="89" bestFit="1" customWidth="1"/>
    <col min="11030" max="11030" width="33.7109375" style="89" customWidth="1"/>
    <col min="11031" max="11031" width="19" style="89" customWidth="1"/>
    <col min="11032" max="11032" width="19.85546875" style="89" customWidth="1"/>
    <col min="11033" max="11033" width="18.5703125" style="89" customWidth="1"/>
    <col min="11034" max="11034" width="19.7109375" style="89" customWidth="1"/>
    <col min="11035" max="11035" width="14.85546875" style="89" customWidth="1"/>
    <col min="11036" max="11036" width="16.85546875" style="89" customWidth="1"/>
    <col min="11037" max="11039" width="11.42578125" style="89" customWidth="1"/>
    <col min="11040" max="11040" width="18.140625" style="89" customWidth="1"/>
    <col min="11041" max="11041" width="11.42578125" style="89" customWidth="1"/>
    <col min="11042" max="11042" width="12.5703125" style="89" customWidth="1"/>
    <col min="11043" max="11043" width="25" style="89" customWidth="1"/>
    <col min="11044" max="11044" width="16.5703125" style="89" bestFit="1" customWidth="1"/>
    <col min="11045" max="11045" width="24" style="89" customWidth="1"/>
    <col min="11046" max="11046" width="11.42578125" style="89" customWidth="1"/>
    <col min="11047" max="11047" width="20" style="89" customWidth="1"/>
    <col min="11048" max="11048" width="11.42578125" style="89" customWidth="1"/>
    <col min="11049" max="11049" width="19" style="89" customWidth="1"/>
    <col min="11050" max="11053" width="11.42578125" style="89" customWidth="1"/>
    <col min="11054" max="11054" width="15.140625" style="89" customWidth="1"/>
    <col min="11055" max="11055" width="14" style="89" customWidth="1"/>
    <col min="11056" max="11056" width="15.140625" style="89" customWidth="1"/>
    <col min="11057" max="11057" width="11.42578125" style="89" customWidth="1"/>
    <col min="11058" max="11058" width="51.7109375" style="89" customWidth="1"/>
    <col min="11059" max="11060" width="29.5703125" style="89" customWidth="1"/>
    <col min="11061" max="11061" width="44.42578125" style="89" customWidth="1"/>
    <col min="11062" max="11062" width="36.28515625" style="89" customWidth="1"/>
    <col min="11063" max="11063" width="27.42578125" style="89" bestFit="1" customWidth="1"/>
    <col min="11064" max="11284" width="11.42578125" style="89"/>
    <col min="11285" max="11285" width="15.5703125" style="89" bestFit="1" customWidth="1"/>
    <col min="11286" max="11286" width="33.7109375" style="89" customWidth="1"/>
    <col min="11287" max="11287" width="19" style="89" customWidth="1"/>
    <col min="11288" max="11288" width="19.85546875" style="89" customWidth="1"/>
    <col min="11289" max="11289" width="18.5703125" style="89" customWidth="1"/>
    <col min="11290" max="11290" width="19.7109375" style="89" customWidth="1"/>
    <col min="11291" max="11291" width="14.85546875" style="89" customWidth="1"/>
    <col min="11292" max="11292" width="16.85546875" style="89" customWidth="1"/>
    <col min="11293" max="11295" width="11.42578125" style="89" customWidth="1"/>
    <col min="11296" max="11296" width="18.140625" style="89" customWidth="1"/>
    <col min="11297" max="11297" width="11.42578125" style="89" customWidth="1"/>
    <col min="11298" max="11298" width="12.5703125" style="89" customWidth="1"/>
    <col min="11299" max="11299" width="25" style="89" customWidth="1"/>
    <col min="11300" max="11300" width="16.5703125" style="89" bestFit="1" customWidth="1"/>
    <col min="11301" max="11301" width="24" style="89" customWidth="1"/>
    <col min="11302" max="11302" width="11.42578125" style="89" customWidth="1"/>
    <col min="11303" max="11303" width="20" style="89" customWidth="1"/>
    <col min="11304" max="11304" width="11.42578125" style="89" customWidth="1"/>
    <col min="11305" max="11305" width="19" style="89" customWidth="1"/>
    <col min="11306" max="11309" width="11.42578125" style="89" customWidth="1"/>
    <col min="11310" max="11310" width="15.140625" style="89" customWidth="1"/>
    <col min="11311" max="11311" width="14" style="89" customWidth="1"/>
    <col min="11312" max="11312" width="15.140625" style="89" customWidth="1"/>
    <col min="11313" max="11313" width="11.42578125" style="89" customWidth="1"/>
    <col min="11314" max="11314" width="51.7109375" style="89" customWidth="1"/>
    <col min="11315" max="11316" width="29.5703125" style="89" customWidth="1"/>
    <col min="11317" max="11317" width="44.42578125" style="89" customWidth="1"/>
    <col min="11318" max="11318" width="36.28515625" style="89" customWidth="1"/>
    <col min="11319" max="11319" width="27.42578125" style="89" bestFit="1" customWidth="1"/>
    <col min="11320" max="11540" width="11.42578125" style="89"/>
    <col min="11541" max="11541" width="15.5703125" style="89" bestFit="1" customWidth="1"/>
    <col min="11542" max="11542" width="33.7109375" style="89" customWidth="1"/>
    <col min="11543" max="11543" width="19" style="89" customWidth="1"/>
    <col min="11544" max="11544" width="19.85546875" style="89" customWidth="1"/>
    <col min="11545" max="11545" width="18.5703125" style="89" customWidth="1"/>
    <col min="11546" max="11546" width="19.7109375" style="89" customWidth="1"/>
    <col min="11547" max="11547" width="14.85546875" style="89" customWidth="1"/>
    <col min="11548" max="11548" width="16.85546875" style="89" customWidth="1"/>
    <col min="11549" max="11551" width="11.42578125" style="89" customWidth="1"/>
    <col min="11552" max="11552" width="18.140625" style="89" customWidth="1"/>
    <col min="11553" max="11553" width="11.42578125" style="89" customWidth="1"/>
    <col min="11554" max="11554" width="12.5703125" style="89" customWidth="1"/>
    <col min="11555" max="11555" width="25" style="89" customWidth="1"/>
    <col min="11556" max="11556" width="16.5703125" style="89" bestFit="1" customWidth="1"/>
    <col min="11557" max="11557" width="24" style="89" customWidth="1"/>
    <col min="11558" max="11558" width="11.42578125" style="89" customWidth="1"/>
    <col min="11559" max="11559" width="20" style="89" customWidth="1"/>
    <col min="11560" max="11560" width="11.42578125" style="89" customWidth="1"/>
    <col min="11561" max="11561" width="19" style="89" customWidth="1"/>
    <col min="11562" max="11565" width="11.42578125" style="89" customWidth="1"/>
    <col min="11566" max="11566" width="15.140625" style="89" customWidth="1"/>
    <col min="11567" max="11567" width="14" style="89" customWidth="1"/>
    <col min="11568" max="11568" width="15.140625" style="89" customWidth="1"/>
    <col min="11569" max="11569" width="11.42578125" style="89" customWidth="1"/>
    <col min="11570" max="11570" width="51.7109375" style="89" customWidth="1"/>
    <col min="11571" max="11572" width="29.5703125" style="89" customWidth="1"/>
    <col min="11573" max="11573" width="44.42578125" style="89" customWidth="1"/>
    <col min="11574" max="11574" width="36.28515625" style="89" customWidth="1"/>
    <col min="11575" max="11575" width="27.42578125" style="89" bestFit="1" customWidth="1"/>
    <col min="11576" max="11796" width="11.42578125" style="89"/>
    <col min="11797" max="11797" width="15.5703125" style="89" bestFit="1" customWidth="1"/>
    <col min="11798" max="11798" width="33.7109375" style="89" customWidth="1"/>
    <col min="11799" max="11799" width="19" style="89" customWidth="1"/>
    <col min="11800" max="11800" width="19.85546875" style="89" customWidth="1"/>
    <col min="11801" max="11801" width="18.5703125" style="89" customWidth="1"/>
    <col min="11802" max="11802" width="19.7109375" style="89" customWidth="1"/>
    <col min="11803" max="11803" width="14.85546875" style="89" customWidth="1"/>
    <col min="11804" max="11804" width="16.85546875" style="89" customWidth="1"/>
    <col min="11805" max="11807" width="11.42578125" style="89" customWidth="1"/>
    <col min="11808" max="11808" width="18.140625" style="89" customWidth="1"/>
    <col min="11809" max="11809" width="11.42578125" style="89" customWidth="1"/>
    <col min="11810" max="11810" width="12.5703125" style="89" customWidth="1"/>
    <col min="11811" max="11811" width="25" style="89" customWidth="1"/>
    <col min="11812" max="11812" width="16.5703125" style="89" bestFit="1" customWidth="1"/>
    <col min="11813" max="11813" width="24" style="89" customWidth="1"/>
    <col min="11814" max="11814" width="11.42578125" style="89" customWidth="1"/>
    <col min="11815" max="11815" width="20" style="89" customWidth="1"/>
    <col min="11816" max="11816" width="11.42578125" style="89" customWidth="1"/>
    <col min="11817" max="11817" width="19" style="89" customWidth="1"/>
    <col min="11818" max="11821" width="11.42578125" style="89" customWidth="1"/>
    <col min="11822" max="11822" width="15.140625" style="89" customWidth="1"/>
    <col min="11823" max="11823" width="14" style="89" customWidth="1"/>
    <col min="11824" max="11824" width="15.140625" style="89" customWidth="1"/>
    <col min="11825" max="11825" width="11.42578125" style="89" customWidth="1"/>
    <col min="11826" max="11826" width="51.7109375" style="89" customWidth="1"/>
    <col min="11827" max="11828" width="29.5703125" style="89" customWidth="1"/>
    <col min="11829" max="11829" width="44.42578125" style="89" customWidth="1"/>
    <col min="11830" max="11830" width="36.28515625" style="89" customWidth="1"/>
    <col min="11831" max="11831" width="27.42578125" style="89" bestFit="1" customWidth="1"/>
    <col min="11832" max="12052" width="11.42578125" style="89"/>
    <col min="12053" max="12053" width="15.5703125" style="89" bestFit="1" customWidth="1"/>
    <col min="12054" max="12054" width="33.7109375" style="89" customWidth="1"/>
    <col min="12055" max="12055" width="19" style="89" customWidth="1"/>
    <col min="12056" max="12056" width="19.85546875" style="89" customWidth="1"/>
    <col min="12057" max="12057" width="18.5703125" style="89" customWidth="1"/>
    <col min="12058" max="12058" width="19.7109375" style="89" customWidth="1"/>
    <col min="12059" max="12059" width="14.85546875" style="89" customWidth="1"/>
    <col min="12060" max="12060" width="16.85546875" style="89" customWidth="1"/>
    <col min="12061" max="12063" width="11.42578125" style="89" customWidth="1"/>
    <col min="12064" max="12064" width="18.140625" style="89" customWidth="1"/>
    <col min="12065" max="12065" width="11.42578125" style="89" customWidth="1"/>
    <col min="12066" max="12066" width="12.5703125" style="89" customWidth="1"/>
    <col min="12067" max="12067" width="25" style="89" customWidth="1"/>
    <col min="12068" max="12068" width="16.5703125" style="89" bestFit="1" customWidth="1"/>
    <col min="12069" max="12069" width="24" style="89" customWidth="1"/>
    <col min="12070" max="12070" width="11.42578125" style="89" customWidth="1"/>
    <col min="12071" max="12071" width="20" style="89" customWidth="1"/>
    <col min="12072" max="12072" width="11.42578125" style="89" customWidth="1"/>
    <col min="12073" max="12073" width="19" style="89" customWidth="1"/>
    <col min="12074" max="12077" width="11.42578125" style="89" customWidth="1"/>
    <col min="12078" max="12078" width="15.140625" style="89" customWidth="1"/>
    <col min="12079" max="12079" width="14" style="89" customWidth="1"/>
    <col min="12080" max="12080" width="15.140625" style="89" customWidth="1"/>
    <col min="12081" max="12081" width="11.42578125" style="89" customWidth="1"/>
    <col min="12082" max="12082" width="51.7109375" style="89" customWidth="1"/>
    <col min="12083" max="12084" width="29.5703125" style="89" customWidth="1"/>
    <col min="12085" max="12085" width="44.42578125" style="89" customWidth="1"/>
    <col min="12086" max="12086" width="36.28515625" style="89" customWidth="1"/>
    <col min="12087" max="12087" width="27.42578125" style="89" bestFit="1" customWidth="1"/>
    <col min="12088" max="12308" width="11.42578125" style="89"/>
    <col min="12309" max="12309" width="15.5703125" style="89" bestFit="1" customWidth="1"/>
    <col min="12310" max="12310" width="33.7109375" style="89" customWidth="1"/>
    <col min="12311" max="12311" width="19" style="89" customWidth="1"/>
    <col min="12312" max="12312" width="19.85546875" style="89" customWidth="1"/>
    <col min="12313" max="12313" width="18.5703125" style="89" customWidth="1"/>
    <col min="12314" max="12314" width="19.7109375" style="89" customWidth="1"/>
    <col min="12315" max="12315" width="14.85546875" style="89" customWidth="1"/>
    <col min="12316" max="12316" width="16.85546875" style="89" customWidth="1"/>
    <col min="12317" max="12319" width="11.42578125" style="89" customWidth="1"/>
    <col min="12320" max="12320" width="18.140625" style="89" customWidth="1"/>
    <col min="12321" max="12321" width="11.42578125" style="89" customWidth="1"/>
    <col min="12322" max="12322" width="12.5703125" style="89" customWidth="1"/>
    <col min="12323" max="12323" width="25" style="89" customWidth="1"/>
    <col min="12324" max="12324" width="16.5703125" style="89" bestFit="1" customWidth="1"/>
    <col min="12325" max="12325" width="24" style="89" customWidth="1"/>
    <col min="12326" max="12326" width="11.42578125" style="89" customWidth="1"/>
    <col min="12327" max="12327" width="20" style="89" customWidth="1"/>
    <col min="12328" max="12328" width="11.42578125" style="89" customWidth="1"/>
    <col min="12329" max="12329" width="19" style="89" customWidth="1"/>
    <col min="12330" max="12333" width="11.42578125" style="89" customWidth="1"/>
    <col min="12334" max="12334" width="15.140625" style="89" customWidth="1"/>
    <col min="12335" max="12335" width="14" style="89" customWidth="1"/>
    <col min="12336" max="12336" width="15.140625" style="89" customWidth="1"/>
    <col min="12337" max="12337" width="11.42578125" style="89" customWidth="1"/>
    <col min="12338" max="12338" width="51.7109375" style="89" customWidth="1"/>
    <col min="12339" max="12340" width="29.5703125" style="89" customWidth="1"/>
    <col min="12341" max="12341" width="44.42578125" style="89" customWidth="1"/>
    <col min="12342" max="12342" width="36.28515625" style="89" customWidth="1"/>
    <col min="12343" max="12343" width="27.42578125" style="89" bestFit="1" customWidth="1"/>
    <col min="12344" max="12564" width="11.42578125" style="89"/>
    <col min="12565" max="12565" width="15.5703125" style="89" bestFit="1" customWidth="1"/>
    <col min="12566" max="12566" width="33.7109375" style="89" customWidth="1"/>
    <col min="12567" max="12567" width="19" style="89" customWidth="1"/>
    <col min="12568" max="12568" width="19.85546875" style="89" customWidth="1"/>
    <col min="12569" max="12569" width="18.5703125" style="89" customWidth="1"/>
    <col min="12570" max="12570" width="19.7109375" style="89" customWidth="1"/>
    <col min="12571" max="12571" width="14.85546875" style="89" customWidth="1"/>
    <col min="12572" max="12572" width="16.85546875" style="89" customWidth="1"/>
    <col min="12573" max="12575" width="11.42578125" style="89" customWidth="1"/>
    <col min="12576" max="12576" width="18.140625" style="89" customWidth="1"/>
    <col min="12577" max="12577" width="11.42578125" style="89" customWidth="1"/>
    <col min="12578" max="12578" width="12.5703125" style="89" customWidth="1"/>
    <col min="12579" max="12579" width="25" style="89" customWidth="1"/>
    <col min="12580" max="12580" width="16.5703125" style="89" bestFit="1" customWidth="1"/>
    <col min="12581" max="12581" width="24" style="89" customWidth="1"/>
    <col min="12582" max="12582" width="11.42578125" style="89" customWidth="1"/>
    <col min="12583" max="12583" width="20" style="89" customWidth="1"/>
    <col min="12584" max="12584" width="11.42578125" style="89" customWidth="1"/>
    <col min="12585" max="12585" width="19" style="89" customWidth="1"/>
    <col min="12586" max="12589" width="11.42578125" style="89" customWidth="1"/>
    <col min="12590" max="12590" width="15.140625" style="89" customWidth="1"/>
    <col min="12591" max="12591" width="14" style="89" customWidth="1"/>
    <col min="12592" max="12592" width="15.140625" style="89" customWidth="1"/>
    <col min="12593" max="12593" width="11.42578125" style="89" customWidth="1"/>
    <col min="12594" max="12594" width="51.7109375" style="89" customWidth="1"/>
    <col min="12595" max="12596" width="29.5703125" style="89" customWidth="1"/>
    <col min="12597" max="12597" width="44.42578125" style="89" customWidth="1"/>
    <col min="12598" max="12598" width="36.28515625" style="89" customWidth="1"/>
    <col min="12599" max="12599" width="27.42578125" style="89" bestFit="1" customWidth="1"/>
    <col min="12600" max="12820" width="11.42578125" style="89"/>
    <col min="12821" max="12821" width="15.5703125" style="89" bestFit="1" customWidth="1"/>
    <col min="12822" max="12822" width="33.7109375" style="89" customWidth="1"/>
    <col min="12823" max="12823" width="19" style="89" customWidth="1"/>
    <col min="12824" max="12824" width="19.85546875" style="89" customWidth="1"/>
    <col min="12825" max="12825" width="18.5703125" style="89" customWidth="1"/>
    <col min="12826" max="12826" width="19.7109375" style="89" customWidth="1"/>
    <col min="12827" max="12827" width="14.85546875" style="89" customWidth="1"/>
    <col min="12828" max="12828" width="16.85546875" style="89" customWidth="1"/>
    <col min="12829" max="12831" width="11.42578125" style="89" customWidth="1"/>
    <col min="12832" max="12832" width="18.140625" style="89" customWidth="1"/>
    <col min="12833" max="12833" width="11.42578125" style="89" customWidth="1"/>
    <col min="12834" max="12834" width="12.5703125" style="89" customWidth="1"/>
    <col min="12835" max="12835" width="25" style="89" customWidth="1"/>
    <col min="12836" max="12836" width="16.5703125" style="89" bestFit="1" customWidth="1"/>
    <col min="12837" max="12837" width="24" style="89" customWidth="1"/>
    <col min="12838" max="12838" width="11.42578125" style="89" customWidth="1"/>
    <col min="12839" max="12839" width="20" style="89" customWidth="1"/>
    <col min="12840" max="12840" width="11.42578125" style="89" customWidth="1"/>
    <col min="12841" max="12841" width="19" style="89" customWidth="1"/>
    <col min="12842" max="12845" width="11.42578125" style="89" customWidth="1"/>
    <col min="12846" max="12846" width="15.140625" style="89" customWidth="1"/>
    <col min="12847" max="12847" width="14" style="89" customWidth="1"/>
    <col min="12848" max="12848" width="15.140625" style="89" customWidth="1"/>
    <col min="12849" max="12849" width="11.42578125" style="89" customWidth="1"/>
    <col min="12850" max="12850" width="51.7109375" style="89" customWidth="1"/>
    <col min="12851" max="12852" width="29.5703125" style="89" customWidth="1"/>
    <col min="12853" max="12853" width="44.42578125" style="89" customWidth="1"/>
    <col min="12854" max="12854" width="36.28515625" style="89" customWidth="1"/>
    <col min="12855" max="12855" width="27.42578125" style="89" bestFit="1" customWidth="1"/>
    <col min="12856" max="13076" width="11.42578125" style="89"/>
    <col min="13077" max="13077" width="15.5703125" style="89" bestFit="1" customWidth="1"/>
    <col min="13078" max="13078" width="33.7109375" style="89" customWidth="1"/>
    <col min="13079" max="13079" width="19" style="89" customWidth="1"/>
    <col min="13080" max="13080" width="19.85546875" style="89" customWidth="1"/>
    <col min="13081" max="13081" width="18.5703125" style="89" customWidth="1"/>
    <col min="13082" max="13082" width="19.7109375" style="89" customWidth="1"/>
    <col min="13083" max="13083" width="14.85546875" style="89" customWidth="1"/>
    <col min="13084" max="13084" width="16.85546875" style="89" customWidth="1"/>
    <col min="13085" max="13087" width="11.42578125" style="89" customWidth="1"/>
    <col min="13088" max="13088" width="18.140625" style="89" customWidth="1"/>
    <col min="13089" max="13089" width="11.42578125" style="89" customWidth="1"/>
    <col min="13090" max="13090" width="12.5703125" style="89" customWidth="1"/>
    <col min="13091" max="13091" width="25" style="89" customWidth="1"/>
    <col min="13092" max="13092" width="16.5703125" style="89" bestFit="1" customWidth="1"/>
    <col min="13093" max="13093" width="24" style="89" customWidth="1"/>
    <col min="13094" max="13094" width="11.42578125" style="89" customWidth="1"/>
    <col min="13095" max="13095" width="20" style="89" customWidth="1"/>
    <col min="13096" max="13096" width="11.42578125" style="89" customWidth="1"/>
    <col min="13097" max="13097" width="19" style="89" customWidth="1"/>
    <col min="13098" max="13101" width="11.42578125" style="89" customWidth="1"/>
    <col min="13102" max="13102" width="15.140625" style="89" customWidth="1"/>
    <col min="13103" max="13103" width="14" style="89" customWidth="1"/>
    <col min="13104" max="13104" width="15.140625" style="89" customWidth="1"/>
    <col min="13105" max="13105" width="11.42578125" style="89" customWidth="1"/>
    <col min="13106" max="13106" width="51.7109375" style="89" customWidth="1"/>
    <col min="13107" max="13108" width="29.5703125" style="89" customWidth="1"/>
    <col min="13109" max="13109" width="44.42578125" style="89" customWidth="1"/>
    <col min="13110" max="13110" width="36.28515625" style="89" customWidth="1"/>
    <col min="13111" max="13111" width="27.42578125" style="89" bestFit="1" customWidth="1"/>
    <col min="13112" max="13332" width="11.42578125" style="89"/>
    <col min="13333" max="13333" width="15.5703125" style="89" bestFit="1" customWidth="1"/>
    <col min="13334" max="13334" width="33.7109375" style="89" customWidth="1"/>
    <col min="13335" max="13335" width="19" style="89" customWidth="1"/>
    <col min="13336" max="13336" width="19.85546875" style="89" customWidth="1"/>
    <col min="13337" max="13337" width="18.5703125" style="89" customWidth="1"/>
    <col min="13338" max="13338" width="19.7109375" style="89" customWidth="1"/>
    <col min="13339" max="13339" width="14.85546875" style="89" customWidth="1"/>
    <col min="13340" max="13340" width="16.85546875" style="89" customWidth="1"/>
    <col min="13341" max="13343" width="11.42578125" style="89" customWidth="1"/>
    <col min="13344" max="13344" width="18.140625" style="89" customWidth="1"/>
    <col min="13345" max="13345" width="11.42578125" style="89" customWidth="1"/>
    <col min="13346" max="13346" width="12.5703125" style="89" customWidth="1"/>
    <col min="13347" max="13347" width="25" style="89" customWidth="1"/>
    <col min="13348" max="13348" width="16.5703125" style="89" bestFit="1" customWidth="1"/>
    <col min="13349" max="13349" width="24" style="89" customWidth="1"/>
    <col min="13350" max="13350" width="11.42578125" style="89" customWidth="1"/>
    <col min="13351" max="13351" width="20" style="89" customWidth="1"/>
    <col min="13352" max="13352" width="11.42578125" style="89" customWidth="1"/>
    <col min="13353" max="13353" width="19" style="89" customWidth="1"/>
    <col min="13354" max="13357" width="11.42578125" style="89" customWidth="1"/>
    <col min="13358" max="13358" width="15.140625" style="89" customWidth="1"/>
    <col min="13359" max="13359" width="14" style="89" customWidth="1"/>
    <col min="13360" max="13360" width="15.140625" style="89" customWidth="1"/>
    <col min="13361" max="13361" width="11.42578125" style="89" customWidth="1"/>
    <col min="13362" max="13362" width="51.7109375" style="89" customWidth="1"/>
    <col min="13363" max="13364" width="29.5703125" style="89" customWidth="1"/>
    <col min="13365" max="13365" width="44.42578125" style="89" customWidth="1"/>
    <col min="13366" max="13366" width="36.28515625" style="89" customWidth="1"/>
    <col min="13367" max="13367" width="27.42578125" style="89" bestFit="1" customWidth="1"/>
    <col min="13368" max="13588" width="11.42578125" style="89"/>
    <col min="13589" max="13589" width="15.5703125" style="89" bestFit="1" customWidth="1"/>
    <col min="13590" max="13590" width="33.7109375" style="89" customWidth="1"/>
    <col min="13591" max="13591" width="19" style="89" customWidth="1"/>
    <col min="13592" max="13592" width="19.85546875" style="89" customWidth="1"/>
    <col min="13593" max="13593" width="18.5703125" style="89" customWidth="1"/>
    <col min="13594" max="13594" width="19.7109375" style="89" customWidth="1"/>
    <col min="13595" max="13595" width="14.85546875" style="89" customWidth="1"/>
    <col min="13596" max="13596" width="16.85546875" style="89" customWidth="1"/>
    <col min="13597" max="13599" width="11.42578125" style="89" customWidth="1"/>
    <col min="13600" max="13600" width="18.140625" style="89" customWidth="1"/>
    <col min="13601" max="13601" width="11.42578125" style="89" customWidth="1"/>
    <col min="13602" max="13602" width="12.5703125" style="89" customWidth="1"/>
    <col min="13603" max="13603" width="25" style="89" customWidth="1"/>
    <col min="13604" max="13604" width="16.5703125" style="89" bestFit="1" customWidth="1"/>
    <col min="13605" max="13605" width="24" style="89" customWidth="1"/>
    <col min="13606" max="13606" width="11.42578125" style="89" customWidth="1"/>
    <col min="13607" max="13607" width="20" style="89" customWidth="1"/>
    <col min="13608" max="13608" width="11.42578125" style="89" customWidth="1"/>
    <col min="13609" max="13609" width="19" style="89" customWidth="1"/>
    <col min="13610" max="13613" width="11.42578125" style="89" customWidth="1"/>
    <col min="13614" max="13614" width="15.140625" style="89" customWidth="1"/>
    <col min="13615" max="13615" width="14" style="89" customWidth="1"/>
    <col min="13616" max="13616" width="15.140625" style="89" customWidth="1"/>
    <col min="13617" max="13617" width="11.42578125" style="89" customWidth="1"/>
    <col min="13618" max="13618" width="51.7109375" style="89" customWidth="1"/>
    <col min="13619" max="13620" width="29.5703125" style="89" customWidth="1"/>
    <col min="13621" max="13621" width="44.42578125" style="89" customWidth="1"/>
    <col min="13622" max="13622" width="36.28515625" style="89" customWidth="1"/>
    <col min="13623" max="13623" width="27.42578125" style="89" bestFit="1" customWidth="1"/>
    <col min="13624" max="13844" width="11.42578125" style="89"/>
    <col min="13845" max="13845" width="15.5703125" style="89" bestFit="1" customWidth="1"/>
    <col min="13846" max="13846" width="33.7109375" style="89" customWidth="1"/>
    <col min="13847" max="13847" width="19" style="89" customWidth="1"/>
    <col min="13848" max="13848" width="19.85546875" style="89" customWidth="1"/>
    <col min="13849" max="13849" width="18.5703125" style="89" customWidth="1"/>
    <col min="13850" max="13850" width="19.7109375" style="89" customWidth="1"/>
    <col min="13851" max="13851" width="14.85546875" style="89" customWidth="1"/>
    <col min="13852" max="13852" width="16.85546875" style="89" customWidth="1"/>
    <col min="13853" max="13855" width="11.42578125" style="89" customWidth="1"/>
    <col min="13856" max="13856" width="18.140625" style="89" customWidth="1"/>
    <col min="13857" max="13857" width="11.42578125" style="89" customWidth="1"/>
    <col min="13858" max="13858" width="12.5703125" style="89" customWidth="1"/>
    <col min="13859" max="13859" width="25" style="89" customWidth="1"/>
    <col min="13860" max="13860" width="16.5703125" style="89" bestFit="1" customWidth="1"/>
    <col min="13861" max="13861" width="24" style="89" customWidth="1"/>
    <col min="13862" max="13862" width="11.42578125" style="89" customWidth="1"/>
    <col min="13863" max="13863" width="20" style="89" customWidth="1"/>
    <col min="13864" max="13864" width="11.42578125" style="89" customWidth="1"/>
    <col min="13865" max="13865" width="19" style="89" customWidth="1"/>
    <col min="13866" max="13869" width="11.42578125" style="89" customWidth="1"/>
    <col min="13870" max="13870" width="15.140625" style="89" customWidth="1"/>
    <col min="13871" max="13871" width="14" style="89" customWidth="1"/>
    <col min="13872" max="13872" width="15.140625" style="89" customWidth="1"/>
    <col min="13873" max="13873" width="11.42578125" style="89" customWidth="1"/>
    <col min="13874" max="13874" width="51.7109375" style="89" customWidth="1"/>
    <col min="13875" max="13876" width="29.5703125" style="89" customWidth="1"/>
    <col min="13877" max="13877" width="44.42578125" style="89" customWidth="1"/>
    <col min="13878" max="13878" width="36.28515625" style="89" customWidth="1"/>
    <col min="13879" max="13879" width="27.42578125" style="89" bestFit="1" customWidth="1"/>
    <col min="13880" max="14100" width="11.42578125" style="89"/>
    <col min="14101" max="14101" width="15.5703125" style="89" bestFit="1" customWidth="1"/>
    <col min="14102" max="14102" width="33.7109375" style="89" customWidth="1"/>
    <col min="14103" max="14103" width="19" style="89" customWidth="1"/>
    <col min="14104" max="14104" width="19.85546875" style="89" customWidth="1"/>
    <col min="14105" max="14105" width="18.5703125" style="89" customWidth="1"/>
    <col min="14106" max="14106" width="19.7109375" style="89" customWidth="1"/>
    <col min="14107" max="14107" width="14.85546875" style="89" customWidth="1"/>
    <col min="14108" max="14108" width="16.85546875" style="89" customWidth="1"/>
    <col min="14109" max="14111" width="11.42578125" style="89" customWidth="1"/>
    <col min="14112" max="14112" width="18.140625" style="89" customWidth="1"/>
    <col min="14113" max="14113" width="11.42578125" style="89" customWidth="1"/>
    <col min="14114" max="14114" width="12.5703125" style="89" customWidth="1"/>
    <col min="14115" max="14115" width="25" style="89" customWidth="1"/>
    <col min="14116" max="14116" width="16.5703125" style="89" bestFit="1" customWidth="1"/>
    <col min="14117" max="14117" width="24" style="89" customWidth="1"/>
    <col min="14118" max="14118" width="11.42578125" style="89" customWidth="1"/>
    <col min="14119" max="14119" width="20" style="89" customWidth="1"/>
    <col min="14120" max="14120" width="11.42578125" style="89" customWidth="1"/>
    <col min="14121" max="14121" width="19" style="89" customWidth="1"/>
    <col min="14122" max="14125" width="11.42578125" style="89" customWidth="1"/>
    <col min="14126" max="14126" width="15.140625" style="89" customWidth="1"/>
    <col min="14127" max="14127" width="14" style="89" customWidth="1"/>
    <col min="14128" max="14128" width="15.140625" style="89" customWidth="1"/>
    <col min="14129" max="14129" width="11.42578125" style="89" customWidth="1"/>
    <col min="14130" max="14130" width="51.7109375" style="89" customWidth="1"/>
    <col min="14131" max="14132" width="29.5703125" style="89" customWidth="1"/>
    <col min="14133" max="14133" width="44.42578125" style="89" customWidth="1"/>
    <col min="14134" max="14134" width="36.28515625" style="89" customWidth="1"/>
    <col min="14135" max="14135" width="27.42578125" style="89" bestFit="1" customWidth="1"/>
    <col min="14136" max="14356" width="11.42578125" style="89"/>
    <col min="14357" max="14357" width="15.5703125" style="89" bestFit="1" customWidth="1"/>
    <col min="14358" max="14358" width="33.7109375" style="89" customWidth="1"/>
    <col min="14359" max="14359" width="19" style="89" customWidth="1"/>
    <col min="14360" max="14360" width="19.85546875" style="89" customWidth="1"/>
    <col min="14361" max="14361" width="18.5703125" style="89" customWidth="1"/>
    <col min="14362" max="14362" width="19.7109375" style="89" customWidth="1"/>
    <col min="14363" max="14363" width="14.85546875" style="89" customWidth="1"/>
    <col min="14364" max="14364" width="16.85546875" style="89" customWidth="1"/>
    <col min="14365" max="14367" width="11.42578125" style="89" customWidth="1"/>
    <col min="14368" max="14368" width="18.140625" style="89" customWidth="1"/>
    <col min="14369" max="14369" width="11.42578125" style="89" customWidth="1"/>
    <col min="14370" max="14370" width="12.5703125" style="89" customWidth="1"/>
    <col min="14371" max="14371" width="25" style="89" customWidth="1"/>
    <col min="14372" max="14372" width="16.5703125" style="89" bestFit="1" customWidth="1"/>
    <col min="14373" max="14373" width="24" style="89" customWidth="1"/>
    <col min="14374" max="14374" width="11.42578125" style="89" customWidth="1"/>
    <col min="14375" max="14375" width="20" style="89" customWidth="1"/>
    <col min="14376" max="14376" width="11.42578125" style="89" customWidth="1"/>
    <col min="14377" max="14377" width="19" style="89" customWidth="1"/>
    <col min="14378" max="14381" width="11.42578125" style="89" customWidth="1"/>
    <col min="14382" max="14382" width="15.140625" style="89" customWidth="1"/>
    <col min="14383" max="14383" width="14" style="89" customWidth="1"/>
    <col min="14384" max="14384" width="15.140625" style="89" customWidth="1"/>
    <col min="14385" max="14385" width="11.42578125" style="89" customWidth="1"/>
    <col min="14386" max="14386" width="51.7109375" style="89" customWidth="1"/>
    <col min="14387" max="14388" width="29.5703125" style="89" customWidth="1"/>
    <col min="14389" max="14389" width="44.42578125" style="89" customWidth="1"/>
    <col min="14390" max="14390" width="36.28515625" style="89" customWidth="1"/>
    <col min="14391" max="14391" width="27.42578125" style="89" bestFit="1" customWidth="1"/>
    <col min="14392" max="14612" width="11.42578125" style="89"/>
    <col min="14613" max="14613" width="15.5703125" style="89" bestFit="1" customWidth="1"/>
    <col min="14614" max="14614" width="33.7109375" style="89" customWidth="1"/>
    <col min="14615" max="14615" width="19" style="89" customWidth="1"/>
    <col min="14616" max="14616" width="19.85546875" style="89" customWidth="1"/>
    <col min="14617" max="14617" width="18.5703125" style="89" customWidth="1"/>
    <col min="14618" max="14618" width="19.7109375" style="89" customWidth="1"/>
    <col min="14619" max="14619" width="14.85546875" style="89" customWidth="1"/>
    <col min="14620" max="14620" width="16.85546875" style="89" customWidth="1"/>
    <col min="14621" max="14623" width="11.42578125" style="89" customWidth="1"/>
    <col min="14624" max="14624" width="18.140625" style="89" customWidth="1"/>
    <col min="14625" max="14625" width="11.42578125" style="89" customWidth="1"/>
    <col min="14626" max="14626" width="12.5703125" style="89" customWidth="1"/>
    <col min="14627" max="14627" width="25" style="89" customWidth="1"/>
    <col min="14628" max="14628" width="16.5703125" style="89" bestFit="1" customWidth="1"/>
    <col min="14629" max="14629" width="24" style="89" customWidth="1"/>
    <col min="14630" max="14630" width="11.42578125" style="89" customWidth="1"/>
    <col min="14631" max="14631" width="20" style="89" customWidth="1"/>
    <col min="14632" max="14632" width="11.42578125" style="89" customWidth="1"/>
    <col min="14633" max="14633" width="19" style="89" customWidth="1"/>
    <col min="14634" max="14637" width="11.42578125" style="89" customWidth="1"/>
    <col min="14638" max="14638" width="15.140625" style="89" customWidth="1"/>
    <col min="14639" max="14639" width="14" style="89" customWidth="1"/>
    <col min="14640" max="14640" width="15.140625" style="89" customWidth="1"/>
    <col min="14641" max="14641" width="11.42578125" style="89" customWidth="1"/>
    <col min="14642" max="14642" width="51.7109375" style="89" customWidth="1"/>
    <col min="14643" max="14644" width="29.5703125" style="89" customWidth="1"/>
    <col min="14645" max="14645" width="44.42578125" style="89" customWidth="1"/>
    <col min="14646" max="14646" width="36.28515625" style="89" customWidth="1"/>
    <col min="14647" max="14647" width="27.42578125" style="89" bestFit="1" customWidth="1"/>
    <col min="14648" max="14868" width="11.42578125" style="89"/>
    <col min="14869" max="14869" width="15.5703125" style="89" bestFit="1" customWidth="1"/>
    <col min="14870" max="14870" width="33.7109375" style="89" customWidth="1"/>
    <col min="14871" max="14871" width="19" style="89" customWidth="1"/>
    <col min="14872" max="14872" width="19.85546875" style="89" customWidth="1"/>
    <col min="14873" max="14873" width="18.5703125" style="89" customWidth="1"/>
    <col min="14874" max="14874" width="19.7109375" style="89" customWidth="1"/>
    <col min="14875" max="14875" width="14.85546875" style="89" customWidth="1"/>
    <col min="14876" max="14876" width="16.85546875" style="89" customWidth="1"/>
    <col min="14877" max="14879" width="11.42578125" style="89" customWidth="1"/>
    <col min="14880" max="14880" width="18.140625" style="89" customWidth="1"/>
    <col min="14881" max="14881" width="11.42578125" style="89" customWidth="1"/>
    <col min="14882" max="14882" width="12.5703125" style="89" customWidth="1"/>
    <col min="14883" max="14883" width="25" style="89" customWidth="1"/>
    <col min="14884" max="14884" width="16.5703125" style="89" bestFit="1" customWidth="1"/>
    <col min="14885" max="14885" width="24" style="89" customWidth="1"/>
    <col min="14886" max="14886" width="11.42578125" style="89" customWidth="1"/>
    <col min="14887" max="14887" width="20" style="89" customWidth="1"/>
    <col min="14888" max="14888" width="11.42578125" style="89" customWidth="1"/>
    <col min="14889" max="14889" width="19" style="89" customWidth="1"/>
    <col min="14890" max="14893" width="11.42578125" style="89" customWidth="1"/>
    <col min="14894" max="14894" width="15.140625" style="89" customWidth="1"/>
    <col min="14895" max="14895" width="14" style="89" customWidth="1"/>
    <col min="14896" max="14896" width="15.140625" style="89" customWidth="1"/>
    <col min="14897" max="14897" width="11.42578125" style="89" customWidth="1"/>
    <col min="14898" max="14898" width="51.7109375" style="89" customWidth="1"/>
    <col min="14899" max="14900" width="29.5703125" style="89" customWidth="1"/>
    <col min="14901" max="14901" width="44.42578125" style="89" customWidth="1"/>
    <col min="14902" max="14902" width="36.28515625" style="89" customWidth="1"/>
    <col min="14903" max="14903" width="27.42578125" style="89" bestFit="1" customWidth="1"/>
    <col min="14904" max="15124" width="11.42578125" style="89"/>
    <col min="15125" max="15125" width="15.5703125" style="89" bestFit="1" customWidth="1"/>
    <col min="15126" max="15126" width="33.7109375" style="89" customWidth="1"/>
    <col min="15127" max="15127" width="19" style="89" customWidth="1"/>
    <col min="15128" max="15128" width="19.85546875" style="89" customWidth="1"/>
    <col min="15129" max="15129" width="18.5703125" style="89" customWidth="1"/>
    <col min="15130" max="15130" width="19.7109375" style="89" customWidth="1"/>
    <col min="15131" max="15131" width="14.85546875" style="89" customWidth="1"/>
    <col min="15132" max="15132" width="16.85546875" style="89" customWidth="1"/>
    <col min="15133" max="15135" width="11.42578125" style="89" customWidth="1"/>
    <col min="15136" max="15136" width="18.140625" style="89" customWidth="1"/>
    <col min="15137" max="15137" width="11.42578125" style="89" customWidth="1"/>
    <col min="15138" max="15138" width="12.5703125" style="89" customWidth="1"/>
    <col min="15139" max="15139" width="25" style="89" customWidth="1"/>
    <col min="15140" max="15140" width="16.5703125" style="89" bestFit="1" customWidth="1"/>
    <col min="15141" max="15141" width="24" style="89" customWidth="1"/>
    <col min="15142" max="15142" width="11.42578125" style="89" customWidth="1"/>
    <col min="15143" max="15143" width="20" style="89" customWidth="1"/>
    <col min="15144" max="15144" width="11.42578125" style="89" customWidth="1"/>
    <col min="15145" max="15145" width="19" style="89" customWidth="1"/>
    <col min="15146" max="15149" width="11.42578125" style="89" customWidth="1"/>
    <col min="15150" max="15150" width="15.140625" style="89" customWidth="1"/>
    <col min="15151" max="15151" width="14" style="89" customWidth="1"/>
    <col min="15152" max="15152" width="15.140625" style="89" customWidth="1"/>
    <col min="15153" max="15153" width="11.42578125" style="89" customWidth="1"/>
    <col min="15154" max="15154" width="51.7109375" style="89" customWidth="1"/>
    <col min="15155" max="15156" width="29.5703125" style="89" customWidth="1"/>
    <col min="15157" max="15157" width="44.42578125" style="89" customWidth="1"/>
    <col min="15158" max="15158" width="36.28515625" style="89" customWidth="1"/>
    <col min="15159" max="15159" width="27.42578125" style="89" bestFit="1" customWidth="1"/>
    <col min="15160" max="15380" width="11.42578125" style="89"/>
    <col min="15381" max="15381" width="15.5703125" style="89" bestFit="1" customWidth="1"/>
    <col min="15382" max="15382" width="33.7109375" style="89" customWidth="1"/>
    <col min="15383" max="15383" width="19" style="89" customWidth="1"/>
    <col min="15384" max="15384" width="19.85546875" style="89" customWidth="1"/>
    <col min="15385" max="15385" width="18.5703125" style="89" customWidth="1"/>
    <col min="15386" max="15386" width="19.7109375" style="89" customWidth="1"/>
    <col min="15387" max="15387" width="14.85546875" style="89" customWidth="1"/>
    <col min="15388" max="15388" width="16.85546875" style="89" customWidth="1"/>
    <col min="15389" max="15391" width="11.42578125" style="89" customWidth="1"/>
    <col min="15392" max="15392" width="18.140625" style="89" customWidth="1"/>
    <col min="15393" max="15393" width="11.42578125" style="89" customWidth="1"/>
    <col min="15394" max="15394" width="12.5703125" style="89" customWidth="1"/>
    <col min="15395" max="15395" width="25" style="89" customWidth="1"/>
    <col min="15396" max="15396" width="16.5703125" style="89" bestFit="1" customWidth="1"/>
    <col min="15397" max="15397" width="24" style="89" customWidth="1"/>
    <col min="15398" max="15398" width="11.42578125" style="89" customWidth="1"/>
    <col min="15399" max="15399" width="20" style="89" customWidth="1"/>
    <col min="15400" max="15400" width="11.42578125" style="89" customWidth="1"/>
    <col min="15401" max="15401" width="19" style="89" customWidth="1"/>
    <col min="15402" max="15405" width="11.42578125" style="89" customWidth="1"/>
    <col min="15406" max="15406" width="15.140625" style="89" customWidth="1"/>
    <col min="15407" max="15407" width="14" style="89" customWidth="1"/>
    <col min="15408" max="15408" width="15.140625" style="89" customWidth="1"/>
    <col min="15409" max="15409" width="11.42578125" style="89" customWidth="1"/>
    <col min="15410" max="15410" width="51.7109375" style="89" customWidth="1"/>
    <col min="15411" max="15412" width="29.5703125" style="89" customWidth="1"/>
    <col min="15413" max="15413" width="44.42578125" style="89" customWidth="1"/>
    <col min="15414" max="15414" width="36.28515625" style="89" customWidth="1"/>
    <col min="15415" max="15415" width="27.42578125" style="89" bestFit="1" customWidth="1"/>
    <col min="15416" max="15636" width="11.42578125" style="89"/>
    <col min="15637" max="15637" width="15.5703125" style="89" bestFit="1" customWidth="1"/>
    <col min="15638" max="15638" width="33.7109375" style="89" customWidth="1"/>
    <col min="15639" max="15639" width="19" style="89" customWidth="1"/>
    <col min="15640" max="15640" width="19.85546875" style="89" customWidth="1"/>
    <col min="15641" max="15641" width="18.5703125" style="89" customWidth="1"/>
    <col min="15642" max="15642" width="19.7109375" style="89" customWidth="1"/>
    <col min="15643" max="15643" width="14.85546875" style="89" customWidth="1"/>
    <col min="15644" max="15644" width="16.85546875" style="89" customWidth="1"/>
    <col min="15645" max="15647" width="11.42578125" style="89" customWidth="1"/>
    <col min="15648" max="15648" width="18.140625" style="89" customWidth="1"/>
    <col min="15649" max="15649" width="11.42578125" style="89" customWidth="1"/>
    <col min="15650" max="15650" width="12.5703125" style="89" customWidth="1"/>
    <col min="15651" max="15651" width="25" style="89" customWidth="1"/>
    <col min="15652" max="15652" width="16.5703125" style="89" bestFit="1" customWidth="1"/>
    <col min="15653" max="15653" width="24" style="89" customWidth="1"/>
    <col min="15654" max="15654" width="11.42578125" style="89" customWidth="1"/>
    <col min="15655" max="15655" width="20" style="89" customWidth="1"/>
    <col min="15656" max="15656" width="11.42578125" style="89" customWidth="1"/>
    <col min="15657" max="15657" width="19" style="89" customWidth="1"/>
    <col min="15658" max="15661" width="11.42578125" style="89" customWidth="1"/>
    <col min="15662" max="15662" width="15.140625" style="89" customWidth="1"/>
    <col min="15663" max="15663" width="14" style="89" customWidth="1"/>
    <col min="15664" max="15664" width="15.140625" style="89" customWidth="1"/>
    <col min="15665" max="15665" width="11.42578125" style="89" customWidth="1"/>
    <col min="15666" max="15666" width="51.7109375" style="89" customWidth="1"/>
    <col min="15667" max="15668" width="29.5703125" style="89" customWidth="1"/>
    <col min="15669" max="15669" width="44.42578125" style="89" customWidth="1"/>
    <col min="15670" max="15670" width="36.28515625" style="89" customWidth="1"/>
    <col min="15671" max="15671" width="27.42578125" style="89" bestFit="1" customWidth="1"/>
    <col min="15672" max="15892" width="11.42578125" style="89"/>
    <col min="15893" max="15893" width="15.5703125" style="89" bestFit="1" customWidth="1"/>
    <col min="15894" max="15894" width="33.7109375" style="89" customWidth="1"/>
    <col min="15895" max="15895" width="19" style="89" customWidth="1"/>
    <col min="15896" max="15896" width="19.85546875" style="89" customWidth="1"/>
    <col min="15897" max="15897" width="18.5703125" style="89" customWidth="1"/>
    <col min="15898" max="15898" width="19.7109375" style="89" customWidth="1"/>
    <col min="15899" max="15899" width="14.85546875" style="89" customWidth="1"/>
    <col min="15900" max="15900" width="16.85546875" style="89" customWidth="1"/>
    <col min="15901" max="15903" width="11.42578125" style="89" customWidth="1"/>
    <col min="15904" max="15904" width="18.140625" style="89" customWidth="1"/>
    <col min="15905" max="15905" width="11.42578125" style="89" customWidth="1"/>
    <col min="15906" max="15906" width="12.5703125" style="89" customWidth="1"/>
    <col min="15907" max="15907" width="25" style="89" customWidth="1"/>
    <col min="15908" max="15908" width="16.5703125" style="89" bestFit="1" customWidth="1"/>
    <col min="15909" max="15909" width="24" style="89" customWidth="1"/>
    <col min="15910" max="15910" width="11.42578125" style="89" customWidth="1"/>
    <col min="15911" max="15911" width="20" style="89" customWidth="1"/>
    <col min="15912" max="15912" width="11.42578125" style="89" customWidth="1"/>
    <col min="15913" max="15913" width="19" style="89" customWidth="1"/>
    <col min="15914" max="15917" width="11.42578125" style="89" customWidth="1"/>
    <col min="15918" max="15918" width="15.140625" style="89" customWidth="1"/>
    <col min="15919" max="15919" width="14" style="89" customWidth="1"/>
    <col min="15920" max="15920" width="15.140625" style="89" customWidth="1"/>
    <col min="15921" max="15921" width="11.42578125" style="89" customWidth="1"/>
    <col min="15922" max="15922" width="51.7109375" style="89" customWidth="1"/>
    <col min="15923" max="15924" width="29.5703125" style="89" customWidth="1"/>
    <col min="15925" max="15925" width="44.42578125" style="89" customWidth="1"/>
    <col min="15926" max="15926" width="36.28515625" style="89" customWidth="1"/>
    <col min="15927" max="15927" width="27.42578125" style="89" bestFit="1" customWidth="1"/>
    <col min="15928" max="16148" width="11.42578125" style="89"/>
    <col min="16149" max="16149" width="15.5703125" style="89" bestFit="1" customWidth="1"/>
    <col min="16150" max="16150" width="33.7109375" style="89" customWidth="1"/>
    <col min="16151" max="16151" width="19" style="89" customWidth="1"/>
    <col min="16152" max="16152" width="19.85546875" style="89" customWidth="1"/>
    <col min="16153" max="16153" width="18.5703125" style="89" customWidth="1"/>
    <col min="16154" max="16154" width="19.7109375" style="89" customWidth="1"/>
    <col min="16155" max="16155" width="14.85546875" style="89" customWidth="1"/>
    <col min="16156" max="16156" width="16.85546875" style="89" customWidth="1"/>
    <col min="16157" max="16159" width="11.42578125" style="89" customWidth="1"/>
    <col min="16160" max="16160" width="18.140625" style="89" customWidth="1"/>
    <col min="16161" max="16161" width="11.42578125" style="89" customWidth="1"/>
    <col min="16162" max="16162" width="12.5703125" style="89" customWidth="1"/>
    <col min="16163" max="16163" width="25" style="89" customWidth="1"/>
    <col min="16164" max="16164" width="16.5703125" style="89" bestFit="1" customWidth="1"/>
    <col min="16165" max="16165" width="24" style="89" customWidth="1"/>
    <col min="16166" max="16166" width="11.42578125" style="89" customWidth="1"/>
    <col min="16167" max="16167" width="20" style="89" customWidth="1"/>
    <col min="16168" max="16168" width="11.42578125" style="89" customWidth="1"/>
    <col min="16169" max="16169" width="19" style="89" customWidth="1"/>
    <col min="16170" max="16173" width="11.42578125" style="89" customWidth="1"/>
    <col min="16174" max="16174" width="15.140625" style="89" customWidth="1"/>
    <col min="16175" max="16175" width="14" style="89" customWidth="1"/>
    <col min="16176" max="16176" width="15.140625" style="89" customWidth="1"/>
    <col min="16177" max="16177" width="11.42578125" style="89" customWidth="1"/>
    <col min="16178" max="16178" width="51.7109375" style="89" customWidth="1"/>
    <col min="16179" max="16180" width="29.5703125" style="89" customWidth="1"/>
    <col min="16181" max="16181" width="44.42578125" style="89" customWidth="1"/>
    <col min="16182" max="16182" width="36.28515625" style="89" customWidth="1"/>
    <col min="16183" max="16183" width="27.42578125" style="89" bestFit="1" customWidth="1"/>
    <col min="16184" max="16384" width="11.42578125" style="89"/>
  </cols>
  <sheetData>
    <row r="1" spans="1:76" s="90" customFormat="1" ht="34.5" customHeight="1" x14ac:dyDescent="0.6">
      <c r="AD1" s="238"/>
      <c r="AH1" s="238"/>
      <c r="AI1" s="238"/>
      <c r="AJ1" s="238"/>
      <c r="AR1" s="238"/>
      <c r="BL1" s="242" t="s">
        <v>218</v>
      </c>
      <c r="BM1" s="243"/>
      <c r="BN1" s="243"/>
      <c r="BO1" s="243"/>
      <c r="BP1" s="243"/>
      <c r="BQ1" s="243"/>
      <c r="BR1" s="243"/>
      <c r="BS1" s="243"/>
      <c r="BT1" s="243"/>
      <c r="BU1" s="243"/>
    </row>
    <row r="2" spans="1:76" ht="76.5" x14ac:dyDescent="0.25">
      <c r="A2" s="233" t="s">
        <v>176</v>
      </c>
      <c r="B2" s="234" t="s">
        <v>89</v>
      </c>
      <c r="C2" s="235" t="s">
        <v>90</v>
      </c>
      <c r="D2" s="235" t="s">
        <v>91</v>
      </c>
      <c r="E2" s="235" t="s">
        <v>92</v>
      </c>
      <c r="F2" s="236" t="s">
        <v>93</v>
      </c>
      <c r="G2" s="236" t="s">
        <v>94</v>
      </c>
      <c r="H2" s="236" t="s">
        <v>206</v>
      </c>
      <c r="I2" s="229" t="s">
        <v>95</v>
      </c>
      <c r="J2" s="226" t="s">
        <v>96</v>
      </c>
      <c r="K2" s="230" t="s">
        <v>97</v>
      </c>
      <c r="L2" s="226" t="s">
        <v>98</v>
      </c>
      <c r="M2" s="231" t="s">
        <v>99</v>
      </c>
      <c r="N2" s="231" t="s">
        <v>100</v>
      </c>
      <c r="O2" s="231" t="s">
        <v>101</v>
      </c>
      <c r="P2" s="226" t="s">
        <v>102</v>
      </c>
      <c r="Q2" s="226" t="s">
        <v>103</v>
      </c>
      <c r="R2" s="231" t="s">
        <v>145</v>
      </c>
      <c r="S2" s="237" t="s">
        <v>157</v>
      </c>
      <c r="T2" s="237" t="s">
        <v>158</v>
      </c>
      <c r="U2" s="237" t="s">
        <v>159</v>
      </c>
      <c r="V2" s="237" t="s">
        <v>160</v>
      </c>
      <c r="W2" s="237" t="s">
        <v>161</v>
      </c>
      <c r="X2" s="237" t="s">
        <v>211</v>
      </c>
      <c r="Y2" s="237" t="s">
        <v>212</v>
      </c>
      <c r="Z2" s="237" t="s">
        <v>213</v>
      </c>
      <c r="AA2" s="237" t="s">
        <v>162</v>
      </c>
      <c r="AB2" s="237" t="s">
        <v>163</v>
      </c>
      <c r="AC2" s="237" t="s">
        <v>164</v>
      </c>
      <c r="AD2" s="237" t="s">
        <v>165</v>
      </c>
      <c r="AE2" s="237" t="s">
        <v>166</v>
      </c>
      <c r="AF2" s="237" t="s">
        <v>167</v>
      </c>
      <c r="AG2" s="237" t="s">
        <v>178</v>
      </c>
      <c r="AH2" s="237" t="s">
        <v>179</v>
      </c>
      <c r="AI2" s="237" t="s">
        <v>104</v>
      </c>
      <c r="AJ2" s="237" t="s">
        <v>150</v>
      </c>
      <c r="AK2" s="237" t="s">
        <v>207</v>
      </c>
      <c r="AL2" s="231" t="s">
        <v>184</v>
      </c>
      <c r="AM2" s="231" t="s">
        <v>185</v>
      </c>
      <c r="AN2" s="231" t="s">
        <v>168</v>
      </c>
      <c r="AO2" s="231" t="s">
        <v>169</v>
      </c>
      <c r="AP2" s="237" t="s">
        <v>172</v>
      </c>
      <c r="AQ2" s="237" t="s">
        <v>173</v>
      </c>
      <c r="AR2" s="237" t="s">
        <v>181</v>
      </c>
      <c r="AS2" s="237" t="s">
        <v>180</v>
      </c>
      <c r="AT2" s="237" t="s">
        <v>170</v>
      </c>
      <c r="AU2" s="237" t="s">
        <v>171</v>
      </c>
      <c r="AV2" s="237" t="s">
        <v>182</v>
      </c>
      <c r="AW2" s="237" t="s">
        <v>183</v>
      </c>
      <c r="AX2" s="232" t="s">
        <v>105</v>
      </c>
      <c r="AY2" s="232" t="s">
        <v>106</v>
      </c>
      <c r="AZ2" s="226" t="s">
        <v>107</v>
      </c>
      <c r="BA2" s="232" t="s">
        <v>65</v>
      </c>
      <c r="BB2" s="226" t="s">
        <v>108</v>
      </c>
      <c r="BC2" s="226" t="s">
        <v>146</v>
      </c>
      <c r="BD2" s="226" t="s">
        <v>147</v>
      </c>
      <c r="BE2" s="227" t="s">
        <v>186</v>
      </c>
      <c r="BF2" s="227" t="s">
        <v>187</v>
      </c>
      <c r="BG2" s="227" t="s">
        <v>188</v>
      </c>
      <c r="BH2" s="228" t="s">
        <v>216</v>
      </c>
      <c r="BI2" s="228" t="s">
        <v>217</v>
      </c>
      <c r="BK2" s="239" t="s">
        <v>219</v>
      </c>
      <c r="BL2" s="239" t="s">
        <v>219</v>
      </c>
      <c r="BM2" s="239" t="s">
        <v>219</v>
      </c>
      <c r="BN2" s="239" t="s">
        <v>219</v>
      </c>
      <c r="BO2" s="239" t="s">
        <v>219</v>
      </c>
      <c r="BP2" s="239" t="s">
        <v>219</v>
      </c>
      <c r="BQ2" s="239" t="s">
        <v>219</v>
      </c>
      <c r="BR2" s="239" t="s">
        <v>219</v>
      </c>
      <c r="BS2" s="239" t="s">
        <v>219</v>
      </c>
      <c r="BT2" s="239" t="s">
        <v>219</v>
      </c>
      <c r="BU2" s="239" t="s">
        <v>219</v>
      </c>
      <c r="BV2" s="239" t="s">
        <v>219</v>
      </c>
      <c r="BW2" s="239" t="s">
        <v>219</v>
      </c>
      <c r="BX2" s="239" t="s">
        <v>219</v>
      </c>
    </row>
    <row r="3" spans="1:76" x14ac:dyDescent="0.25">
      <c r="A3" s="169" t="s">
        <v>142</v>
      </c>
      <c r="B3" s="170">
        <v>860000</v>
      </c>
      <c r="C3" s="165" t="s">
        <v>198</v>
      </c>
      <c r="D3" s="171" t="s">
        <v>109</v>
      </c>
      <c r="E3" s="189">
        <v>43830</v>
      </c>
      <c r="F3" s="188" t="s">
        <v>115</v>
      </c>
      <c r="G3" s="189" t="s">
        <v>114</v>
      </c>
      <c r="H3" s="189" t="s">
        <v>208</v>
      </c>
      <c r="I3" s="189">
        <v>43899</v>
      </c>
      <c r="J3" s="189">
        <v>43937</v>
      </c>
      <c r="K3" s="190">
        <f>IF(I3="","",MONTH(I3))</f>
        <v>3</v>
      </c>
      <c r="L3" s="190">
        <f>IF(I3="","",DAYS360(E3,I3))</f>
        <v>69</v>
      </c>
      <c r="M3" s="188"/>
      <c r="N3" s="188"/>
      <c r="O3" s="188"/>
      <c r="P3" s="188"/>
      <c r="Q3" s="188"/>
      <c r="R3" s="188"/>
      <c r="S3" s="213">
        <v>100</v>
      </c>
      <c r="T3" s="207">
        <v>50</v>
      </c>
      <c r="U3" s="219"/>
      <c r="V3" s="213">
        <v>200</v>
      </c>
      <c r="W3" s="219">
        <v>200</v>
      </c>
      <c r="X3" s="219">
        <v>300</v>
      </c>
      <c r="Y3" s="219">
        <v>20</v>
      </c>
      <c r="Z3" s="219"/>
      <c r="AA3" s="219">
        <v>200</v>
      </c>
      <c r="AB3" s="219">
        <v>100</v>
      </c>
      <c r="AC3" s="219">
        <v>2000</v>
      </c>
      <c r="AD3" s="219">
        <v>200</v>
      </c>
      <c r="AE3" s="219">
        <v>600</v>
      </c>
      <c r="AF3" s="219">
        <v>500</v>
      </c>
      <c r="AG3" s="219">
        <v>4470</v>
      </c>
      <c r="AH3" s="225">
        <f>SUM(PORTEFEUILLE_GUILLAUME[[#This Row],[PCR COMPTABLE €]:[MONTANT
RESPONSABLE RELATION CLIENT €]])-PORTEFEUILLE_GUILLAUME[[#This Row],[MONTANT TOTAL LETTRE DE MISION €]]</f>
        <v>0</v>
      </c>
      <c r="AI3" s="191" t="s">
        <v>152</v>
      </c>
      <c r="AJ3" s="188" t="s">
        <v>155</v>
      </c>
      <c r="AK3" s="188" t="s">
        <v>153</v>
      </c>
      <c r="AL3" s="188" t="s">
        <v>199</v>
      </c>
      <c r="AM3" s="188" t="s">
        <v>200</v>
      </c>
      <c r="AN3" s="188">
        <v>36</v>
      </c>
      <c r="AO3" s="188">
        <v>16</v>
      </c>
      <c r="AP3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Q3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400</v>
      </c>
      <c r="AR3" s="188" t="str">
        <f>IF(PORTEFEUILLE_GUILLAUME[[#This Row],[BONI AAC]]&lt;&gt;0,1,"")</f>
        <v/>
      </c>
      <c r="AS3" s="188">
        <f>IF(PORTEFEUILLE_GUILLAUME[[#This Row],[MALI AAC]]&lt;&gt;0,1,"")</f>
        <v>1</v>
      </c>
      <c r="AT3" s="225">
        <f>IF(AN3&lt;&gt;"",IF((AN3*Paramètres!$H$4)-PORTEFEUILLE_GUILLAUME[[#This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€]]-(DELPHINE!AN3*Paramètres!$H$4),0),0)</f>
        <v>0</v>
      </c>
      <c r="AU3" s="225">
        <f>IF(AN3&lt;&gt;"",IF(((AN3*Paramètres!$H$4)-PORTEFEUILLE_GUILLAUME[[#This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€]])&gt;0,(AN3*Paramètres!$H$4)-PORTEFEUILLE_GUILLAUME[[#This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V3" s="190" t="str">
        <f>IF(PORTEFEUILLE_GUILLAUME[[#This Row],[BONI COMPTABLE]]&lt;&gt;0,1,"")</f>
        <v/>
      </c>
      <c r="AW3" s="190" t="str">
        <f>IF(PORTEFEUILLE_GUILLAUME[[#This Row],[MALI COMPTABLE]]&lt;&gt;0,1,"")</f>
        <v/>
      </c>
      <c r="AX3" s="188">
        <v>2</v>
      </c>
      <c r="AY3" s="188" t="s">
        <v>209</v>
      </c>
      <c r="AZ3" s="188" t="s">
        <v>209</v>
      </c>
      <c r="BA3" s="188"/>
      <c r="BB3" s="188"/>
      <c r="BC3" s="188"/>
      <c r="BD3" s="188"/>
      <c r="BE3" s="192" t="s">
        <v>214</v>
      </c>
      <c r="BF3" s="192" t="s">
        <v>191</v>
      </c>
      <c r="BG3" s="192" t="s">
        <v>200</v>
      </c>
      <c r="BH3" s="193"/>
      <c r="BI3" s="192"/>
    </row>
    <row r="4" spans="1:76" x14ac:dyDescent="0.25">
      <c r="A4" s="169" t="s">
        <v>142</v>
      </c>
      <c r="B4" s="170">
        <v>860001</v>
      </c>
      <c r="C4" s="165" t="s">
        <v>210</v>
      </c>
      <c r="D4" s="171" t="s">
        <v>109</v>
      </c>
      <c r="E4" s="189">
        <v>43830</v>
      </c>
      <c r="F4" s="188" t="s">
        <v>112</v>
      </c>
      <c r="G4" s="189" t="s">
        <v>111</v>
      </c>
      <c r="H4" s="189"/>
      <c r="I4" s="189">
        <v>43873</v>
      </c>
      <c r="J4" s="189">
        <v>43938</v>
      </c>
      <c r="K4" s="190">
        <f t="shared" ref="K4:K60" si="0">IF(I4="","",MONTH(I4))</f>
        <v>2</v>
      </c>
      <c r="L4" s="190">
        <f t="shared" ref="L4:L60" si="1">IF(I4="","",DAYS360(E4,I4))</f>
        <v>42</v>
      </c>
      <c r="M4" s="188" t="s">
        <v>200</v>
      </c>
      <c r="N4" s="188"/>
      <c r="O4" s="188"/>
      <c r="P4" s="188"/>
      <c r="Q4" s="188"/>
      <c r="R4" s="188"/>
      <c r="S4" s="213">
        <v>0</v>
      </c>
      <c r="T4" s="207">
        <v>100</v>
      </c>
      <c r="U4" s="219"/>
      <c r="V4" s="219">
        <v>50</v>
      </c>
      <c r="W4" s="219">
        <v>550</v>
      </c>
      <c r="X4" s="219"/>
      <c r="Y4" s="219"/>
      <c r="Z4" s="219"/>
      <c r="AA4" s="219"/>
      <c r="AB4" s="219"/>
      <c r="AC4" s="219"/>
      <c r="AD4" s="219"/>
      <c r="AE4" s="219"/>
      <c r="AF4" s="219"/>
      <c r="AG4" s="219">
        <v>700</v>
      </c>
      <c r="AH4" s="225">
        <f>SUM(PORTEFEUILLE_GUILLAUME[[#This Row],[PCR COMPTABLE €]:[MONTANT
RESPONSABLE RELATION CLIENT €]])-PORTEFEUILLE_GUILLAUME[[#This Row],[MONTANT TOTAL LETTRE DE MISION €]]</f>
        <v>0</v>
      </c>
      <c r="AI4" s="191" t="s">
        <v>153</v>
      </c>
      <c r="AJ4" s="188" t="s">
        <v>154</v>
      </c>
      <c r="AK4" s="188"/>
      <c r="AL4" s="188" t="s">
        <v>199</v>
      </c>
      <c r="AM4" s="188"/>
      <c r="AN4" s="188">
        <v>30</v>
      </c>
      <c r="AO4" s="188">
        <v>20</v>
      </c>
      <c r="AP4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Q4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1000</v>
      </c>
      <c r="AR4" s="188" t="str">
        <f>IF(PORTEFEUILLE_GUILLAUME[[#This Row],[BONI AAC]]&lt;&gt;0,1,"")</f>
        <v/>
      </c>
      <c r="AS4" s="188">
        <f>IF(PORTEFEUILLE_GUILLAUME[[#This Row],[MALI AAC]]&lt;&gt;0,1,"")</f>
        <v>1</v>
      </c>
      <c r="AT4" s="225">
        <f>IF(AN4&lt;&gt;"",IF((AN4*Paramètres!$H$4)-PORTEFEUILLE_GUILLAUME[[#This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€]]-(DELPHINE!AN4*Paramètres!$H$4),0),0)</f>
        <v>0</v>
      </c>
      <c r="AU4" s="225">
        <f>IF(AN4&lt;&gt;"",IF(((AN4*Paramètres!$H$4)-PORTEFEUILLE_GUILLAUME[[#This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€]])&gt;0,(AN4*Paramètres!$H$4)-PORTEFEUILLE_GUILLAUME[[#This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3000</v>
      </c>
      <c r="AV4" s="190" t="str">
        <f>IF(PORTEFEUILLE_GUILLAUME[[#This Row],[BONI COMPTABLE]]&lt;&gt;0,1,"")</f>
        <v/>
      </c>
      <c r="AW4" s="190">
        <f>IF(PORTEFEUILLE_GUILLAUME[[#This Row],[MALI COMPTABLE]]&lt;&gt;0,1,"")</f>
        <v>1</v>
      </c>
      <c r="AX4" s="188">
        <v>4</v>
      </c>
      <c r="AY4" s="188" t="s">
        <v>209</v>
      </c>
      <c r="AZ4" s="188" t="s">
        <v>209</v>
      </c>
      <c r="BA4" s="188"/>
      <c r="BB4" s="188"/>
      <c r="BC4" s="188"/>
      <c r="BD4" s="188"/>
      <c r="BE4" s="192" t="s">
        <v>214</v>
      </c>
      <c r="BF4" s="194" t="s">
        <v>138</v>
      </c>
      <c r="BG4" s="194" t="s">
        <v>215</v>
      </c>
      <c r="BH4" s="195"/>
      <c r="BI4" s="194"/>
    </row>
    <row r="5" spans="1:76" x14ac:dyDescent="0.25">
      <c r="A5" s="169" t="s">
        <v>142</v>
      </c>
      <c r="B5" s="170">
        <v>86000</v>
      </c>
      <c r="C5" s="165" t="s">
        <v>204</v>
      </c>
      <c r="D5" s="171" t="s">
        <v>109</v>
      </c>
      <c r="E5" s="189">
        <v>43830</v>
      </c>
      <c r="F5" s="188" t="s">
        <v>130</v>
      </c>
      <c r="G5" s="189" t="s">
        <v>114</v>
      </c>
      <c r="H5" s="189" t="s">
        <v>208</v>
      </c>
      <c r="I5" s="189"/>
      <c r="J5" s="189"/>
      <c r="K5" s="190" t="str">
        <f t="shared" si="0"/>
        <v/>
      </c>
      <c r="L5" s="190" t="str">
        <f t="shared" si="1"/>
        <v/>
      </c>
      <c r="M5" s="188"/>
      <c r="N5" s="188"/>
      <c r="O5" s="188"/>
      <c r="P5" s="188"/>
      <c r="Q5" s="188"/>
      <c r="R5" s="188"/>
      <c r="S5" s="213">
        <v>85</v>
      </c>
      <c r="T5" s="207">
        <v>85</v>
      </c>
      <c r="U5" s="219">
        <v>200</v>
      </c>
      <c r="V5" s="219">
        <v>200</v>
      </c>
      <c r="W5" s="219">
        <v>400</v>
      </c>
      <c r="X5" s="219"/>
      <c r="Y5" s="219">
        <v>400</v>
      </c>
      <c r="Z5" s="219"/>
      <c r="AA5" s="219">
        <v>600</v>
      </c>
      <c r="AB5" s="219"/>
      <c r="AC5" s="219">
        <v>1500</v>
      </c>
      <c r="AD5" s="219">
        <v>200</v>
      </c>
      <c r="AE5" s="219">
        <v>0</v>
      </c>
      <c r="AF5" s="219">
        <v>65</v>
      </c>
      <c r="AG5" s="219">
        <v>3735</v>
      </c>
      <c r="AH5" s="225">
        <f>SUM(PORTEFEUILLE_GUILLAUME[[#This Row],[PCR COMPTABLE €]:[MONTANT
RESPONSABLE RELATION CLIENT €]])-PORTEFEUILLE_GUILLAUME[[#This Row],[MONTANT TOTAL LETTRE DE MISION €]]</f>
        <v>0</v>
      </c>
      <c r="AI5" s="191" t="s">
        <v>153</v>
      </c>
      <c r="AJ5" s="188" t="s">
        <v>156</v>
      </c>
      <c r="AK5" s="188" t="s">
        <v>153</v>
      </c>
      <c r="AL5" s="188"/>
      <c r="AM5" s="188"/>
      <c r="AN5" s="188">
        <v>60</v>
      </c>
      <c r="AO5" s="188">
        <v>60</v>
      </c>
      <c r="AP5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Q5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2200</v>
      </c>
      <c r="AR5" s="188" t="str">
        <f>IF(PORTEFEUILLE_GUILLAUME[[#This Row],[BONI AAC]]&lt;&gt;0,1,"")</f>
        <v/>
      </c>
      <c r="AS5" s="188">
        <f>IF(PORTEFEUILLE_GUILLAUME[[#This Row],[MALI AAC]]&lt;&gt;0,1,"")</f>
        <v>1</v>
      </c>
      <c r="AT5" s="225">
        <f>IF(AN5&lt;&gt;"",IF((AN5*Paramètres!$H$4)-PORTEFEUILLE_GUILLAUME[[#This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€]]-(DELPHINE!AN5*Paramètres!$H$4),0),0)</f>
        <v>0</v>
      </c>
      <c r="AU5" s="225">
        <f>IF(AN5&lt;&gt;"",IF(((AN5*Paramètres!$H$4)-PORTEFEUILLE_GUILLAUME[[#This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€]])&gt;0,(AN5*Paramètres!$H$4)-PORTEFEUILLE_GUILLAUME[[#This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4150</v>
      </c>
      <c r="AV5" s="190" t="str">
        <f>IF(PORTEFEUILLE_GUILLAUME[[#This Row],[BONI COMPTABLE]]&lt;&gt;0,1,"")</f>
        <v/>
      </c>
      <c r="AW5" s="190">
        <f>IF(PORTEFEUILLE_GUILLAUME[[#This Row],[MALI COMPTABLE]]&lt;&gt;0,1,"")</f>
        <v>1</v>
      </c>
      <c r="AX5" s="188"/>
      <c r="AY5" s="188"/>
      <c r="AZ5" s="188"/>
      <c r="BA5" s="188"/>
      <c r="BB5" s="188"/>
      <c r="BC5" s="188"/>
      <c r="BD5" s="188"/>
      <c r="BE5" s="192" t="s">
        <v>214</v>
      </c>
      <c r="BF5" s="194" t="s">
        <v>140</v>
      </c>
      <c r="BG5" s="194" t="s">
        <v>205</v>
      </c>
      <c r="BH5" s="195" t="s">
        <v>200</v>
      </c>
      <c r="BI5" s="194"/>
    </row>
    <row r="6" spans="1:76" x14ac:dyDescent="0.25">
      <c r="A6" s="172"/>
      <c r="B6" s="170"/>
      <c r="C6" s="165"/>
      <c r="D6" s="171"/>
      <c r="E6" s="189"/>
      <c r="F6" s="188"/>
      <c r="G6" s="189"/>
      <c r="H6" s="189"/>
      <c r="I6" s="189"/>
      <c r="J6" s="189"/>
      <c r="K6" s="190" t="str">
        <f t="shared" si="0"/>
        <v/>
      </c>
      <c r="L6" s="190" t="str">
        <f t="shared" si="1"/>
        <v/>
      </c>
      <c r="M6" s="188"/>
      <c r="N6" s="188"/>
      <c r="O6" s="188"/>
      <c r="P6" s="188"/>
      <c r="Q6" s="188"/>
      <c r="R6" s="188"/>
      <c r="S6" s="213"/>
      <c r="T6" s="207"/>
      <c r="U6" s="219"/>
      <c r="V6" s="219"/>
      <c r="W6" s="219"/>
      <c r="X6" s="219"/>
      <c r="Y6" s="219"/>
      <c r="Z6" s="219"/>
      <c r="AA6" s="219"/>
      <c r="AB6" s="219"/>
      <c r="AC6" s="219"/>
      <c r="AD6" s="219"/>
      <c r="AE6" s="219"/>
      <c r="AF6" s="219"/>
      <c r="AG6" s="219"/>
      <c r="AH6" s="225">
        <f>SUM(PORTEFEUILLE_GUILLAUME[[#This Row],[PCR COMPTABLE €]:[MONTANT
RESPONSABLE RELATION CLIENT €]])-PORTEFEUILLE_GUILLAUME[[#This Row],[MONTANT TOTAL LETTRE DE MISION €]]</f>
        <v>0</v>
      </c>
      <c r="AI6" s="191"/>
      <c r="AJ6" s="188"/>
      <c r="AK6" s="188"/>
      <c r="AL6" s="188"/>
      <c r="AM6" s="188"/>
      <c r="AN6" s="188"/>
      <c r="AO6" s="188"/>
      <c r="AP6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Q6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R6" s="188" t="str">
        <f>IF(PORTEFEUILLE_GUILLAUME[[#This Row],[BONI AAC]]&lt;&gt;0,1,"")</f>
        <v/>
      </c>
      <c r="AS6" s="188" t="str">
        <f>IF(PORTEFEUILLE_GUILLAUME[[#This Row],[MALI AAC]]&lt;&gt;0,1,"")</f>
        <v/>
      </c>
      <c r="AT6" s="225">
        <f>IF(AN6&lt;&gt;"",IF((AN6*Paramètres!$H$4)-PORTEFEUILLE_GUILLAUME[[#This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€]]-(DELPHINE!AN6*Paramètres!$H$4),0),0)</f>
        <v>0</v>
      </c>
      <c r="AU6" s="225">
        <f>IF(AN6&lt;&gt;"",IF(((AN6*Paramètres!$H$4)-PORTEFEUILLE_GUILLAUME[[#This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€]])&gt;0,(AN6*Paramètres!$H$4)-PORTEFEUILLE_GUILLAUME[[#This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V6" s="190" t="str">
        <f>IF(PORTEFEUILLE_GUILLAUME[[#This Row],[BONI COMPTABLE]]&lt;&gt;0,1,"")</f>
        <v/>
      </c>
      <c r="AW6" s="190" t="str">
        <f>IF(PORTEFEUILLE_GUILLAUME[[#This Row],[MALI COMPTABLE]]&lt;&gt;0,1,"")</f>
        <v/>
      </c>
      <c r="AX6" s="188"/>
      <c r="AY6" s="188"/>
      <c r="AZ6" s="188"/>
      <c r="BA6" s="188"/>
      <c r="BB6" s="188"/>
      <c r="BC6" s="188"/>
      <c r="BD6" s="188"/>
      <c r="BE6" s="192"/>
      <c r="BF6" s="194"/>
      <c r="BG6" s="194"/>
      <c r="BH6" s="195"/>
      <c r="BI6" s="194"/>
    </row>
    <row r="7" spans="1:76" x14ac:dyDescent="0.25">
      <c r="A7" s="172"/>
      <c r="B7" s="173"/>
      <c r="C7" s="165"/>
      <c r="D7" s="171"/>
      <c r="E7" s="189"/>
      <c r="F7" s="188"/>
      <c r="G7" s="189"/>
      <c r="H7" s="189"/>
      <c r="I7" s="189"/>
      <c r="J7" s="189"/>
      <c r="K7" s="190" t="str">
        <f t="shared" si="0"/>
        <v/>
      </c>
      <c r="L7" s="190" t="str">
        <f t="shared" si="1"/>
        <v/>
      </c>
      <c r="M7" s="188"/>
      <c r="N7" s="188"/>
      <c r="O7" s="188"/>
      <c r="P7" s="188"/>
      <c r="Q7" s="188"/>
      <c r="R7" s="188"/>
      <c r="S7" s="213"/>
      <c r="T7" s="207"/>
      <c r="U7" s="219"/>
      <c r="V7" s="219"/>
      <c r="W7" s="219"/>
      <c r="X7" s="219"/>
      <c r="Y7" s="219"/>
      <c r="Z7" s="219"/>
      <c r="AA7" s="219"/>
      <c r="AB7" s="219"/>
      <c r="AC7" s="219"/>
      <c r="AD7" s="219"/>
      <c r="AE7" s="219"/>
      <c r="AF7" s="219"/>
      <c r="AG7" s="219"/>
      <c r="AH7" s="225">
        <f>SUM(PORTEFEUILLE_GUILLAUME[[#This Row],[PCR COMPTABLE €]:[MONTANT
RESPONSABLE RELATION CLIENT €]])-PORTEFEUILLE_GUILLAUME[[#This Row],[MONTANT TOTAL LETTRE DE MISION €]]</f>
        <v>0</v>
      </c>
      <c r="AI7" s="191"/>
      <c r="AJ7" s="188"/>
      <c r="AK7" s="188"/>
      <c r="AL7" s="188"/>
      <c r="AM7" s="188"/>
      <c r="AN7" s="188"/>
      <c r="AO7" s="188"/>
      <c r="AP7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Q7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R7" s="188" t="str">
        <f>IF(PORTEFEUILLE_GUILLAUME[[#This Row],[BONI AAC]]&lt;&gt;0,1,"")</f>
        <v/>
      </c>
      <c r="AS7" s="188" t="str">
        <f>IF(PORTEFEUILLE_GUILLAUME[[#This Row],[MALI AAC]]&lt;&gt;0,1,"")</f>
        <v/>
      </c>
      <c r="AT7" s="225">
        <f>IF(AN7&lt;&gt;"",IF((AN7*Paramètres!$H$4)-PORTEFEUILLE_GUILLAUME[[#This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€]]-(DELPHINE!AN7*Paramètres!$H$4),0),0)</f>
        <v>0</v>
      </c>
      <c r="AU7" s="225">
        <f>IF(AN7&lt;&gt;"",IF(((AN7*Paramètres!$H$4)-PORTEFEUILLE_GUILLAUME[[#This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€]])&gt;0,(AN7*Paramètres!$H$4)-PORTEFEUILLE_GUILLAUME[[#This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V7" s="190" t="str">
        <f>IF(PORTEFEUILLE_GUILLAUME[[#This Row],[BONI COMPTABLE]]&lt;&gt;0,1,"")</f>
        <v/>
      </c>
      <c r="AW7" s="190" t="str">
        <f>IF(PORTEFEUILLE_GUILLAUME[[#This Row],[MALI COMPTABLE]]&lt;&gt;0,1,"")</f>
        <v/>
      </c>
      <c r="AX7" s="188"/>
      <c r="AY7" s="188"/>
      <c r="AZ7" s="188"/>
      <c r="BA7" s="188"/>
      <c r="BB7" s="196"/>
      <c r="BC7" s="196"/>
      <c r="BD7" s="196"/>
      <c r="BE7" s="192"/>
      <c r="BF7" s="194"/>
      <c r="BG7" s="194"/>
      <c r="BH7" s="195"/>
      <c r="BI7" s="194"/>
    </row>
    <row r="8" spans="1:76" x14ac:dyDescent="0.25">
      <c r="A8" s="172"/>
      <c r="B8" s="170"/>
      <c r="C8" s="165"/>
      <c r="D8" s="171"/>
      <c r="E8" s="189"/>
      <c r="F8" s="188"/>
      <c r="G8" s="189"/>
      <c r="H8" s="189"/>
      <c r="I8" s="189"/>
      <c r="J8" s="189"/>
      <c r="K8" s="190" t="str">
        <f t="shared" si="0"/>
        <v/>
      </c>
      <c r="L8" s="190" t="str">
        <f t="shared" si="1"/>
        <v/>
      </c>
      <c r="M8" s="188"/>
      <c r="N8" s="188"/>
      <c r="O8" s="188"/>
      <c r="P8" s="188"/>
      <c r="Q8" s="188"/>
      <c r="R8" s="188"/>
      <c r="S8" s="213"/>
      <c r="T8" s="207"/>
      <c r="U8" s="219"/>
      <c r="V8" s="219"/>
      <c r="W8" s="219"/>
      <c r="X8" s="219"/>
      <c r="Y8" s="219"/>
      <c r="Z8" s="219"/>
      <c r="AA8" s="219"/>
      <c r="AB8" s="219"/>
      <c r="AC8" s="219"/>
      <c r="AD8" s="219"/>
      <c r="AE8" s="219"/>
      <c r="AF8" s="219"/>
      <c r="AG8" s="219"/>
      <c r="AH8" s="225">
        <f>SUM(PORTEFEUILLE_GUILLAUME[[#This Row],[PCR COMPTABLE €]:[MONTANT
RESPONSABLE RELATION CLIENT €]])-PORTEFEUILLE_GUILLAUME[[#This Row],[MONTANT TOTAL LETTRE DE MISION €]]</f>
        <v>0</v>
      </c>
      <c r="AI8" s="191"/>
      <c r="AJ8" s="188"/>
      <c r="AK8" s="188"/>
      <c r="AL8" s="188"/>
      <c r="AM8" s="188"/>
      <c r="AN8" s="188"/>
      <c r="AO8" s="188"/>
      <c r="AP8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Q8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R8" s="188" t="str">
        <f>IF(PORTEFEUILLE_GUILLAUME[[#This Row],[BONI AAC]]&lt;&gt;0,1,"")</f>
        <v/>
      </c>
      <c r="AS8" s="188" t="str">
        <f>IF(PORTEFEUILLE_GUILLAUME[[#This Row],[MALI AAC]]&lt;&gt;0,1,"")</f>
        <v/>
      </c>
      <c r="AT8" s="225">
        <f>IF(AN8&lt;&gt;"",IF((AN8*Paramètres!$H$4)-PORTEFEUILLE_GUILLAUME[[#This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€]]-(DELPHINE!AN8*Paramètres!$H$4),0),0)</f>
        <v>0</v>
      </c>
      <c r="AU8" s="225">
        <f>IF(AN8&lt;&gt;"",IF(((AN8*Paramètres!$H$4)-PORTEFEUILLE_GUILLAUME[[#This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€]])&gt;0,(AN8*Paramètres!$H$4)-PORTEFEUILLE_GUILLAUME[[#This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V8" s="190" t="str">
        <f>IF(PORTEFEUILLE_GUILLAUME[[#This Row],[BONI COMPTABLE]]&lt;&gt;0,1,"")</f>
        <v/>
      </c>
      <c r="AW8" s="190" t="str">
        <f>IF(PORTEFEUILLE_GUILLAUME[[#This Row],[MALI COMPTABLE]]&lt;&gt;0,1,"")</f>
        <v/>
      </c>
      <c r="AX8" s="188"/>
      <c r="AY8" s="188"/>
      <c r="AZ8" s="188"/>
      <c r="BA8" s="188"/>
      <c r="BB8" s="188"/>
      <c r="BC8" s="188"/>
      <c r="BD8" s="188"/>
      <c r="BE8" s="192"/>
      <c r="BF8" s="194"/>
      <c r="BG8" s="194"/>
      <c r="BH8" s="195"/>
      <c r="BI8" s="194"/>
    </row>
    <row r="9" spans="1:76" x14ac:dyDescent="0.25">
      <c r="A9" s="172"/>
      <c r="B9" s="170"/>
      <c r="C9" s="165"/>
      <c r="D9" s="171"/>
      <c r="E9" s="189"/>
      <c r="F9" s="188"/>
      <c r="G9" s="188"/>
      <c r="H9" s="189"/>
      <c r="I9" s="189"/>
      <c r="J9" s="189"/>
      <c r="K9" s="190" t="str">
        <f t="shared" si="0"/>
        <v/>
      </c>
      <c r="L9" s="190" t="str">
        <f t="shared" si="1"/>
        <v/>
      </c>
      <c r="M9" s="188"/>
      <c r="N9" s="188"/>
      <c r="O9" s="188"/>
      <c r="P9" s="188"/>
      <c r="Q9" s="188"/>
      <c r="R9" s="188"/>
      <c r="S9" s="214"/>
      <c r="T9" s="208"/>
      <c r="U9" s="220"/>
      <c r="V9" s="220"/>
      <c r="W9" s="220"/>
      <c r="X9" s="220"/>
      <c r="Y9" s="220"/>
      <c r="Z9" s="220"/>
      <c r="AA9" s="220"/>
      <c r="AB9" s="220"/>
      <c r="AC9" s="220"/>
      <c r="AD9" s="220"/>
      <c r="AE9" s="220"/>
      <c r="AF9" s="220"/>
      <c r="AG9" s="219"/>
      <c r="AH9" s="225">
        <f>SUM(PORTEFEUILLE_GUILLAUME[[#This Row],[PCR COMPTABLE €]:[MONTANT
RESPONSABLE RELATION CLIENT €]])-PORTEFEUILLE_GUILLAUME[[#This Row],[MONTANT TOTAL LETTRE DE MISION €]]</f>
        <v>0</v>
      </c>
      <c r="AI9" s="191"/>
      <c r="AJ9" s="188"/>
      <c r="AK9" s="188"/>
      <c r="AL9" s="196"/>
      <c r="AM9" s="196"/>
      <c r="AN9" s="196"/>
      <c r="AO9" s="196"/>
      <c r="AP9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Q9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R9" s="188" t="str">
        <f>IF(PORTEFEUILLE_GUILLAUME[[#This Row],[BONI AAC]]&lt;&gt;0,1,"")</f>
        <v/>
      </c>
      <c r="AS9" s="188" t="str">
        <f>IF(PORTEFEUILLE_GUILLAUME[[#This Row],[MALI AAC]]&lt;&gt;0,1,"")</f>
        <v/>
      </c>
      <c r="AT9" s="225">
        <f>IF(AN9&lt;&gt;"",IF((AN9*Paramètres!$H$4)-PORTEFEUILLE_GUILLAUME[[#This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€]]-(DELPHINE!AN9*Paramètres!$H$4),0),0)</f>
        <v>0</v>
      </c>
      <c r="AU9" s="225">
        <f>IF(AN9&lt;&gt;"",IF(((AN9*Paramètres!$H$4)-PORTEFEUILLE_GUILLAUME[[#This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€]])&gt;0,(AN9*Paramètres!$H$4)-PORTEFEUILLE_GUILLAUME[[#This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V9" s="190" t="str">
        <f>IF(PORTEFEUILLE_GUILLAUME[[#This Row],[BONI COMPTABLE]]&lt;&gt;0,1,"")</f>
        <v/>
      </c>
      <c r="AW9" s="190" t="str">
        <f>IF(PORTEFEUILLE_GUILLAUME[[#This Row],[MALI COMPTABLE]]&lt;&gt;0,1,"")</f>
        <v/>
      </c>
      <c r="AX9" s="196"/>
      <c r="AY9" s="188"/>
      <c r="AZ9" s="188"/>
      <c r="BA9" s="188"/>
      <c r="BB9" s="188"/>
      <c r="BC9" s="188"/>
      <c r="BD9" s="188"/>
      <c r="BE9" s="192"/>
      <c r="BF9" s="194"/>
      <c r="BG9" s="194"/>
      <c r="BH9" s="195"/>
      <c r="BI9" s="194"/>
    </row>
    <row r="10" spans="1:76" x14ac:dyDescent="0.25">
      <c r="A10" s="172"/>
      <c r="B10" s="170"/>
      <c r="C10" s="165"/>
      <c r="D10" s="171"/>
      <c r="E10" s="189"/>
      <c r="F10" s="188"/>
      <c r="G10" s="189"/>
      <c r="H10" s="189"/>
      <c r="I10" s="189"/>
      <c r="J10" s="189"/>
      <c r="K10" s="190" t="str">
        <f t="shared" si="0"/>
        <v/>
      </c>
      <c r="L10" s="190" t="str">
        <f t="shared" si="1"/>
        <v/>
      </c>
      <c r="M10" s="188"/>
      <c r="N10" s="188"/>
      <c r="O10" s="188"/>
      <c r="P10" s="188"/>
      <c r="Q10" s="188"/>
      <c r="R10" s="188"/>
      <c r="S10" s="213"/>
      <c r="T10" s="207"/>
      <c r="U10" s="219"/>
      <c r="V10" s="219"/>
      <c r="W10" s="219"/>
      <c r="X10" s="219"/>
      <c r="Y10" s="219"/>
      <c r="Z10" s="219"/>
      <c r="AA10" s="219"/>
      <c r="AB10" s="219"/>
      <c r="AC10" s="219"/>
      <c r="AD10" s="219"/>
      <c r="AE10" s="219"/>
      <c r="AF10" s="219"/>
      <c r="AG10" s="219"/>
      <c r="AH10" s="225">
        <f>SUM(PORTEFEUILLE_GUILLAUME[[#This Row],[PCR COMPTABLE €]:[MONTANT
RESPONSABLE RELATION CLIENT €]])-PORTEFEUILLE_GUILLAUME[[#This Row],[MONTANT TOTAL LETTRE DE MISION €]]</f>
        <v>0</v>
      </c>
      <c r="AI10" s="191"/>
      <c r="AJ10" s="188"/>
      <c r="AK10" s="188"/>
      <c r="AL10" s="188"/>
      <c r="AM10" s="188"/>
      <c r="AN10" s="188"/>
      <c r="AO10" s="188"/>
      <c r="AP10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Q10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R10" s="188" t="str">
        <f>IF(PORTEFEUILLE_GUILLAUME[[#This Row],[BONI AAC]]&lt;&gt;0,1,"")</f>
        <v/>
      </c>
      <c r="AS10" s="188" t="str">
        <f>IF(PORTEFEUILLE_GUILLAUME[[#This Row],[MALI AAC]]&lt;&gt;0,1,"")</f>
        <v/>
      </c>
      <c r="AT10" s="225">
        <f>IF(AN10&lt;&gt;"",IF((AN10*Paramètres!$H$4)-PORTEFEUILLE_GUILLAUME[[#This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€]]-(DELPHINE!AN10*Paramètres!$H$4),0),0)</f>
        <v>0</v>
      </c>
      <c r="AU10" s="225">
        <f>IF(AN10&lt;&gt;"",IF(((AN10*Paramètres!$H$4)-PORTEFEUILLE_GUILLAUME[[#This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€]])&gt;0,(AN10*Paramètres!$H$4)-PORTEFEUILLE_GUILLAUME[[#This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V10" s="190" t="str">
        <f>IF(PORTEFEUILLE_GUILLAUME[[#This Row],[BONI COMPTABLE]]&lt;&gt;0,1,"")</f>
        <v/>
      </c>
      <c r="AW10" s="190" t="str">
        <f>IF(PORTEFEUILLE_GUILLAUME[[#This Row],[MALI COMPTABLE]]&lt;&gt;0,1,"")</f>
        <v/>
      </c>
      <c r="AX10" s="188"/>
      <c r="AY10" s="188"/>
      <c r="AZ10" s="188"/>
      <c r="BA10" s="188"/>
      <c r="BB10" s="188"/>
      <c r="BC10" s="188"/>
      <c r="BD10" s="188"/>
      <c r="BE10" s="192"/>
      <c r="BF10" s="194"/>
      <c r="BG10" s="194"/>
      <c r="BH10" s="195"/>
      <c r="BI10" s="194"/>
    </row>
    <row r="11" spans="1:76" x14ac:dyDescent="0.25">
      <c r="A11" s="172"/>
      <c r="B11" s="173"/>
      <c r="C11" s="165"/>
      <c r="D11" s="171"/>
      <c r="E11" s="189"/>
      <c r="F11" s="188"/>
      <c r="G11" s="189"/>
      <c r="H11" s="189"/>
      <c r="I11" s="189"/>
      <c r="J11" s="189"/>
      <c r="K11" s="190" t="str">
        <f t="shared" si="0"/>
        <v/>
      </c>
      <c r="L11" s="190" t="str">
        <f t="shared" si="1"/>
        <v/>
      </c>
      <c r="M11" s="188"/>
      <c r="N11" s="188"/>
      <c r="O11" s="188"/>
      <c r="P11" s="188"/>
      <c r="Q11" s="188"/>
      <c r="R11" s="188"/>
      <c r="S11" s="213"/>
      <c r="T11" s="207"/>
      <c r="U11" s="219"/>
      <c r="V11" s="219"/>
      <c r="W11" s="219"/>
      <c r="X11" s="219"/>
      <c r="Y11" s="219"/>
      <c r="Z11" s="219"/>
      <c r="AA11" s="219"/>
      <c r="AB11" s="219"/>
      <c r="AC11" s="219"/>
      <c r="AD11" s="219"/>
      <c r="AE11" s="219"/>
      <c r="AF11" s="219"/>
      <c r="AG11" s="219"/>
      <c r="AH11" s="225">
        <f>SUM(PORTEFEUILLE_GUILLAUME[[#This Row],[PCR COMPTABLE €]:[MONTANT
RESPONSABLE RELATION CLIENT €]])-PORTEFEUILLE_GUILLAUME[[#This Row],[MONTANT TOTAL LETTRE DE MISION €]]</f>
        <v>0</v>
      </c>
      <c r="AI11" s="191"/>
      <c r="AJ11" s="188"/>
      <c r="AK11" s="188"/>
      <c r="AL11" s="188"/>
      <c r="AM11" s="188"/>
      <c r="AN11" s="188"/>
      <c r="AO11" s="188"/>
      <c r="AP11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Q11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R11" s="188" t="str">
        <f>IF(PORTEFEUILLE_GUILLAUME[[#This Row],[BONI AAC]]&lt;&gt;0,1,"")</f>
        <v/>
      </c>
      <c r="AS11" s="188" t="str">
        <f>IF(PORTEFEUILLE_GUILLAUME[[#This Row],[MALI AAC]]&lt;&gt;0,1,"")</f>
        <v/>
      </c>
      <c r="AT11" s="225">
        <f>IF(AN11&lt;&gt;"",IF((AN11*Paramètres!$H$4)-PORTEFEUILLE_GUILLAUME[[#This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€]]-(DELPHINE!AN11*Paramètres!$H$4),0),0)</f>
        <v>0</v>
      </c>
      <c r="AU11" s="225">
        <f>IF(AN11&lt;&gt;"",IF(((AN11*Paramètres!$H$4)-PORTEFEUILLE_GUILLAUME[[#This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€]])&gt;0,(AN11*Paramètres!$H$4)-PORTEFEUILLE_GUILLAUME[[#This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V11" s="190" t="str">
        <f>IF(PORTEFEUILLE_GUILLAUME[[#This Row],[BONI COMPTABLE]]&lt;&gt;0,1,"")</f>
        <v/>
      </c>
      <c r="AW11" s="190" t="str">
        <f>IF(PORTEFEUILLE_GUILLAUME[[#This Row],[MALI COMPTABLE]]&lt;&gt;0,1,"")</f>
        <v/>
      </c>
      <c r="AX11" s="188"/>
      <c r="AY11" s="188"/>
      <c r="AZ11" s="188"/>
      <c r="BA11" s="188"/>
      <c r="BB11" s="188"/>
      <c r="BC11" s="188"/>
      <c r="BD11" s="188"/>
      <c r="BE11" s="192"/>
      <c r="BF11" s="194"/>
      <c r="BG11" s="194"/>
      <c r="BH11" s="195"/>
      <c r="BI11" s="194"/>
    </row>
    <row r="12" spans="1:76" x14ac:dyDescent="0.25">
      <c r="A12" s="172"/>
      <c r="B12" s="170"/>
      <c r="C12" s="165"/>
      <c r="D12" s="171"/>
      <c r="E12" s="189"/>
      <c r="F12" s="188"/>
      <c r="G12" s="189"/>
      <c r="H12" s="189"/>
      <c r="I12" s="189"/>
      <c r="J12" s="189"/>
      <c r="K12" s="190" t="str">
        <f t="shared" si="0"/>
        <v/>
      </c>
      <c r="L12" s="190" t="str">
        <f t="shared" si="1"/>
        <v/>
      </c>
      <c r="M12" s="188"/>
      <c r="N12" s="188"/>
      <c r="O12" s="188"/>
      <c r="P12" s="188"/>
      <c r="Q12" s="188"/>
      <c r="R12" s="188"/>
      <c r="S12" s="213"/>
      <c r="T12" s="207"/>
      <c r="U12" s="219"/>
      <c r="V12" s="219"/>
      <c r="W12" s="219"/>
      <c r="X12" s="219"/>
      <c r="Y12" s="219"/>
      <c r="Z12" s="219"/>
      <c r="AA12" s="219"/>
      <c r="AB12" s="219"/>
      <c r="AC12" s="219"/>
      <c r="AD12" s="219"/>
      <c r="AE12" s="219"/>
      <c r="AF12" s="219"/>
      <c r="AG12" s="219"/>
      <c r="AH12" s="225">
        <f>SUM(PORTEFEUILLE_GUILLAUME[[#This Row],[PCR COMPTABLE €]:[MONTANT
RESPONSABLE RELATION CLIENT €]])-PORTEFEUILLE_GUILLAUME[[#This Row],[MONTANT TOTAL LETTRE DE MISION €]]</f>
        <v>0</v>
      </c>
      <c r="AI12" s="191"/>
      <c r="AJ12" s="188"/>
      <c r="AK12" s="188"/>
      <c r="AL12" s="188"/>
      <c r="AM12" s="188"/>
      <c r="AN12" s="188"/>
      <c r="AO12" s="188"/>
      <c r="AP12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Q12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R12" s="188" t="str">
        <f>IF(PORTEFEUILLE_GUILLAUME[[#This Row],[BONI AAC]]&lt;&gt;0,1,"")</f>
        <v/>
      </c>
      <c r="AS12" s="188" t="str">
        <f>IF(PORTEFEUILLE_GUILLAUME[[#This Row],[MALI AAC]]&lt;&gt;0,1,"")</f>
        <v/>
      </c>
      <c r="AT12" s="225">
        <f>IF(AN12&lt;&gt;"",IF((AN12*Paramètres!$H$4)-PORTEFEUILLE_GUILLAUME[[#This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€]]-(DELPHINE!AN12*Paramètres!$H$4),0),0)</f>
        <v>0</v>
      </c>
      <c r="AU12" s="225">
        <f>IF(AN12&lt;&gt;"",IF(((AN12*Paramètres!$H$4)-PORTEFEUILLE_GUILLAUME[[#This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€]])&gt;0,(AN12*Paramètres!$H$4)-PORTEFEUILLE_GUILLAUME[[#This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V12" s="190" t="str">
        <f>IF(PORTEFEUILLE_GUILLAUME[[#This Row],[BONI COMPTABLE]]&lt;&gt;0,1,"")</f>
        <v/>
      </c>
      <c r="AW12" s="190" t="str">
        <f>IF(PORTEFEUILLE_GUILLAUME[[#This Row],[MALI COMPTABLE]]&lt;&gt;0,1,"")</f>
        <v/>
      </c>
      <c r="AX12" s="188"/>
      <c r="AY12" s="188"/>
      <c r="AZ12" s="188"/>
      <c r="BA12" s="188"/>
      <c r="BB12" s="188"/>
      <c r="BC12" s="188"/>
      <c r="BD12" s="188"/>
      <c r="BE12" s="192"/>
      <c r="BF12" s="194"/>
      <c r="BG12" s="194"/>
      <c r="BH12" s="195"/>
      <c r="BI12" s="194"/>
    </row>
    <row r="13" spans="1:76" x14ac:dyDescent="0.25">
      <c r="A13" s="172"/>
      <c r="B13" s="170"/>
      <c r="C13" s="165"/>
      <c r="D13" s="171"/>
      <c r="E13" s="189"/>
      <c r="F13" s="188"/>
      <c r="G13" s="189"/>
      <c r="H13" s="189"/>
      <c r="I13" s="189"/>
      <c r="J13" s="189"/>
      <c r="K13" s="190" t="str">
        <f t="shared" si="0"/>
        <v/>
      </c>
      <c r="L13" s="190" t="str">
        <f t="shared" si="1"/>
        <v/>
      </c>
      <c r="M13" s="188"/>
      <c r="N13" s="188"/>
      <c r="O13" s="188"/>
      <c r="P13" s="188"/>
      <c r="Q13" s="188"/>
      <c r="R13" s="188"/>
      <c r="S13" s="213"/>
      <c r="T13" s="207"/>
      <c r="U13" s="219"/>
      <c r="V13" s="219"/>
      <c r="W13" s="219"/>
      <c r="X13" s="219"/>
      <c r="Y13" s="219"/>
      <c r="Z13" s="219"/>
      <c r="AA13" s="219"/>
      <c r="AB13" s="219"/>
      <c r="AC13" s="219"/>
      <c r="AD13" s="219"/>
      <c r="AE13" s="219"/>
      <c r="AF13" s="219"/>
      <c r="AG13" s="219"/>
      <c r="AH13" s="225">
        <f>SUM(PORTEFEUILLE_GUILLAUME[[#This Row],[PCR COMPTABLE €]:[MONTANT
RESPONSABLE RELATION CLIENT €]])-PORTEFEUILLE_GUILLAUME[[#This Row],[MONTANT TOTAL LETTRE DE MISION €]]</f>
        <v>0</v>
      </c>
      <c r="AI13" s="191"/>
      <c r="AJ13" s="188"/>
      <c r="AK13" s="188"/>
      <c r="AL13" s="188"/>
      <c r="AM13" s="188"/>
      <c r="AN13" s="188"/>
      <c r="AO13" s="188"/>
      <c r="AP13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Q13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R13" s="188" t="str">
        <f>IF(PORTEFEUILLE_GUILLAUME[[#This Row],[BONI AAC]]&lt;&gt;0,1,"")</f>
        <v/>
      </c>
      <c r="AS13" s="188" t="str">
        <f>IF(PORTEFEUILLE_GUILLAUME[[#This Row],[MALI AAC]]&lt;&gt;0,1,"")</f>
        <v/>
      </c>
      <c r="AT13" s="225">
        <f>IF(AN13&lt;&gt;"",IF((AN13*Paramètres!$H$4)-PORTEFEUILLE_GUILLAUME[[#This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€]]-(DELPHINE!AN13*Paramètres!$H$4),0),0)</f>
        <v>0</v>
      </c>
      <c r="AU13" s="225">
        <f>IF(AN13&lt;&gt;"",IF(((AN13*Paramètres!$H$4)-PORTEFEUILLE_GUILLAUME[[#This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€]])&gt;0,(AN13*Paramètres!$H$4)-PORTEFEUILLE_GUILLAUME[[#This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V13" s="190" t="str">
        <f>IF(PORTEFEUILLE_GUILLAUME[[#This Row],[BONI COMPTABLE]]&lt;&gt;0,1,"")</f>
        <v/>
      </c>
      <c r="AW13" s="190" t="str">
        <f>IF(PORTEFEUILLE_GUILLAUME[[#This Row],[MALI COMPTABLE]]&lt;&gt;0,1,"")</f>
        <v/>
      </c>
      <c r="AX13" s="188"/>
      <c r="AY13" s="188"/>
      <c r="AZ13" s="188"/>
      <c r="BA13" s="188"/>
      <c r="BB13" s="188"/>
      <c r="BC13" s="188"/>
      <c r="BD13" s="188"/>
      <c r="BE13" s="192"/>
      <c r="BF13" s="194"/>
      <c r="BG13" s="194"/>
      <c r="BH13" s="195"/>
      <c r="BI13" s="194"/>
    </row>
    <row r="14" spans="1:76" x14ac:dyDescent="0.25">
      <c r="A14" s="172"/>
      <c r="B14" s="170"/>
      <c r="C14" s="165"/>
      <c r="D14" s="171"/>
      <c r="E14" s="189"/>
      <c r="F14" s="188"/>
      <c r="G14" s="189"/>
      <c r="H14" s="189"/>
      <c r="I14" s="189"/>
      <c r="J14" s="189"/>
      <c r="K14" s="190" t="str">
        <f t="shared" si="0"/>
        <v/>
      </c>
      <c r="L14" s="190" t="str">
        <f t="shared" si="1"/>
        <v/>
      </c>
      <c r="M14" s="188"/>
      <c r="N14" s="188"/>
      <c r="O14" s="188"/>
      <c r="P14" s="188"/>
      <c r="Q14" s="188"/>
      <c r="R14" s="188"/>
      <c r="S14" s="213"/>
      <c r="T14" s="207"/>
      <c r="U14" s="219"/>
      <c r="V14" s="219"/>
      <c r="W14" s="219"/>
      <c r="X14" s="219"/>
      <c r="Y14" s="219"/>
      <c r="Z14" s="219"/>
      <c r="AA14" s="219"/>
      <c r="AB14" s="219"/>
      <c r="AC14" s="219"/>
      <c r="AD14" s="219"/>
      <c r="AE14" s="219"/>
      <c r="AF14" s="219"/>
      <c r="AG14" s="219"/>
      <c r="AH14" s="225">
        <f>SUM(PORTEFEUILLE_GUILLAUME[[#This Row],[PCR COMPTABLE €]:[MONTANT
RESPONSABLE RELATION CLIENT €]])-PORTEFEUILLE_GUILLAUME[[#This Row],[MONTANT TOTAL LETTRE DE MISION €]]</f>
        <v>0</v>
      </c>
      <c r="AI14" s="191"/>
      <c r="AJ14" s="188"/>
      <c r="AK14" s="188"/>
      <c r="AL14" s="188"/>
      <c r="AM14" s="188"/>
      <c r="AN14" s="188"/>
      <c r="AO14" s="188"/>
      <c r="AP14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Q14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R14" s="188" t="str">
        <f>IF(PORTEFEUILLE_GUILLAUME[[#This Row],[BONI AAC]]&lt;&gt;0,1,"")</f>
        <v/>
      </c>
      <c r="AS14" s="188" t="str">
        <f>IF(PORTEFEUILLE_GUILLAUME[[#This Row],[MALI AAC]]&lt;&gt;0,1,"")</f>
        <v/>
      </c>
      <c r="AT14" s="225">
        <f>IF(AN14&lt;&gt;"",IF((AN14*Paramètres!$H$4)-PORTEFEUILLE_GUILLAUME[[#This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€]]-(DELPHINE!AN14*Paramètres!$H$4),0),0)</f>
        <v>0</v>
      </c>
      <c r="AU14" s="225">
        <f>IF(AN14&lt;&gt;"",IF(((AN14*Paramètres!$H$4)-PORTEFEUILLE_GUILLAUME[[#This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€]])&gt;0,(AN14*Paramètres!$H$4)-PORTEFEUILLE_GUILLAUME[[#This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V14" s="190" t="str">
        <f>IF(PORTEFEUILLE_GUILLAUME[[#This Row],[BONI COMPTABLE]]&lt;&gt;0,1,"")</f>
        <v/>
      </c>
      <c r="AW14" s="190" t="str">
        <f>IF(PORTEFEUILLE_GUILLAUME[[#This Row],[MALI COMPTABLE]]&lt;&gt;0,1,"")</f>
        <v/>
      </c>
      <c r="AX14" s="188"/>
      <c r="AY14" s="188"/>
      <c r="AZ14" s="188"/>
      <c r="BA14" s="188"/>
      <c r="BB14" s="188"/>
      <c r="BC14" s="188"/>
      <c r="BD14" s="188"/>
      <c r="BE14" s="192"/>
      <c r="BF14" s="194"/>
      <c r="BG14" s="194"/>
      <c r="BH14" s="195"/>
      <c r="BI14" s="194"/>
    </row>
    <row r="15" spans="1:76" x14ac:dyDescent="0.25">
      <c r="A15" s="172"/>
      <c r="B15" s="170"/>
      <c r="C15" s="170"/>
      <c r="D15" s="171"/>
      <c r="E15" s="189"/>
      <c r="F15" s="188"/>
      <c r="G15" s="189"/>
      <c r="H15" s="189"/>
      <c r="I15" s="189"/>
      <c r="J15" s="189"/>
      <c r="K15" s="190" t="str">
        <f t="shared" si="0"/>
        <v/>
      </c>
      <c r="L15" s="190" t="str">
        <f t="shared" si="1"/>
        <v/>
      </c>
      <c r="M15" s="188"/>
      <c r="N15" s="188"/>
      <c r="O15" s="188"/>
      <c r="P15" s="188"/>
      <c r="Q15" s="188"/>
      <c r="R15" s="188"/>
      <c r="S15" s="213"/>
      <c r="T15" s="207"/>
      <c r="U15" s="219"/>
      <c r="V15" s="219"/>
      <c r="W15" s="219"/>
      <c r="X15" s="219"/>
      <c r="Y15" s="219"/>
      <c r="Z15" s="219"/>
      <c r="AA15" s="219"/>
      <c r="AB15" s="219"/>
      <c r="AC15" s="219"/>
      <c r="AD15" s="219"/>
      <c r="AE15" s="219"/>
      <c r="AF15" s="219"/>
      <c r="AG15" s="219"/>
      <c r="AH15" s="225">
        <f>SUM(PORTEFEUILLE_GUILLAUME[[#This Row],[PCR COMPTABLE €]:[MONTANT
RESPONSABLE RELATION CLIENT €]])-PORTEFEUILLE_GUILLAUME[[#This Row],[MONTANT TOTAL LETTRE DE MISION €]]</f>
        <v>0</v>
      </c>
      <c r="AI15" s="191"/>
      <c r="AJ15" s="188"/>
      <c r="AK15" s="188"/>
      <c r="AL15" s="188"/>
      <c r="AM15" s="188"/>
      <c r="AN15" s="188"/>
      <c r="AO15" s="188"/>
      <c r="AP15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Q15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R15" s="188" t="str">
        <f>IF(PORTEFEUILLE_GUILLAUME[[#This Row],[BONI AAC]]&lt;&gt;0,1,"")</f>
        <v/>
      </c>
      <c r="AS15" s="188" t="str">
        <f>IF(PORTEFEUILLE_GUILLAUME[[#This Row],[MALI AAC]]&lt;&gt;0,1,"")</f>
        <v/>
      </c>
      <c r="AT15" s="225">
        <f>IF(AN15&lt;&gt;"",IF((AN15*Paramètres!$H$4)-PORTEFEUILLE_GUILLAUME[[#This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€]]-(DELPHINE!AN15*Paramètres!$H$4),0),0)</f>
        <v>0</v>
      </c>
      <c r="AU15" s="225">
        <f>IF(AN15&lt;&gt;"",IF(((AN15*Paramètres!$H$4)-PORTEFEUILLE_GUILLAUME[[#This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€]])&gt;0,(AN15*Paramètres!$H$4)-PORTEFEUILLE_GUILLAUME[[#This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V15" s="190" t="str">
        <f>IF(PORTEFEUILLE_GUILLAUME[[#This Row],[BONI COMPTABLE]]&lt;&gt;0,1,"")</f>
        <v/>
      </c>
      <c r="AW15" s="190" t="str">
        <f>IF(PORTEFEUILLE_GUILLAUME[[#This Row],[MALI COMPTABLE]]&lt;&gt;0,1,"")</f>
        <v/>
      </c>
      <c r="AX15" s="188"/>
      <c r="AY15" s="188"/>
      <c r="AZ15" s="188"/>
      <c r="BA15" s="188"/>
      <c r="BB15" s="188"/>
      <c r="BC15" s="188"/>
      <c r="BD15" s="188"/>
      <c r="BE15" s="192"/>
      <c r="BF15" s="194"/>
      <c r="BG15" s="194"/>
      <c r="BH15" s="195"/>
      <c r="BI15" s="194"/>
    </row>
    <row r="16" spans="1:76" x14ac:dyDescent="0.25">
      <c r="A16" s="172"/>
      <c r="B16" s="170"/>
      <c r="C16" s="174"/>
      <c r="D16" s="171"/>
      <c r="E16" s="189"/>
      <c r="F16" s="188"/>
      <c r="G16" s="189"/>
      <c r="H16" s="189"/>
      <c r="I16" s="189"/>
      <c r="J16" s="189"/>
      <c r="K16" s="190" t="str">
        <f t="shared" si="0"/>
        <v/>
      </c>
      <c r="L16" s="190" t="str">
        <f t="shared" si="1"/>
        <v/>
      </c>
      <c r="M16" s="188"/>
      <c r="N16" s="188"/>
      <c r="O16" s="188"/>
      <c r="P16" s="188"/>
      <c r="Q16" s="188"/>
      <c r="R16" s="188"/>
      <c r="S16" s="213"/>
      <c r="T16" s="207"/>
      <c r="U16" s="219"/>
      <c r="V16" s="219"/>
      <c r="W16" s="219"/>
      <c r="X16" s="219"/>
      <c r="Y16" s="219"/>
      <c r="Z16" s="219"/>
      <c r="AA16" s="219"/>
      <c r="AB16" s="219"/>
      <c r="AC16" s="219"/>
      <c r="AD16" s="219"/>
      <c r="AE16" s="219"/>
      <c r="AF16" s="219"/>
      <c r="AG16" s="219"/>
      <c r="AH16" s="225">
        <f>SUM(PORTEFEUILLE_GUILLAUME[[#This Row],[PCR COMPTABLE €]:[MONTANT
RESPONSABLE RELATION CLIENT €]])-PORTEFEUILLE_GUILLAUME[[#This Row],[MONTANT TOTAL LETTRE DE MISION €]]</f>
        <v>0</v>
      </c>
      <c r="AI16" s="191"/>
      <c r="AJ16" s="188"/>
      <c r="AK16" s="188"/>
      <c r="AL16" s="188"/>
      <c r="AM16" s="188"/>
      <c r="AN16" s="188"/>
      <c r="AO16" s="188"/>
      <c r="AP16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Q16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R16" s="188" t="str">
        <f>IF(PORTEFEUILLE_GUILLAUME[[#This Row],[BONI AAC]]&lt;&gt;0,1,"")</f>
        <v/>
      </c>
      <c r="AS16" s="188" t="str">
        <f>IF(PORTEFEUILLE_GUILLAUME[[#This Row],[MALI AAC]]&lt;&gt;0,1,"")</f>
        <v/>
      </c>
      <c r="AT16" s="225">
        <f>IF(AN16&lt;&gt;"",IF((AN16*Paramètres!$H$4)-PORTEFEUILLE_GUILLAUME[[#This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€]]-(DELPHINE!AN16*Paramètres!$H$4),0),0)</f>
        <v>0</v>
      </c>
      <c r="AU16" s="225">
        <f>IF(AN16&lt;&gt;"",IF(((AN16*Paramètres!$H$4)-PORTEFEUILLE_GUILLAUME[[#This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€]])&gt;0,(AN16*Paramètres!$H$4)-PORTEFEUILLE_GUILLAUME[[#This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V16" s="190" t="str">
        <f>IF(PORTEFEUILLE_GUILLAUME[[#This Row],[BONI COMPTABLE]]&lt;&gt;0,1,"")</f>
        <v/>
      </c>
      <c r="AW16" s="190" t="str">
        <f>IF(PORTEFEUILLE_GUILLAUME[[#This Row],[MALI COMPTABLE]]&lt;&gt;0,1,"")</f>
        <v/>
      </c>
      <c r="AX16" s="188"/>
      <c r="AY16" s="188"/>
      <c r="AZ16" s="188"/>
      <c r="BA16" s="188"/>
      <c r="BB16" s="188"/>
      <c r="BC16" s="188"/>
      <c r="BD16" s="188"/>
      <c r="BE16" s="192"/>
      <c r="BF16" s="194"/>
      <c r="BG16" s="194"/>
      <c r="BH16" s="195"/>
      <c r="BI16" s="194"/>
    </row>
    <row r="17" spans="1:61" x14ac:dyDescent="0.25">
      <c r="A17" s="172"/>
      <c r="B17" s="170"/>
      <c r="C17" s="175"/>
      <c r="D17" s="171"/>
      <c r="E17" s="189"/>
      <c r="F17" s="188"/>
      <c r="G17" s="189"/>
      <c r="H17" s="189"/>
      <c r="I17" s="189"/>
      <c r="J17" s="189"/>
      <c r="K17" s="190" t="str">
        <f t="shared" si="0"/>
        <v/>
      </c>
      <c r="L17" s="190" t="str">
        <f t="shared" si="1"/>
        <v/>
      </c>
      <c r="M17" s="188"/>
      <c r="N17" s="188"/>
      <c r="O17" s="188"/>
      <c r="P17" s="188"/>
      <c r="Q17" s="188"/>
      <c r="R17" s="188"/>
      <c r="S17" s="213"/>
      <c r="T17" s="207"/>
      <c r="U17" s="219"/>
      <c r="V17" s="219"/>
      <c r="W17" s="219"/>
      <c r="X17" s="219"/>
      <c r="Y17" s="219"/>
      <c r="Z17" s="219"/>
      <c r="AA17" s="219"/>
      <c r="AB17" s="219"/>
      <c r="AC17" s="219"/>
      <c r="AD17" s="219"/>
      <c r="AE17" s="219"/>
      <c r="AF17" s="219"/>
      <c r="AG17" s="219"/>
      <c r="AH17" s="225">
        <f>SUM(PORTEFEUILLE_GUILLAUME[[#This Row],[PCR COMPTABLE €]:[MONTANT
RESPONSABLE RELATION CLIENT €]])-PORTEFEUILLE_GUILLAUME[[#This Row],[MONTANT TOTAL LETTRE DE MISION €]]</f>
        <v>0</v>
      </c>
      <c r="AI17" s="191"/>
      <c r="AJ17" s="188"/>
      <c r="AK17" s="188"/>
      <c r="AL17" s="188"/>
      <c r="AM17" s="188"/>
      <c r="AN17" s="188"/>
      <c r="AO17" s="188"/>
      <c r="AP17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Q17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R17" s="188" t="str">
        <f>IF(PORTEFEUILLE_GUILLAUME[[#This Row],[BONI AAC]]&lt;&gt;0,1,"")</f>
        <v/>
      </c>
      <c r="AS17" s="188" t="str">
        <f>IF(PORTEFEUILLE_GUILLAUME[[#This Row],[MALI AAC]]&lt;&gt;0,1,"")</f>
        <v/>
      </c>
      <c r="AT17" s="225">
        <f>IF(AN17&lt;&gt;"",IF((AN17*Paramètres!$H$4)-PORTEFEUILLE_GUILLAUME[[#This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€]]-(DELPHINE!AN17*Paramètres!$H$4),0),0)</f>
        <v>0</v>
      </c>
      <c r="AU17" s="225">
        <f>IF(AN17&lt;&gt;"",IF(((AN17*Paramètres!$H$4)-PORTEFEUILLE_GUILLAUME[[#This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€]])&gt;0,(AN17*Paramètres!$H$4)-PORTEFEUILLE_GUILLAUME[[#This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V17" s="190" t="str">
        <f>IF(PORTEFEUILLE_GUILLAUME[[#This Row],[BONI COMPTABLE]]&lt;&gt;0,1,"")</f>
        <v/>
      </c>
      <c r="AW17" s="190" t="str">
        <f>IF(PORTEFEUILLE_GUILLAUME[[#This Row],[MALI COMPTABLE]]&lt;&gt;0,1,"")</f>
        <v/>
      </c>
      <c r="AX17" s="188"/>
      <c r="AY17" s="188"/>
      <c r="AZ17" s="188"/>
      <c r="BA17" s="188"/>
      <c r="BB17" s="188"/>
      <c r="BC17" s="188"/>
      <c r="BD17" s="188"/>
      <c r="BE17" s="192"/>
      <c r="BF17" s="194"/>
      <c r="BG17" s="194"/>
      <c r="BH17" s="195"/>
      <c r="BI17" s="194"/>
    </row>
    <row r="18" spans="1:61" s="241" customFormat="1" x14ac:dyDescent="0.25">
      <c r="A18" s="172"/>
      <c r="B18" s="170"/>
      <c r="C18" s="165"/>
      <c r="D18" s="171"/>
      <c r="E18" s="189"/>
      <c r="F18" s="188"/>
      <c r="G18" s="189"/>
      <c r="H18" s="189"/>
      <c r="I18" s="189"/>
      <c r="J18" s="189"/>
      <c r="K18" s="190" t="str">
        <f t="shared" si="0"/>
        <v/>
      </c>
      <c r="L18" s="190" t="str">
        <f t="shared" si="1"/>
        <v/>
      </c>
      <c r="M18" s="188"/>
      <c r="N18" s="188"/>
      <c r="O18" s="188"/>
      <c r="P18" s="188"/>
      <c r="Q18" s="188"/>
      <c r="R18" s="188"/>
      <c r="S18" s="213"/>
      <c r="T18" s="207"/>
      <c r="U18" s="219"/>
      <c r="V18" s="219"/>
      <c r="W18" s="219"/>
      <c r="X18" s="219"/>
      <c r="Y18" s="219"/>
      <c r="Z18" s="219"/>
      <c r="AA18" s="219"/>
      <c r="AB18" s="219"/>
      <c r="AC18" s="219"/>
      <c r="AD18" s="219"/>
      <c r="AE18" s="219"/>
      <c r="AF18" s="219"/>
      <c r="AG18" s="219"/>
      <c r="AH18" s="225">
        <f>SUM(PORTEFEUILLE_GUILLAUME[[#This Row],[PCR COMPTABLE €]:[MONTANT
RESPONSABLE RELATION CLIENT €]])-PORTEFEUILLE_GUILLAUME[[#This Row],[MONTANT TOTAL LETTRE DE MISION €]]</f>
        <v>0</v>
      </c>
      <c r="AI18" s="191"/>
      <c r="AJ18" s="188"/>
      <c r="AK18" s="188"/>
      <c r="AL18" s="188"/>
      <c r="AM18" s="188"/>
      <c r="AN18" s="188"/>
      <c r="AO18" s="188"/>
      <c r="AP18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Q18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R18" s="188" t="str">
        <f>IF(PORTEFEUILLE_GUILLAUME[[#This Row],[BONI AAC]]&lt;&gt;0,1,"")</f>
        <v/>
      </c>
      <c r="AS18" s="188" t="str">
        <f>IF(PORTEFEUILLE_GUILLAUME[[#This Row],[MALI AAC]]&lt;&gt;0,1,"")</f>
        <v/>
      </c>
      <c r="AT18" s="225">
        <f>IF(AN18&lt;&gt;"",IF((AN18*Paramètres!$H$4)-PORTEFEUILLE_GUILLAUME[[#This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€]]-(DELPHINE!AN18*Paramètres!$H$4),0),0)</f>
        <v>0</v>
      </c>
      <c r="AU18" s="225">
        <f>IF(AN18&lt;&gt;"",IF(((AN18*Paramètres!$H$4)-PORTEFEUILLE_GUILLAUME[[#This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€]])&gt;0,(AN18*Paramètres!$H$4)-PORTEFEUILLE_GUILLAUME[[#This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V18" s="190" t="str">
        <f>IF(PORTEFEUILLE_GUILLAUME[[#This Row],[BONI COMPTABLE]]&lt;&gt;0,1,"")</f>
        <v/>
      </c>
      <c r="AW18" s="190" t="str">
        <f>IF(PORTEFEUILLE_GUILLAUME[[#This Row],[MALI COMPTABLE]]&lt;&gt;0,1,"")</f>
        <v/>
      </c>
      <c r="AX18" s="188"/>
      <c r="AY18" s="188"/>
      <c r="AZ18" s="188"/>
      <c r="BA18" s="188"/>
      <c r="BB18" s="188"/>
      <c r="BC18" s="188"/>
      <c r="BD18" s="188"/>
      <c r="BE18" s="192"/>
      <c r="BF18" s="194"/>
      <c r="BG18" s="194"/>
      <c r="BH18" s="195"/>
      <c r="BI18" s="194"/>
    </row>
    <row r="19" spans="1:61" x14ac:dyDescent="0.25">
      <c r="A19" s="172"/>
      <c r="B19" s="170"/>
      <c r="C19" s="165"/>
      <c r="D19" s="171"/>
      <c r="E19" s="189"/>
      <c r="F19" s="188"/>
      <c r="G19" s="189"/>
      <c r="H19" s="189"/>
      <c r="I19" s="189"/>
      <c r="J19" s="189"/>
      <c r="K19" s="190" t="str">
        <f t="shared" si="0"/>
        <v/>
      </c>
      <c r="L19" s="190" t="str">
        <f t="shared" si="1"/>
        <v/>
      </c>
      <c r="M19" s="188"/>
      <c r="N19" s="188"/>
      <c r="O19" s="188"/>
      <c r="P19" s="188"/>
      <c r="Q19" s="188"/>
      <c r="R19" s="188"/>
      <c r="S19" s="213"/>
      <c r="T19" s="207"/>
      <c r="U19" s="219"/>
      <c r="V19" s="219"/>
      <c r="W19" s="219"/>
      <c r="X19" s="219"/>
      <c r="Y19" s="219"/>
      <c r="Z19" s="219"/>
      <c r="AA19" s="219"/>
      <c r="AB19" s="219"/>
      <c r="AC19" s="219"/>
      <c r="AD19" s="219"/>
      <c r="AE19" s="219"/>
      <c r="AF19" s="219"/>
      <c r="AG19" s="219"/>
      <c r="AH19" s="225">
        <f>SUM(PORTEFEUILLE_GUILLAUME[[#This Row],[PCR COMPTABLE €]:[MONTANT
RESPONSABLE RELATION CLIENT €]])-PORTEFEUILLE_GUILLAUME[[#This Row],[MONTANT TOTAL LETTRE DE MISION €]]</f>
        <v>0</v>
      </c>
      <c r="AI19" s="191"/>
      <c r="AJ19" s="188"/>
      <c r="AK19" s="188"/>
      <c r="AL19" s="188"/>
      <c r="AM19" s="188"/>
      <c r="AN19" s="188"/>
      <c r="AO19" s="188"/>
      <c r="AP19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Q19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R19" s="188" t="str">
        <f>IF(PORTEFEUILLE_GUILLAUME[[#This Row],[BONI AAC]]&lt;&gt;0,1,"")</f>
        <v/>
      </c>
      <c r="AS19" s="188" t="str">
        <f>IF(PORTEFEUILLE_GUILLAUME[[#This Row],[MALI AAC]]&lt;&gt;0,1,"")</f>
        <v/>
      </c>
      <c r="AT19" s="225">
        <f>IF(AN19&lt;&gt;"",IF((AN19*Paramètres!$H$4)-PORTEFEUILLE_GUILLAUME[[#This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€]]-(DELPHINE!AN19*Paramètres!$H$4),0),0)</f>
        <v>0</v>
      </c>
      <c r="AU19" s="225">
        <f>IF(AN19&lt;&gt;"",IF(((AN19*Paramètres!$H$4)-PORTEFEUILLE_GUILLAUME[[#This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€]])&gt;0,(AN19*Paramètres!$H$4)-PORTEFEUILLE_GUILLAUME[[#This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V19" s="190" t="str">
        <f>IF(PORTEFEUILLE_GUILLAUME[[#This Row],[BONI COMPTABLE]]&lt;&gt;0,1,"")</f>
        <v/>
      </c>
      <c r="AW19" s="190" t="str">
        <f>IF(PORTEFEUILLE_GUILLAUME[[#This Row],[MALI COMPTABLE]]&lt;&gt;0,1,"")</f>
        <v/>
      </c>
      <c r="AX19" s="188"/>
      <c r="AY19" s="188"/>
      <c r="AZ19" s="188"/>
      <c r="BA19" s="188"/>
      <c r="BB19" s="188"/>
      <c r="BC19" s="188"/>
      <c r="BD19" s="188"/>
      <c r="BE19" s="192"/>
      <c r="BF19" s="194"/>
      <c r="BG19" s="194"/>
      <c r="BH19" s="195"/>
      <c r="BI19" s="194"/>
    </row>
    <row r="20" spans="1:61" x14ac:dyDescent="0.25">
      <c r="A20" s="172"/>
      <c r="B20" s="170"/>
      <c r="C20" s="165"/>
      <c r="D20" s="171"/>
      <c r="E20" s="189"/>
      <c r="F20" s="188"/>
      <c r="G20" s="188"/>
      <c r="H20" s="189"/>
      <c r="I20" s="189"/>
      <c r="J20" s="189"/>
      <c r="K20" s="190" t="str">
        <f t="shared" si="0"/>
        <v/>
      </c>
      <c r="L20" s="190" t="str">
        <f t="shared" si="1"/>
        <v/>
      </c>
      <c r="M20" s="188"/>
      <c r="N20" s="188"/>
      <c r="O20" s="188"/>
      <c r="P20" s="188"/>
      <c r="Q20" s="188"/>
      <c r="R20" s="188"/>
      <c r="S20" s="214"/>
      <c r="T20" s="208"/>
      <c r="U20" s="220"/>
      <c r="V20" s="220"/>
      <c r="W20" s="220"/>
      <c r="X20" s="220"/>
      <c r="Y20" s="220"/>
      <c r="Z20" s="220"/>
      <c r="AA20" s="220"/>
      <c r="AB20" s="220"/>
      <c r="AC20" s="220"/>
      <c r="AD20" s="220"/>
      <c r="AE20" s="220"/>
      <c r="AF20" s="220"/>
      <c r="AG20" s="219"/>
      <c r="AH20" s="225">
        <f>SUM(PORTEFEUILLE_GUILLAUME[[#This Row],[PCR COMPTABLE €]:[MONTANT
RESPONSABLE RELATION CLIENT €]])-PORTEFEUILLE_GUILLAUME[[#This Row],[MONTANT TOTAL LETTRE DE MISION €]]</f>
        <v>0</v>
      </c>
      <c r="AI20" s="191"/>
      <c r="AJ20" s="188"/>
      <c r="AK20" s="188"/>
      <c r="AL20" s="196"/>
      <c r="AM20" s="196"/>
      <c r="AN20" s="196"/>
      <c r="AO20" s="196"/>
      <c r="AP20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Q20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R20" s="188" t="str">
        <f>IF(PORTEFEUILLE_GUILLAUME[[#This Row],[BONI AAC]]&lt;&gt;0,1,"")</f>
        <v/>
      </c>
      <c r="AS20" s="188" t="str">
        <f>IF(PORTEFEUILLE_GUILLAUME[[#This Row],[MALI AAC]]&lt;&gt;0,1,"")</f>
        <v/>
      </c>
      <c r="AT20" s="225">
        <f>IF(AN20&lt;&gt;"",IF((AN20*Paramètres!$H$4)-PORTEFEUILLE_GUILLAUME[[#This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€]]-(DELPHINE!AN20*Paramètres!$H$4),0),0)</f>
        <v>0</v>
      </c>
      <c r="AU20" s="225">
        <f>IF(AN20&lt;&gt;"",IF(((AN20*Paramètres!$H$4)-PORTEFEUILLE_GUILLAUME[[#This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€]])&gt;0,(AN20*Paramètres!$H$4)-PORTEFEUILLE_GUILLAUME[[#This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V20" s="190" t="str">
        <f>IF(PORTEFEUILLE_GUILLAUME[[#This Row],[BONI COMPTABLE]]&lt;&gt;0,1,"")</f>
        <v/>
      </c>
      <c r="AW20" s="190" t="str">
        <f>IF(PORTEFEUILLE_GUILLAUME[[#This Row],[MALI COMPTABLE]]&lt;&gt;0,1,"")</f>
        <v/>
      </c>
      <c r="AX20" s="196"/>
      <c r="AY20" s="188"/>
      <c r="AZ20" s="188"/>
      <c r="BA20" s="188"/>
      <c r="BB20" s="196"/>
      <c r="BC20" s="196"/>
      <c r="BD20" s="196"/>
      <c r="BE20" s="192"/>
      <c r="BF20" s="194"/>
      <c r="BG20" s="194"/>
      <c r="BH20" s="195"/>
      <c r="BI20" s="194"/>
    </row>
    <row r="21" spans="1:61" x14ac:dyDescent="0.25">
      <c r="A21" s="172"/>
      <c r="B21" s="170"/>
      <c r="C21" s="165"/>
      <c r="D21" s="171"/>
      <c r="E21" s="189"/>
      <c r="F21" s="188"/>
      <c r="G21" s="189"/>
      <c r="H21" s="189"/>
      <c r="I21" s="189"/>
      <c r="J21" s="189"/>
      <c r="K21" s="190" t="str">
        <f t="shared" si="0"/>
        <v/>
      </c>
      <c r="L21" s="190" t="str">
        <f t="shared" si="1"/>
        <v/>
      </c>
      <c r="M21" s="188"/>
      <c r="N21" s="188"/>
      <c r="O21" s="188"/>
      <c r="P21" s="188"/>
      <c r="Q21" s="188"/>
      <c r="R21" s="188"/>
      <c r="S21" s="213"/>
      <c r="T21" s="207"/>
      <c r="U21" s="219"/>
      <c r="V21" s="219"/>
      <c r="W21" s="219"/>
      <c r="X21" s="219"/>
      <c r="Y21" s="219"/>
      <c r="Z21" s="219"/>
      <c r="AA21" s="219"/>
      <c r="AB21" s="219"/>
      <c r="AC21" s="219"/>
      <c r="AD21" s="219"/>
      <c r="AE21" s="219"/>
      <c r="AF21" s="219"/>
      <c r="AG21" s="219"/>
      <c r="AH21" s="225">
        <f>SUM(PORTEFEUILLE_GUILLAUME[[#This Row],[PCR COMPTABLE €]:[MONTANT
RESPONSABLE RELATION CLIENT €]])-PORTEFEUILLE_GUILLAUME[[#This Row],[MONTANT TOTAL LETTRE DE MISION €]]</f>
        <v>0</v>
      </c>
      <c r="AI21" s="191"/>
      <c r="AJ21" s="188"/>
      <c r="AK21" s="188"/>
      <c r="AL21" s="188"/>
      <c r="AM21" s="188"/>
      <c r="AN21" s="188"/>
      <c r="AO21" s="188"/>
      <c r="AP21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Q21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R21" s="188" t="str">
        <f>IF(PORTEFEUILLE_GUILLAUME[[#This Row],[BONI AAC]]&lt;&gt;0,1,"")</f>
        <v/>
      </c>
      <c r="AS21" s="188" t="str">
        <f>IF(PORTEFEUILLE_GUILLAUME[[#This Row],[MALI AAC]]&lt;&gt;0,1,"")</f>
        <v/>
      </c>
      <c r="AT21" s="225">
        <f>IF(AN21&lt;&gt;"",IF((AN21*Paramètres!$H$4)-PORTEFEUILLE_GUILLAUME[[#This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€]]-(DELPHINE!AN21*Paramètres!$H$4),0),0)</f>
        <v>0</v>
      </c>
      <c r="AU21" s="225">
        <f>IF(AN21&lt;&gt;"",IF(((AN21*Paramètres!$H$4)-PORTEFEUILLE_GUILLAUME[[#This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€]])&gt;0,(AN21*Paramètres!$H$4)-PORTEFEUILLE_GUILLAUME[[#This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V21" s="190" t="str">
        <f>IF(PORTEFEUILLE_GUILLAUME[[#This Row],[BONI COMPTABLE]]&lt;&gt;0,1,"")</f>
        <v/>
      </c>
      <c r="AW21" s="190" t="str">
        <f>IF(PORTEFEUILLE_GUILLAUME[[#This Row],[MALI COMPTABLE]]&lt;&gt;0,1,"")</f>
        <v/>
      </c>
      <c r="AX21" s="188"/>
      <c r="AY21" s="188"/>
      <c r="AZ21" s="188"/>
      <c r="BA21" s="188"/>
      <c r="BB21" s="196"/>
      <c r="BC21" s="196"/>
      <c r="BD21" s="196"/>
      <c r="BE21" s="192"/>
      <c r="BF21" s="194"/>
      <c r="BG21" s="194"/>
      <c r="BH21" s="195"/>
      <c r="BI21" s="194"/>
    </row>
    <row r="22" spans="1:61" x14ac:dyDescent="0.25">
      <c r="A22" s="172"/>
      <c r="B22" s="170"/>
      <c r="C22" s="165"/>
      <c r="D22" s="171"/>
      <c r="E22" s="189"/>
      <c r="F22" s="188"/>
      <c r="G22" s="189"/>
      <c r="H22" s="189"/>
      <c r="I22" s="189"/>
      <c r="J22" s="189"/>
      <c r="K22" s="190" t="str">
        <f t="shared" si="0"/>
        <v/>
      </c>
      <c r="L22" s="190" t="str">
        <f t="shared" si="1"/>
        <v/>
      </c>
      <c r="M22" s="188"/>
      <c r="N22" s="188"/>
      <c r="O22" s="188"/>
      <c r="P22" s="188"/>
      <c r="Q22" s="188"/>
      <c r="R22" s="188"/>
      <c r="S22" s="215"/>
      <c r="T22" s="209"/>
      <c r="U22" s="221"/>
      <c r="V22" s="221"/>
      <c r="W22" s="221"/>
      <c r="X22" s="221"/>
      <c r="Y22" s="221"/>
      <c r="Z22" s="221"/>
      <c r="AA22" s="221"/>
      <c r="AB22" s="221"/>
      <c r="AC22" s="221"/>
      <c r="AD22" s="221"/>
      <c r="AE22" s="221"/>
      <c r="AF22" s="221"/>
      <c r="AG22" s="219"/>
      <c r="AH22" s="225">
        <f>SUM(PORTEFEUILLE_GUILLAUME[[#This Row],[PCR COMPTABLE €]:[MONTANT
RESPONSABLE RELATION CLIENT €]])-PORTEFEUILLE_GUILLAUME[[#This Row],[MONTANT TOTAL LETTRE DE MISION €]]</f>
        <v>0</v>
      </c>
      <c r="AI22" s="191"/>
      <c r="AJ22" s="188"/>
      <c r="AK22" s="188"/>
      <c r="AL22" s="197"/>
      <c r="AM22" s="197"/>
      <c r="AN22" s="197"/>
      <c r="AO22" s="197"/>
      <c r="AP22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Q22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R22" s="188" t="str">
        <f>IF(PORTEFEUILLE_GUILLAUME[[#This Row],[BONI AAC]]&lt;&gt;0,1,"")</f>
        <v/>
      </c>
      <c r="AS22" s="188" t="str">
        <f>IF(PORTEFEUILLE_GUILLAUME[[#This Row],[MALI AAC]]&lt;&gt;0,1,"")</f>
        <v/>
      </c>
      <c r="AT22" s="225">
        <f>IF(AN22&lt;&gt;"",IF((AN22*Paramètres!$H$4)-PORTEFEUILLE_GUILLAUME[[#This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€]]-(DELPHINE!AN22*Paramètres!$H$4),0),0)</f>
        <v>0</v>
      </c>
      <c r="AU22" s="225">
        <f>IF(AN22&lt;&gt;"",IF(((AN22*Paramètres!$H$4)-PORTEFEUILLE_GUILLAUME[[#This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€]])&gt;0,(AN22*Paramètres!$H$4)-PORTEFEUILLE_GUILLAUME[[#This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V22" s="190" t="str">
        <f>IF(PORTEFEUILLE_GUILLAUME[[#This Row],[BONI COMPTABLE]]&lt;&gt;0,1,"")</f>
        <v/>
      </c>
      <c r="AW22" s="190" t="str">
        <f>IF(PORTEFEUILLE_GUILLAUME[[#This Row],[MALI COMPTABLE]]&lt;&gt;0,1,"")</f>
        <v/>
      </c>
      <c r="AX22" s="188"/>
      <c r="AY22" s="188"/>
      <c r="AZ22" s="188"/>
      <c r="BA22" s="188"/>
      <c r="BB22" s="196"/>
      <c r="BC22" s="196"/>
      <c r="BD22" s="196"/>
      <c r="BE22" s="192"/>
      <c r="BF22" s="194"/>
      <c r="BG22" s="194"/>
      <c r="BH22" s="195"/>
      <c r="BI22" s="194"/>
    </row>
    <row r="23" spans="1:61" x14ac:dyDescent="0.25">
      <c r="A23" s="172"/>
      <c r="B23" s="170"/>
      <c r="C23" s="165"/>
      <c r="D23" s="171"/>
      <c r="E23" s="189"/>
      <c r="F23" s="188"/>
      <c r="G23" s="189"/>
      <c r="H23" s="189"/>
      <c r="I23" s="189"/>
      <c r="J23" s="189"/>
      <c r="K23" s="190" t="str">
        <f t="shared" si="0"/>
        <v/>
      </c>
      <c r="L23" s="190" t="str">
        <f t="shared" si="1"/>
        <v/>
      </c>
      <c r="M23" s="188"/>
      <c r="N23" s="188"/>
      <c r="O23" s="188"/>
      <c r="P23" s="188"/>
      <c r="Q23" s="188"/>
      <c r="R23" s="188"/>
      <c r="S23" s="213"/>
      <c r="T23" s="207"/>
      <c r="U23" s="219"/>
      <c r="V23" s="219"/>
      <c r="W23" s="219"/>
      <c r="X23" s="219"/>
      <c r="Y23" s="219"/>
      <c r="Z23" s="219"/>
      <c r="AA23" s="219"/>
      <c r="AB23" s="219"/>
      <c r="AC23" s="219"/>
      <c r="AD23" s="219"/>
      <c r="AE23" s="219"/>
      <c r="AF23" s="219"/>
      <c r="AG23" s="219"/>
      <c r="AH23" s="225">
        <f>SUM(PORTEFEUILLE_GUILLAUME[[#This Row],[PCR COMPTABLE €]:[MONTANT
RESPONSABLE RELATION CLIENT €]])-PORTEFEUILLE_GUILLAUME[[#This Row],[MONTANT TOTAL LETTRE DE MISION €]]</f>
        <v>0</v>
      </c>
      <c r="AI23" s="191"/>
      <c r="AJ23" s="188"/>
      <c r="AK23" s="188"/>
      <c r="AL23" s="188"/>
      <c r="AM23" s="188"/>
      <c r="AN23" s="188"/>
      <c r="AO23" s="188"/>
      <c r="AP23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Q23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R23" s="188" t="str">
        <f>IF(PORTEFEUILLE_GUILLAUME[[#This Row],[BONI AAC]]&lt;&gt;0,1,"")</f>
        <v/>
      </c>
      <c r="AS23" s="188" t="str">
        <f>IF(PORTEFEUILLE_GUILLAUME[[#This Row],[MALI AAC]]&lt;&gt;0,1,"")</f>
        <v/>
      </c>
      <c r="AT23" s="225">
        <f>IF(AN23&lt;&gt;"",IF((AN23*Paramètres!$H$4)-PORTEFEUILLE_GUILLAUME[[#This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€]]-(DELPHINE!AN23*Paramètres!$H$4),0),0)</f>
        <v>0</v>
      </c>
      <c r="AU23" s="225">
        <f>IF(AN23&lt;&gt;"",IF(((AN23*Paramètres!$H$4)-PORTEFEUILLE_GUILLAUME[[#This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€]])&gt;0,(AN23*Paramètres!$H$4)-PORTEFEUILLE_GUILLAUME[[#This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V23" s="190" t="str">
        <f>IF(PORTEFEUILLE_GUILLAUME[[#This Row],[BONI COMPTABLE]]&lt;&gt;0,1,"")</f>
        <v/>
      </c>
      <c r="AW23" s="190" t="str">
        <f>IF(PORTEFEUILLE_GUILLAUME[[#This Row],[MALI COMPTABLE]]&lt;&gt;0,1,"")</f>
        <v/>
      </c>
      <c r="AX23" s="188"/>
      <c r="AY23" s="188"/>
      <c r="AZ23" s="188"/>
      <c r="BA23" s="188"/>
      <c r="BB23" s="188"/>
      <c r="BC23" s="188"/>
      <c r="BD23" s="188"/>
      <c r="BE23" s="192"/>
      <c r="BF23" s="194"/>
      <c r="BG23" s="194"/>
      <c r="BH23" s="195"/>
      <c r="BI23" s="194"/>
    </row>
    <row r="24" spans="1:61" x14ac:dyDescent="0.25">
      <c r="A24" s="172"/>
      <c r="B24" s="170"/>
      <c r="C24" s="165"/>
      <c r="D24" s="171"/>
      <c r="E24" s="189"/>
      <c r="F24" s="188"/>
      <c r="G24" s="188"/>
      <c r="H24" s="189"/>
      <c r="I24" s="189"/>
      <c r="J24" s="189"/>
      <c r="K24" s="190" t="str">
        <f t="shared" si="0"/>
        <v/>
      </c>
      <c r="L24" s="190" t="str">
        <f t="shared" si="1"/>
        <v/>
      </c>
      <c r="M24" s="188"/>
      <c r="N24" s="188"/>
      <c r="O24" s="188"/>
      <c r="P24" s="188"/>
      <c r="Q24" s="188"/>
      <c r="R24" s="188"/>
      <c r="S24" s="214"/>
      <c r="T24" s="208"/>
      <c r="U24" s="220"/>
      <c r="V24" s="220"/>
      <c r="W24" s="220"/>
      <c r="X24" s="220"/>
      <c r="Y24" s="220"/>
      <c r="Z24" s="220"/>
      <c r="AA24" s="220"/>
      <c r="AB24" s="220"/>
      <c r="AC24" s="220"/>
      <c r="AD24" s="220"/>
      <c r="AE24" s="220"/>
      <c r="AF24" s="220"/>
      <c r="AG24" s="219"/>
      <c r="AH24" s="225">
        <f>SUM(PORTEFEUILLE_GUILLAUME[[#This Row],[PCR COMPTABLE €]:[MONTANT
RESPONSABLE RELATION CLIENT €]])-PORTEFEUILLE_GUILLAUME[[#This Row],[MONTANT TOTAL LETTRE DE MISION €]]</f>
        <v>0</v>
      </c>
      <c r="AI24" s="191"/>
      <c r="AJ24" s="188"/>
      <c r="AK24" s="188"/>
      <c r="AL24" s="196"/>
      <c r="AM24" s="196"/>
      <c r="AN24" s="196"/>
      <c r="AO24" s="196"/>
      <c r="AP24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Q24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R24" s="188" t="str">
        <f>IF(PORTEFEUILLE_GUILLAUME[[#This Row],[BONI AAC]]&lt;&gt;0,1,"")</f>
        <v/>
      </c>
      <c r="AS24" s="188" t="str">
        <f>IF(PORTEFEUILLE_GUILLAUME[[#This Row],[MALI AAC]]&lt;&gt;0,1,"")</f>
        <v/>
      </c>
      <c r="AT24" s="225">
        <f>IF(AN24&lt;&gt;"",IF((AN24*Paramètres!$H$4)-PORTEFEUILLE_GUILLAUME[[#This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€]]-(DELPHINE!AN24*Paramètres!$H$4),0),0)</f>
        <v>0</v>
      </c>
      <c r="AU24" s="225">
        <f>IF(AN24&lt;&gt;"",IF(((AN24*Paramètres!$H$4)-PORTEFEUILLE_GUILLAUME[[#This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€]])&gt;0,(AN24*Paramètres!$H$4)-PORTEFEUILLE_GUILLAUME[[#This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V24" s="190" t="str">
        <f>IF(PORTEFEUILLE_GUILLAUME[[#This Row],[BONI COMPTABLE]]&lt;&gt;0,1,"")</f>
        <v/>
      </c>
      <c r="AW24" s="190" t="str">
        <f>IF(PORTEFEUILLE_GUILLAUME[[#This Row],[MALI COMPTABLE]]&lt;&gt;0,1,"")</f>
        <v/>
      </c>
      <c r="AX24" s="196"/>
      <c r="AY24" s="188"/>
      <c r="AZ24" s="188"/>
      <c r="BA24" s="188"/>
      <c r="BB24" s="188"/>
      <c r="BC24" s="188"/>
      <c r="BD24" s="188"/>
      <c r="BE24" s="192"/>
      <c r="BF24" s="194"/>
      <c r="BG24" s="194"/>
      <c r="BH24" s="195"/>
      <c r="BI24" s="194"/>
    </row>
    <row r="25" spans="1:61" x14ac:dyDescent="0.25">
      <c r="A25" s="172"/>
      <c r="B25" s="170"/>
      <c r="C25" s="165"/>
      <c r="D25" s="171"/>
      <c r="E25" s="189"/>
      <c r="F25" s="188"/>
      <c r="G25" s="188"/>
      <c r="H25" s="189"/>
      <c r="I25" s="189"/>
      <c r="J25" s="189"/>
      <c r="K25" s="190" t="str">
        <f t="shared" si="0"/>
        <v/>
      </c>
      <c r="L25" s="190" t="str">
        <f t="shared" si="1"/>
        <v/>
      </c>
      <c r="M25" s="188"/>
      <c r="N25" s="188"/>
      <c r="O25" s="188"/>
      <c r="P25" s="188"/>
      <c r="Q25" s="188"/>
      <c r="R25" s="188"/>
      <c r="S25" s="214"/>
      <c r="T25" s="208"/>
      <c r="U25" s="220"/>
      <c r="V25" s="220"/>
      <c r="W25" s="220"/>
      <c r="X25" s="220"/>
      <c r="Y25" s="220"/>
      <c r="Z25" s="220"/>
      <c r="AA25" s="220"/>
      <c r="AB25" s="220"/>
      <c r="AC25" s="220"/>
      <c r="AD25" s="220"/>
      <c r="AE25" s="220"/>
      <c r="AF25" s="220"/>
      <c r="AG25" s="219"/>
      <c r="AH25" s="225">
        <f>SUM(PORTEFEUILLE_GUILLAUME[[#This Row],[PCR COMPTABLE €]:[MONTANT
RESPONSABLE RELATION CLIENT €]])-PORTEFEUILLE_GUILLAUME[[#This Row],[MONTANT TOTAL LETTRE DE MISION €]]</f>
        <v>0</v>
      </c>
      <c r="AI25" s="191"/>
      <c r="AJ25" s="188"/>
      <c r="AK25" s="188"/>
      <c r="AL25" s="196"/>
      <c r="AM25" s="196"/>
      <c r="AN25" s="196"/>
      <c r="AO25" s="196"/>
      <c r="AP25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Q25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R25" s="188" t="str">
        <f>IF(PORTEFEUILLE_GUILLAUME[[#This Row],[BONI AAC]]&lt;&gt;0,1,"")</f>
        <v/>
      </c>
      <c r="AS25" s="188" t="str">
        <f>IF(PORTEFEUILLE_GUILLAUME[[#This Row],[MALI AAC]]&lt;&gt;0,1,"")</f>
        <v/>
      </c>
      <c r="AT25" s="225">
        <f>IF(AN25&lt;&gt;"",IF((AN25*Paramètres!$H$4)-PORTEFEUILLE_GUILLAUME[[#This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€]]-(DELPHINE!AN25*Paramètres!$H$4),0),0)</f>
        <v>0</v>
      </c>
      <c r="AU25" s="225">
        <f>IF(AN25&lt;&gt;"",IF(((AN25*Paramètres!$H$4)-PORTEFEUILLE_GUILLAUME[[#This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€]])&gt;0,(AN25*Paramètres!$H$4)-PORTEFEUILLE_GUILLAUME[[#This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V25" s="190" t="str">
        <f>IF(PORTEFEUILLE_GUILLAUME[[#This Row],[BONI COMPTABLE]]&lt;&gt;0,1,"")</f>
        <v/>
      </c>
      <c r="AW25" s="190" t="str">
        <f>IF(PORTEFEUILLE_GUILLAUME[[#This Row],[MALI COMPTABLE]]&lt;&gt;0,1,"")</f>
        <v/>
      </c>
      <c r="AX25" s="196"/>
      <c r="AY25" s="188"/>
      <c r="AZ25" s="188"/>
      <c r="BA25" s="188"/>
      <c r="BB25" s="188"/>
      <c r="BC25" s="188"/>
      <c r="BD25" s="188"/>
      <c r="BE25" s="192"/>
      <c r="BF25" s="194"/>
      <c r="BG25" s="194"/>
      <c r="BH25" s="195"/>
      <c r="BI25" s="194"/>
    </row>
    <row r="26" spans="1:61" x14ac:dyDescent="0.25">
      <c r="A26" s="172"/>
      <c r="B26" s="170"/>
      <c r="C26" s="165"/>
      <c r="D26" s="171"/>
      <c r="E26" s="189"/>
      <c r="F26" s="188"/>
      <c r="G26" s="188"/>
      <c r="H26" s="189"/>
      <c r="I26" s="189"/>
      <c r="J26" s="189"/>
      <c r="K26" s="190" t="str">
        <f t="shared" si="0"/>
        <v/>
      </c>
      <c r="L26" s="190" t="str">
        <f t="shared" si="1"/>
        <v/>
      </c>
      <c r="M26" s="188"/>
      <c r="N26" s="188"/>
      <c r="O26" s="188"/>
      <c r="P26" s="188"/>
      <c r="Q26" s="188"/>
      <c r="R26" s="188"/>
      <c r="S26" s="214"/>
      <c r="T26" s="208"/>
      <c r="U26" s="220"/>
      <c r="V26" s="220"/>
      <c r="W26" s="220"/>
      <c r="X26" s="220"/>
      <c r="Y26" s="220"/>
      <c r="Z26" s="220"/>
      <c r="AA26" s="220"/>
      <c r="AB26" s="220"/>
      <c r="AC26" s="220"/>
      <c r="AD26" s="220"/>
      <c r="AE26" s="220"/>
      <c r="AF26" s="220"/>
      <c r="AG26" s="219"/>
      <c r="AH26" s="225">
        <f>SUM(PORTEFEUILLE_GUILLAUME[[#This Row],[PCR COMPTABLE €]:[MONTANT
RESPONSABLE RELATION CLIENT €]])-PORTEFEUILLE_GUILLAUME[[#This Row],[MONTANT TOTAL LETTRE DE MISION €]]</f>
        <v>0</v>
      </c>
      <c r="AI26" s="191"/>
      <c r="AJ26" s="188"/>
      <c r="AK26" s="188"/>
      <c r="AL26" s="196"/>
      <c r="AM26" s="196"/>
      <c r="AN26" s="196"/>
      <c r="AO26" s="196"/>
      <c r="AP26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Q26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R26" s="188" t="str">
        <f>IF(PORTEFEUILLE_GUILLAUME[[#This Row],[BONI AAC]]&lt;&gt;0,1,"")</f>
        <v/>
      </c>
      <c r="AS26" s="188" t="str">
        <f>IF(PORTEFEUILLE_GUILLAUME[[#This Row],[MALI AAC]]&lt;&gt;0,1,"")</f>
        <v/>
      </c>
      <c r="AT26" s="225">
        <f>IF(AN26&lt;&gt;"",IF((AN26*Paramètres!$H$4)-PORTEFEUILLE_GUILLAUME[[#This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€]]-(DELPHINE!AN26*Paramètres!$H$4),0),0)</f>
        <v>0</v>
      </c>
      <c r="AU26" s="225">
        <f>IF(AN26&lt;&gt;"",IF(((AN26*Paramètres!$H$4)-PORTEFEUILLE_GUILLAUME[[#This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€]])&gt;0,(AN26*Paramètres!$H$4)-PORTEFEUILLE_GUILLAUME[[#This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V26" s="190" t="str">
        <f>IF(PORTEFEUILLE_GUILLAUME[[#This Row],[BONI COMPTABLE]]&lt;&gt;0,1,"")</f>
        <v/>
      </c>
      <c r="AW26" s="190" t="str">
        <f>IF(PORTEFEUILLE_GUILLAUME[[#This Row],[MALI COMPTABLE]]&lt;&gt;0,1,"")</f>
        <v/>
      </c>
      <c r="AX26" s="196"/>
      <c r="AY26" s="188"/>
      <c r="AZ26" s="188"/>
      <c r="BA26" s="188"/>
      <c r="BB26" s="188"/>
      <c r="BC26" s="188"/>
      <c r="BD26" s="188"/>
      <c r="BE26" s="192"/>
      <c r="BF26" s="194"/>
      <c r="BG26" s="194"/>
      <c r="BH26" s="195"/>
      <c r="BI26" s="194"/>
    </row>
    <row r="27" spans="1:61" x14ac:dyDescent="0.25">
      <c r="A27" s="172"/>
      <c r="B27" s="170"/>
      <c r="C27" s="165"/>
      <c r="D27" s="171"/>
      <c r="E27" s="189"/>
      <c r="F27" s="188"/>
      <c r="G27" s="188"/>
      <c r="H27" s="189"/>
      <c r="I27" s="189"/>
      <c r="J27" s="189"/>
      <c r="K27" s="190" t="str">
        <f t="shared" si="0"/>
        <v/>
      </c>
      <c r="L27" s="190" t="str">
        <f t="shared" si="1"/>
        <v/>
      </c>
      <c r="M27" s="188"/>
      <c r="N27" s="188"/>
      <c r="O27" s="188"/>
      <c r="P27" s="188"/>
      <c r="Q27" s="188"/>
      <c r="R27" s="188"/>
      <c r="S27" s="214"/>
      <c r="T27" s="208"/>
      <c r="U27" s="220"/>
      <c r="V27" s="220"/>
      <c r="W27" s="220"/>
      <c r="X27" s="220"/>
      <c r="Y27" s="220"/>
      <c r="Z27" s="220"/>
      <c r="AA27" s="220"/>
      <c r="AB27" s="220"/>
      <c r="AC27" s="220"/>
      <c r="AD27" s="220"/>
      <c r="AE27" s="220"/>
      <c r="AF27" s="220"/>
      <c r="AG27" s="219"/>
      <c r="AH27" s="225">
        <f>SUM(PORTEFEUILLE_GUILLAUME[[#This Row],[PCR COMPTABLE €]:[MONTANT
RESPONSABLE RELATION CLIENT €]])-PORTEFEUILLE_GUILLAUME[[#This Row],[MONTANT TOTAL LETTRE DE MISION €]]</f>
        <v>0</v>
      </c>
      <c r="AI27" s="191"/>
      <c r="AJ27" s="188"/>
      <c r="AK27" s="188"/>
      <c r="AL27" s="196"/>
      <c r="AM27" s="196"/>
      <c r="AN27" s="196"/>
      <c r="AO27" s="196"/>
      <c r="AP27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Q27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R27" s="188" t="str">
        <f>IF(PORTEFEUILLE_GUILLAUME[[#This Row],[BONI AAC]]&lt;&gt;0,1,"")</f>
        <v/>
      </c>
      <c r="AS27" s="188" t="str">
        <f>IF(PORTEFEUILLE_GUILLAUME[[#This Row],[MALI AAC]]&lt;&gt;0,1,"")</f>
        <v/>
      </c>
      <c r="AT27" s="225">
        <f>IF(AN27&lt;&gt;"",IF((AN27*Paramètres!$H$4)-PORTEFEUILLE_GUILLAUME[[#This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€]]-(DELPHINE!AN27*Paramètres!$H$4),0),0)</f>
        <v>0</v>
      </c>
      <c r="AU27" s="225">
        <f>IF(AN27&lt;&gt;"",IF(((AN27*Paramètres!$H$4)-PORTEFEUILLE_GUILLAUME[[#This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€]])&gt;0,(AN27*Paramètres!$H$4)-PORTEFEUILLE_GUILLAUME[[#This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V27" s="190" t="str">
        <f>IF(PORTEFEUILLE_GUILLAUME[[#This Row],[BONI COMPTABLE]]&lt;&gt;0,1,"")</f>
        <v/>
      </c>
      <c r="AW27" s="190" t="str">
        <f>IF(PORTEFEUILLE_GUILLAUME[[#This Row],[MALI COMPTABLE]]&lt;&gt;0,1,"")</f>
        <v/>
      </c>
      <c r="AX27" s="196"/>
      <c r="AY27" s="188"/>
      <c r="AZ27" s="188"/>
      <c r="BA27" s="188"/>
      <c r="BB27" s="188"/>
      <c r="BC27" s="188"/>
      <c r="BD27" s="188"/>
      <c r="BE27" s="192"/>
      <c r="BF27" s="194"/>
      <c r="BG27" s="194"/>
      <c r="BH27" s="195"/>
      <c r="BI27" s="194"/>
    </row>
    <row r="28" spans="1:61" s="90" customFormat="1" x14ac:dyDescent="0.25">
      <c r="A28" s="176"/>
      <c r="B28" s="170"/>
      <c r="C28" s="165"/>
      <c r="D28" s="171"/>
      <c r="E28" s="189"/>
      <c r="F28" s="188"/>
      <c r="G28" s="189"/>
      <c r="H28" s="189"/>
      <c r="I28" s="189"/>
      <c r="J28" s="189"/>
      <c r="K28" s="190" t="str">
        <f t="shared" si="0"/>
        <v/>
      </c>
      <c r="L28" s="190" t="str">
        <f t="shared" si="1"/>
        <v/>
      </c>
      <c r="M28" s="188"/>
      <c r="N28" s="188"/>
      <c r="O28" s="188"/>
      <c r="P28" s="188"/>
      <c r="Q28" s="188"/>
      <c r="R28" s="188"/>
      <c r="S28" s="213"/>
      <c r="T28" s="207"/>
      <c r="U28" s="219"/>
      <c r="V28" s="219"/>
      <c r="W28" s="219"/>
      <c r="X28" s="219"/>
      <c r="Y28" s="219"/>
      <c r="Z28" s="219"/>
      <c r="AA28" s="219"/>
      <c r="AB28" s="219"/>
      <c r="AC28" s="219"/>
      <c r="AD28" s="219"/>
      <c r="AE28" s="219"/>
      <c r="AF28" s="219"/>
      <c r="AG28" s="219"/>
      <c r="AH28" s="225">
        <f>SUM(PORTEFEUILLE_GUILLAUME[[#This Row],[PCR COMPTABLE €]:[MONTANT
RESPONSABLE RELATION CLIENT €]])-PORTEFEUILLE_GUILLAUME[[#This Row],[MONTANT TOTAL LETTRE DE MISION €]]</f>
        <v>0</v>
      </c>
      <c r="AI28" s="191"/>
      <c r="AJ28" s="188"/>
      <c r="AK28" s="188"/>
      <c r="AL28" s="188"/>
      <c r="AM28" s="188"/>
      <c r="AN28" s="188"/>
      <c r="AO28" s="188"/>
      <c r="AP28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Q28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R28" s="188" t="str">
        <f>IF(PORTEFEUILLE_GUILLAUME[[#This Row],[BONI AAC]]&lt;&gt;0,1,"")</f>
        <v/>
      </c>
      <c r="AS28" s="188" t="str">
        <f>IF(PORTEFEUILLE_GUILLAUME[[#This Row],[MALI AAC]]&lt;&gt;0,1,"")</f>
        <v/>
      </c>
      <c r="AT28" s="225">
        <f>IF(AN28&lt;&gt;"",IF((AN28*Paramètres!$H$4)-PORTEFEUILLE_GUILLAUME[[#This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€]]-(DELPHINE!AN28*Paramètres!$H$4),0),0)</f>
        <v>0</v>
      </c>
      <c r="AU28" s="225">
        <f>IF(AN28&lt;&gt;"",IF(((AN28*Paramètres!$H$4)-PORTEFEUILLE_GUILLAUME[[#This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€]])&gt;0,(AN28*Paramètres!$H$4)-PORTEFEUILLE_GUILLAUME[[#This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V28" s="190" t="str">
        <f>IF(PORTEFEUILLE_GUILLAUME[[#This Row],[BONI COMPTABLE]]&lt;&gt;0,1,"")</f>
        <v/>
      </c>
      <c r="AW28" s="190" t="str">
        <f>IF(PORTEFEUILLE_GUILLAUME[[#This Row],[MALI COMPTABLE]]&lt;&gt;0,1,"")</f>
        <v/>
      </c>
      <c r="AX28" s="188"/>
      <c r="AY28" s="188"/>
      <c r="AZ28" s="188"/>
      <c r="BA28" s="188"/>
      <c r="BB28" s="196"/>
      <c r="BC28" s="196"/>
      <c r="BD28" s="196"/>
      <c r="BE28" s="192"/>
      <c r="BF28" s="196"/>
      <c r="BG28" s="196"/>
      <c r="BH28" s="198"/>
      <c r="BI28" s="196"/>
    </row>
    <row r="29" spans="1:61" x14ac:dyDescent="0.25">
      <c r="A29" s="172"/>
      <c r="B29" s="170"/>
      <c r="C29" s="165"/>
      <c r="D29" s="171"/>
      <c r="E29" s="189"/>
      <c r="F29" s="188"/>
      <c r="G29" s="189"/>
      <c r="H29" s="189"/>
      <c r="I29" s="189"/>
      <c r="J29" s="189"/>
      <c r="K29" s="190" t="str">
        <f t="shared" si="0"/>
        <v/>
      </c>
      <c r="L29" s="190" t="str">
        <f t="shared" si="1"/>
        <v/>
      </c>
      <c r="M29" s="188"/>
      <c r="N29" s="188"/>
      <c r="O29" s="188"/>
      <c r="P29" s="188"/>
      <c r="Q29" s="188"/>
      <c r="R29" s="188"/>
      <c r="S29" s="213"/>
      <c r="T29" s="207"/>
      <c r="U29" s="219"/>
      <c r="V29" s="219"/>
      <c r="W29" s="219"/>
      <c r="X29" s="219"/>
      <c r="Y29" s="219"/>
      <c r="Z29" s="219"/>
      <c r="AA29" s="219"/>
      <c r="AB29" s="219"/>
      <c r="AC29" s="219"/>
      <c r="AD29" s="219"/>
      <c r="AE29" s="219"/>
      <c r="AF29" s="219"/>
      <c r="AG29" s="219"/>
      <c r="AH29" s="225">
        <f>SUM(PORTEFEUILLE_GUILLAUME[[#This Row],[PCR COMPTABLE €]:[MONTANT
RESPONSABLE RELATION CLIENT €]])-PORTEFEUILLE_GUILLAUME[[#This Row],[MONTANT TOTAL LETTRE DE MISION €]]</f>
        <v>0</v>
      </c>
      <c r="AI29" s="191"/>
      <c r="AJ29" s="188"/>
      <c r="AK29" s="188"/>
      <c r="AL29" s="188"/>
      <c r="AM29" s="188"/>
      <c r="AN29" s="188"/>
      <c r="AO29" s="188"/>
      <c r="AP29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Q29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R29" s="188" t="str">
        <f>IF(PORTEFEUILLE_GUILLAUME[[#This Row],[BONI AAC]]&lt;&gt;0,1,"")</f>
        <v/>
      </c>
      <c r="AS29" s="188" t="str">
        <f>IF(PORTEFEUILLE_GUILLAUME[[#This Row],[MALI AAC]]&lt;&gt;0,1,"")</f>
        <v/>
      </c>
      <c r="AT29" s="225">
        <f>IF(AN29&lt;&gt;"",IF((AN29*Paramètres!$H$4)-PORTEFEUILLE_GUILLAUME[[#This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€]]-(DELPHINE!AN29*Paramètres!$H$4),0),0)</f>
        <v>0</v>
      </c>
      <c r="AU29" s="225">
        <f>IF(AN29&lt;&gt;"",IF(((AN29*Paramètres!$H$4)-PORTEFEUILLE_GUILLAUME[[#This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€]])&gt;0,(AN29*Paramètres!$H$4)-PORTEFEUILLE_GUILLAUME[[#This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V29" s="190" t="str">
        <f>IF(PORTEFEUILLE_GUILLAUME[[#This Row],[BONI COMPTABLE]]&lt;&gt;0,1,"")</f>
        <v/>
      </c>
      <c r="AW29" s="190" t="str">
        <f>IF(PORTEFEUILLE_GUILLAUME[[#This Row],[MALI COMPTABLE]]&lt;&gt;0,1,"")</f>
        <v/>
      </c>
      <c r="AX29" s="188"/>
      <c r="AY29" s="188"/>
      <c r="AZ29" s="188"/>
      <c r="BA29" s="188"/>
      <c r="BB29" s="196"/>
      <c r="BC29" s="196"/>
      <c r="BD29" s="196"/>
      <c r="BE29" s="192"/>
      <c r="BF29" s="194"/>
      <c r="BG29" s="194"/>
      <c r="BH29" s="195"/>
      <c r="BI29" s="194"/>
    </row>
    <row r="30" spans="1:61" x14ac:dyDescent="0.25">
      <c r="A30" s="172"/>
      <c r="B30" s="170"/>
      <c r="C30" s="165"/>
      <c r="D30" s="171"/>
      <c r="E30" s="189"/>
      <c r="F30" s="188"/>
      <c r="G30" s="189"/>
      <c r="H30" s="189"/>
      <c r="I30" s="189"/>
      <c r="J30" s="189"/>
      <c r="K30" s="190" t="str">
        <f t="shared" si="0"/>
        <v/>
      </c>
      <c r="L30" s="190" t="str">
        <f t="shared" si="1"/>
        <v/>
      </c>
      <c r="M30" s="188"/>
      <c r="N30" s="188"/>
      <c r="O30" s="188"/>
      <c r="P30" s="188"/>
      <c r="Q30" s="188"/>
      <c r="R30" s="188"/>
      <c r="S30" s="213"/>
      <c r="T30" s="207"/>
      <c r="U30" s="219"/>
      <c r="V30" s="219"/>
      <c r="W30" s="219"/>
      <c r="X30" s="219"/>
      <c r="Y30" s="219"/>
      <c r="Z30" s="219"/>
      <c r="AA30" s="219"/>
      <c r="AB30" s="219"/>
      <c r="AC30" s="219"/>
      <c r="AD30" s="219"/>
      <c r="AE30" s="219"/>
      <c r="AF30" s="219"/>
      <c r="AG30" s="219"/>
      <c r="AH30" s="225">
        <f>SUM(PORTEFEUILLE_GUILLAUME[[#This Row],[PCR COMPTABLE €]:[MONTANT
RESPONSABLE RELATION CLIENT €]])-PORTEFEUILLE_GUILLAUME[[#This Row],[MONTANT TOTAL LETTRE DE MISION €]]</f>
        <v>0</v>
      </c>
      <c r="AI30" s="191"/>
      <c r="AJ30" s="188"/>
      <c r="AK30" s="188"/>
      <c r="AL30" s="188"/>
      <c r="AM30" s="188"/>
      <c r="AN30" s="188"/>
      <c r="AO30" s="188"/>
      <c r="AP30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Q30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R30" s="188" t="str">
        <f>IF(PORTEFEUILLE_GUILLAUME[[#This Row],[BONI AAC]]&lt;&gt;0,1,"")</f>
        <v/>
      </c>
      <c r="AS30" s="188" t="str">
        <f>IF(PORTEFEUILLE_GUILLAUME[[#This Row],[MALI AAC]]&lt;&gt;0,1,"")</f>
        <v/>
      </c>
      <c r="AT30" s="225">
        <f>IF(AN30&lt;&gt;"",IF((AN30*Paramètres!$H$4)-PORTEFEUILLE_GUILLAUME[[#This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€]]-(DELPHINE!AN30*Paramètres!$H$4),0),0)</f>
        <v>0</v>
      </c>
      <c r="AU30" s="225">
        <f>IF(AN30&lt;&gt;"",IF(((AN30*Paramètres!$H$4)-PORTEFEUILLE_GUILLAUME[[#This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€]])&gt;0,(AN30*Paramètres!$H$4)-PORTEFEUILLE_GUILLAUME[[#This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V30" s="190" t="str">
        <f>IF(PORTEFEUILLE_GUILLAUME[[#This Row],[BONI COMPTABLE]]&lt;&gt;0,1,"")</f>
        <v/>
      </c>
      <c r="AW30" s="190" t="str">
        <f>IF(PORTEFEUILLE_GUILLAUME[[#This Row],[MALI COMPTABLE]]&lt;&gt;0,1,"")</f>
        <v/>
      </c>
      <c r="AX30" s="188"/>
      <c r="AY30" s="188"/>
      <c r="AZ30" s="188"/>
      <c r="BA30" s="188"/>
      <c r="BB30" s="188"/>
      <c r="BC30" s="188"/>
      <c r="BD30" s="188"/>
      <c r="BE30" s="192"/>
      <c r="BF30" s="194"/>
      <c r="BG30" s="194"/>
      <c r="BH30" s="195"/>
      <c r="BI30" s="194"/>
    </row>
    <row r="31" spans="1:61" x14ac:dyDescent="0.25">
      <c r="A31" s="172"/>
      <c r="B31" s="170"/>
      <c r="C31" s="165"/>
      <c r="D31" s="171"/>
      <c r="E31" s="189"/>
      <c r="F31" s="188"/>
      <c r="G31" s="189"/>
      <c r="H31" s="189"/>
      <c r="I31" s="189"/>
      <c r="J31" s="189"/>
      <c r="K31" s="190" t="str">
        <f t="shared" si="0"/>
        <v/>
      </c>
      <c r="L31" s="190" t="str">
        <f t="shared" si="1"/>
        <v/>
      </c>
      <c r="M31" s="188"/>
      <c r="N31" s="188"/>
      <c r="O31" s="188"/>
      <c r="P31" s="188"/>
      <c r="Q31" s="188"/>
      <c r="R31" s="188"/>
      <c r="S31" s="213"/>
      <c r="T31" s="207"/>
      <c r="U31" s="219"/>
      <c r="V31" s="219"/>
      <c r="W31" s="219"/>
      <c r="X31" s="219"/>
      <c r="Y31" s="219"/>
      <c r="Z31" s="219"/>
      <c r="AA31" s="219"/>
      <c r="AB31" s="219"/>
      <c r="AC31" s="219"/>
      <c r="AD31" s="219"/>
      <c r="AE31" s="219"/>
      <c r="AF31" s="219"/>
      <c r="AG31" s="219"/>
      <c r="AH31" s="225">
        <f>SUM(PORTEFEUILLE_GUILLAUME[[#This Row],[PCR COMPTABLE €]:[MONTANT
RESPONSABLE RELATION CLIENT €]])-PORTEFEUILLE_GUILLAUME[[#This Row],[MONTANT TOTAL LETTRE DE MISION €]]</f>
        <v>0</v>
      </c>
      <c r="AI31" s="191"/>
      <c r="AJ31" s="188"/>
      <c r="AK31" s="188"/>
      <c r="AL31" s="188"/>
      <c r="AM31" s="188"/>
      <c r="AN31" s="188"/>
      <c r="AO31" s="188"/>
      <c r="AP31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Q31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R31" s="188" t="str">
        <f>IF(PORTEFEUILLE_GUILLAUME[[#This Row],[BONI AAC]]&lt;&gt;0,1,"")</f>
        <v/>
      </c>
      <c r="AS31" s="188" t="str">
        <f>IF(PORTEFEUILLE_GUILLAUME[[#This Row],[MALI AAC]]&lt;&gt;0,1,"")</f>
        <v/>
      </c>
      <c r="AT31" s="225">
        <f>IF(AN31&lt;&gt;"",IF((AN31*Paramètres!$H$4)-PORTEFEUILLE_GUILLAUME[[#This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€]]-(DELPHINE!AN31*Paramètres!$H$4),0),0)</f>
        <v>0</v>
      </c>
      <c r="AU31" s="225">
        <f>IF(AN31&lt;&gt;"",IF(((AN31*Paramètres!$H$4)-PORTEFEUILLE_GUILLAUME[[#This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€]])&gt;0,(AN31*Paramètres!$H$4)-PORTEFEUILLE_GUILLAUME[[#This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V31" s="190" t="str">
        <f>IF(PORTEFEUILLE_GUILLAUME[[#This Row],[BONI COMPTABLE]]&lt;&gt;0,1,"")</f>
        <v/>
      </c>
      <c r="AW31" s="190" t="str">
        <f>IF(PORTEFEUILLE_GUILLAUME[[#This Row],[MALI COMPTABLE]]&lt;&gt;0,1,"")</f>
        <v/>
      </c>
      <c r="AX31" s="188"/>
      <c r="AY31" s="188"/>
      <c r="AZ31" s="188"/>
      <c r="BA31" s="188"/>
      <c r="BB31" s="196"/>
      <c r="BC31" s="196"/>
      <c r="BD31" s="196"/>
      <c r="BE31" s="192"/>
      <c r="BF31" s="194"/>
      <c r="BG31" s="194"/>
      <c r="BH31" s="195"/>
      <c r="BI31" s="194"/>
    </row>
    <row r="32" spans="1:61" x14ac:dyDescent="0.25">
      <c r="A32" s="172"/>
      <c r="B32" s="177"/>
      <c r="C32" s="165"/>
      <c r="D32" s="171"/>
      <c r="E32" s="189"/>
      <c r="F32" s="188"/>
      <c r="G32" s="189"/>
      <c r="H32" s="189"/>
      <c r="I32" s="189"/>
      <c r="J32" s="189"/>
      <c r="K32" s="190" t="str">
        <f t="shared" si="0"/>
        <v/>
      </c>
      <c r="L32" s="190" t="str">
        <f t="shared" si="1"/>
        <v/>
      </c>
      <c r="M32" s="188"/>
      <c r="N32" s="188"/>
      <c r="O32" s="188"/>
      <c r="P32" s="188"/>
      <c r="Q32" s="188"/>
      <c r="R32" s="188"/>
      <c r="S32" s="213"/>
      <c r="T32" s="207"/>
      <c r="U32" s="219"/>
      <c r="V32" s="219"/>
      <c r="W32" s="219"/>
      <c r="X32" s="219"/>
      <c r="Y32" s="219"/>
      <c r="Z32" s="219"/>
      <c r="AA32" s="219"/>
      <c r="AB32" s="219"/>
      <c r="AC32" s="219"/>
      <c r="AD32" s="219"/>
      <c r="AE32" s="219"/>
      <c r="AF32" s="219"/>
      <c r="AG32" s="219"/>
      <c r="AH32" s="225">
        <f>SUM(PORTEFEUILLE_GUILLAUME[[#This Row],[PCR COMPTABLE €]:[MONTANT
RESPONSABLE RELATION CLIENT €]])-PORTEFEUILLE_GUILLAUME[[#This Row],[MONTANT TOTAL LETTRE DE MISION €]]</f>
        <v>0</v>
      </c>
      <c r="AI32" s="191"/>
      <c r="AJ32" s="188"/>
      <c r="AK32" s="188"/>
      <c r="AL32" s="188"/>
      <c r="AM32" s="188"/>
      <c r="AN32" s="188"/>
      <c r="AO32" s="188"/>
      <c r="AP32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Q32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R32" s="188" t="str">
        <f>IF(PORTEFEUILLE_GUILLAUME[[#This Row],[BONI AAC]]&lt;&gt;0,1,"")</f>
        <v/>
      </c>
      <c r="AS32" s="188" t="str">
        <f>IF(PORTEFEUILLE_GUILLAUME[[#This Row],[MALI AAC]]&lt;&gt;0,1,"")</f>
        <v/>
      </c>
      <c r="AT32" s="225">
        <f>IF(AN32&lt;&gt;"",IF((AN32*Paramètres!$H$4)-PORTEFEUILLE_GUILLAUME[[#This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€]]-(DELPHINE!AN32*Paramètres!$H$4),0),0)</f>
        <v>0</v>
      </c>
      <c r="AU32" s="225">
        <f>IF(AN32&lt;&gt;"",IF(((AN32*Paramètres!$H$4)-PORTEFEUILLE_GUILLAUME[[#This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€]])&gt;0,(AN32*Paramètres!$H$4)-PORTEFEUILLE_GUILLAUME[[#This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V32" s="190" t="str">
        <f>IF(PORTEFEUILLE_GUILLAUME[[#This Row],[BONI COMPTABLE]]&lt;&gt;0,1,"")</f>
        <v/>
      </c>
      <c r="AW32" s="190" t="str">
        <f>IF(PORTEFEUILLE_GUILLAUME[[#This Row],[MALI COMPTABLE]]&lt;&gt;0,1,"")</f>
        <v/>
      </c>
      <c r="AX32" s="188"/>
      <c r="AY32" s="188"/>
      <c r="AZ32" s="188"/>
      <c r="BA32" s="188"/>
      <c r="BB32" s="188"/>
      <c r="BC32" s="188"/>
      <c r="BD32" s="188"/>
      <c r="BE32" s="192"/>
      <c r="BF32" s="194"/>
      <c r="BG32" s="194"/>
      <c r="BH32" s="195"/>
      <c r="BI32" s="194"/>
    </row>
    <row r="33" spans="1:61" x14ac:dyDescent="0.25">
      <c r="A33" s="172"/>
      <c r="B33" s="177"/>
      <c r="C33" s="165"/>
      <c r="D33" s="171"/>
      <c r="E33" s="189"/>
      <c r="F33" s="188"/>
      <c r="G33" s="188"/>
      <c r="H33" s="189"/>
      <c r="I33" s="188"/>
      <c r="J33" s="189"/>
      <c r="K33" s="190" t="str">
        <f t="shared" si="0"/>
        <v/>
      </c>
      <c r="L33" s="190" t="str">
        <f t="shared" si="1"/>
        <v/>
      </c>
      <c r="M33" s="188"/>
      <c r="N33" s="188"/>
      <c r="O33" s="188"/>
      <c r="P33" s="188"/>
      <c r="Q33" s="188"/>
      <c r="R33" s="188"/>
      <c r="S33" s="214"/>
      <c r="T33" s="208"/>
      <c r="U33" s="220"/>
      <c r="V33" s="220"/>
      <c r="W33" s="220"/>
      <c r="X33" s="220"/>
      <c r="Y33" s="220"/>
      <c r="Z33" s="220"/>
      <c r="AA33" s="220"/>
      <c r="AB33" s="220"/>
      <c r="AC33" s="220"/>
      <c r="AD33" s="220"/>
      <c r="AE33" s="220"/>
      <c r="AF33" s="220"/>
      <c r="AG33" s="219"/>
      <c r="AH33" s="225">
        <f>SUM(PORTEFEUILLE_GUILLAUME[[#This Row],[PCR COMPTABLE €]:[MONTANT
RESPONSABLE RELATION CLIENT €]])-PORTEFEUILLE_GUILLAUME[[#This Row],[MONTANT TOTAL LETTRE DE MISION €]]</f>
        <v>0</v>
      </c>
      <c r="AI33" s="191"/>
      <c r="AJ33" s="188"/>
      <c r="AK33" s="188"/>
      <c r="AL33" s="196"/>
      <c r="AM33" s="196"/>
      <c r="AN33" s="196"/>
      <c r="AO33" s="196"/>
      <c r="AP33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Q33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R33" s="188" t="str">
        <f>IF(PORTEFEUILLE_GUILLAUME[[#This Row],[BONI AAC]]&lt;&gt;0,1,"")</f>
        <v/>
      </c>
      <c r="AS33" s="188" t="str">
        <f>IF(PORTEFEUILLE_GUILLAUME[[#This Row],[MALI AAC]]&lt;&gt;0,1,"")</f>
        <v/>
      </c>
      <c r="AT33" s="225">
        <f>IF(AN33&lt;&gt;"",IF((AN33*Paramètres!$H$4)-PORTEFEUILLE_GUILLAUME[[#This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€]]-(DELPHINE!AN33*Paramètres!$H$4),0),0)</f>
        <v>0</v>
      </c>
      <c r="AU33" s="225">
        <f>IF(AN33&lt;&gt;"",IF(((AN33*Paramètres!$H$4)-PORTEFEUILLE_GUILLAUME[[#This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€]])&gt;0,(AN33*Paramètres!$H$4)-PORTEFEUILLE_GUILLAUME[[#This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V33" s="190" t="str">
        <f>IF(PORTEFEUILLE_GUILLAUME[[#This Row],[BONI COMPTABLE]]&lt;&gt;0,1,"")</f>
        <v/>
      </c>
      <c r="AW33" s="190" t="str">
        <f>IF(PORTEFEUILLE_GUILLAUME[[#This Row],[MALI COMPTABLE]]&lt;&gt;0,1,"")</f>
        <v/>
      </c>
      <c r="AX33" s="196"/>
      <c r="AY33" s="188"/>
      <c r="AZ33" s="188"/>
      <c r="BA33" s="188"/>
      <c r="BB33" s="196"/>
      <c r="BC33" s="196"/>
      <c r="BD33" s="196"/>
      <c r="BE33" s="192"/>
      <c r="BF33" s="194"/>
      <c r="BG33" s="194"/>
      <c r="BH33" s="195"/>
      <c r="BI33" s="194"/>
    </row>
    <row r="34" spans="1:61" x14ac:dyDescent="0.25">
      <c r="A34" s="172"/>
      <c r="B34" s="177"/>
      <c r="C34" s="165"/>
      <c r="D34" s="171"/>
      <c r="E34" s="189"/>
      <c r="F34" s="188"/>
      <c r="G34" s="188"/>
      <c r="H34" s="189"/>
      <c r="I34" s="189"/>
      <c r="J34" s="189"/>
      <c r="K34" s="190" t="str">
        <f t="shared" si="0"/>
        <v/>
      </c>
      <c r="L34" s="190" t="str">
        <f t="shared" si="1"/>
        <v/>
      </c>
      <c r="M34" s="188"/>
      <c r="N34" s="188"/>
      <c r="O34" s="188"/>
      <c r="P34" s="188"/>
      <c r="Q34" s="188"/>
      <c r="R34" s="188"/>
      <c r="S34" s="214"/>
      <c r="T34" s="208"/>
      <c r="U34" s="220"/>
      <c r="V34" s="220"/>
      <c r="W34" s="220"/>
      <c r="X34" s="220"/>
      <c r="Y34" s="220"/>
      <c r="Z34" s="220"/>
      <c r="AA34" s="220"/>
      <c r="AB34" s="220"/>
      <c r="AC34" s="220"/>
      <c r="AD34" s="220"/>
      <c r="AE34" s="220"/>
      <c r="AF34" s="220"/>
      <c r="AG34" s="219"/>
      <c r="AH34" s="225">
        <f>SUM(PORTEFEUILLE_GUILLAUME[[#This Row],[PCR COMPTABLE €]:[MONTANT
RESPONSABLE RELATION CLIENT €]])-PORTEFEUILLE_GUILLAUME[[#This Row],[MONTANT TOTAL LETTRE DE MISION €]]</f>
        <v>0</v>
      </c>
      <c r="AI34" s="191"/>
      <c r="AJ34" s="188"/>
      <c r="AK34" s="188"/>
      <c r="AL34" s="196"/>
      <c r="AM34" s="196"/>
      <c r="AN34" s="196"/>
      <c r="AO34" s="196"/>
      <c r="AP34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Q34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R34" s="188" t="str">
        <f>IF(PORTEFEUILLE_GUILLAUME[[#This Row],[BONI AAC]]&lt;&gt;0,1,"")</f>
        <v/>
      </c>
      <c r="AS34" s="188" t="str">
        <f>IF(PORTEFEUILLE_GUILLAUME[[#This Row],[MALI AAC]]&lt;&gt;0,1,"")</f>
        <v/>
      </c>
      <c r="AT34" s="225">
        <f>IF(AN34&lt;&gt;"",IF((AN34*Paramètres!$H$4)-PORTEFEUILLE_GUILLAUME[[#This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€]]-(DELPHINE!AN34*Paramètres!$H$4),0),0)</f>
        <v>0</v>
      </c>
      <c r="AU34" s="225">
        <f>IF(AN34&lt;&gt;"",IF(((AN34*Paramètres!$H$4)-PORTEFEUILLE_GUILLAUME[[#This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€]])&gt;0,(AN34*Paramètres!$H$4)-PORTEFEUILLE_GUILLAUME[[#This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V34" s="190" t="str">
        <f>IF(PORTEFEUILLE_GUILLAUME[[#This Row],[BONI COMPTABLE]]&lt;&gt;0,1,"")</f>
        <v/>
      </c>
      <c r="AW34" s="190" t="str">
        <f>IF(PORTEFEUILLE_GUILLAUME[[#This Row],[MALI COMPTABLE]]&lt;&gt;0,1,"")</f>
        <v/>
      </c>
      <c r="AX34" s="196"/>
      <c r="AY34" s="188"/>
      <c r="AZ34" s="188"/>
      <c r="BA34" s="188"/>
      <c r="BB34" s="188"/>
      <c r="BC34" s="188"/>
      <c r="BD34" s="188"/>
      <c r="BE34" s="192"/>
      <c r="BF34" s="194"/>
      <c r="BG34" s="194"/>
      <c r="BH34" s="195"/>
      <c r="BI34" s="194"/>
    </row>
    <row r="35" spans="1:61" x14ac:dyDescent="0.25">
      <c r="A35" s="172"/>
      <c r="B35" s="177"/>
      <c r="C35" s="165"/>
      <c r="D35" s="171"/>
      <c r="E35" s="189"/>
      <c r="F35" s="188"/>
      <c r="G35" s="189"/>
      <c r="H35" s="189"/>
      <c r="I35" s="189"/>
      <c r="J35" s="189"/>
      <c r="K35" s="190" t="str">
        <f t="shared" si="0"/>
        <v/>
      </c>
      <c r="L35" s="190" t="str">
        <f t="shared" si="1"/>
        <v/>
      </c>
      <c r="M35" s="188"/>
      <c r="N35" s="188"/>
      <c r="O35" s="188"/>
      <c r="P35" s="188"/>
      <c r="Q35" s="188"/>
      <c r="R35" s="188"/>
      <c r="S35" s="213"/>
      <c r="T35" s="207"/>
      <c r="U35" s="219"/>
      <c r="V35" s="219"/>
      <c r="W35" s="219"/>
      <c r="X35" s="219"/>
      <c r="Y35" s="219"/>
      <c r="Z35" s="219"/>
      <c r="AA35" s="219"/>
      <c r="AB35" s="219"/>
      <c r="AC35" s="219"/>
      <c r="AD35" s="219"/>
      <c r="AE35" s="219"/>
      <c r="AF35" s="219"/>
      <c r="AG35" s="219"/>
      <c r="AH35" s="225">
        <f>SUM(PORTEFEUILLE_GUILLAUME[[#This Row],[PCR COMPTABLE €]:[MONTANT
RESPONSABLE RELATION CLIENT €]])-PORTEFEUILLE_GUILLAUME[[#This Row],[MONTANT TOTAL LETTRE DE MISION €]]</f>
        <v>0</v>
      </c>
      <c r="AI35" s="191"/>
      <c r="AJ35" s="188"/>
      <c r="AK35" s="188"/>
      <c r="AL35" s="188"/>
      <c r="AM35" s="188"/>
      <c r="AN35" s="188"/>
      <c r="AO35" s="188"/>
      <c r="AP35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Q35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R35" s="188" t="str">
        <f>IF(PORTEFEUILLE_GUILLAUME[[#This Row],[BONI AAC]]&lt;&gt;0,1,"")</f>
        <v/>
      </c>
      <c r="AS35" s="188" t="str">
        <f>IF(PORTEFEUILLE_GUILLAUME[[#This Row],[MALI AAC]]&lt;&gt;0,1,"")</f>
        <v/>
      </c>
      <c r="AT35" s="225">
        <f>IF(AN35&lt;&gt;"",IF((AN35*Paramètres!$H$4)-PORTEFEUILLE_GUILLAUME[[#This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€]]-(DELPHINE!AN35*Paramètres!$H$4),0),0)</f>
        <v>0</v>
      </c>
      <c r="AU35" s="225">
        <f>IF(AN35&lt;&gt;"",IF(((AN35*Paramètres!$H$4)-PORTEFEUILLE_GUILLAUME[[#This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€]])&gt;0,(AN35*Paramètres!$H$4)-PORTEFEUILLE_GUILLAUME[[#This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V35" s="190" t="str">
        <f>IF(PORTEFEUILLE_GUILLAUME[[#This Row],[BONI COMPTABLE]]&lt;&gt;0,1,"")</f>
        <v/>
      </c>
      <c r="AW35" s="190" t="str">
        <f>IF(PORTEFEUILLE_GUILLAUME[[#This Row],[MALI COMPTABLE]]&lt;&gt;0,1,"")</f>
        <v/>
      </c>
      <c r="AX35" s="188"/>
      <c r="AY35" s="188"/>
      <c r="AZ35" s="188"/>
      <c r="BA35" s="188"/>
      <c r="BB35" s="188"/>
      <c r="BC35" s="188"/>
      <c r="BD35" s="188"/>
      <c r="BE35" s="192"/>
      <c r="BF35" s="194"/>
      <c r="BG35" s="194"/>
      <c r="BH35" s="195"/>
      <c r="BI35" s="194"/>
    </row>
    <row r="36" spans="1:61" x14ac:dyDescent="0.25">
      <c r="A36" s="172"/>
      <c r="B36" s="178"/>
      <c r="C36" s="165"/>
      <c r="D36" s="171"/>
      <c r="E36" s="189"/>
      <c r="F36" s="188"/>
      <c r="G36" s="189"/>
      <c r="H36" s="189"/>
      <c r="I36" s="189"/>
      <c r="J36" s="189"/>
      <c r="K36" s="190" t="str">
        <f t="shared" si="0"/>
        <v/>
      </c>
      <c r="L36" s="190" t="str">
        <f t="shared" si="1"/>
        <v/>
      </c>
      <c r="M36" s="188"/>
      <c r="N36" s="188"/>
      <c r="O36" s="188"/>
      <c r="P36" s="188"/>
      <c r="Q36" s="188"/>
      <c r="R36" s="188"/>
      <c r="S36" s="213"/>
      <c r="T36" s="207"/>
      <c r="U36" s="219"/>
      <c r="V36" s="219"/>
      <c r="W36" s="219"/>
      <c r="X36" s="219"/>
      <c r="Y36" s="219"/>
      <c r="Z36" s="219"/>
      <c r="AA36" s="219"/>
      <c r="AB36" s="219"/>
      <c r="AC36" s="219"/>
      <c r="AD36" s="219"/>
      <c r="AE36" s="219"/>
      <c r="AF36" s="219"/>
      <c r="AG36" s="219"/>
      <c r="AH36" s="225">
        <f>SUM(PORTEFEUILLE_GUILLAUME[[#This Row],[PCR COMPTABLE €]:[MONTANT
RESPONSABLE RELATION CLIENT €]])-PORTEFEUILLE_GUILLAUME[[#This Row],[MONTANT TOTAL LETTRE DE MISION €]]</f>
        <v>0</v>
      </c>
      <c r="AI36" s="191"/>
      <c r="AJ36" s="188"/>
      <c r="AK36" s="188"/>
      <c r="AL36" s="188"/>
      <c r="AM36" s="188"/>
      <c r="AN36" s="188"/>
      <c r="AO36" s="188"/>
      <c r="AP36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Q36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R36" s="188" t="str">
        <f>IF(PORTEFEUILLE_GUILLAUME[[#This Row],[BONI AAC]]&lt;&gt;0,1,"")</f>
        <v/>
      </c>
      <c r="AS36" s="188" t="str">
        <f>IF(PORTEFEUILLE_GUILLAUME[[#This Row],[MALI AAC]]&lt;&gt;0,1,"")</f>
        <v/>
      </c>
      <c r="AT36" s="225">
        <f>IF(AN36&lt;&gt;"",IF((AN36*Paramètres!$H$4)-PORTEFEUILLE_GUILLAUME[[#This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€]]-(DELPHINE!AN36*Paramètres!$H$4),0),0)</f>
        <v>0</v>
      </c>
      <c r="AU36" s="225">
        <f>IF(AN36&lt;&gt;"",IF(((AN36*Paramètres!$H$4)-PORTEFEUILLE_GUILLAUME[[#This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€]])&gt;0,(AN36*Paramètres!$H$4)-PORTEFEUILLE_GUILLAUME[[#This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V36" s="190" t="str">
        <f>IF(PORTEFEUILLE_GUILLAUME[[#This Row],[BONI COMPTABLE]]&lt;&gt;0,1,"")</f>
        <v/>
      </c>
      <c r="AW36" s="190" t="str">
        <f>IF(PORTEFEUILLE_GUILLAUME[[#This Row],[MALI COMPTABLE]]&lt;&gt;0,1,"")</f>
        <v/>
      </c>
      <c r="AX36" s="188"/>
      <c r="AY36" s="188"/>
      <c r="AZ36" s="188"/>
      <c r="BA36" s="188"/>
      <c r="BB36" s="196"/>
      <c r="BC36" s="196"/>
      <c r="BD36" s="196"/>
      <c r="BE36" s="192"/>
      <c r="BF36" s="194"/>
      <c r="BG36" s="194"/>
      <c r="BH36" s="195"/>
      <c r="BI36" s="194"/>
    </row>
    <row r="37" spans="1:61" x14ac:dyDescent="0.25">
      <c r="A37" s="172"/>
      <c r="B37" s="178"/>
      <c r="C37" s="165"/>
      <c r="D37" s="171"/>
      <c r="E37" s="189"/>
      <c r="F37" s="188"/>
      <c r="G37" s="189"/>
      <c r="H37" s="189"/>
      <c r="I37" s="189"/>
      <c r="J37" s="189"/>
      <c r="K37" s="190" t="str">
        <f t="shared" si="0"/>
        <v/>
      </c>
      <c r="L37" s="190" t="str">
        <f t="shared" si="1"/>
        <v/>
      </c>
      <c r="M37" s="188"/>
      <c r="N37" s="188"/>
      <c r="O37" s="188"/>
      <c r="P37" s="188"/>
      <c r="Q37" s="188"/>
      <c r="R37" s="188"/>
      <c r="S37" s="213"/>
      <c r="T37" s="207"/>
      <c r="U37" s="219"/>
      <c r="V37" s="219"/>
      <c r="W37" s="219"/>
      <c r="X37" s="219"/>
      <c r="Y37" s="219"/>
      <c r="Z37" s="219"/>
      <c r="AA37" s="219"/>
      <c r="AB37" s="219"/>
      <c r="AC37" s="219"/>
      <c r="AD37" s="219"/>
      <c r="AE37" s="219"/>
      <c r="AF37" s="219"/>
      <c r="AG37" s="219"/>
      <c r="AH37" s="225">
        <f>SUM(PORTEFEUILLE_GUILLAUME[[#This Row],[PCR COMPTABLE €]:[MONTANT
RESPONSABLE RELATION CLIENT €]])-PORTEFEUILLE_GUILLAUME[[#This Row],[MONTANT TOTAL LETTRE DE MISION €]]</f>
        <v>0</v>
      </c>
      <c r="AI37" s="191"/>
      <c r="AJ37" s="188"/>
      <c r="AK37" s="188"/>
      <c r="AL37" s="188"/>
      <c r="AM37" s="188"/>
      <c r="AN37" s="188"/>
      <c r="AO37" s="188"/>
      <c r="AP37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Q37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R37" s="188" t="str">
        <f>IF(PORTEFEUILLE_GUILLAUME[[#This Row],[BONI AAC]]&lt;&gt;0,1,"")</f>
        <v/>
      </c>
      <c r="AS37" s="188" t="str">
        <f>IF(PORTEFEUILLE_GUILLAUME[[#This Row],[MALI AAC]]&lt;&gt;0,1,"")</f>
        <v/>
      </c>
      <c r="AT37" s="225">
        <f>IF(AN37&lt;&gt;"",IF((AN37*Paramètres!$H$4)-PORTEFEUILLE_GUILLAUME[[#This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€]]-(DELPHINE!AN37*Paramètres!$H$4),0),0)</f>
        <v>0</v>
      </c>
      <c r="AU37" s="225">
        <f>IF(AN37&lt;&gt;"",IF(((AN37*Paramètres!$H$4)-PORTEFEUILLE_GUILLAUME[[#This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€]])&gt;0,(AN37*Paramètres!$H$4)-PORTEFEUILLE_GUILLAUME[[#This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V37" s="190" t="str">
        <f>IF(PORTEFEUILLE_GUILLAUME[[#This Row],[BONI COMPTABLE]]&lt;&gt;0,1,"")</f>
        <v/>
      </c>
      <c r="AW37" s="190" t="str">
        <f>IF(PORTEFEUILLE_GUILLAUME[[#This Row],[MALI COMPTABLE]]&lt;&gt;0,1,"")</f>
        <v/>
      </c>
      <c r="AX37" s="188"/>
      <c r="AY37" s="188"/>
      <c r="AZ37" s="188"/>
      <c r="BA37" s="188"/>
      <c r="BB37" s="196"/>
      <c r="BC37" s="196"/>
      <c r="BD37" s="196"/>
      <c r="BE37" s="192"/>
      <c r="BF37" s="194"/>
      <c r="BG37" s="194"/>
      <c r="BH37" s="195"/>
      <c r="BI37" s="194"/>
    </row>
    <row r="38" spans="1:61" x14ac:dyDescent="0.25">
      <c r="A38" s="172"/>
      <c r="B38" s="179"/>
      <c r="C38" s="165"/>
      <c r="D38" s="171"/>
      <c r="E38" s="189"/>
      <c r="F38" s="188"/>
      <c r="G38" s="188"/>
      <c r="H38" s="189"/>
      <c r="I38" s="189"/>
      <c r="J38" s="199"/>
      <c r="K38" s="190" t="str">
        <f t="shared" si="0"/>
        <v/>
      </c>
      <c r="L38" s="190" t="str">
        <f t="shared" si="1"/>
        <v/>
      </c>
      <c r="M38" s="188"/>
      <c r="N38" s="188"/>
      <c r="O38" s="188"/>
      <c r="P38" s="188"/>
      <c r="Q38" s="188"/>
      <c r="R38" s="188"/>
      <c r="S38" s="213"/>
      <c r="T38" s="207"/>
      <c r="U38" s="219"/>
      <c r="V38" s="219"/>
      <c r="W38" s="219"/>
      <c r="X38" s="219"/>
      <c r="Y38" s="219"/>
      <c r="Z38" s="219"/>
      <c r="AA38" s="219"/>
      <c r="AB38" s="219"/>
      <c r="AC38" s="219"/>
      <c r="AD38" s="219"/>
      <c r="AE38" s="219"/>
      <c r="AF38" s="219"/>
      <c r="AG38" s="219"/>
      <c r="AH38" s="225">
        <f>SUM(PORTEFEUILLE_GUILLAUME[[#This Row],[PCR COMPTABLE €]:[MONTANT
RESPONSABLE RELATION CLIENT €]])-PORTEFEUILLE_GUILLAUME[[#This Row],[MONTANT TOTAL LETTRE DE MISION €]]</f>
        <v>0</v>
      </c>
      <c r="AI38" s="191"/>
      <c r="AJ38" s="188"/>
      <c r="AK38" s="188"/>
      <c r="AL38" s="188"/>
      <c r="AM38" s="188"/>
      <c r="AN38" s="188"/>
      <c r="AO38" s="188"/>
      <c r="AP38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Q38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R38" s="188" t="str">
        <f>IF(PORTEFEUILLE_GUILLAUME[[#This Row],[BONI AAC]]&lt;&gt;0,1,"")</f>
        <v/>
      </c>
      <c r="AS38" s="188" t="str">
        <f>IF(PORTEFEUILLE_GUILLAUME[[#This Row],[MALI AAC]]&lt;&gt;0,1,"")</f>
        <v/>
      </c>
      <c r="AT38" s="225">
        <f>IF(AN38&lt;&gt;"",IF((AN38*Paramètres!$H$4)-PORTEFEUILLE_GUILLAUME[[#This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€]]-(DELPHINE!AN38*Paramètres!$H$4),0),0)</f>
        <v>0</v>
      </c>
      <c r="AU38" s="225">
        <f>IF(AN38&lt;&gt;"",IF(((AN38*Paramètres!$H$4)-PORTEFEUILLE_GUILLAUME[[#This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€]])&gt;0,(AN38*Paramètres!$H$4)-PORTEFEUILLE_GUILLAUME[[#This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V38" s="190" t="str">
        <f>IF(PORTEFEUILLE_GUILLAUME[[#This Row],[BONI COMPTABLE]]&lt;&gt;0,1,"")</f>
        <v/>
      </c>
      <c r="AW38" s="190" t="str">
        <f>IF(PORTEFEUILLE_GUILLAUME[[#This Row],[MALI COMPTABLE]]&lt;&gt;0,1,"")</f>
        <v/>
      </c>
      <c r="AX38" s="188"/>
      <c r="AY38" s="188"/>
      <c r="AZ38" s="188"/>
      <c r="BA38" s="188"/>
      <c r="BB38" s="196"/>
      <c r="BC38" s="196"/>
      <c r="BD38" s="196"/>
      <c r="BE38" s="192"/>
      <c r="BF38" s="194"/>
      <c r="BG38" s="194"/>
      <c r="BH38" s="195"/>
      <c r="BI38" s="194"/>
    </row>
    <row r="39" spans="1:61" x14ac:dyDescent="0.25">
      <c r="A39" s="172"/>
      <c r="B39" s="180"/>
      <c r="C39" s="165"/>
      <c r="D39" s="171"/>
      <c r="E39" s="189"/>
      <c r="F39" s="188"/>
      <c r="G39" s="189"/>
      <c r="H39" s="189"/>
      <c r="I39" s="189"/>
      <c r="J39" s="189"/>
      <c r="K39" s="190" t="str">
        <f t="shared" si="0"/>
        <v/>
      </c>
      <c r="L39" s="190" t="str">
        <f t="shared" si="1"/>
        <v/>
      </c>
      <c r="M39" s="188"/>
      <c r="N39" s="188"/>
      <c r="O39" s="188"/>
      <c r="P39" s="188"/>
      <c r="Q39" s="188"/>
      <c r="R39" s="188"/>
      <c r="S39" s="213"/>
      <c r="T39" s="207"/>
      <c r="U39" s="219"/>
      <c r="V39" s="219"/>
      <c r="W39" s="219"/>
      <c r="X39" s="219"/>
      <c r="Y39" s="219"/>
      <c r="Z39" s="219"/>
      <c r="AA39" s="219"/>
      <c r="AB39" s="219"/>
      <c r="AC39" s="219"/>
      <c r="AD39" s="219"/>
      <c r="AE39" s="219"/>
      <c r="AF39" s="219"/>
      <c r="AG39" s="219"/>
      <c r="AH39" s="225">
        <f>SUM(PORTEFEUILLE_GUILLAUME[[#This Row],[PCR COMPTABLE €]:[MONTANT
RESPONSABLE RELATION CLIENT €]])-PORTEFEUILLE_GUILLAUME[[#This Row],[MONTANT TOTAL LETTRE DE MISION €]]</f>
        <v>0</v>
      </c>
      <c r="AI39" s="191"/>
      <c r="AJ39" s="188"/>
      <c r="AK39" s="188"/>
      <c r="AL39" s="188"/>
      <c r="AM39" s="188"/>
      <c r="AN39" s="188"/>
      <c r="AO39" s="188"/>
      <c r="AP39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Q39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R39" s="188" t="str">
        <f>IF(PORTEFEUILLE_GUILLAUME[[#This Row],[BONI AAC]]&lt;&gt;0,1,"")</f>
        <v/>
      </c>
      <c r="AS39" s="188" t="str">
        <f>IF(PORTEFEUILLE_GUILLAUME[[#This Row],[MALI AAC]]&lt;&gt;0,1,"")</f>
        <v/>
      </c>
      <c r="AT39" s="225">
        <f>IF(AN39&lt;&gt;"",IF((AN39*Paramètres!$H$4)-PORTEFEUILLE_GUILLAUME[[#This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€]]-(DELPHINE!AN39*Paramètres!$H$4),0),0)</f>
        <v>0</v>
      </c>
      <c r="AU39" s="225">
        <f>IF(AN39&lt;&gt;"",IF(((AN39*Paramètres!$H$4)-PORTEFEUILLE_GUILLAUME[[#This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€]])&gt;0,(AN39*Paramètres!$H$4)-PORTEFEUILLE_GUILLAUME[[#This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V39" s="190" t="str">
        <f>IF(PORTEFEUILLE_GUILLAUME[[#This Row],[BONI COMPTABLE]]&lt;&gt;0,1,"")</f>
        <v/>
      </c>
      <c r="AW39" s="190" t="str">
        <f>IF(PORTEFEUILLE_GUILLAUME[[#This Row],[MALI COMPTABLE]]&lt;&gt;0,1,"")</f>
        <v/>
      </c>
      <c r="AX39" s="188"/>
      <c r="AY39" s="188"/>
      <c r="AZ39" s="188"/>
      <c r="BA39" s="188"/>
      <c r="BB39" s="188"/>
      <c r="BC39" s="188"/>
      <c r="BD39" s="188"/>
      <c r="BE39" s="192"/>
      <c r="BF39" s="194"/>
      <c r="BG39" s="194"/>
      <c r="BH39" s="195"/>
      <c r="BI39" s="194"/>
    </row>
    <row r="40" spans="1:61" x14ac:dyDescent="0.25">
      <c r="A40" s="172"/>
      <c r="B40" s="178"/>
      <c r="C40" s="165"/>
      <c r="D40" s="171"/>
      <c r="E40" s="189"/>
      <c r="F40" s="188"/>
      <c r="G40" s="189"/>
      <c r="H40" s="189"/>
      <c r="I40" s="189"/>
      <c r="J40" s="189"/>
      <c r="K40" s="190" t="str">
        <f t="shared" si="0"/>
        <v/>
      </c>
      <c r="L40" s="190" t="str">
        <f t="shared" si="1"/>
        <v/>
      </c>
      <c r="M40" s="188"/>
      <c r="N40" s="188"/>
      <c r="O40" s="188"/>
      <c r="P40" s="188"/>
      <c r="Q40" s="188"/>
      <c r="R40" s="188"/>
      <c r="S40" s="213"/>
      <c r="T40" s="207"/>
      <c r="U40" s="219"/>
      <c r="V40" s="219"/>
      <c r="W40" s="219"/>
      <c r="X40" s="219"/>
      <c r="Y40" s="219"/>
      <c r="Z40" s="219"/>
      <c r="AA40" s="219"/>
      <c r="AB40" s="219"/>
      <c r="AC40" s="219"/>
      <c r="AD40" s="219"/>
      <c r="AE40" s="219"/>
      <c r="AF40" s="219"/>
      <c r="AG40" s="219"/>
      <c r="AH40" s="225">
        <f>SUM(PORTEFEUILLE_GUILLAUME[[#This Row],[PCR COMPTABLE €]:[MONTANT
RESPONSABLE RELATION CLIENT €]])-PORTEFEUILLE_GUILLAUME[[#This Row],[MONTANT TOTAL LETTRE DE MISION €]]</f>
        <v>0</v>
      </c>
      <c r="AI40" s="191"/>
      <c r="AJ40" s="188"/>
      <c r="AK40" s="188"/>
      <c r="AL40" s="188"/>
      <c r="AM40" s="188"/>
      <c r="AN40" s="188"/>
      <c r="AO40" s="188"/>
      <c r="AP40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Q40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R40" s="188" t="str">
        <f>IF(PORTEFEUILLE_GUILLAUME[[#This Row],[BONI AAC]]&lt;&gt;0,1,"")</f>
        <v/>
      </c>
      <c r="AS40" s="188" t="str">
        <f>IF(PORTEFEUILLE_GUILLAUME[[#This Row],[MALI AAC]]&lt;&gt;0,1,"")</f>
        <v/>
      </c>
      <c r="AT40" s="225">
        <f>IF(AN40&lt;&gt;"",IF((AN40*Paramètres!$H$4)-PORTEFEUILLE_GUILLAUME[[#This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€]]-(DELPHINE!AN40*Paramètres!$H$4),0),0)</f>
        <v>0</v>
      </c>
      <c r="AU40" s="225">
        <f>IF(AN40&lt;&gt;"",IF(((AN40*Paramètres!$H$4)-PORTEFEUILLE_GUILLAUME[[#This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€]])&gt;0,(AN40*Paramètres!$H$4)-PORTEFEUILLE_GUILLAUME[[#This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V40" s="190" t="str">
        <f>IF(PORTEFEUILLE_GUILLAUME[[#This Row],[BONI COMPTABLE]]&lt;&gt;0,1,"")</f>
        <v/>
      </c>
      <c r="AW40" s="190" t="str">
        <f>IF(PORTEFEUILLE_GUILLAUME[[#This Row],[MALI COMPTABLE]]&lt;&gt;0,1,"")</f>
        <v/>
      </c>
      <c r="AX40" s="188"/>
      <c r="AY40" s="188"/>
      <c r="AZ40" s="188"/>
      <c r="BA40" s="188"/>
      <c r="BB40" s="188"/>
      <c r="BC40" s="188"/>
      <c r="BD40" s="188"/>
      <c r="BE40" s="192"/>
      <c r="BF40" s="194"/>
      <c r="BG40" s="194"/>
      <c r="BH40" s="195"/>
      <c r="BI40" s="194"/>
    </row>
    <row r="41" spans="1:61" x14ac:dyDescent="0.25">
      <c r="A41" s="172"/>
      <c r="B41" s="178"/>
      <c r="C41" s="165"/>
      <c r="D41" s="171"/>
      <c r="E41" s="189"/>
      <c r="F41" s="188"/>
      <c r="G41" s="188"/>
      <c r="H41" s="189"/>
      <c r="I41" s="189"/>
      <c r="J41" s="189"/>
      <c r="K41" s="190" t="str">
        <f t="shared" si="0"/>
        <v/>
      </c>
      <c r="L41" s="190" t="str">
        <f t="shared" si="1"/>
        <v/>
      </c>
      <c r="M41" s="188"/>
      <c r="N41" s="188"/>
      <c r="O41" s="188"/>
      <c r="P41" s="188"/>
      <c r="Q41" s="188"/>
      <c r="R41" s="188"/>
      <c r="S41" s="214"/>
      <c r="T41" s="208"/>
      <c r="U41" s="220"/>
      <c r="V41" s="220"/>
      <c r="W41" s="220"/>
      <c r="X41" s="220"/>
      <c r="Y41" s="220"/>
      <c r="Z41" s="220"/>
      <c r="AA41" s="220"/>
      <c r="AB41" s="220"/>
      <c r="AC41" s="220"/>
      <c r="AD41" s="220"/>
      <c r="AE41" s="220"/>
      <c r="AF41" s="220"/>
      <c r="AG41" s="219"/>
      <c r="AH41" s="225">
        <f>SUM(PORTEFEUILLE_GUILLAUME[[#This Row],[PCR COMPTABLE €]:[MONTANT
RESPONSABLE RELATION CLIENT €]])-PORTEFEUILLE_GUILLAUME[[#This Row],[MONTANT TOTAL LETTRE DE MISION €]]</f>
        <v>0</v>
      </c>
      <c r="AI41" s="191"/>
      <c r="AJ41" s="188"/>
      <c r="AK41" s="188"/>
      <c r="AL41" s="196"/>
      <c r="AM41" s="196"/>
      <c r="AN41" s="196"/>
      <c r="AO41" s="196"/>
      <c r="AP41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Q41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R41" s="188" t="str">
        <f>IF(PORTEFEUILLE_GUILLAUME[[#This Row],[BONI AAC]]&lt;&gt;0,1,"")</f>
        <v/>
      </c>
      <c r="AS41" s="188" t="str">
        <f>IF(PORTEFEUILLE_GUILLAUME[[#This Row],[MALI AAC]]&lt;&gt;0,1,"")</f>
        <v/>
      </c>
      <c r="AT41" s="225">
        <f>IF(AN41&lt;&gt;"",IF((AN41*Paramètres!$H$4)-PORTEFEUILLE_GUILLAUME[[#This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€]]-(DELPHINE!AN41*Paramètres!$H$4),0),0)</f>
        <v>0</v>
      </c>
      <c r="AU41" s="225">
        <f>IF(AN41&lt;&gt;"",IF(((AN41*Paramètres!$H$4)-PORTEFEUILLE_GUILLAUME[[#This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€]])&gt;0,(AN41*Paramètres!$H$4)-PORTEFEUILLE_GUILLAUME[[#This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V41" s="190" t="str">
        <f>IF(PORTEFEUILLE_GUILLAUME[[#This Row],[BONI COMPTABLE]]&lt;&gt;0,1,"")</f>
        <v/>
      </c>
      <c r="AW41" s="190" t="str">
        <f>IF(PORTEFEUILLE_GUILLAUME[[#This Row],[MALI COMPTABLE]]&lt;&gt;0,1,"")</f>
        <v/>
      </c>
      <c r="AX41" s="196"/>
      <c r="AY41" s="188"/>
      <c r="AZ41" s="188"/>
      <c r="BA41" s="188"/>
      <c r="BB41" s="188"/>
      <c r="BC41" s="188"/>
      <c r="BD41" s="188"/>
      <c r="BE41" s="192"/>
      <c r="BF41" s="194"/>
      <c r="BG41" s="194"/>
      <c r="BH41" s="195"/>
      <c r="BI41" s="194"/>
    </row>
    <row r="42" spans="1:61" x14ac:dyDescent="0.25">
      <c r="A42" s="172"/>
      <c r="B42" s="178"/>
      <c r="C42" s="165"/>
      <c r="D42" s="171"/>
      <c r="E42" s="189"/>
      <c r="F42" s="188"/>
      <c r="G42" s="188"/>
      <c r="H42" s="189"/>
      <c r="I42" s="188"/>
      <c r="J42" s="189"/>
      <c r="K42" s="190" t="str">
        <f t="shared" si="0"/>
        <v/>
      </c>
      <c r="L42" s="190" t="str">
        <f t="shared" si="1"/>
        <v/>
      </c>
      <c r="M42" s="188"/>
      <c r="N42" s="188"/>
      <c r="O42" s="188"/>
      <c r="P42" s="188"/>
      <c r="Q42" s="188"/>
      <c r="R42" s="188"/>
      <c r="S42" s="214"/>
      <c r="T42" s="208"/>
      <c r="U42" s="220"/>
      <c r="V42" s="220"/>
      <c r="W42" s="220"/>
      <c r="X42" s="220"/>
      <c r="Y42" s="220"/>
      <c r="Z42" s="220"/>
      <c r="AA42" s="220"/>
      <c r="AB42" s="220"/>
      <c r="AC42" s="220"/>
      <c r="AD42" s="220"/>
      <c r="AE42" s="220"/>
      <c r="AF42" s="220"/>
      <c r="AG42" s="219"/>
      <c r="AH42" s="225">
        <f>SUM(PORTEFEUILLE_GUILLAUME[[#This Row],[PCR COMPTABLE €]:[MONTANT
RESPONSABLE RELATION CLIENT €]])-PORTEFEUILLE_GUILLAUME[[#This Row],[MONTANT TOTAL LETTRE DE MISION €]]</f>
        <v>0</v>
      </c>
      <c r="AI42" s="191"/>
      <c r="AJ42" s="188"/>
      <c r="AK42" s="188"/>
      <c r="AL42" s="196"/>
      <c r="AM42" s="196"/>
      <c r="AN42" s="196"/>
      <c r="AO42" s="196"/>
      <c r="AP42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Q42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R42" s="188" t="str">
        <f>IF(PORTEFEUILLE_GUILLAUME[[#This Row],[BONI AAC]]&lt;&gt;0,1,"")</f>
        <v/>
      </c>
      <c r="AS42" s="188" t="str">
        <f>IF(PORTEFEUILLE_GUILLAUME[[#This Row],[MALI AAC]]&lt;&gt;0,1,"")</f>
        <v/>
      </c>
      <c r="AT42" s="225">
        <f>IF(AN42&lt;&gt;"",IF((AN42*Paramètres!$H$4)-PORTEFEUILLE_GUILLAUME[[#This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€]]-(DELPHINE!AN42*Paramètres!$H$4),0),0)</f>
        <v>0</v>
      </c>
      <c r="AU42" s="225">
        <f>IF(AN42&lt;&gt;"",IF(((AN42*Paramètres!$H$4)-PORTEFEUILLE_GUILLAUME[[#This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€]])&gt;0,(AN42*Paramètres!$H$4)-PORTEFEUILLE_GUILLAUME[[#This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V42" s="190" t="str">
        <f>IF(PORTEFEUILLE_GUILLAUME[[#This Row],[BONI COMPTABLE]]&lt;&gt;0,1,"")</f>
        <v/>
      </c>
      <c r="AW42" s="190" t="str">
        <f>IF(PORTEFEUILLE_GUILLAUME[[#This Row],[MALI COMPTABLE]]&lt;&gt;0,1,"")</f>
        <v/>
      </c>
      <c r="AX42" s="196"/>
      <c r="AY42" s="188"/>
      <c r="AZ42" s="188"/>
      <c r="BA42" s="188"/>
      <c r="BB42" s="196"/>
      <c r="BC42" s="196"/>
      <c r="BD42" s="196"/>
      <c r="BE42" s="192"/>
      <c r="BF42" s="194"/>
      <c r="BG42" s="194"/>
      <c r="BH42" s="195"/>
      <c r="BI42" s="194"/>
    </row>
    <row r="43" spans="1:61" x14ac:dyDescent="0.25">
      <c r="A43" s="172"/>
      <c r="B43" s="178"/>
      <c r="C43" s="165"/>
      <c r="D43" s="171"/>
      <c r="E43" s="189"/>
      <c r="F43" s="188"/>
      <c r="G43" s="189"/>
      <c r="H43" s="189"/>
      <c r="I43" s="189"/>
      <c r="J43" s="189"/>
      <c r="K43" s="190" t="str">
        <f t="shared" si="0"/>
        <v/>
      </c>
      <c r="L43" s="190" t="str">
        <f t="shared" si="1"/>
        <v/>
      </c>
      <c r="M43" s="188"/>
      <c r="N43" s="188"/>
      <c r="O43" s="188"/>
      <c r="P43" s="188"/>
      <c r="Q43" s="188"/>
      <c r="R43" s="188"/>
      <c r="S43" s="213"/>
      <c r="T43" s="207"/>
      <c r="U43" s="219"/>
      <c r="V43" s="219"/>
      <c r="W43" s="219"/>
      <c r="X43" s="219"/>
      <c r="Y43" s="219"/>
      <c r="Z43" s="219"/>
      <c r="AA43" s="219"/>
      <c r="AB43" s="219"/>
      <c r="AC43" s="219"/>
      <c r="AD43" s="219"/>
      <c r="AE43" s="219"/>
      <c r="AF43" s="219"/>
      <c r="AG43" s="219"/>
      <c r="AH43" s="225">
        <f>SUM(PORTEFEUILLE_GUILLAUME[[#This Row],[PCR COMPTABLE €]:[MONTANT
RESPONSABLE RELATION CLIENT €]])-PORTEFEUILLE_GUILLAUME[[#This Row],[MONTANT TOTAL LETTRE DE MISION €]]</f>
        <v>0</v>
      </c>
      <c r="AI43" s="191"/>
      <c r="AJ43" s="188"/>
      <c r="AK43" s="188"/>
      <c r="AL43" s="188"/>
      <c r="AM43" s="188"/>
      <c r="AN43" s="188"/>
      <c r="AO43" s="188"/>
      <c r="AP43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Q43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R43" s="188" t="str">
        <f>IF(PORTEFEUILLE_GUILLAUME[[#This Row],[BONI AAC]]&lt;&gt;0,1,"")</f>
        <v/>
      </c>
      <c r="AS43" s="188" t="str">
        <f>IF(PORTEFEUILLE_GUILLAUME[[#This Row],[MALI AAC]]&lt;&gt;0,1,"")</f>
        <v/>
      </c>
      <c r="AT43" s="225">
        <f>IF(AN43&lt;&gt;"",IF((AN43*Paramètres!$H$4)-PORTEFEUILLE_GUILLAUME[[#This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€]]-(DELPHINE!AN43*Paramètres!$H$4),0),0)</f>
        <v>0</v>
      </c>
      <c r="AU43" s="225">
        <f>IF(AN43&lt;&gt;"",IF(((AN43*Paramètres!$H$4)-PORTEFEUILLE_GUILLAUME[[#This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€]])&gt;0,(AN43*Paramètres!$H$4)-PORTEFEUILLE_GUILLAUME[[#This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V43" s="190" t="str">
        <f>IF(PORTEFEUILLE_GUILLAUME[[#This Row],[BONI COMPTABLE]]&lt;&gt;0,1,"")</f>
        <v/>
      </c>
      <c r="AW43" s="190" t="str">
        <f>IF(PORTEFEUILLE_GUILLAUME[[#This Row],[MALI COMPTABLE]]&lt;&gt;0,1,"")</f>
        <v/>
      </c>
      <c r="AX43" s="188"/>
      <c r="AY43" s="188"/>
      <c r="AZ43" s="188"/>
      <c r="BA43" s="188"/>
      <c r="BB43" s="196"/>
      <c r="BC43" s="196"/>
      <c r="BD43" s="196"/>
      <c r="BE43" s="192"/>
      <c r="BF43" s="194"/>
      <c r="BG43" s="194"/>
      <c r="BH43" s="195"/>
      <c r="BI43" s="194"/>
    </row>
    <row r="44" spans="1:61" s="241" customFormat="1" x14ac:dyDescent="0.25">
      <c r="A44" s="172"/>
      <c r="B44" s="181"/>
      <c r="C44" s="165"/>
      <c r="D44" s="165"/>
      <c r="E44" s="189"/>
      <c r="F44" s="188"/>
      <c r="G44" s="189"/>
      <c r="H44" s="189"/>
      <c r="I44" s="189"/>
      <c r="J44" s="199"/>
      <c r="K44" s="190" t="str">
        <f t="shared" si="0"/>
        <v/>
      </c>
      <c r="L44" s="190" t="str">
        <f t="shared" si="1"/>
        <v/>
      </c>
      <c r="M44" s="188"/>
      <c r="N44" s="188"/>
      <c r="O44" s="188"/>
      <c r="P44" s="188"/>
      <c r="Q44" s="188"/>
      <c r="R44" s="188"/>
      <c r="S44" s="213"/>
      <c r="T44" s="207"/>
      <c r="U44" s="219"/>
      <c r="V44" s="219"/>
      <c r="W44" s="219"/>
      <c r="X44" s="219"/>
      <c r="Y44" s="219"/>
      <c r="Z44" s="219"/>
      <c r="AA44" s="219"/>
      <c r="AB44" s="219"/>
      <c r="AC44" s="219"/>
      <c r="AD44" s="219"/>
      <c r="AE44" s="219"/>
      <c r="AF44" s="219"/>
      <c r="AG44" s="219"/>
      <c r="AH44" s="225">
        <f>SUM(PORTEFEUILLE_GUILLAUME[[#This Row],[PCR COMPTABLE €]:[MONTANT
RESPONSABLE RELATION CLIENT €]])-PORTEFEUILLE_GUILLAUME[[#This Row],[MONTANT TOTAL LETTRE DE MISION €]]</f>
        <v>0</v>
      </c>
      <c r="AI44" s="191"/>
      <c r="AJ44" s="188"/>
      <c r="AK44" s="188"/>
      <c r="AL44" s="188"/>
      <c r="AM44" s="188"/>
      <c r="AN44" s="188"/>
      <c r="AO44" s="188"/>
      <c r="AP44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Q44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R44" s="188" t="str">
        <f>IF(PORTEFEUILLE_GUILLAUME[[#This Row],[BONI AAC]]&lt;&gt;0,1,"")</f>
        <v/>
      </c>
      <c r="AS44" s="188" t="str">
        <f>IF(PORTEFEUILLE_GUILLAUME[[#This Row],[MALI AAC]]&lt;&gt;0,1,"")</f>
        <v/>
      </c>
      <c r="AT44" s="225">
        <f>IF(AN44&lt;&gt;"",IF((AN44*Paramètres!$H$4)-PORTEFEUILLE_GUILLAUME[[#This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€]]-(DELPHINE!AN44*Paramètres!$H$4),0),0)</f>
        <v>0</v>
      </c>
      <c r="AU44" s="225">
        <f>IF(AN44&lt;&gt;"",IF(((AN44*Paramètres!$H$4)-PORTEFEUILLE_GUILLAUME[[#This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€]])&gt;0,(AN44*Paramètres!$H$4)-PORTEFEUILLE_GUILLAUME[[#This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V44" s="190" t="str">
        <f>IF(PORTEFEUILLE_GUILLAUME[[#This Row],[BONI COMPTABLE]]&lt;&gt;0,1,"")</f>
        <v/>
      </c>
      <c r="AW44" s="190" t="str">
        <f>IF(PORTEFEUILLE_GUILLAUME[[#This Row],[MALI COMPTABLE]]&lt;&gt;0,1,"")</f>
        <v/>
      </c>
      <c r="AX44" s="188"/>
      <c r="AY44" s="188"/>
      <c r="AZ44" s="188"/>
      <c r="BA44" s="188"/>
      <c r="BB44" s="196"/>
      <c r="BC44" s="196"/>
      <c r="BD44" s="196"/>
      <c r="BE44" s="192"/>
      <c r="BF44" s="194"/>
      <c r="BG44" s="194"/>
      <c r="BH44" s="195"/>
      <c r="BI44" s="194"/>
    </row>
    <row r="45" spans="1:61" x14ac:dyDescent="0.25">
      <c r="A45" s="172"/>
      <c r="B45" s="181"/>
      <c r="C45" s="165"/>
      <c r="D45" s="165"/>
      <c r="E45" s="189"/>
      <c r="F45" s="188"/>
      <c r="G45" s="189"/>
      <c r="H45" s="189"/>
      <c r="I45" s="189"/>
      <c r="J45" s="189"/>
      <c r="K45" s="190" t="str">
        <f t="shared" si="0"/>
        <v/>
      </c>
      <c r="L45" s="190" t="str">
        <f t="shared" si="1"/>
        <v/>
      </c>
      <c r="M45" s="188"/>
      <c r="N45" s="188"/>
      <c r="O45" s="188"/>
      <c r="P45" s="188"/>
      <c r="Q45" s="188"/>
      <c r="R45" s="188"/>
      <c r="S45" s="213"/>
      <c r="T45" s="207"/>
      <c r="U45" s="219"/>
      <c r="V45" s="219"/>
      <c r="W45" s="219"/>
      <c r="X45" s="219"/>
      <c r="Y45" s="219"/>
      <c r="Z45" s="219"/>
      <c r="AA45" s="219"/>
      <c r="AB45" s="219"/>
      <c r="AC45" s="219"/>
      <c r="AD45" s="219"/>
      <c r="AE45" s="219"/>
      <c r="AF45" s="219"/>
      <c r="AG45" s="219"/>
      <c r="AH45" s="225">
        <f>SUM(PORTEFEUILLE_GUILLAUME[[#This Row],[PCR COMPTABLE €]:[MONTANT
RESPONSABLE RELATION CLIENT €]])-PORTEFEUILLE_GUILLAUME[[#This Row],[MONTANT TOTAL LETTRE DE MISION €]]</f>
        <v>0</v>
      </c>
      <c r="AI45" s="191"/>
      <c r="AJ45" s="188"/>
      <c r="AK45" s="188"/>
      <c r="AL45" s="188"/>
      <c r="AM45" s="188"/>
      <c r="AN45" s="188"/>
      <c r="AO45" s="188"/>
      <c r="AP45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Q45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R45" s="188" t="str">
        <f>IF(PORTEFEUILLE_GUILLAUME[[#This Row],[BONI AAC]]&lt;&gt;0,1,"")</f>
        <v/>
      </c>
      <c r="AS45" s="188" t="str">
        <f>IF(PORTEFEUILLE_GUILLAUME[[#This Row],[MALI AAC]]&lt;&gt;0,1,"")</f>
        <v/>
      </c>
      <c r="AT45" s="225">
        <f>IF(AN45&lt;&gt;"",IF((AN45*Paramètres!$H$4)-PORTEFEUILLE_GUILLAUME[[#This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€]]-(DELPHINE!AN45*Paramètres!$H$4),0),0)</f>
        <v>0</v>
      </c>
      <c r="AU45" s="225">
        <f>IF(AN45&lt;&gt;"",IF(((AN45*Paramètres!$H$4)-PORTEFEUILLE_GUILLAUME[[#This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€]])&gt;0,(AN45*Paramètres!$H$4)-PORTEFEUILLE_GUILLAUME[[#This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V45" s="190" t="str">
        <f>IF(PORTEFEUILLE_GUILLAUME[[#This Row],[BONI COMPTABLE]]&lt;&gt;0,1,"")</f>
        <v/>
      </c>
      <c r="AW45" s="190" t="str">
        <f>IF(PORTEFEUILLE_GUILLAUME[[#This Row],[MALI COMPTABLE]]&lt;&gt;0,1,"")</f>
        <v/>
      </c>
      <c r="AX45" s="188"/>
      <c r="AY45" s="188"/>
      <c r="AZ45" s="188"/>
      <c r="BA45" s="188"/>
      <c r="BB45" s="188"/>
      <c r="BC45" s="188"/>
      <c r="BD45" s="188"/>
      <c r="BE45" s="192"/>
      <c r="BF45" s="194"/>
      <c r="BG45" s="194"/>
      <c r="BH45" s="195"/>
      <c r="BI45" s="194"/>
    </row>
    <row r="46" spans="1:61" x14ac:dyDescent="0.25">
      <c r="A46" s="172"/>
      <c r="B46" s="181"/>
      <c r="C46" s="165"/>
      <c r="D46" s="171"/>
      <c r="E46" s="189"/>
      <c r="F46" s="188"/>
      <c r="G46" s="188"/>
      <c r="H46" s="189"/>
      <c r="I46" s="188"/>
      <c r="J46" s="189"/>
      <c r="K46" s="190" t="str">
        <f t="shared" si="0"/>
        <v/>
      </c>
      <c r="L46" s="190" t="str">
        <f t="shared" si="1"/>
        <v/>
      </c>
      <c r="M46" s="188"/>
      <c r="N46" s="188"/>
      <c r="O46" s="188"/>
      <c r="P46" s="188"/>
      <c r="Q46" s="188"/>
      <c r="R46" s="188"/>
      <c r="S46" s="214"/>
      <c r="T46" s="208"/>
      <c r="U46" s="220"/>
      <c r="V46" s="220"/>
      <c r="W46" s="220"/>
      <c r="X46" s="220"/>
      <c r="Y46" s="220"/>
      <c r="Z46" s="220"/>
      <c r="AA46" s="220"/>
      <c r="AB46" s="220"/>
      <c r="AC46" s="220"/>
      <c r="AD46" s="220"/>
      <c r="AE46" s="220"/>
      <c r="AF46" s="220"/>
      <c r="AG46" s="219"/>
      <c r="AH46" s="225">
        <f>SUM(PORTEFEUILLE_GUILLAUME[[#This Row],[PCR COMPTABLE €]:[MONTANT
RESPONSABLE RELATION CLIENT €]])-PORTEFEUILLE_GUILLAUME[[#This Row],[MONTANT TOTAL LETTRE DE MISION €]]</f>
        <v>0</v>
      </c>
      <c r="AI46" s="191"/>
      <c r="AJ46" s="188"/>
      <c r="AK46" s="188"/>
      <c r="AL46" s="196"/>
      <c r="AM46" s="196"/>
      <c r="AN46" s="196"/>
      <c r="AO46" s="196"/>
      <c r="AP46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Q46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R46" s="188" t="str">
        <f>IF(PORTEFEUILLE_GUILLAUME[[#This Row],[BONI AAC]]&lt;&gt;0,1,"")</f>
        <v/>
      </c>
      <c r="AS46" s="188" t="str">
        <f>IF(PORTEFEUILLE_GUILLAUME[[#This Row],[MALI AAC]]&lt;&gt;0,1,"")</f>
        <v/>
      </c>
      <c r="AT46" s="225">
        <f>IF(AN46&lt;&gt;"",IF((AN46*Paramètres!$H$4)-PORTEFEUILLE_GUILLAUME[[#This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€]]-(DELPHINE!AN46*Paramètres!$H$4),0),0)</f>
        <v>0</v>
      </c>
      <c r="AU46" s="225">
        <f>IF(AN46&lt;&gt;"",IF(((AN46*Paramètres!$H$4)-PORTEFEUILLE_GUILLAUME[[#This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€]])&gt;0,(AN46*Paramètres!$H$4)-PORTEFEUILLE_GUILLAUME[[#This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V46" s="190" t="str">
        <f>IF(PORTEFEUILLE_GUILLAUME[[#This Row],[BONI COMPTABLE]]&lt;&gt;0,1,"")</f>
        <v/>
      </c>
      <c r="AW46" s="190" t="str">
        <f>IF(PORTEFEUILLE_GUILLAUME[[#This Row],[MALI COMPTABLE]]&lt;&gt;0,1,"")</f>
        <v/>
      </c>
      <c r="AX46" s="196"/>
      <c r="AY46" s="188"/>
      <c r="AZ46" s="188"/>
      <c r="BA46" s="188"/>
      <c r="BB46" s="188"/>
      <c r="BC46" s="188"/>
      <c r="BD46" s="188"/>
      <c r="BE46" s="192"/>
      <c r="BF46" s="194"/>
      <c r="BG46" s="194"/>
      <c r="BH46" s="195"/>
      <c r="BI46" s="194"/>
    </row>
    <row r="47" spans="1:61" x14ac:dyDescent="0.25">
      <c r="A47" s="172"/>
      <c r="B47" s="181"/>
      <c r="C47" s="165"/>
      <c r="D47" s="171"/>
      <c r="E47" s="189"/>
      <c r="F47" s="188"/>
      <c r="G47" s="189"/>
      <c r="H47" s="189"/>
      <c r="I47" s="189"/>
      <c r="J47" s="189"/>
      <c r="K47" s="190" t="str">
        <f t="shared" si="0"/>
        <v/>
      </c>
      <c r="L47" s="190" t="str">
        <f t="shared" si="1"/>
        <v/>
      </c>
      <c r="M47" s="188"/>
      <c r="N47" s="188"/>
      <c r="O47" s="188"/>
      <c r="P47" s="188"/>
      <c r="Q47" s="188"/>
      <c r="R47" s="188"/>
      <c r="S47" s="213"/>
      <c r="T47" s="207"/>
      <c r="U47" s="219"/>
      <c r="V47" s="219"/>
      <c r="W47" s="219"/>
      <c r="X47" s="219"/>
      <c r="Y47" s="219"/>
      <c r="Z47" s="219"/>
      <c r="AA47" s="219"/>
      <c r="AB47" s="219"/>
      <c r="AC47" s="219"/>
      <c r="AD47" s="219"/>
      <c r="AE47" s="219"/>
      <c r="AF47" s="219"/>
      <c r="AG47" s="219"/>
      <c r="AH47" s="225">
        <f>SUM(PORTEFEUILLE_GUILLAUME[[#This Row],[PCR COMPTABLE €]:[MONTANT
RESPONSABLE RELATION CLIENT €]])-PORTEFEUILLE_GUILLAUME[[#This Row],[MONTANT TOTAL LETTRE DE MISION €]]</f>
        <v>0</v>
      </c>
      <c r="AI47" s="191"/>
      <c r="AJ47" s="188"/>
      <c r="AK47" s="188"/>
      <c r="AL47" s="188"/>
      <c r="AM47" s="188"/>
      <c r="AN47" s="188"/>
      <c r="AO47" s="188"/>
      <c r="AP47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Q47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R47" s="188" t="str">
        <f>IF(PORTEFEUILLE_GUILLAUME[[#This Row],[BONI AAC]]&lt;&gt;0,1,"")</f>
        <v/>
      </c>
      <c r="AS47" s="188" t="str">
        <f>IF(PORTEFEUILLE_GUILLAUME[[#This Row],[MALI AAC]]&lt;&gt;0,1,"")</f>
        <v/>
      </c>
      <c r="AT47" s="225">
        <f>IF(AN47&lt;&gt;"",IF((AN47*Paramètres!$H$4)-PORTEFEUILLE_GUILLAUME[[#This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€]]-(DELPHINE!AN47*Paramètres!$H$4),0),0)</f>
        <v>0</v>
      </c>
      <c r="AU47" s="225">
        <f>IF(AN47&lt;&gt;"",IF(((AN47*Paramètres!$H$4)-PORTEFEUILLE_GUILLAUME[[#This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€]])&gt;0,(AN47*Paramètres!$H$4)-PORTEFEUILLE_GUILLAUME[[#This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V47" s="190" t="str">
        <f>IF(PORTEFEUILLE_GUILLAUME[[#This Row],[BONI COMPTABLE]]&lt;&gt;0,1,"")</f>
        <v/>
      </c>
      <c r="AW47" s="190" t="str">
        <f>IF(PORTEFEUILLE_GUILLAUME[[#This Row],[MALI COMPTABLE]]&lt;&gt;0,1,"")</f>
        <v/>
      </c>
      <c r="AX47" s="188"/>
      <c r="AY47" s="188"/>
      <c r="AZ47" s="188"/>
      <c r="BA47" s="188"/>
      <c r="BB47" s="188"/>
      <c r="BC47" s="188"/>
      <c r="BD47" s="188"/>
      <c r="BE47" s="192"/>
      <c r="BF47" s="194"/>
      <c r="BG47" s="194"/>
      <c r="BH47" s="195"/>
      <c r="BI47" s="194"/>
    </row>
    <row r="48" spans="1:61" x14ac:dyDescent="0.25">
      <c r="A48" s="172"/>
      <c r="B48" s="180"/>
      <c r="C48" s="165"/>
      <c r="D48" s="171"/>
      <c r="E48" s="189"/>
      <c r="F48" s="188"/>
      <c r="G48" s="188"/>
      <c r="H48" s="189"/>
      <c r="I48" s="189"/>
      <c r="J48" s="189"/>
      <c r="K48" s="190" t="str">
        <f t="shared" si="0"/>
        <v/>
      </c>
      <c r="L48" s="190" t="str">
        <f t="shared" si="1"/>
        <v/>
      </c>
      <c r="M48" s="188"/>
      <c r="N48" s="188"/>
      <c r="O48" s="188"/>
      <c r="P48" s="188"/>
      <c r="Q48" s="188"/>
      <c r="R48" s="188"/>
      <c r="S48" s="214"/>
      <c r="T48" s="208"/>
      <c r="U48" s="220"/>
      <c r="V48" s="220"/>
      <c r="W48" s="220"/>
      <c r="X48" s="220"/>
      <c r="Y48" s="220"/>
      <c r="Z48" s="220"/>
      <c r="AA48" s="220"/>
      <c r="AB48" s="220"/>
      <c r="AC48" s="220"/>
      <c r="AD48" s="220"/>
      <c r="AE48" s="220"/>
      <c r="AF48" s="220"/>
      <c r="AG48" s="219"/>
      <c r="AH48" s="225">
        <f>SUM(PORTEFEUILLE_GUILLAUME[[#This Row],[PCR COMPTABLE €]:[MONTANT
RESPONSABLE RELATION CLIENT €]])-PORTEFEUILLE_GUILLAUME[[#This Row],[MONTANT TOTAL LETTRE DE MISION €]]</f>
        <v>0</v>
      </c>
      <c r="AI48" s="191"/>
      <c r="AJ48" s="188"/>
      <c r="AK48" s="188"/>
      <c r="AL48" s="196"/>
      <c r="AM48" s="196"/>
      <c r="AN48" s="196"/>
      <c r="AO48" s="196"/>
      <c r="AP48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Q48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R48" s="188" t="str">
        <f>IF(PORTEFEUILLE_GUILLAUME[[#This Row],[BONI AAC]]&lt;&gt;0,1,"")</f>
        <v/>
      </c>
      <c r="AS48" s="188" t="str">
        <f>IF(PORTEFEUILLE_GUILLAUME[[#This Row],[MALI AAC]]&lt;&gt;0,1,"")</f>
        <v/>
      </c>
      <c r="AT48" s="225">
        <f>IF(AN48&lt;&gt;"",IF((AN48*Paramètres!$H$4)-PORTEFEUILLE_GUILLAUME[[#This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€]]-(DELPHINE!AN48*Paramètres!$H$4),0),0)</f>
        <v>0</v>
      </c>
      <c r="AU48" s="225">
        <f>IF(AN48&lt;&gt;"",IF(((AN48*Paramètres!$H$4)-PORTEFEUILLE_GUILLAUME[[#This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€]])&gt;0,(AN48*Paramètres!$H$4)-PORTEFEUILLE_GUILLAUME[[#This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V48" s="190" t="str">
        <f>IF(PORTEFEUILLE_GUILLAUME[[#This Row],[BONI COMPTABLE]]&lt;&gt;0,1,"")</f>
        <v/>
      </c>
      <c r="AW48" s="190" t="str">
        <f>IF(PORTEFEUILLE_GUILLAUME[[#This Row],[MALI COMPTABLE]]&lt;&gt;0,1,"")</f>
        <v/>
      </c>
      <c r="AX48" s="196"/>
      <c r="AY48" s="188"/>
      <c r="AZ48" s="188"/>
      <c r="BA48" s="188"/>
      <c r="BB48" s="188"/>
      <c r="BC48" s="188"/>
      <c r="BD48" s="188"/>
      <c r="BE48" s="192"/>
      <c r="BF48" s="194"/>
      <c r="BG48" s="194"/>
      <c r="BH48" s="195"/>
      <c r="BI48" s="194"/>
    </row>
    <row r="49" spans="1:61" x14ac:dyDescent="0.25">
      <c r="A49" s="172"/>
      <c r="B49" s="180"/>
      <c r="C49" s="165"/>
      <c r="D49" s="171"/>
      <c r="E49" s="189"/>
      <c r="F49" s="188"/>
      <c r="G49" s="189"/>
      <c r="H49" s="189"/>
      <c r="I49" s="189"/>
      <c r="J49" s="189"/>
      <c r="K49" s="190" t="str">
        <f t="shared" si="0"/>
        <v/>
      </c>
      <c r="L49" s="190" t="str">
        <f t="shared" si="1"/>
        <v/>
      </c>
      <c r="M49" s="188"/>
      <c r="N49" s="188"/>
      <c r="O49" s="188"/>
      <c r="P49" s="188"/>
      <c r="Q49" s="188"/>
      <c r="R49" s="188"/>
      <c r="S49" s="213"/>
      <c r="T49" s="207"/>
      <c r="U49" s="219"/>
      <c r="V49" s="219"/>
      <c r="W49" s="219"/>
      <c r="X49" s="219"/>
      <c r="Y49" s="219"/>
      <c r="Z49" s="219"/>
      <c r="AA49" s="219"/>
      <c r="AB49" s="219"/>
      <c r="AC49" s="219"/>
      <c r="AD49" s="219"/>
      <c r="AE49" s="219"/>
      <c r="AF49" s="219"/>
      <c r="AG49" s="219"/>
      <c r="AH49" s="225">
        <f>SUM(PORTEFEUILLE_GUILLAUME[[#This Row],[PCR COMPTABLE €]:[MONTANT
RESPONSABLE RELATION CLIENT €]])-PORTEFEUILLE_GUILLAUME[[#This Row],[MONTANT TOTAL LETTRE DE MISION €]]</f>
        <v>0</v>
      </c>
      <c r="AI49" s="191"/>
      <c r="AJ49" s="188"/>
      <c r="AK49" s="188"/>
      <c r="AL49" s="188"/>
      <c r="AM49" s="188"/>
      <c r="AN49" s="188"/>
      <c r="AO49" s="188"/>
      <c r="AP49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Q49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R49" s="188" t="str">
        <f>IF(PORTEFEUILLE_GUILLAUME[[#This Row],[BONI AAC]]&lt;&gt;0,1,"")</f>
        <v/>
      </c>
      <c r="AS49" s="188" t="str">
        <f>IF(PORTEFEUILLE_GUILLAUME[[#This Row],[MALI AAC]]&lt;&gt;0,1,"")</f>
        <v/>
      </c>
      <c r="AT49" s="225">
        <f>IF(AN49&lt;&gt;"",IF((AN49*Paramètres!$H$4)-PORTEFEUILLE_GUILLAUME[[#This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€]]-(DELPHINE!AN49*Paramètres!$H$4),0),0)</f>
        <v>0</v>
      </c>
      <c r="AU49" s="225">
        <f>IF(AN49&lt;&gt;"",IF(((AN49*Paramètres!$H$4)-PORTEFEUILLE_GUILLAUME[[#This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€]])&gt;0,(AN49*Paramètres!$H$4)-PORTEFEUILLE_GUILLAUME[[#This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V49" s="190" t="str">
        <f>IF(PORTEFEUILLE_GUILLAUME[[#This Row],[BONI COMPTABLE]]&lt;&gt;0,1,"")</f>
        <v/>
      </c>
      <c r="AW49" s="190" t="str">
        <f>IF(PORTEFEUILLE_GUILLAUME[[#This Row],[MALI COMPTABLE]]&lt;&gt;0,1,"")</f>
        <v/>
      </c>
      <c r="AX49" s="188"/>
      <c r="AY49" s="188"/>
      <c r="AZ49" s="188"/>
      <c r="BA49" s="188"/>
      <c r="BB49" s="196"/>
      <c r="BC49" s="188"/>
      <c r="BD49" s="188"/>
      <c r="BE49" s="192"/>
      <c r="BF49" s="194"/>
      <c r="BG49" s="194"/>
      <c r="BH49" s="195"/>
      <c r="BI49" s="194"/>
    </row>
    <row r="50" spans="1:61" x14ac:dyDescent="0.25">
      <c r="A50" s="172"/>
      <c r="B50" s="170"/>
      <c r="C50" s="165"/>
      <c r="D50" s="171"/>
      <c r="E50" s="189"/>
      <c r="F50" s="188"/>
      <c r="G50" s="188"/>
      <c r="H50" s="189"/>
      <c r="I50" s="188"/>
      <c r="J50" s="188"/>
      <c r="K50" s="190" t="str">
        <f t="shared" si="0"/>
        <v/>
      </c>
      <c r="L50" s="190" t="str">
        <f t="shared" si="1"/>
        <v/>
      </c>
      <c r="M50" s="188"/>
      <c r="N50" s="188"/>
      <c r="O50" s="188"/>
      <c r="P50" s="188"/>
      <c r="Q50" s="188"/>
      <c r="R50" s="188"/>
      <c r="S50" s="214"/>
      <c r="T50" s="208"/>
      <c r="U50" s="220"/>
      <c r="V50" s="220"/>
      <c r="W50" s="220"/>
      <c r="X50" s="220"/>
      <c r="Y50" s="220"/>
      <c r="Z50" s="220"/>
      <c r="AA50" s="220"/>
      <c r="AB50" s="220"/>
      <c r="AC50" s="220"/>
      <c r="AD50" s="220"/>
      <c r="AE50" s="220"/>
      <c r="AF50" s="220"/>
      <c r="AG50" s="219"/>
      <c r="AH50" s="225">
        <f>SUM(PORTEFEUILLE_GUILLAUME[[#This Row],[PCR COMPTABLE €]:[MONTANT
RESPONSABLE RELATION CLIENT €]])-PORTEFEUILLE_GUILLAUME[[#This Row],[MONTANT TOTAL LETTRE DE MISION €]]</f>
        <v>0</v>
      </c>
      <c r="AI50" s="191"/>
      <c r="AJ50" s="188"/>
      <c r="AK50" s="188"/>
      <c r="AL50" s="196"/>
      <c r="AM50" s="196"/>
      <c r="AN50" s="196"/>
      <c r="AO50" s="196"/>
      <c r="AP50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Q50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R50" s="188" t="str">
        <f>IF(PORTEFEUILLE_GUILLAUME[[#This Row],[BONI AAC]]&lt;&gt;0,1,"")</f>
        <v/>
      </c>
      <c r="AS50" s="188" t="str">
        <f>IF(PORTEFEUILLE_GUILLAUME[[#This Row],[MALI AAC]]&lt;&gt;0,1,"")</f>
        <v/>
      </c>
      <c r="AT50" s="225">
        <f>IF(AN50&lt;&gt;"",IF((AN50*Paramètres!$H$4)-PORTEFEUILLE_GUILLAUME[[#This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€]]-(DELPHINE!AN50*Paramètres!$H$4),0),0)</f>
        <v>0</v>
      </c>
      <c r="AU50" s="225">
        <f>IF(AN50&lt;&gt;"",IF(((AN50*Paramètres!$H$4)-PORTEFEUILLE_GUILLAUME[[#This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€]])&gt;0,(AN50*Paramètres!$H$4)-PORTEFEUILLE_GUILLAUME[[#This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V50" s="190" t="str">
        <f>IF(PORTEFEUILLE_GUILLAUME[[#This Row],[BONI COMPTABLE]]&lt;&gt;0,1,"")</f>
        <v/>
      </c>
      <c r="AW50" s="190" t="str">
        <f>IF(PORTEFEUILLE_GUILLAUME[[#This Row],[MALI COMPTABLE]]&lt;&gt;0,1,"")</f>
        <v/>
      </c>
      <c r="AX50" s="196"/>
      <c r="AY50" s="188"/>
      <c r="AZ50" s="188"/>
      <c r="BA50" s="188"/>
      <c r="BB50" s="196"/>
      <c r="BC50" s="196"/>
      <c r="BD50" s="196"/>
      <c r="BE50" s="192"/>
      <c r="BF50" s="194"/>
      <c r="BG50" s="194"/>
      <c r="BH50" s="195"/>
      <c r="BI50" s="194"/>
    </row>
    <row r="51" spans="1:61" x14ac:dyDescent="0.25">
      <c r="A51" s="172"/>
      <c r="B51" s="170"/>
      <c r="C51" s="165"/>
      <c r="D51" s="171"/>
      <c r="E51" s="189"/>
      <c r="F51" s="188"/>
      <c r="G51" s="188"/>
      <c r="H51" s="189"/>
      <c r="I51" s="188"/>
      <c r="J51" s="189"/>
      <c r="K51" s="190" t="str">
        <f t="shared" si="0"/>
        <v/>
      </c>
      <c r="L51" s="190" t="str">
        <f t="shared" si="1"/>
        <v/>
      </c>
      <c r="M51" s="188"/>
      <c r="N51" s="188"/>
      <c r="O51" s="188"/>
      <c r="P51" s="188"/>
      <c r="Q51" s="188"/>
      <c r="R51" s="188"/>
      <c r="S51" s="214"/>
      <c r="T51" s="208"/>
      <c r="U51" s="220"/>
      <c r="V51" s="220"/>
      <c r="W51" s="220"/>
      <c r="X51" s="220"/>
      <c r="Y51" s="220"/>
      <c r="Z51" s="220"/>
      <c r="AA51" s="220"/>
      <c r="AB51" s="220"/>
      <c r="AC51" s="220"/>
      <c r="AD51" s="220"/>
      <c r="AE51" s="220"/>
      <c r="AF51" s="220"/>
      <c r="AG51" s="219"/>
      <c r="AH51" s="225">
        <f>SUM(PORTEFEUILLE_GUILLAUME[[#This Row],[PCR COMPTABLE €]:[MONTANT
RESPONSABLE RELATION CLIENT €]])-PORTEFEUILLE_GUILLAUME[[#This Row],[MONTANT TOTAL LETTRE DE MISION €]]</f>
        <v>0</v>
      </c>
      <c r="AI51" s="191"/>
      <c r="AJ51" s="188"/>
      <c r="AK51" s="188"/>
      <c r="AL51" s="196"/>
      <c r="AM51" s="196"/>
      <c r="AN51" s="196"/>
      <c r="AO51" s="196"/>
      <c r="AP51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Q51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R51" s="188" t="str">
        <f>IF(PORTEFEUILLE_GUILLAUME[[#This Row],[BONI AAC]]&lt;&gt;0,1,"")</f>
        <v/>
      </c>
      <c r="AS51" s="188" t="str">
        <f>IF(PORTEFEUILLE_GUILLAUME[[#This Row],[MALI AAC]]&lt;&gt;0,1,"")</f>
        <v/>
      </c>
      <c r="AT51" s="225">
        <f>IF(AN51&lt;&gt;"",IF((AN51*Paramètres!$H$4)-PORTEFEUILLE_GUILLAUME[[#This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€]]-(DELPHINE!AN51*Paramètres!$H$4),0),0)</f>
        <v>0</v>
      </c>
      <c r="AU51" s="225">
        <f>IF(AN51&lt;&gt;"",IF(((AN51*Paramètres!$H$4)-PORTEFEUILLE_GUILLAUME[[#This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€]])&gt;0,(AN51*Paramètres!$H$4)-PORTEFEUILLE_GUILLAUME[[#This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V51" s="190" t="str">
        <f>IF(PORTEFEUILLE_GUILLAUME[[#This Row],[BONI COMPTABLE]]&lt;&gt;0,1,"")</f>
        <v/>
      </c>
      <c r="AW51" s="190" t="str">
        <f>IF(PORTEFEUILLE_GUILLAUME[[#This Row],[MALI COMPTABLE]]&lt;&gt;0,1,"")</f>
        <v/>
      </c>
      <c r="AX51" s="196"/>
      <c r="AY51" s="188"/>
      <c r="AZ51" s="188"/>
      <c r="BA51" s="188"/>
      <c r="BB51" s="196"/>
      <c r="BC51" s="196"/>
      <c r="BD51" s="196"/>
      <c r="BE51" s="192"/>
      <c r="BF51" s="194"/>
      <c r="BG51" s="194"/>
      <c r="BH51" s="195"/>
      <c r="BI51" s="194"/>
    </row>
    <row r="52" spans="1:61" x14ac:dyDescent="0.25">
      <c r="A52" s="172"/>
      <c r="B52" s="170"/>
      <c r="C52" s="165"/>
      <c r="D52" s="171"/>
      <c r="E52" s="189"/>
      <c r="F52" s="188"/>
      <c r="G52" s="188"/>
      <c r="H52" s="189"/>
      <c r="I52" s="188"/>
      <c r="J52" s="189"/>
      <c r="K52" s="190" t="str">
        <f t="shared" si="0"/>
        <v/>
      </c>
      <c r="L52" s="190" t="str">
        <f t="shared" si="1"/>
        <v/>
      </c>
      <c r="M52" s="188"/>
      <c r="N52" s="188"/>
      <c r="O52" s="188"/>
      <c r="P52" s="188"/>
      <c r="Q52" s="188"/>
      <c r="R52" s="188"/>
      <c r="S52" s="214"/>
      <c r="T52" s="208"/>
      <c r="U52" s="220"/>
      <c r="V52" s="220"/>
      <c r="W52" s="220"/>
      <c r="X52" s="220"/>
      <c r="Y52" s="220"/>
      <c r="Z52" s="220"/>
      <c r="AA52" s="220"/>
      <c r="AB52" s="220"/>
      <c r="AC52" s="220"/>
      <c r="AD52" s="220"/>
      <c r="AE52" s="220"/>
      <c r="AF52" s="220"/>
      <c r="AG52" s="219"/>
      <c r="AH52" s="225">
        <f>SUM(PORTEFEUILLE_GUILLAUME[[#This Row],[PCR COMPTABLE €]:[MONTANT
RESPONSABLE RELATION CLIENT €]])-PORTEFEUILLE_GUILLAUME[[#This Row],[MONTANT TOTAL LETTRE DE MISION €]]</f>
        <v>0</v>
      </c>
      <c r="AI52" s="191"/>
      <c r="AJ52" s="188"/>
      <c r="AK52" s="188"/>
      <c r="AL52" s="196"/>
      <c r="AM52" s="196"/>
      <c r="AN52" s="196"/>
      <c r="AO52" s="196"/>
      <c r="AP52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Q52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R52" s="188" t="str">
        <f>IF(PORTEFEUILLE_GUILLAUME[[#This Row],[BONI AAC]]&lt;&gt;0,1,"")</f>
        <v/>
      </c>
      <c r="AS52" s="188" t="str">
        <f>IF(PORTEFEUILLE_GUILLAUME[[#This Row],[MALI AAC]]&lt;&gt;0,1,"")</f>
        <v/>
      </c>
      <c r="AT52" s="225">
        <f>IF(AN52&lt;&gt;"",IF((AN52*Paramètres!$H$4)-PORTEFEUILLE_GUILLAUME[[#This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€]]-(DELPHINE!AN52*Paramètres!$H$4),0),0)</f>
        <v>0</v>
      </c>
      <c r="AU52" s="225">
        <f>IF(AN52&lt;&gt;"",IF(((AN52*Paramètres!$H$4)-PORTEFEUILLE_GUILLAUME[[#This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€]])&gt;0,(AN52*Paramètres!$H$4)-PORTEFEUILLE_GUILLAUME[[#This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V52" s="190" t="str">
        <f>IF(PORTEFEUILLE_GUILLAUME[[#This Row],[BONI COMPTABLE]]&lt;&gt;0,1,"")</f>
        <v/>
      </c>
      <c r="AW52" s="190" t="str">
        <f>IF(PORTEFEUILLE_GUILLAUME[[#This Row],[MALI COMPTABLE]]&lt;&gt;0,1,"")</f>
        <v/>
      </c>
      <c r="AX52" s="196"/>
      <c r="AY52" s="188"/>
      <c r="AZ52" s="188"/>
      <c r="BA52" s="188"/>
      <c r="BB52" s="196"/>
      <c r="BC52" s="196"/>
      <c r="BD52" s="196"/>
      <c r="BE52" s="192"/>
      <c r="BF52" s="194"/>
      <c r="BG52" s="194"/>
      <c r="BH52" s="195"/>
      <c r="BI52" s="194"/>
    </row>
    <row r="53" spans="1:61" x14ac:dyDescent="0.25">
      <c r="A53" s="172"/>
      <c r="B53" s="182"/>
      <c r="C53" s="183"/>
      <c r="D53" s="184"/>
      <c r="E53" s="200"/>
      <c r="F53" s="201"/>
      <c r="G53" s="201"/>
      <c r="H53" s="189"/>
      <c r="I53" s="201"/>
      <c r="J53" s="201"/>
      <c r="K53" s="190" t="str">
        <f t="shared" si="0"/>
        <v/>
      </c>
      <c r="L53" s="190" t="str">
        <f t="shared" si="1"/>
        <v/>
      </c>
      <c r="M53" s="188"/>
      <c r="N53" s="188"/>
      <c r="O53" s="188"/>
      <c r="P53" s="188"/>
      <c r="Q53" s="188"/>
      <c r="R53" s="188"/>
      <c r="S53" s="216"/>
      <c r="T53" s="210"/>
      <c r="U53" s="222"/>
      <c r="V53" s="222"/>
      <c r="W53" s="222"/>
      <c r="X53" s="222"/>
      <c r="Y53" s="222"/>
      <c r="Z53" s="222"/>
      <c r="AA53" s="222"/>
      <c r="AB53" s="222"/>
      <c r="AC53" s="222"/>
      <c r="AD53" s="222"/>
      <c r="AE53" s="222"/>
      <c r="AF53" s="222"/>
      <c r="AG53" s="219"/>
      <c r="AH53" s="225">
        <f>SUM(PORTEFEUILLE_GUILLAUME[[#This Row],[PCR COMPTABLE €]:[MONTANT
RESPONSABLE RELATION CLIENT €]])-PORTEFEUILLE_GUILLAUME[[#This Row],[MONTANT TOTAL LETTRE DE MISION €]]</f>
        <v>0</v>
      </c>
      <c r="AI53" s="191"/>
      <c r="AJ53" s="188"/>
      <c r="AK53" s="201"/>
      <c r="AL53" s="202"/>
      <c r="AM53" s="202"/>
      <c r="AN53" s="202"/>
      <c r="AO53" s="202"/>
      <c r="AP53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Q53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R53" s="188" t="str">
        <f>IF(PORTEFEUILLE_GUILLAUME[[#This Row],[BONI AAC]]&lt;&gt;0,1,"")</f>
        <v/>
      </c>
      <c r="AS53" s="188" t="str">
        <f>IF(PORTEFEUILLE_GUILLAUME[[#This Row],[MALI AAC]]&lt;&gt;0,1,"")</f>
        <v/>
      </c>
      <c r="AT53" s="225">
        <f>IF(AN53&lt;&gt;"",IF((AN53*Paramètres!$H$4)-PORTEFEUILLE_GUILLAUME[[#This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€]]-(DELPHINE!AN53*Paramètres!$H$4),0),0)</f>
        <v>0</v>
      </c>
      <c r="AU53" s="225">
        <f>IF(AN53&lt;&gt;"",IF(((AN53*Paramètres!$H$4)-PORTEFEUILLE_GUILLAUME[[#This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€]])&gt;0,(AN53*Paramètres!$H$4)-PORTEFEUILLE_GUILLAUME[[#This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V53" s="190" t="str">
        <f>IF(PORTEFEUILLE_GUILLAUME[[#This Row],[BONI COMPTABLE]]&lt;&gt;0,1,"")</f>
        <v/>
      </c>
      <c r="AW53" s="190" t="str">
        <f>IF(PORTEFEUILLE_GUILLAUME[[#This Row],[MALI COMPTABLE]]&lt;&gt;0,1,"")</f>
        <v/>
      </c>
      <c r="AX53" s="202"/>
      <c r="AY53" s="188"/>
      <c r="AZ53" s="188"/>
      <c r="BA53" s="188"/>
      <c r="BB53" s="202"/>
      <c r="BC53" s="202"/>
      <c r="BD53" s="202"/>
      <c r="BE53" s="192"/>
      <c r="BF53" s="194"/>
      <c r="BG53" s="194"/>
      <c r="BH53" s="195"/>
      <c r="BI53" s="194"/>
    </row>
    <row r="54" spans="1:61" x14ac:dyDescent="0.25">
      <c r="A54" s="172"/>
      <c r="B54" s="185"/>
      <c r="C54" s="172"/>
      <c r="D54" s="172"/>
      <c r="E54" s="203"/>
      <c r="F54" s="194"/>
      <c r="G54" s="194"/>
      <c r="H54" s="189"/>
      <c r="I54" s="194"/>
      <c r="J54" s="194"/>
      <c r="K54" s="190" t="str">
        <f t="shared" si="0"/>
        <v/>
      </c>
      <c r="L54" s="190" t="str">
        <f t="shared" si="1"/>
        <v/>
      </c>
      <c r="M54" s="188"/>
      <c r="N54" s="188"/>
      <c r="O54" s="188"/>
      <c r="P54" s="188"/>
      <c r="Q54" s="188"/>
      <c r="R54" s="188"/>
      <c r="S54" s="217"/>
      <c r="T54" s="211"/>
      <c r="U54" s="223"/>
      <c r="V54" s="223"/>
      <c r="W54" s="223"/>
      <c r="X54" s="223"/>
      <c r="Y54" s="223"/>
      <c r="Z54" s="223"/>
      <c r="AA54" s="223"/>
      <c r="AB54" s="223"/>
      <c r="AC54" s="223"/>
      <c r="AD54" s="223"/>
      <c r="AE54" s="223"/>
      <c r="AF54" s="223"/>
      <c r="AG54" s="219"/>
      <c r="AH54" s="225">
        <f>SUM(PORTEFEUILLE_GUILLAUME[[#This Row],[PCR COMPTABLE €]:[MONTANT
RESPONSABLE RELATION CLIENT €]])-PORTEFEUILLE_GUILLAUME[[#This Row],[MONTANT TOTAL LETTRE DE MISION €]]</f>
        <v>0</v>
      </c>
      <c r="AI54" s="191"/>
      <c r="AJ54" s="188"/>
      <c r="AK54" s="188"/>
      <c r="AL54" s="194"/>
      <c r="AM54" s="194"/>
      <c r="AN54" s="194"/>
      <c r="AO54" s="194"/>
      <c r="AP54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Q54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R54" s="188" t="str">
        <f>IF(PORTEFEUILLE_GUILLAUME[[#This Row],[BONI AAC]]&lt;&gt;0,1,"")</f>
        <v/>
      </c>
      <c r="AS54" s="188" t="str">
        <f>IF(PORTEFEUILLE_GUILLAUME[[#This Row],[MALI AAC]]&lt;&gt;0,1,"")</f>
        <v/>
      </c>
      <c r="AT54" s="225">
        <f>IF(AN54&lt;&gt;"",IF((AN54*Paramètres!$H$4)-PORTEFEUILLE_GUILLAUME[[#This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€]]-(DELPHINE!AN54*Paramètres!$H$4),0),0)</f>
        <v>0</v>
      </c>
      <c r="AU54" s="225">
        <f>IF(AN54&lt;&gt;"",IF(((AN54*Paramètres!$H$4)-PORTEFEUILLE_GUILLAUME[[#This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€]])&gt;0,(AN54*Paramètres!$H$4)-PORTEFEUILLE_GUILLAUME[[#This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V54" s="190" t="str">
        <f>IF(PORTEFEUILLE_GUILLAUME[[#This Row],[BONI COMPTABLE]]&lt;&gt;0,1,"")</f>
        <v/>
      </c>
      <c r="AW54" s="190" t="str">
        <f>IF(PORTEFEUILLE_GUILLAUME[[#This Row],[MALI COMPTABLE]]&lt;&gt;0,1,"")</f>
        <v/>
      </c>
      <c r="AX54" s="194"/>
      <c r="AY54" s="188"/>
      <c r="AZ54" s="188"/>
      <c r="BA54" s="188"/>
      <c r="BB54" s="194"/>
      <c r="BC54" s="194"/>
      <c r="BD54" s="194"/>
      <c r="BE54" s="192"/>
      <c r="BF54" s="194"/>
      <c r="BG54" s="194"/>
      <c r="BH54" s="195"/>
      <c r="BI54" s="194"/>
    </row>
    <row r="55" spans="1:61" x14ac:dyDescent="0.25">
      <c r="A55" s="172"/>
      <c r="B55" s="185"/>
      <c r="C55" s="172"/>
      <c r="D55" s="172"/>
      <c r="E55" s="203"/>
      <c r="F55" s="194"/>
      <c r="G55" s="194"/>
      <c r="H55" s="189"/>
      <c r="I55" s="194"/>
      <c r="J55" s="194"/>
      <c r="K55" s="190" t="str">
        <f t="shared" si="0"/>
        <v/>
      </c>
      <c r="L55" s="190" t="str">
        <f t="shared" si="1"/>
        <v/>
      </c>
      <c r="M55" s="188"/>
      <c r="N55" s="188"/>
      <c r="O55" s="188"/>
      <c r="P55" s="188"/>
      <c r="Q55" s="188"/>
      <c r="R55" s="188"/>
      <c r="S55" s="217"/>
      <c r="T55" s="211"/>
      <c r="U55" s="223"/>
      <c r="V55" s="223"/>
      <c r="W55" s="223"/>
      <c r="X55" s="223"/>
      <c r="Y55" s="223"/>
      <c r="Z55" s="223"/>
      <c r="AA55" s="223"/>
      <c r="AB55" s="223"/>
      <c r="AC55" s="223"/>
      <c r="AD55" s="223"/>
      <c r="AE55" s="223"/>
      <c r="AF55" s="223"/>
      <c r="AG55" s="219"/>
      <c r="AH55" s="225">
        <f>SUM(PORTEFEUILLE_GUILLAUME[[#This Row],[PCR COMPTABLE €]:[MONTANT
RESPONSABLE RELATION CLIENT €]])-PORTEFEUILLE_GUILLAUME[[#This Row],[MONTANT TOTAL LETTRE DE MISION €]]</f>
        <v>0</v>
      </c>
      <c r="AI55" s="191"/>
      <c r="AJ55" s="188"/>
      <c r="AK55" s="188"/>
      <c r="AL55" s="194"/>
      <c r="AM55" s="194"/>
      <c r="AN55" s="194"/>
      <c r="AO55" s="194"/>
      <c r="AP55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Q55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R55" s="188" t="str">
        <f>IF(PORTEFEUILLE_GUILLAUME[[#This Row],[BONI AAC]]&lt;&gt;0,1,"")</f>
        <v/>
      </c>
      <c r="AS55" s="188" t="str">
        <f>IF(PORTEFEUILLE_GUILLAUME[[#This Row],[MALI AAC]]&lt;&gt;0,1,"")</f>
        <v/>
      </c>
      <c r="AT55" s="225">
        <f>IF(AN55&lt;&gt;"",IF((AN55*Paramètres!$H$4)-PORTEFEUILLE_GUILLAUME[[#This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€]]-(DELPHINE!AN55*Paramètres!$H$4),0),0)</f>
        <v>0</v>
      </c>
      <c r="AU55" s="225">
        <f>IF(AN55&lt;&gt;"",IF(((AN55*Paramètres!$H$4)-PORTEFEUILLE_GUILLAUME[[#This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€]])&gt;0,(AN55*Paramètres!$H$4)-PORTEFEUILLE_GUILLAUME[[#This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V55" s="190" t="str">
        <f>IF(PORTEFEUILLE_GUILLAUME[[#This Row],[BONI COMPTABLE]]&lt;&gt;0,1,"")</f>
        <v/>
      </c>
      <c r="AW55" s="190" t="str">
        <f>IF(PORTEFEUILLE_GUILLAUME[[#This Row],[MALI COMPTABLE]]&lt;&gt;0,1,"")</f>
        <v/>
      </c>
      <c r="AX55" s="194"/>
      <c r="AY55" s="188"/>
      <c r="AZ55" s="188"/>
      <c r="BA55" s="188"/>
      <c r="BB55" s="194"/>
      <c r="BC55" s="194"/>
      <c r="BD55" s="194"/>
      <c r="BE55" s="192"/>
      <c r="BF55" s="194"/>
      <c r="BG55" s="194"/>
      <c r="BH55" s="195"/>
      <c r="BI55" s="194"/>
    </row>
    <row r="56" spans="1:61" x14ac:dyDescent="0.25">
      <c r="A56" s="172"/>
      <c r="B56" s="185"/>
      <c r="C56" s="172"/>
      <c r="D56" s="172"/>
      <c r="E56" s="203"/>
      <c r="F56" s="194"/>
      <c r="G56" s="194"/>
      <c r="H56" s="189"/>
      <c r="I56" s="194"/>
      <c r="J56" s="194"/>
      <c r="K56" s="190" t="str">
        <f t="shared" si="0"/>
        <v/>
      </c>
      <c r="L56" s="190" t="str">
        <f t="shared" si="1"/>
        <v/>
      </c>
      <c r="M56" s="188"/>
      <c r="N56" s="188"/>
      <c r="O56" s="188"/>
      <c r="P56" s="188"/>
      <c r="Q56" s="188"/>
      <c r="R56" s="188"/>
      <c r="S56" s="217"/>
      <c r="T56" s="211"/>
      <c r="U56" s="223"/>
      <c r="V56" s="223"/>
      <c r="W56" s="223"/>
      <c r="X56" s="223"/>
      <c r="Y56" s="223"/>
      <c r="Z56" s="223"/>
      <c r="AA56" s="223"/>
      <c r="AB56" s="223"/>
      <c r="AC56" s="223"/>
      <c r="AD56" s="223"/>
      <c r="AE56" s="223"/>
      <c r="AF56" s="223"/>
      <c r="AG56" s="219"/>
      <c r="AH56" s="225">
        <f>SUM(PORTEFEUILLE_GUILLAUME[[#This Row],[PCR COMPTABLE €]:[MONTANT
RESPONSABLE RELATION CLIENT €]])-PORTEFEUILLE_GUILLAUME[[#This Row],[MONTANT TOTAL LETTRE DE MISION €]]</f>
        <v>0</v>
      </c>
      <c r="AI56" s="191"/>
      <c r="AJ56" s="188"/>
      <c r="AK56" s="188"/>
      <c r="AL56" s="194"/>
      <c r="AM56" s="194"/>
      <c r="AN56" s="194"/>
      <c r="AO56" s="194"/>
      <c r="AP56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Q56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R56" s="188" t="str">
        <f>IF(PORTEFEUILLE_GUILLAUME[[#This Row],[BONI AAC]]&lt;&gt;0,1,"")</f>
        <v/>
      </c>
      <c r="AS56" s="188" t="str">
        <f>IF(PORTEFEUILLE_GUILLAUME[[#This Row],[MALI AAC]]&lt;&gt;0,1,"")</f>
        <v/>
      </c>
      <c r="AT56" s="225">
        <f>IF(AN56&lt;&gt;"",IF((AN56*Paramètres!$H$4)-PORTEFEUILLE_GUILLAUME[[#This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€]]-(DELPHINE!AN56*Paramètres!$H$4),0),0)</f>
        <v>0</v>
      </c>
      <c r="AU56" s="225">
        <f>IF(AN56&lt;&gt;"",IF(((AN56*Paramètres!$H$4)-PORTEFEUILLE_GUILLAUME[[#This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€]])&gt;0,(AN56*Paramètres!$H$4)-PORTEFEUILLE_GUILLAUME[[#This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V56" s="190" t="str">
        <f>IF(PORTEFEUILLE_GUILLAUME[[#This Row],[BONI COMPTABLE]]&lt;&gt;0,1,"")</f>
        <v/>
      </c>
      <c r="AW56" s="190" t="str">
        <f>IF(PORTEFEUILLE_GUILLAUME[[#This Row],[MALI COMPTABLE]]&lt;&gt;0,1,"")</f>
        <v/>
      </c>
      <c r="AX56" s="194"/>
      <c r="AY56" s="188"/>
      <c r="AZ56" s="188"/>
      <c r="BA56" s="188"/>
      <c r="BB56" s="194"/>
      <c r="BC56" s="194"/>
      <c r="BD56" s="194"/>
      <c r="BE56" s="192"/>
      <c r="BF56" s="194"/>
      <c r="BG56" s="194"/>
      <c r="BH56" s="195"/>
      <c r="BI56" s="194"/>
    </row>
    <row r="57" spans="1:61" x14ac:dyDescent="0.25">
      <c r="A57" s="172"/>
      <c r="B57" s="185"/>
      <c r="C57" s="172"/>
      <c r="D57" s="172"/>
      <c r="E57" s="203"/>
      <c r="F57" s="194"/>
      <c r="G57" s="194"/>
      <c r="H57" s="189"/>
      <c r="I57" s="194"/>
      <c r="J57" s="194"/>
      <c r="K57" s="190" t="str">
        <f t="shared" si="0"/>
        <v/>
      </c>
      <c r="L57" s="190" t="str">
        <f t="shared" si="1"/>
        <v/>
      </c>
      <c r="M57" s="188"/>
      <c r="N57" s="188"/>
      <c r="O57" s="188"/>
      <c r="P57" s="188"/>
      <c r="Q57" s="188"/>
      <c r="R57" s="188"/>
      <c r="S57" s="217"/>
      <c r="T57" s="211"/>
      <c r="U57" s="223"/>
      <c r="V57" s="223"/>
      <c r="W57" s="223"/>
      <c r="X57" s="223"/>
      <c r="Y57" s="223"/>
      <c r="Z57" s="223"/>
      <c r="AA57" s="223"/>
      <c r="AB57" s="223"/>
      <c r="AC57" s="223"/>
      <c r="AD57" s="223"/>
      <c r="AE57" s="223"/>
      <c r="AF57" s="223"/>
      <c r="AG57" s="219"/>
      <c r="AH57" s="225">
        <f>SUM(PORTEFEUILLE_GUILLAUME[[#This Row],[PCR COMPTABLE €]:[MONTANT
RESPONSABLE RELATION CLIENT €]])-PORTEFEUILLE_GUILLAUME[[#This Row],[MONTANT TOTAL LETTRE DE MISION €]]</f>
        <v>0</v>
      </c>
      <c r="AI57" s="191"/>
      <c r="AJ57" s="188"/>
      <c r="AK57" s="188"/>
      <c r="AL57" s="194"/>
      <c r="AM57" s="194"/>
      <c r="AN57" s="194"/>
      <c r="AO57" s="194"/>
      <c r="AP57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Q57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R57" s="188" t="str">
        <f>IF(PORTEFEUILLE_GUILLAUME[[#This Row],[BONI AAC]]&lt;&gt;0,1,"")</f>
        <v/>
      </c>
      <c r="AS57" s="188" t="str">
        <f>IF(PORTEFEUILLE_GUILLAUME[[#This Row],[MALI AAC]]&lt;&gt;0,1,"")</f>
        <v/>
      </c>
      <c r="AT57" s="225">
        <f>IF(AN57&lt;&gt;"",IF((AN57*Paramètres!$H$4)-PORTEFEUILLE_GUILLAUME[[#This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€]]-(DELPHINE!AN57*Paramètres!$H$4),0),0)</f>
        <v>0</v>
      </c>
      <c r="AU57" s="225">
        <f>IF(AN57&lt;&gt;"",IF(((AN57*Paramètres!$H$4)-PORTEFEUILLE_GUILLAUME[[#This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€]])&gt;0,(AN57*Paramètres!$H$4)-PORTEFEUILLE_GUILLAUME[[#This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V57" s="190" t="str">
        <f>IF(PORTEFEUILLE_GUILLAUME[[#This Row],[BONI COMPTABLE]]&lt;&gt;0,1,"")</f>
        <v/>
      </c>
      <c r="AW57" s="190" t="str">
        <f>IF(PORTEFEUILLE_GUILLAUME[[#This Row],[MALI COMPTABLE]]&lt;&gt;0,1,"")</f>
        <v/>
      </c>
      <c r="AX57" s="194"/>
      <c r="AY57" s="188"/>
      <c r="AZ57" s="188"/>
      <c r="BA57" s="188"/>
      <c r="BB57" s="194"/>
      <c r="BC57" s="194"/>
      <c r="BD57" s="194"/>
      <c r="BE57" s="192"/>
      <c r="BF57" s="194"/>
      <c r="BG57" s="194"/>
      <c r="BH57" s="195"/>
      <c r="BI57" s="194"/>
    </row>
    <row r="58" spans="1:61" x14ac:dyDescent="0.25">
      <c r="A58" s="172"/>
      <c r="B58" s="179"/>
      <c r="C58" s="176"/>
      <c r="D58" s="172"/>
      <c r="E58" s="203"/>
      <c r="F58" s="194"/>
      <c r="G58" s="194"/>
      <c r="H58" s="189"/>
      <c r="I58" s="194"/>
      <c r="J58" s="194"/>
      <c r="K58" s="190" t="str">
        <f t="shared" si="0"/>
        <v/>
      </c>
      <c r="L58" s="190" t="str">
        <f t="shared" si="1"/>
        <v/>
      </c>
      <c r="M58" s="188"/>
      <c r="N58" s="188"/>
      <c r="O58" s="188"/>
      <c r="P58" s="188"/>
      <c r="Q58" s="188"/>
      <c r="R58" s="188"/>
      <c r="S58" s="217"/>
      <c r="T58" s="211"/>
      <c r="U58" s="223"/>
      <c r="V58" s="223"/>
      <c r="W58" s="223"/>
      <c r="X58" s="223"/>
      <c r="Y58" s="223"/>
      <c r="Z58" s="223"/>
      <c r="AA58" s="223"/>
      <c r="AB58" s="223"/>
      <c r="AC58" s="223"/>
      <c r="AD58" s="223"/>
      <c r="AE58" s="223"/>
      <c r="AF58" s="223"/>
      <c r="AG58" s="219"/>
      <c r="AH58" s="225">
        <f>SUM(PORTEFEUILLE_GUILLAUME[[#This Row],[PCR COMPTABLE €]:[MONTANT
RESPONSABLE RELATION CLIENT €]])-PORTEFEUILLE_GUILLAUME[[#This Row],[MONTANT TOTAL LETTRE DE MISION €]]</f>
        <v>0</v>
      </c>
      <c r="AI58" s="191"/>
      <c r="AJ58" s="188"/>
      <c r="AK58" s="188"/>
      <c r="AL58" s="194"/>
      <c r="AM58" s="194"/>
      <c r="AN58" s="194"/>
      <c r="AO58" s="194"/>
      <c r="AP58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Q58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R58" s="188" t="str">
        <f>IF(PORTEFEUILLE_GUILLAUME[[#This Row],[BONI AAC]]&lt;&gt;0,1,"")</f>
        <v/>
      </c>
      <c r="AS58" s="188" t="str">
        <f>IF(PORTEFEUILLE_GUILLAUME[[#This Row],[MALI AAC]]&lt;&gt;0,1,"")</f>
        <v/>
      </c>
      <c r="AT58" s="225">
        <f>IF(AN58&lt;&gt;"",IF((AN58*Paramètres!$H$4)-PORTEFEUILLE_GUILLAUME[[#This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€]]-(DELPHINE!AN58*Paramètres!$H$4),0),0)</f>
        <v>0</v>
      </c>
      <c r="AU58" s="225">
        <f>IF(AN58&lt;&gt;"",IF(((AN58*Paramètres!$H$4)-PORTEFEUILLE_GUILLAUME[[#This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€]])&gt;0,(AN58*Paramètres!$H$4)-PORTEFEUILLE_GUILLAUME[[#This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V58" s="190" t="str">
        <f>IF(PORTEFEUILLE_GUILLAUME[[#This Row],[BONI COMPTABLE]]&lt;&gt;0,1,"")</f>
        <v/>
      </c>
      <c r="AW58" s="190" t="str">
        <f>IF(PORTEFEUILLE_GUILLAUME[[#This Row],[MALI COMPTABLE]]&lt;&gt;0,1,"")</f>
        <v/>
      </c>
      <c r="AX58" s="194"/>
      <c r="AY58" s="188"/>
      <c r="AZ58" s="188"/>
      <c r="BA58" s="188"/>
      <c r="BB58" s="194"/>
      <c r="BC58" s="194"/>
      <c r="BD58" s="194"/>
      <c r="BE58" s="192"/>
      <c r="BF58" s="194"/>
      <c r="BG58" s="194"/>
      <c r="BH58" s="195"/>
      <c r="BI58" s="194"/>
    </row>
    <row r="59" spans="1:61" x14ac:dyDescent="0.25">
      <c r="A59" s="172"/>
      <c r="B59" s="179"/>
      <c r="C59" s="176"/>
      <c r="D59" s="172"/>
      <c r="E59" s="203"/>
      <c r="F59" s="194"/>
      <c r="G59" s="194"/>
      <c r="H59" s="189"/>
      <c r="I59" s="194"/>
      <c r="J59" s="194"/>
      <c r="K59" s="190" t="str">
        <f t="shared" si="0"/>
        <v/>
      </c>
      <c r="L59" s="190" t="str">
        <f t="shared" si="1"/>
        <v/>
      </c>
      <c r="M59" s="188"/>
      <c r="N59" s="188"/>
      <c r="O59" s="188"/>
      <c r="P59" s="188"/>
      <c r="Q59" s="188"/>
      <c r="R59" s="188"/>
      <c r="S59" s="217"/>
      <c r="T59" s="211"/>
      <c r="U59" s="223"/>
      <c r="V59" s="223"/>
      <c r="W59" s="223"/>
      <c r="X59" s="223"/>
      <c r="Y59" s="223"/>
      <c r="Z59" s="223"/>
      <c r="AA59" s="223"/>
      <c r="AB59" s="223"/>
      <c r="AC59" s="223"/>
      <c r="AD59" s="223"/>
      <c r="AE59" s="223"/>
      <c r="AF59" s="223"/>
      <c r="AG59" s="219"/>
      <c r="AH59" s="225">
        <f>SUM(PORTEFEUILLE_GUILLAUME[[#This Row],[PCR COMPTABLE €]:[MONTANT
RESPONSABLE RELATION CLIENT €]])-PORTEFEUILLE_GUILLAUME[[#This Row],[MONTANT TOTAL LETTRE DE MISION €]]</f>
        <v>0</v>
      </c>
      <c r="AI59" s="191"/>
      <c r="AJ59" s="188"/>
      <c r="AK59" s="188"/>
      <c r="AL59" s="194"/>
      <c r="AM59" s="194"/>
      <c r="AN59" s="194"/>
      <c r="AO59" s="194"/>
      <c r="AP59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Q59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R59" s="188" t="str">
        <f>IF(PORTEFEUILLE_GUILLAUME[[#This Row],[BONI AAC]]&lt;&gt;0,1,"")</f>
        <v/>
      </c>
      <c r="AS59" s="188" t="str">
        <f>IF(PORTEFEUILLE_GUILLAUME[[#This Row],[MALI AAC]]&lt;&gt;0,1,"")</f>
        <v/>
      </c>
      <c r="AT59" s="225">
        <f>IF(AN59&lt;&gt;"",IF((AN59*Paramètres!$H$4)-PORTEFEUILLE_GUILLAUME[[#This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€]]-(DELPHINE!AN59*Paramètres!$H$4),0),0)</f>
        <v>0</v>
      </c>
      <c r="AU59" s="225">
        <f>IF(AN59&lt;&gt;"",IF(((AN59*Paramètres!$H$4)-PORTEFEUILLE_GUILLAUME[[#This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€]])&gt;0,(AN59*Paramètres!$H$4)-PORTEFEUILLE_GUILLAUME[[#This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V59" s="190" t="str">
        <f>IF(PORTEFEUILLE_GUILLAUME[[#This Row],[BONI COMPTABLE]]&lt;&gt;0,1,"")</f>
        <v/>
      </c>
      <c r="AW59" s="190" t="str">
        <f>IF(PORTEFEUILLE_GUILLAUME[[#This Row],[MALI COMPTABLE]]&lt;&gt;0,1,"")</f>
        <v/>
      </c>
      <c r="AX59" s="194"/>
      <c r="AY59" s="188"/>
      <c r="AZ59" s="188"/>
      <c r="BA59" s="188"/>
      <c r="BB59" s="194"/>
      <c r="BC59" s="194"/>
      <c r="BD59" s="194"/>
      <c r="BE59" s="192"/>
      <c r="BF59" s="194"/>
      <c r="BG59" s="194"/>
      <c r="BH59" s="195"/>
      <c r="BI59" s="194"/>
    </row>
    <row r="60" spans="1:61" x14ac:dyDescent="0.25">
      <c r="A60" s="186"/>
      <c r="B60" s="187"/>
      <c r="C60" s="186"/>
      <c r="D60" s="186"/>
      <c r="E60" s="204"/>
      <c r="F60" s="205"/>
      <c r="G60" s="205"/>
      <c r="H60" s="189"/>
      <c r="I60" s="205"/>
      <c r="J60" s="205"/>
      <c r="K60" s="190" t="str">
        <f t="shared" si="0"/>
        <v/>
      </c>
      <c r="L60" s="190" t="str">
        <f t="shared" si="1"/>
        <v/>
      </c>
      <c r="M60" s="188"/>
      <c r="N60" s="188"/>
      <c r="O60" s="188"/>
      <c r="P60" s="188"/>
      <c r="Q60" s="188"/>
      <c r="R60" s="188"/>
      <c r="S60" s="218"/>
      <c r="T60" s="212"/>
      <c r="U60" s="224"/>
      <c r="V60" s="224"/>
      <c r="W60" s="224"/>
      <c r="X60" s="224"/>
      <c r="Y60" s="224"/>
      <c r="Z60" s="224"/>
      <c r="AA60" s="224"/>
      <c r="AB60" s="224"/>
      <c r="AC60" s="224"/>
      <c r="AD60" s="224"/>
      <c r="AE60" s="224"/>
      <c r="AF60" s="224"/>
      <c r="AG60" s="219"/>
      <c r="AH60" s="225">
        <f>SUM(PORTEFEUILLE_GUILLAUME[[#This Row],[PCR COMPTABLE €]:[MONTANT
RESPONSABLE RELATION CLIENT €]])-PORTEFEUILLE_GUILLAUME[[#This Row],[MONTANT TOTAL LETTRE DE MISION €]]</f>
        <v>0</v>
      </c>
      <c r="AI60" s="191"/>
      <c r="AJ60" s="188"/>
      <c r="AK60" s="201"/>
      <c r="AL60" s="205"/>
      <c r="AM60" s="205"/>
      <c r="AN60" s="205"/>
      <c r="AO60" s="205"/>
      <c r="AP60" s="225">
        <f>IF(PORTEFEUILLE_GUILLAUME[[#This Row],[TPS PASSE 
AAC H]]&lt;&gt;"",IF((PORTEFEUILLE_GUILLAUME[[#This Row],[TPS PASSE 
AAC H]]*Paramètres!$I$4)&lt;(PORTEFEUILLE_GUILLAUME[[#This Row],[SAISIE PAR UNE AAC €]]+PORTEFEUILLE_GUILLAUME[[#This Row],[DECLARATION TVA AAC €]]),PORTEFEUILLE_GUILLAUME[[#This Row],[SAISIE PAR UNE AAC €]]+PORTEFEUILLE_GUILLAUME[[#This Row],[DECLARATION TVA AAC €]]-(PORTEFEUILLE_GUILLAUME[[#This Row],[TPS PASSE 
AAC H]]*Paramètres!$I$4),0),0)</f>
        <v>0</v>
      </c>
      <c r="AQ60" s="225">
        <f>IF(PORTEFEUILLE_GUILLAUME[[#This Row],[TPS PASSE 
AAC H]]&lt;&gt;"",IF((Paramètres!$I$4*PORTEFEUILLE_GUILLAUME[[#This Row],[TPS PASSE 
AAC H]])&gt;(PORTEFEUILLE_GUILLAUME[[#This Row],[SAISIE PAR UNE AAC €]]+PORTEFEUILLE_GUILLAUME[[#This Row],[DECLARATION TVA AAC €]]),(PORTEFEUILLE_GUILLAUME[[#This Row],[TPS PASSE 
AAC H]]*Paramètres!$I$4)-(PORTEFEUILLE_GUILLAUME[[#This Row],[SAISIE PAR UNE AAC €]]+PORTEFEUILLE_GUILLAUME[[#This Row],[DECLARATION TVA AAC €]]),0),0)</f>
        <v>0</v>
      </c>
      <c r="AR60" s="188" t="str">
        <f>IF(PORTEFEUILLE_GUILLAUME[[#This Row],[BONI AAC]]&lt;&gt;0,1,"")</f>
        <v/>
      </c>
      <c r="AS60" s="188" t="str">
        <f>IF(PORTEFEUILLE_GUILLAUME[[#This Row],[MALI AAC]]&lt;&gt;0,1,"")</f>
        <v/>
      </c>
      <c r="AT60" s="225">
        <f>IF(AN60&lt;&gt;"",IF((AN60*Paramètres!$H$4)-PORTEFEUILLE_GUILLAUME[[#This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€]]&lt;0,PORTEFEUILLE_GUILLAUME[[#This Row],[PCR COMPTABLE €]]+PORTEFEUILLE_GUILLAUME[[#This Row],[RA FAIT PAR LE
COMPTABLE €]]+PORTEFEUILLE_GUILLAUME[[#This Row],[AGOA COMPTABLE €]]+PORTEFEUILLE_GUILLAUME[[#This Row],[SAISIE PAR LE COMPTABLE €]]+PORTEFEUILLE_GUILLAUME[[#This Row],[TRAVAUX 
DE REVISION €]]+PORTEFEUILLE_GUILLAUME[[#This Row],[DECLARATION TVA COMPTABLE €]]+PORTEFEUILLE_GUILLAUME[[#This Row],[MONTANT
RESPONSABLE RELATION CLIENT €]]-(DELPHINE!AN60*Paramètres!$H$4),0),0)</f>
        <v>0</v>
      </c>
      <c r="AU60" s="225">
        <f>IF(AN60&lt;&gt;"",IF(((AN60*Paramètres!$H$4)-PORTEFEUILLE_GUILLAUME[[#This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€]])&gt;0,(AN60*Paramètres!$H$4)-PORTEFEUILLE_GUILLAUME[[#This Row],[PCR COMPTABLE €]]-PORTEFEUILLE_GUILLAUME[[#This Row],[RA FAIT PAR LE
COMPTABLE €]]-PORTEFEUILLE_GUILLAUME[[#This Row],[AGOA COMPTABLE €]]-PORTEFEUILLE_GUILLAUME[[#This Row],[SAISIE PAR LE COMPTABLE €]]-PORTEFEUILLE_GUILLAUME[[#This Row],[TRAVAUX 
DE REVISION €]]-PORTEFEUILLE_GUILLAUME[[#This Row],[DECLARATION TVA COMPTABLE €]]-PORTEFEUILLE_GUILLAUME[[#This Row],[MONTANT
RESPONSABLE RELATION CLIENT €]],0),0)</f>
        <v>0</v>
      </c>
      <c r="AV60" s="190" t="str">
        <f>IF(PORTEFEUILLE_GUILLAUME[[#This Row],[BONI COMPTABLE]]&lt;&gt;0,1,"")</f>
        <v/>
      </c>
      <c r="AW60" s="190" t="str">
        <f>IF(PORTEFEUILLE_GUILLAUME[[#This Row],[MALI COMPTABLE]]&lt;&gt;0,1,"")</f>
        <v/>
      </c>
      <c r="AX60" s="205"/>
      <c r="AY60" s="188"/>
      <c r="AZ60" s="188"/>
      <c r="BA60" s="188"/>
      <c r="BB60" s="205"/>
      <c r="BC60" s="205"/>
      <c r="BD60" s="205"/>
      <c r="BE60" s="192"/>
      <c r="BF60" s="205"/>
      <c r="BG60" s="205"/>
      <c r="BH60" s="206"/>
      <c r="BI60" s="205"/>
    </row>
    <row r="63" spans="1:61" x14ac:dyDescent="0.25">
      <c r="B63" s="89" t="s">
        <v>120</v>
      </c>
    </row>
    <row r="65" spans="2:50" x14ac:dyDescent="0.25">
      <c r="B65" s="274" t="s">
        <v>120</v>
      </c>
      <c r="C65" s="122"/>
      <c r="D65" s="122"/>
      <c r="E65" s="125" t="s">
        <v>112</v>
      </c>
      <c r="F65" s="121" t="s">
        <v>115</v>
      </c>
      <c r="G65" s="126" t="s">
        <v>118</v>
      </c>
      <c r="H65" s="127" t="s">
        <v>116</v>
      </c>
      <c r="I65" s="127" t="s">
        <v>136</v>
      </c>
      <c r="J65" s="128" t="s">
        <v>125</v>
      </c>
      <c r="K65" s="128" t="s">
        <v>110</v>
      </c>
      <c r="L65" s="128" t="s">
        <v>119</v>
      </c>
      <c r="M65" s="128" t="s">
        <v>126</v>
      </c>
      <c r="N65" s="128" t="s">
        <v>127</v>
      </c>
      <c r="O65" s="128" t="s">
        <v>128</v>
      </c>
      <c r="P65" s="128" t="s">
        <v>129</v>
      </c>
      <c r="Q65" s="128" t="s">
        <v>130</v>
      </c>
      <c r="R65" s="128" t="s">
        <v>137</v>
      </c>
      <c r="S65" s="128"/>
      <c r="T65" s="121"/>
      <c r="U65" s="164"/>
      <c r="V65" s="164"/>
      <c r="W65" s="164"/>
      <c r="X65" s="164"/>
      <c r="Y65" s="164"/>
      <c r="Z65" s="164"/>
      <c r="AA65" s="164"/>
      <c r="AB65" s="164"/>
      <c r="AC65" s="164"/>
      <c r="AE65" s="164"/>
      <c r="AF65" s="164"/>
      <c r="AG65" s="164"/>
      <c r="AH65" s="164"/>
      <c r="AI65" s="164"/>
      <c r="AJ65" s="164"/>
      <c r="AK65" s="164"/>
      <c r="AL65" s="164"/>
      <c r="AM65" s="164"/>
      <c r="AN65" s="164"/>
      <c r="AO65" s="164"/>
      <c r="AP65" s="164"/>
      <c r="AQ65" s="164"/>
      <c r="AR65" s="164"/>
      <c r="AS65" s="164"/>
      <c r="AT65" s="164"/>
      <c r="AU65" s="164"/>
      <c r="AV65" s="164"/>
      <c r="AW65" s="164"/>
      <c r="AX65" s="164"/>
    </row>
    <row r="66" spans="2:50" x14ac:dyDescent="0.25">
      <c r="B66" s="275"/>
      <c r="C66" s="120" t="s">
        <v>109</v>
      </c>
      <c r="D66" s="122">
        <f>COUNTIF($D$3:$D$60,"ACS")</f>
        <v>3</v>
      </c>
      <c r="E66" s="129">
        <f>+COUNTIF($F$3:$F$60,"SARL")</f>
        <v>1</v>
      </c>
      <c r="F66" s="121">
        <f>+COUNTIF($F$3:$F$60,"EURL")</f>
        <v>1</v>
      </c>
      <c r="G66" s="124">
        <f>COUNTIFS($F$3:$F$60,"SAS",$D$3:$D$60,"ACS")</f>
        <v>0</v>
      </c>
      <c r="H66" s="122">
        <f>COUNTIFS($F$3:$F$60,"INDIVIDUEL",$D$3:$D$60,"ACS")</f>
        <v>0</v>
      </c>
      <c r="I66" s="122">
        <f>COUNTIF($F$3:$F$60,"ASSOCIATION")</f>
        <v>0</v>
      </c>
      <c r="J66" s="122"/>
      <c r="K66" s="122">
        <f>COUNTIF($F$3:$F$60,"SNC")</f>
        <v>0</v>
      </c>
      <c r="L66" s="122">
        <f>+COUNTIF($F$3:$F$60,"SCI")</f>
        <v>0</v>
      </c>
      <c r="M66" s="130"/>
      <c r="N66" s="131"/>
      <c r="O66" s="132"/>
      <c r="P66" s="122">
        <f>+COUNTIF($F$3:$F$60,"GROUPEMENT")</f>
        <v>0</v>
      </c>
      <c r="Q66" s="121">
        <f>COUNTIF($F$3:$F$60,"EIRL")</f>
        <v>1</v>
      </c>
      <c r="R66" s="121">
        <f>COUNTIF($F$3:$F$60,"AUTRE")</f>
        <v>0</v>
      </c>
      <c r="S66" s="121"/>
      <c r="T66" s="122">
        <f>+SUM(E66:P66)</f>
        <v>2</v>
      </c>
      <c r="U66" s="164"/>
      <c r="V66" s="164"/>
      <c r="W66" s="164"/>
      <c r="X66" s="164"/>
      <c r="Y66" s="164"/>
      <c r="Z66" s="164"/>
      <c r="AA66" s="164"/>
      <c r="AB66" s="164"/>
      <c r="AC66" s="164"/>
      <c r="AE66" s="164"/>
      <c r="AF66" s="164"/>
      <c r="AG66" s="164"/>
      <c r="AH66" s="164"/>
      <c r="AI66" s="164"/>
      <c r="AJ66" s="164"/>
      <c r="AK66" s="164"/>
      <c r="AL66" s="164"/>
      <c r="AM66" s="164"/>
      <c r="AN66" s="164"/>
      <c r="AO66" s="164"/>
      <c r="AP66" s="164"/>
      <c r="AQ66" s="164"/>
      <c r="AR66" s="164"/>
      <c r="AS66" s="164"/>
      <c r="AT66" s="164"/>
      <c r="AU66" s="164"/>
      <c r="AV66" s="164"/>
      <c r="AW66" s="164"/>
      <c r="AX66" s="164"/>
    </row>
    <row r="67" spans="2:50" x14ac:dyDescent="0.25">
      <c r="B67" s="275"/>
      <c r="C67" s="120" t="s">
        <v>121</v>
      </c>
      <c r="D67" s="122">
        <f>COUNTIF($D$3:$D$60,"BNC")</f>
        <v>0</v>
      </c>
      <c r="E67" s="133"/>
      <c r="F67" s="121"/>
      <c r="G67" s="134"/>
      <c r="H67" s="135"/>
      <c r="I67" s="132"/>
      <c r="J67" s="122">
        <f>+COUNTIF($F$3:$F$60,"PROFESSION LIBERALE")</f>
        <v>0</v>
      </c>
      <c r="K67" s="122"/>
      <c r="L67" s="122"/>
      <c r="M67" s="122"/>
      <c r="N67" s="122"/>
      <c r="O67" s="122"/>
      <c r="P67" s="122"/>
      <c r="Q67" s="121"/>
      <c r="R67" s="121"/>
      <c r="S67" s="121"/>
      <c r="T67" s="122">
        <f>+SUM(E67:P67)</f>
        <v>0</v>
      </c>
      <c r="U67" s="164"/>
      <c r="V67" s="164"/>
      <c r="W67" s="164"/>
      <c r="X67" s="164"/>
      <c r="Y67" s="164"/>
      <c r="Z67" s="164"/>
      <c r="AA67" s="164"/>
      <c r="AB67" s="164"/>
      <c r="AC67" s="164"/>
      <c r="AE67" s="164"/>
      <c r="AF67" s="164"/>
      <c r="AG67" s="164"/>
      <c r="AH67" s="164"/>
      <c r="AI67" s="164"/>
      <c r="AJ67" s="164"/>
      <c r="AK67" s="164"/>
      <c r="AL67" s="164"/>
      <c r="AM67" s="164"/>
      <c r="AN67" s="164"/>
      <c r="AO67" s="164"/>
      <c r="AP67" s="164"/>
      <c r="AQ67" s="164"/>
      <c r="AR67" s="164"/>
      <c r="AS67" s="164"/>
      <c r="AT67" s="164"/>
      <c r="AU67" s="164"/>
      <c r="AV67" s="164"/>
      <c r="AW67" s="164"/>
      <c r="AX67" s="164"/>
    </row>
    <row r="68" spans="2:50" x14ac:dyDescent="0.25">
      <c r="B68" s="276"/>
      <c r="C68" s="122" t="s">
        <v>122</v>
      </c>
      <c r="D68" s="122">
        <f>COUNTIF($D$3:$D$60,"AGRI")</f>
        <v>0</v>
      </c>
      <c r="E68" s="129"/>
      <c r="F68" s="121"/>
      <c r="G68" s="124">
        <f>COUNTIFS($F$3:$F$60,"SAS",$D$3:$D$60,"AGRI")</f>
        <v>0</v>
      </c>
      <c r="H68" s="122">
        <f>COUNTIFS($F$3:$F$60,"INDIVIDUEL",$D$3:$D$60,"AGRI")</f>
        <v>0</v>
      </c>
      <c r="I68" s="122"/>
      <c r="J68" s="122"/>
      <c r="K68" s="122"/>
      <c r="L68" s="122"/>
      <c r="M68" s="122">
        <f>COUNTIF($F$5:$F$62,"EARL")</f>
        <v>0</v>
      </c>
      <c r="N68" s="122">
        <f>COUNTIF($F$5:$F$62,"ETA")</f>
        <v>0</v>
      </c>
      <c r="O68" s="122">
        <f>COUNTIF($F$5:$F$62,"SCEA")</f>
        <v>0</v>
      </c>
      <c r="P68" s="122"/>
      <c r="Q68" s="121"/>
      <c r="R68" s="121"/>
      <c r="S68" s="121"/>
      <c r="T68" s="122">
        <f>+SUM(E68:P68)</f>
        <v>0</v>
      </c>
      <c r="U68" s="164"/>
      <c r="V68" s="164"/>
      <c r="W68" s="164"/>
      <c r="X68" s="164"/>
      <c r="Y68" s="164"/>
      <c r="Z68" s="164"/>
      <c r="AA68" s="164"/>
      <c r="AB68" s="164"/>
      <c r="AC68" s="164"/>
      <c r="AE68" s="164"/>
      <c r="AF68" s="164"/>
      <c r="AG68" s="164"/>
      <c r="AH68" s="164"/>
      <c r="AI68" s="164"/>
      <c r="AJ68" s="164"/>
      <c r="AK68" s="164"/>
      <c r="AL68" s="164"/>
      <c r="AM68" s="164"/>
      <c r="AN68" s="164"/>
      <c r="AO68" s="164"/>
      <c r="AP68" s="164"/>
      <c r="AQ68" s="164"/>
      <c r="AR68" s="164"/>
      <c r="AS68" s="164"/>
      <c r="AT68" s="164"/>
      <c r="AU68" s="164"/>
      <c r="AV68" s="164"/>
      <c r="AW68" s="164"/>
      <c r="AX68" s="164"/>
    </row>
    <row r="69" spans="2:50" x14ac:dyDescent="0.25">
      <c r="B69" s="277" t="s">
        <v>123</v>
      </c>
      <c r="C69" s="277"/>
      <c r="D69" s="122">
        <f>+SUM(D66:D68)</f>
        <v>3</v>
      </c>
      <c r="E69" s="129">
        <f>+SUM(E66:E68)</f>
        <v>1</v>
      </c>
      <c r="F69" s="129">
        <f t="shared" ref="F69:R69" si="2">+SUM(F66:F68)</f>
        <v>1</v>
      </c>
      <c r="G69" s="129">
        <f t="shared" si="2"/>
        <v>0</v>
      </c>
      <c r="H69" s="129">
        <f t="shared" si="2"/>
        <v>0</v>
      </c>
      <c r="I69" s="129">
        <f t="shared" si="2"/>
        <v>0</v>
      </c>
      <c r="J69" s="129">
        <f t="shared" si="2"/>
        <v>0</v>
      </c>
      <c r="K69" s="129">
        <f t="shared" si="2"/>
        <v>0</v>
      </c>
      <c r="L69" s="129">
        <f t="shared" si="2"/>
        <v>0</v>
      </c>
      <c r="M69" s="129">
        <f t="shared" si="2"/>
        <v>0</v>
      </c>
      <c r="N69" s="129">
        <f t="shared" si="2"/>
        <v>0</v>
      </c>
      <c r="O69" s="129">
        <f t="shared" si="2"/>
        <v>0</v>
      </c>
      <c r="P69" s="129">
        <f t="shared" si="2"/>
        <v>0</v>
      </c>
      <c r="Q69" s="129">
        <f t="shared" si="2"/>
        <v>1</v>
      </c>
      <c r="R69" s="129">
        <f t="shared" si="2"/>
        <v>0</v>
      </c>
      <c r="S69" s="129"/>
      <c r="T69" s="122">
        <f>+SUM(T66:T68)</f>
        <v>2</v>
      </c>
      <c r="U69" s="164"/>
      <c r="V69" s="164"/>
      <c r="W69" s="164"/>
      <c r="X69" s="164"/>
      <c r="Y69" s="164"/>
      <c r="Z69" s="164"/>
      <c r="AA69" s="164"/>
      <c r="AB69" s="164"/>
      <c r="AC69" s="164"/>
      <c r="AE69" s="164"/>
      <c r="AF69" s="164"/>
      <c r="AG69" s="164"/>
      <c r="AH69" s="164"/>
      <c r="AI69" s="164"/>
      <c r="AJ69" s="164"/>
      <c r="AK69" s="164"/>
      <c r="AL69" s="164"/>
      <c r="AM69" s="164"/>
      <c r="AN69" s="164"/>
      <c r="AO69" s="164"/>
      <c r="AP69" s="164"/>
      <c r="AQ69" s="164"/>
      <c r="AR69" s="164"/>
      <c r="AS69" s="164"/>
      <c r="AT69" s="164"/>
      <c r="AU69" s="164"/>
      <c r="AV69" s="164"/>
      <c r="AW69" s="164"/>
      <c r="AX69" s="164"/>
    </row>
    <row r="70" spans="2:50" x14ac:dyDescent="0.25">
      <c r="B70" s="90"/>
      <c r="C70" s="90"/>
      <c r="D70" s="90"/>
      <c r="E70" s="90"/>
      <c r="G70" s="90"/>
      <c r="H70" s="90"/>
      <c r="I70" s="90"/>
      <c r="J70" s="90"/>
      <c r="K70" s="90"/>
      <c r="L70" s="90"/>
      <c r="M70" s="90"/>
      <c r="N70" s="90"/>
      <c r="O70" s="90"/>
      <c r="P70" s="90"/>
      <c r="T70" s="90"/>
      <c r="U70" s="164"/>
      <c r="V70" s="164"/>
      <c r="W70" s="164"/>
      <c r="X70" s="164"/>
      <c r="Y70" s="164"/>
      <c r="Z70" s="164"/>
      <c r="AA70" s="164"/>
      <c r="AB70" s="164"/>
      <c r="AC70" s="164"/>
      <c r="AE70" s="164"/>
      <c r="AF70" s="164"/>
      <c r="AG70" s="164"/>
      <c r="AH70" s="164"/>
      <c r="AI70" s="164"/>
      <c r="AJ70" s="164"/>
      <c r="AK70" s="164"/>
      <c r="AL70" s="164"/>
      <c r="AM70" s="164"/>
      <c r="AN70" s="164"/>
      <c r="AO70" s="164"/>
      <c r="AP70" s="164"/>
      <c r="AQ70" s="164"/>
      <c r="AR70" s="164"/>
      <c r="AS70" s="164"/>
      <c r="AT70" s="164"/>
      <c r="AU70" s="164"/>
      <c r="AV70" s="164"/>
      <c r="AW70" s="164"/>
      <c r="AX70" s="164"/>
    </row>
    <row r="71" spans="2:50" x14ac:dyDescent="0.25">
      <c r="B71" s="278">
        <v>44196</v>
      </c>
      <c r="C71" s="122"/>
      <c r="D71" s="122"/>
      <c r="E71" s="125" t="str">
        <f t="shared" ref="E71:R71" si="3">E65</f>
        <v>SARL</v>
      </c>
      <c r="F71" s="122" t="str">
        <f t="shared" si="3"/>
        <v>EURL</v>
      </c>
      <c r="G71" s="126" t="str">
        <f t="shared" si="3"/>
        <v>SAS</v>
      </c>
      <c r="H71" s="127" t="str">
        <f t="shared" si="3"/>
        <v>INDIVIDUEL</v>
      </c>
      <c r="I71" s="127" t="str">
        <f t="shared" si="3"/>
        <v>ASSOCIATION</v>
      </c>
      <c r="J71" s="128" t="str">
        <f t="shared" si="3"/>
        <v>PROFESSION LIBERALE</v>
      </c>
      <c r="K71" s="128" t="str">
        <f t="shared" si="3"/>
        <v>SNC</v>
      </c>
      <c r="L71" s="128" t="str">
        <f t="shared" si="3"/>
        <v>SCI</v>
      </c>
      <c r="M71" s="128" t="str">
        <f t="shared" si="3"/>
        <v>EARL</v>
      </c>
      <c r="N71" s="128" t="str">
        <f t="shared" si="3"/>
        <v>ETA</v>
      </c>
      <c r="O71" s="128" t="str">
        <f t="shared" si="3"/>
        <v>SCEA</v>
      </c>
      <c r="P71" s="128" t="str">
        <f t="shared" si="3"/>
        <v>GROUPEMENT</v>
      </c>
      <c r="Q71" s="122" t="str">
        <f t="shared" si="3"/>
        <v>EIRL</v>
      </c>
      <c r="R71" s="122" t="str">
        <f t="shared" si="3"/>
        <v>AUTRES</v>
      </c>
      <c r="S71" s="122"/>
      <c r="T71" s="128" t="s">
        <v>86</v>
      </c>
      <c r="U71" s="164"/>
      <c r="V71" s="164"/>
      <c r="W71" s="164"/>
      <c r="X71" s="164"/>
      <c r="Y71" s="164"/>
      <c r="Z71" s="164"/>
      <c r="AA71" s="164"/>
      <c r="AB71" s="164"/>
      <c r="AC71" s="164"/>
      <c r="AE71" s="164"/>
      <c r="AF71" s="164"/>
      <c r="AG71" s="164"/>
      <c r="AH71" s="164"/>
      <c r="AI71" s="164"/>
      <c r="AJ71" s="164"/>
      <c r="AK71" s="164"/>
      <c r="AL71" s="164"/>
      <c r="AM71" s="164"/>
      <c r="AN71" s="164"/>
      <c r="AO71" s="164"/>
      <c r="AP71" s="164"/>
      <c r="AQ71" s="164"/>
      <c r="AR71" s="164"/>
      <c r="AS71" s="164"/>
      <c r="AT71" s="164"/>
      <c r="AU71" s="164"/>
      <c r="AV71" s="164"/>
      <c r="AW71" s="164"/>
      <c r="AX71" s="164"/>
    </row>
    <row r="72" spans="2:50" x14ac:dyDescent="0.25">
      <c r="B72" s="275"/>
      <c r="C72" s="120" t="s">
        <v>109</v>
      </c>
      <c r="D72" s="122">
        <f>COUNTIFS($E$3:$E$60,DATE(Paramètres!A4,Paramètres!D15,Paramètres!C15),$D$3:$D$60,"ACS")</f>
        <v>3</v>
      </c>
      <c r="E72" s="129">
        <f>COUNTIFS($E$3:$E$60,DATE(Paramètres!A4,Paramètres!D15,Paramètres!C15),$F$3:$F$60,"SARL")</f>
        <v>1</v>
      </c>
      <c r="F72" s="122">
        <f>+COUNTIFS($E$3:$E$60,DATE(Paramètres!A4,Paramètres!D15,Paramètres!C15),$F$3:$F$60,"EURL")</f>
        <v>1</v>
      </c>
      <c r="G72" s="124">
        <f>COUNTIFS($E$3:$E$60,DATE(Paramètres!A4,Paramètres!D15,Paramètres!C15),$F$3:$F$60,"SAS",$D$3:$D$60,"ACS")</f>
        <v>0</v>
      </c>
      <c r="H72" s="122">
        <f>COUNTIFS($E$3:$E$60,DATE(Paramètres!A4,Paramètres!D15,Paramètres!C15),$F$3:$F$60,"INDIVIDUEL",$D$3:$D$60,"ACS")</f>
        <v>0</v>
      </c>
      <c r="I72" s="122">
        <f>+COUNTIFS($E$3:$E$60,DATE(Paramètres!A4,Paramètres!D15,Paramètres!C15),$F$3:$F$60,"ASSOCIATION")</f>
        <v>0</v>
      </c>
      <c r="J72" s="122"/>
      <c r="K72" s="122">
        <f>COUNTIFS($E$3:$E$60,DATE(Paramètres!A4,Paramètres!D15,Paramètres!C15),$F$3:$F$60,"SNC")</f>
        <v>0</v>
      </c>
      <c r="L72" s="122">
        <f>COUNTIFS($E$3:$E$60,DATE(Paramètres!A4,Paramètres!D15,Paramètres!C15),$F$3:$F$60,"SCI")</f>
        <v>0</v>
      </c>
      <c r="M72" s="130"/>
      <c r="N72" s="131"/>
      <c r="O72" s="132"/>
      <c r="P72" s="122">
        <f>COUNTIFS($E$3:$E$60,DATE(Paramètres!A4,Paramètres!D15,Paramètres!C15),$F$3:$F$60,"GROUPEMENT")</f>
        <v>0</v>
      </c>
      <c r="Q72" s="122">
        <f>+COUNTIFS($E$3:$E$60,DATE(Paramètres!A4,Paramètres!D15,Paramètres!C15),$F$3:$F$60,"EIRL")</f>
        <v>1</v>
      </c>
      <c r="R72" s="122">
        <f>+COUNTIFS($E$3:$E$60,DATE(Paramètres!B4,Paramètres!E15,Paramètres!D15),$F$3:$F$60,"AUTRES")</f>
        <v>0</v>
      </c>
      <c r="S72" s="122"/>
      <c r="T72" s="122">
        <f>+SUM(E72:P72)</f>
        <v>2</v>
      </c>
      <c r="U72" s="164"/>
      <c r="V72" s="164"/>
      <c r="W72" s="164"/>
      <c r="X72" s="164"/>
      <c r="Y72" s="164"/>
      <c r="Z72" s="164"/>
      <c r="AA72" s="164"/>
      <c r="AB72" s="164"/>
      <c r="AC72" s="164"/>
      <c r="AE72" s="164"/>
      <c r="AF72" s="164"/>
      <c r="AG72" s="164"/>
      <c r="AH72" s="164"/>
      <c r="AI72" s="164"/>
      <c r="AJ72" s="164"/>
      <c r="AK72" s="164"/>
      <c r="AL72" s="164"/>
      <c r="AM72" s="164"/>
      <c r="AN72" s="164"/>
      <c r="AO72" s="164"/>
      <c r="AP72" s="164"/>
      <c r="AQ72" s="164"/>
      <c r="AR72" s="164"/>
      <c r="AS72" s="164"/>
      <c r="AT72" s="164"/>
      <c r="AU72" s="164"/>
      <c r="AV72" s="164"/>
      <c r="AW72" s="164"/>
      <c r="AX72" s="164"/>
    </row>
    <row r="73" spans="2:50" x14ac:dyDescent="0.25">
      <c r="B73" s="275"/>
      <c r="C73" s="120" t="s">
        <v>121</v>
      </c>
      <c r="D73" s="122">
        <f>COUNTIFS($E$3:$E$60,DATE(Paramètres!A4,Paramètres!D15,Paramètres!C15),$D$3:$D$60,"BNC")</f>
        <v>0</v>
      </c>
      <c r="E73" s="133"/>
      <c r="F73" s="122"/>
      <c r="G73" s="134"/>
      <c r="H73" s="135"/>
      <c r="I73" s="132"/>
      <c r="J73" s="122">
        <f>COUNTIFS($E$3:$E$60,DATE(Paramètres!A4,Paramètres!D15,Paramètres!C15),$D$3:$D$60,"BNC")</f>
        <v>0</v>
      </c>
      <c r="K73" s="130"/>
      <c r="L73" s="131"/>
      <c r="M73" s="131"/>
      <c r="N73" s="131"/>
      <c r="O73" s="131"/>
      <c r="P73" s="132"/>
      <c r="Q73" s="122"/>
      <c r="R73" s="122"/>
      <c r="S73" s="122"/>
      <c r="T73" s="122">
        <f>+SUM(E73:P73)</f>
        <v>0</v>
      </c>
      <c r="U73" s="164"/>
      <c r="V73" s="164"/>
      <c r="W73" s="164"/>
      <c r="X73" s="164"/>
      <c r="Y73" s="164"/>
      <c r="Z73" s="164"/>
      <c r="AA73" s="164"/>
      <c r="AB73" s="164"/>
      <c r="AC73" s="164"/>
      <c r="AE73" s="164"/>
      <c r="AF73" s="164"/>
      <c r="AG73" s="164"/>
      <c r="AH73" s="164"/>
      <c r="AI73" s="164"/>
      <c r="AJ73" s="164"/>
      <c r="AK73" s="164"/>
      <c r="AL73" s="164"/>
      <c r="AM73" s="164"/>
      <c r="AN73" s="164"/>
      <c r="AO73" s="164"/>
      <c r="AP73" s="164"/>
      <c r="AQ73" s="164"/>
      <c r="AR73" s="164"/>
      <c r="AS73" s="164"/>
      <c r="AT73" s="164"/>
      <c r="AU73" s="164"/>
      <c r="AV73" s="164"/>
      <c r="AW73" s="164"/>
      <c r="AX73" s="164"/>
    </row>
    <row r="74" spans="2:50" x14ac:dyDescent="0.25">
      <c r="B74" s="276"/>
      <c r="C74" s="122" t="s">
        <v>122</v>
      </c>
      <c r="D74" s="122">
        <f>COUNTIFS($E$3:$E$60,DATE(Paramètres!A4,Paramètres!D15,Paramètres!C15),$D$3:$D$60,"AGRI")</f>
        <v>0</v>
      </c>
      <c r="E74" s="133"/>
      <c r="F74" s="122"/>
      <c r="G74" s="134">
        <f>COUNTIFS($E$3:$E$60,DATE(Paramètres!A4,Paramètres!D15,Paramètres!C15),$F$3:$F$60,"SAS",$D$3:$D$60,"AGRI")</f>
        <v>0</v>
      </c>
      <c r="H74" s="122">
        <f>COUNTIFS($E$3:$E$60,DATE(Paramètres!A4,Paramètres!D15,Paramètres!C15),$F$3:$F$60,"INDIVIDUEL",$D$3:$D$60,"AGRI")</f>
        <v>0</v>
      </c>
      <c r="I74" s="136"/>
      <c r="J74" s="131"/>
      <c r="K74" s="131"/>
      <c r="L74" s="132"/>
      <c r="M74" s="122">
        <f>COUNTIFS($E$3:$E$60,DATE(Paramètres!A4,Paramètres!D15,Paramètres!C15),$F$3:$F$60,"EARL")</f>
        <v>0</v>
      </c>
      <c r="N74" s="122">
        <f>COUNTIFS($E$3:$E$60,DATE(Paramètres!A4,Paramètres!D15,Paramètres!C15),$F$3:$F$60,"ETA")</f>
        <v>0</v>
      </c>
      <c r="O74" s="122">
        <f>COUNTIFS($E$3:$E$60,DATE(Paramètres!A4,Paramètres!D15,Paramètres!C15),$F$3:$F$60,"SCEA")</f>
        <v>0</v>
      </c>
      <c r="P74" s="122"/>
      <c r="Q74" s="122"/>
      <c r="R74" s="122"/>
      <c r="S74" s="122"/>
      <c r="T74" s="122">
        <f>+SUM(E74:P74)</f>
        <v>0</v>
      </c>
      <c r="U74" s="164"/>
      <c r="V74" s="164"/>
      <c r="W74" s="164"/>
      <c r="X74" s="164"/>
      <c r="Y74" s="164"/>
      <c r="Z74" s="164"/>
      <c r="AA74" s="164"/>
      <c r="AB74" s="164"/>
      <c r="AC74" s="164"/>
      <c r="AE74" s="164"/>
      <c r="AF74" s="164"/>
      <c r="AG74" s="164"/>
      <c r="AH74" s="164"/>
      <c r="AI74" s="164"/>
      <c r="AJ74" s="164"/>
      <c r="AK74" s="164"/>
      <c r="AL74" s="164"/>
      <c r="AM74" s="164"/>
      <c r="AN74" s="164"/>
      <c r="AO74" s="164"/>
      <c r="AP74" s="164"/>
      <c r="AQ74" s="164"/>
      <c r="AR74" s="164"/>
      <c r="AS74" s="164"/>
      <c r="AT74" s="164"/>
      <c r="AU74" s="164"/>
      <c r="AV74" s="164"/>
      <c r="AW74" s="164"/>
      <c r="AX74" s="164"/>
    </row>
    <row r="75" spans="2:50" x14ac:dyDescent="0.25">
      <c r="B75" s="277" t="s">
        <v>123</v>
      </c>
      <c r="C75" s="277"/>
      <c r="D75" s="122">
        <f>+SUM(D72:D74)</f>
        <v>3</v>
      </c>
      <c r="E75" s="129">
        <f>+SUM(E72:E74)</f>
        <v>1</v>
      </c>
      <c r="F75" s="129">
        <f>+SUM(F72:F74)</f>
        <v>1</v>
      </c>
      <c r="G75" s="124">
        <f>+SUM(G72:G74)</f>
        <v>0</v>
      </c>
      <c r="H75" s="122">
        <f>+SUM(H72:H74)</f>
        <v>0</v>
      </c>
      <c r="I75" s="122">
        <f t="shared" ref="I75:R75" si="4">+SUM(I72:I74)</f>
        <v>0</v>
      </c>
      <c r="J75" s="122">
        <f t="shared" si="4"/>
        <v>0</v>
      </c>
      <c r="K75" s="122">
        <f t="shared" si="4"/>
        <v>0</v>
      </c>
      <c r="L75" s="122">
        <f t="shared" si="4"/>
        <v>0</v>
      </c>
      <c r="M75" s="122">
        <f t="shared" si="4"/>
        <v>0</v>
      </c>
      <c r="N75" s="122">
        <f t="shared" si="4"/>
        <v>0</v>
      </c>
      <c r="O75" s="122">
        <f t="shared" si="4"/>
        <v>0</v>
      </c>
      <c r="P75" s="122">
        <f t="shared" si="4"/>
        <v>0</v>
      </c>
      <c r="Q75" s="122">
        <f t="shared" si="4"/>
        <v>1</v>
      </c>
      <c r="R75" s="122">
        <f t="shared" si="4"/>
        <v>0</v>
      </c>
      <c r="S75" s="122"/>
      <c r="T75" s="122">
        <f>+SUM(E75:R75)</f>
        <v>3</v>
      </c>
      <c r="U75" s="164"/>
      <c r="V75" s="164"/>
      <c r="W75" s="164"/>
      <c r="X75" s="164"/>
      <c r="Y75" s="164"/>
      <c r="Z75" s="164"/>
      <c r="AA75" s="164"/>
      <c r="AB75" s="164"/>
      <c r="AC75" s="164"/>
      <c r="AE75" s="164"/>
      <c r="AF75" s="164"/>
      <c r="AG75" s="164"/>
      <c r="AH75" s="164"/>
      <c r="AI75" s="164"/>
      <c r="AJ75" s="164"/>
      <c r="AK75" s="164"/>
      <c r="AL75" s="164"/>
      <c r="AM75" s="164"/>
      <c r="AN75" s="164"/>
      <c r="AO75" s="164"/>
      <c r="AP75" s="164"/>
      <c r="AQ75" s="164"/>
      <c r="AR75" s="164"/>
      <c r="AS75" s="164"/>
      <c r="AT75" s="164"/>
      <c r="AU75" s="164"/>
      <c r="AV75" s="164"/>
      <c r="AW75" s="164"/>
      <c r="AX75" s="164"/>
    </row>
    <row r="76" spans="2:50" x14ac:dyDescent="0.25">
      <c r="B76" s="90"/>
      <c r="C76" s="90"/>
      <c r="D76" s="90"/>
      <c r="E76" s="90"/>
      <c r="G76" s="90"/>
      <c r="H76" s="90"/>
      <c r="I76" s="90"/>
      <c r="J76" s="90"/>
      <c r="K76" s="90"/>
      <c r="L76" s="90"/>
      <c r="M76" s="90"/>
      <c r="N76" s="90"/>
      <c r="O76" s="90"/>
      <c r="P76" s="90"/>
      <c r="T76" s="90"/>
      <c r="U76" s="164"/>
      <c r="V76" s="164"/>
      <c r="W76" s="164"/>
      <c r="X76" s="164"/>
      <c r="Y76" s="164"/>
      <c r="Z76" s="164"/>
      <c r="AA76" s="164"/>
      <c r="AB76" s="164"/>
      <c r="AC76" s="164"/>
      <c r="AE76" s="164"/>
      <c r="AF76" s="164"/>
      <c r="AG76" s="164"/>
      <c r="AH76" s="164"/>
      <c r="AI76" s="164"/>
      <c r="AJ76" s="164"/>
      <c r="AK76" s="164"/>
      <c r="AL76" s="164"/>
      <c r="AM76" s="164"/>
      <c r="AN76" s="164"/>
      <c r="AO76" s="164"/>
      <c r="AP76" s="164"/>
      <c r="AQ76" s="164"/>
      <c r="AR76" s="164"/>
      <c r="AS76" s="164"/>
      <c r="AT76" s="164"/>
      <c r="AU76" s="164"/>
      <c r="AV76" s="164"/>
      <c r="AW76" s="164"/>
      <c r="AX76" s="164"/>
    </row>
    <row r="77" spans="2:50" x14ac:dyDescent="0.25">
      <c r="B77" s="278" t="s">
        <v>40</v>
      </c>
      <c r="C77" s="122"/>
      <c r="D77" s="122"/>
      <c r="E77" s="125" t="s">
        <v>112</v>
      </c>
      <c r="F77" s="121" t="s">
        <v>115</v>
      </c>
      <c r="G77" s="126" t="s">
        <v>118</v>
      </c>
      <c r="H77" s="127" t="s">
        <v>116</v>
      </c>
      <c r="I77" s="127" t="s">
        <v>124</v>
      </c>
      <c r="J77" s="128" t="s">
        <v>125</v>
      </c>
      <c r="K77" s="128" t="s">
        <v>110</v>
      </c>
      <c r="L77" s="128" t="s">
        <v>119</v>
      </c>
      <c r="M77" s="128" t="s">
        <v>126</v>
      </c>
      <c r="N77" s="128" t="s">
        <v>127</v>
      </c>
      <c r="O77" s="128" t="s">
        <v>128</v>
      </c>
      <c r="P77" s="128" t="s">
        <v>129</v>
      </c>
      <c r="Q77" s="128" t="s">
        <v>130</v>
      </c>
      <c r="R77" s="128" t="s">
        <v>131</v>
      </c>
      <c r="S77" s="128"/>
      <c r="T77" s="128" t="s">
        <v>86</v>
      </c>
      <c r="U77" s="164"/>
      <c r="V77" s="164"/>
      <c r="W77" s="164"/>
      <c r="X77" s="164"/>
      <c r="Y77" s="164"/>
      <c r="Z77" s="164"/>
      <c r="AA77" s="164"/>
      <c r="AB77" s="164"/>
      <c r="AC77" s="164"/>
      <c r="AE77" s="164"/>
      <c r="AF77" s="164"/>
      <c r="AG77" s="164"/>
      <c r="AH77" s="164"/>
      <c r="AI77" s="164"/>
      <c r="AJ77" s="164"/>
      <c r="AK77" s="164"/>
      <c r="AL77" s="164"/>
      <c r="AM77" s="164"/>
      <c r="AN77" s="164"/>
      <c r="AO77" s="164"/>
      <c r="AP77" s="164"/>
      <c r="AQ77" s="164"/>
      <c r="AR77" s="164"/>
      <c r="AS77" s="164"/>
      <c r="AT77" s="164"/>
      <c r="AU77" s="164"/>
      <c r="AV77" s="164"/>
      <c r="AW77" s="164"/>
      <c r="AX77" s="164"/>
    </row>
    <row r="78" spans="2:50" x14ac:dyDescent="0.25">
      <c r="B78" s="275"/>
      <c r="C78" s="120" t="s">
        <v>109</v>
      </c>
      <c r="D78" s="122">
        <f>+D66-D72</f>
        <v>0</v>
      </c>
      <c r="E78" s="122">
        <f>+E66-E72</f>
        <v>0</v>
      </c>
      <c r="F78" s="122">
        <f t="shared" ref="F78:R78" si="5">+F66-F72</f>
        <v>0</v>
      </c>
      <c r="G78" s="122">
        <f t="shared" si="5"/>
        <v>0</v>
      </c>
      <c r="H78" s="122">
        <f t="shared" si="5"/>
        <v>0</v>
      </c>
      <c r="I78" s="122">
        <f t="shared" si="5"/>
        <v>0</v>
      </c>
      <c r="J78" s="122">
        <f t="shared" si="5"/>
        <v>0</v>
      </c>
      <c r="K78" s="122">
        <f t="shared" si="5"/>
        <v>0</v>
      </c>
      <c r="L78" s="122">
        <f t="shared" si="5"/>
        <v>0</v>
      </c>
      <c r="M78" s="122">
        <f t="shared" si="5"/>
        <v>0</v>
      </c>
      <c r="N78" s="122">
        <f t="shared" si="5"/>
        <v>0</v>
      </c>
      <c r="O78" s="122">
        <f t="shared" si="5"/>
        <v>0</v>
      </c>
      <c r="P78" s="122">
        <f t="shared" si="5"/>
        <v>0</v>
      </c>
      <c r="Q78" s="122">
        <f t="shared" si="5"/>
        <v>0</v>
      </c>
      <c r="R78" s="122">
        <f t="shared" si="5"/>
        <v>0</v>
      </c>
      <c r="S78" s="122"/>
      <c r="T78" s="122">
        <f>+SUM(E78:P78)</f>
        <v>0</v>
      </c>
      <c r="U78" s="164"/>
      <c r="V78" s="164"/>
      <c r="W78" s="164"/>
      <c r="X78" s="164"/>
      <c r="Y78" s="164"/>
      <c r="Z78" s="164"/>
      <c r="AA78" s="164"/>
      <c r="AB78" s="164"/>
      <c r="AC78" s="164"/>
      <c r="AE78" s="164"/>
      <c r="AF78" s="164"/>
      <c r="AG78" s="164"/>
      <c r="AH78" s="164"/>
      <c r="AI78" s="164"/>
      <c r="AJ78" s="164"/>
      <c r="AK78" s="164"/>
      <c r="AL78" s="164"/>
      <c r="AM78" s="164"/>
      <c r="AN78" s="164"/>
      <c r="AO78" s="164"/>
      <c r="AP78" s="164"/>
      <c r="AQ78" s="164"/>
      <c r="AR78" s="164"/>
      <c r="AS78" s="164"/>
      <c r="AT78" s="164"/>
      <c r="AU78" s="164"/>
      <c r="AV78" s="164"/>
      <c r="AW78" s="164"/>
      <c r="AX78" s="164"/>
    </row>
    <row r="79" spans="2:50" x14ac:dyDescent="0.25">
      <c r="B79" s="275"/>
      <c r="C79" s="120" t="s">
        <v>121</v>
      </c>
      <c r="D79" s="122">
        <f>+D67-D73</f>
        <v>0</v>
      </c>
      <c r="E79" s="122">
        <f t="shared" ref="E79:R81" si="6">+E67-E73</f>
        <v>0</v>
      </c>
      <c r="F79" s="122">
        <f t="shared" si="6"/>
        <v>0</v>
      </c>
      <c r="G79" s="122">
        <f t="shared" si="6"/>
        <v>0</v>
      </c>
      <c r="H79" s="122">
        <f t="shared" si="6"/>
        <v>0</v>
      </c>
      <c r="I79" s="122">
        <f t="shared" si="6"/>
        <v>0</v>
      </c>
      <c r="J79" s="122">
        <f t="shared" si="6"/>
        <v>0</v>
      </c>
      <c r="K79" s="122">
        <f t="shared" si="6"/>
        <v>0</v>
      </c>
      <c r="L79" s="122">
        <f t="shared" si="6"/>
        <v>0</v>
      </c>
      <c r="M79" s="122">
        <f t="shared" si="6"/>
        <v>0</v>
      </c>
      <c r="N79" s="122">
        <f t="shared" si="6"/>
        <v>0</v>
      </c>
      <c r="O79" s="122">
        <f t="shared" si="6"/>
        <v>0</v>
      </c>
      <c r="P79" s="122">
        <f t="shared" si="6"/>
        <v>0</v>
      </c>
      <c r="Q79" s="122">
        <f t="shared" si="6"/>
        <v>0</v>
      </c>
      <c r="R79" s="122">
        <f t="shared" si="6"/>
        <v>0</v>
      </c>
      <c r="S79" s="122"/>
      <c r="T79" s="122">
        <f>+SUM(E79:P79)</f>
        <v>0</v>
      </c>
      <c r="U79" s="164"/>
      <c r="V79" s="164"/>
      <c r="W79" s="164"/>
      <c r="X79" s="164"/>
      <c r="Y79" s="164"/>
      <c r="Z79" s="164"/>
      <c r="AA79" s="164"/>
      <c r="AB79" s="164"/>
      <c r="AC79" s="164"/>
      <c r="AE79" s="164"/>
      <c r="AF79" s="164"/>
      <c r="AG79" s="164"/>
      <c r="AH79" s="164"/>
      <c r="AI79" s="164"/>
      <c r="AJ79" s="164"/>
      <c r="AK79" s="164"/>
      <c r="AL79" s="164"/>
      <c r="AM79" s="164"/>
      <c r="AN79" s="164"/>
      <c r="AO79" s="164"/>
      <c r="AP79" s="164"/>
      <c r="AQ79" s="164"/>
      <c r="AR79" s="164"/>
      <c r="AS79" s="164"/>
      <c r="AT79" s="164"/>
      <c r="AU79" s="164"/>
      <c r="AV79" s="164"/>
      <c r="AW79" s="164"/>
      <c r="AX79" s="164"/>
    </row>
    <row r="80" spans="2:50" x14ac:dyDescent="0.25">
      <c r="B80" s="276"/>
      <c r="C80" s="122" t="s">
        <v>122</v>
      </c>
      <c r="D80" s="122">
        <f>+D68-D74</f>
        <v>0</v>
      </c>
      <c r="E80" s="122">
        <f t="shared" si="6"/>
        <v>0</v>
      </c>
      <c r="F80" s="122">
        <f t="shared" si="6"/>
        <v>0</v>
      </c>
      <c r="G80" s="122">
        <f t="shared" si="6"/>
        <v>0</v>
      </c>
      <c r="H80" s="122">
        <f t="shared" si="6"/>
        <v>0</v>
      </c>
      <c r="I80" s="122">
        <f t="shared" si="6"/>
        <v>0</v>
      </c>
      <c r="J80" s="122">
        <f t="shared" si="6"/>
        <v>0</v>
      </c>
      <c r="K80" s="122">
        <f t="shared" si="6"/>
        <v>0</v>
      </c>
      <c r="L80" s="122">
        <f t="shared" si="6"/>
        <v>0</v>
      </c>
      <c r="M80" s="122">
        <f t="shared" si="6"/>
        <v>0</v>
      </c>
      <c r="N80" s="122">
        <f t="shared" si="6"/>
        <v>0</v>
      </c>
      <c r="O80" s="122">
        <f t="shared" si="6"/>
        <v>0</v>
      </c>
      <c r="P80" s="122">
        <f t="shared" si="6"/>
        <v>0</v>
      </c>
      <c r="Q80" s="122">
        <f t="shared" si="6"/>
        <v>0</v>
      </c>
      <c r="R80" s="122">
        <f t="shared" si="6"/>
        <v>0</v>
      </c>
      <c r="S80" s="122"/>
      <c r="T80" s="122">
        <f>+SUM(E80:P80)</f>
        <v>0</v>
      </c>
      <c r="U80" s="164"/>
      <c r="V80" s="164"/>
      <c r="W80" s="164"/>
      <c r="X80" s="164"/>
      <c r="Y80" s="164"/>
      <c r="Z80" s="164"/>
      <c r="AA80" s="164"/>
      <c r="AB80" s="164"/>
      <c r="AC80" s="164"/>
      <c r="AE80" s="164"/>
      <c r="AF80" s="164"/>
      <c r="AG80" s="164"/>
      <c r="AH80" s="164"/>
      <c r="AI80" s="164"/>
      <c r="AJ80" s="164"/>
      <c r="AK80" s="164"/>
      <c r="AL80" s="164"/>
      <c r="AM80" s="164"/>
      <c r="AN80" s="164"/>
      <c r="AO80" s="164"/>
      <c r="AP80" s="164"/>
      <c r="AQ80" s="164"/>
      <c r="AR80" s="164"/>
      <c r="AS80" s="164"/>
      <c r="AT80" s="164"/>
      <c r="AU80" s="164"/>
      <c r="AV80" s="164"/>
      <c r="AW80" s="164"/>
      <c r="AX80" s="164"/>
    </row>
    <row r="81" spans="2:50" x14ac:dyDescent="0.25">
      <c r="B81" s="277" t="s">
        <v>123</v>
      </c>
      <c r="C81" s="277"/>
      <c r="D81" s="122">
        <f>+D69-D75</f>
        <v>0</v>
      </c>
      <c r="E81" s="122">
        <f t="shared" si="6"/>
        <v>0</v>
      </c>
      <c r="F81" s="122">
        <f t="shared" si="6"/>
        <v>0</v>
      </c>
      <c r="G81" s="122">
        <f t="shared" si="6"/>
        <v>0</v>
      </c>
      <c r="H81" s="122">
        <f t="shared" si="6"/>
        <v>0</v>
      </c>
      <c r="I81" s="122">
        <f t="shared" si="6"/>
        <v>0</v>
      </c>
      <c r="J81" s="122">
        <f t="shared" si="6"/>
        <v>0</v>
      </c>
      <c r="K81" s="122">
        <f t="shared" si="6"/>
        <v>0</v>
      </c>
      <c r="L81" s="122">
        <f t="shared" si="6"/>
        <v>0</v>
      </c>
      <c r="M81" s="122">
        <f t="shared" si="6"/>
        <v>0</v>
      </c>
      <c r="N81" s="122">
        <f t="shared" si="6"/>
        <v>0</v>
      </c>
      <c r="O81" s="122">
        <f t="shared" si="6"/>
        <v>0</v>
      </c>
      <c r="P81" s="122">
        <f t="shared" si="6"/>
        <v>0</v>
      </c>
      <c r="Q81" s="122">
        <f t="shared" si="6"/>
        <v>0</v>
      </c>
      <c r="R81" s="122">
        <f t="shared" si="6"/>
        <v>0</v>
      </c>
      <c r="S81" s="122"/>
      <c r="T81" s="122">
        <f>+SUM(T78:T80)</f>
        <v>0</v>
      </c>
      <c r="U81" s="164"/>
      <c r="V81" s="164"/>
      <c r="W81" s="164"/>
      <c r="X81" s="164"/>
      <c r="Y81" s="164"/>
      <c r="Z81" s="164"/>
      <c r="AA81" s="164"/>
      <c r="AB81" s="164"/>
      <c r="AC81" s="164"/>
      <c r="AE81" s="164"/>
      <c r="AF81" s="164"/>
      <c r="AG81" s="164"/>
      <c r="AH81" s="164"/>
      <c r="AI81" s="164"/>
      <c r="AJ81" s="164"/>
      <c r="AK81" s="164"/>
      <c r="AL81" s="164"/>
      <c r="AM81" s="164"/>
      <c r="AN81" s="164"/>
      <c r="AO81" s="164"/>
      <c r="AP81" s="164"/>
      <c r="AQ81" s="164"/>
      <c r="AR81" s="164"/>
      <c r="AS81" s="164"/>
      <c r="AT81" s="164"/>
      <c r="AU81" s="164"/>
      <c r="AV81" s="164"/>
      <c r="AW81" s="164"/>
      <c r="AX81" s="164"/>
    </row>
    <row r="82" spans="2:50" x14ac:dyDescent="0.25">
      <c r="U82" s="164"/>
      <c r="V82" s="164"/>
      <c r="W82" s="164"/>
      <c r="X82" s="164"/>
      <c r="Y82" s="164"/>
      <c r="Z82" s="164"/>
      <c r="AA82" s="164"/>
      <c r="AB82" s="164"/>
      <c r="AC82" s="164"/>
      <c r="AE82" s="164"/>
      <c r="AF82" s="164"/>
      <c r="AG82" s="164"/>
      <c r="AH82" s="164"/>
      <c r="AI82" s="164"/>
      <c r="AJ82" s="164"/>
      <c r="AK82" s="164"/>
      <c r="AL82" s="164"/>
      <c r="AM82" s="164"/>
      <c r="AN82" s="164"/>
      <c r="AO82" s="164"/>
      <c r="AP82" s="164"/>
      <c r="AQ82" s="164"/>
      <c r="AR82" s="164"/>
      <c r="AS82" s="164"/>
      <c r="AT82" s="164"/>
      <c r="AU82" s="164"/>
      <c r="AV82" s="164"/>
      <c r="AW82" s="164"/>
      <c r="AX82" s="164"/>
    </row>
    <row r="83" spans="2:50" x14ac:dyDescent="0.25">
      <c r="B83" s="137" t="s">
        <v>132</v>
      </c>
      <c r="C83" s="137"/>
      <c r="D83" s="137"/>
      <c r="E83" s="137"/>
      <c r="F83" s="137"/>
      <c r="G83" s="137"/>
      <c r="H83" s="137"/>
      <c r="I83" s="137"/>
      <c r="J83" s="137"/>
      <c r="K83" s="137"/>
      <c r="L83" s="137"/>
      <c r="M83" s="137"/>
      <c r="N83" s="137"/>
      <c r="O83" s="137"/>
      <c r="P83" s="137"/>
      <c r="Q83" s="137"/>
      <c r="R83" s="138"/>
      <c r="S83" s="139"/>
      <c r="T83" s="137"/>
      <c r="U83" s="164"/>
      <c r="V83" s="164"/>
      <c r="W83" s="164"/>
      <c r="X83" s="164"/>
      <c r="Y83" s="164"/>
      <c r="Z83" s="164"/>
      <c r="AA83" s="164"/>
      <c r="AB83" s="164"/>
      <c r="AC83" s="164"/>
      <c r="AE83" s="164"/>
      <c r="AF83" s="164"/>
      <c r="AG83" s="164"/>
      <c r="AH83" s="164"/>
      <c r="AI83" s="164"/>
      <c r="AJ83" s="164"/>
      <c r="AK83" s="164"/>
      <c r="AL83" s="164"/>
      <c r="AM83" s="164"/>
      <c r="AN83" s="164"/>
      <c r="AO83" s="164"/>
      <c r="AP83" s="164"/>
      <c r="AQ83" s="164"/>
      <c r="AR83" s="164"/>
      <c r="AS83" s="164"/>
      <c r="AT83" s="164"/>
      <c r="AU83" s="164"/>
      <c r="AV83" s="164"/>
      <c r="AW83" s="164"/>
      <c r="AX83" s="164"/>
    </row>
    <row r="84" spans="2:50" x14ac:dyDescent="0.25">
      <c r="B84" s="279" t="s">
        <v>120</v>
      </c>
      <c r="C84" s="138"/>
      <c r="D84" s="138"/>
      <c r="E84" s="140" t="str">
        <f t="shared" ref="E84:R84" si="7">E65</f>
        <v>SARL</v>
      </c>
      <c r="F84" s="138" t="str">
        <f t="shared" si="7"/>
        <v>EURL</v>
      </c>
      <c r="G84" s="141" t="str">
        <f t="shared" si="7"/>
        <v>SAS</v>
      </c>
      <c r="H84" s="142" t="str">
        <f t="shared" si="7"/>
        <v>INDIVIDUEL</v>
      </c>
      <c r="I84" s="142" t="str">
        <f t="shared" si="7"/>
        <v>ASSOCIATION</v>
      </c>
      <c r="J84" s="240" t="str">
        <f t="shared" si="7"/>
        <v>PROFESSION LIBERALE</v>
      </c>
      <c r="K84" s="240" t="str">
        <f t="shared" si="7"/>
        <v>SNC</v>
      </c>
      <c r="L84" s="240" t="str">
        <f t="shared" si="7"/>
        <v>SCI</v>
      </c>
      <c r="M84" s="240" t="str">
        <f t="shared" si="7"/>
        <v>EARL</v>
      </c>
      <c r="N84" s="240" t="str">
        <f t="shared" si="7"/>
        <v>ETA</v>
      </c>
      <c r="O84" s="240" t="str">
        <f t="shared" si="7"/>
        <v>SCEA</v>
      </c>
      <c r="P84" s="240" t="str">
        <f t="shared" si="7"/>
        <v>GROUPEMENT</v>
      </c>
      <c r="Q84" s="240" t="str">
        <f t="shared" si="7"/>
        <v>EIRL</v>
      </c>
      <c r="R84" s="240" t="str">
        <f t="shared" si="7"/>
        <v>AUTRES</v>
      </c>
      <c r="S84" s="144"/>
      <c r="T84" s="145" t="s">
        <v>86</v>
      </c>
      <c r="U84" s="164"/>
      <c r="V84" s="164"/>
      <c r="W84" s="164"/>
      <c r="X84" s="164"/>
      <c r="Y84" s="164"/>
      <c r="Z84" s="164"/>
      <c r="AA84" s="164"/>
      <c r="AB84" s="164"/>
      <c r="AC84" s="164"/>
      <c r="AE84" s="164"/>
      <c r="AF84" s="164"/>
      <c r="AG84" s="164"/>
      <c r="AH84" s="164"/>
      <c r="AI84" s="164"/>
      <c r="AJ84" s="164"/>
      <c r="AK84" s="164"/>
      <c r="AL84" s="164"/>
      <c r="AM84" s="164"/>
      <c r="AN84" s="164"/>
      <c r="AO84" s="164"/>
      <c r="AP84" s="164"/>
      <c r="AQ84" s="164"/>
      <c r="AR84" s="164"/>
      <c r="AS84" s="164"/>
      <c r="AT84" s="164"/>
      <c r="AU84" s="164"/>
      <c r="AV84" s="164"/>
      <c r="AW84" s="164"/>
      <c r="AX84" s="164"/>
    </row>
    <row r="85" spans="2:50" x14ac:dyDescent="0.25">
      <c r="B85" s="280"/>
      <c r="C85" s="146" t="s">
        <v>109</v>
      </c>
      <c r="D85" s="138">
        <f>COUNTIFS($I$3:$I$60,"&lt;&gt;",$D$3:$D$60,"ACS")</f>
        <v>2</v>
      </c>
      <c r="E85" s="147">
        <f>+COUNTIFS($I$3:$I$60,"&lt;&gt;",$F$3:$F$60,"SARL")</f>
        <v>1</v>
      </c>
      <c r="F85" s="138">
        <f>+COUNTIFS($I3:$I60,"&lt;&gt;",$F$3:$F$60,"EURL")</f>
        <v>1</v>
      </c>
      <c r="G85" s="148">
        <f>COUNTIFS($I$3:$I$60,"&lt;&gt;",$F$3:$F$60,"SAS",$D$3:$D$60,"ACS")</f>
        <v>0</v>
      </c>
      <c r="H85" s="138">
        <f>COUNTIFS($I$3:$I$60,"&lt;&gt;",$F$3:$F$60,"INDIVIDUEL",$D$3:$D$60,"ACS")</f>
        <v>0</v>
      </c>
      <c r="I85" s="138">
        <f>COUNTIFS($I$3:$I$60,"&lt;&gt;",$F$3:$F$60,"ASSOCIATION")</f>
        <v>0</v>
      </c>
      <c r="J85" s="138"/>
      <c r="K85" s="138">
        <f>COUNTIFS($I$3:$I$60,"&lt;&gt;",$F$3:$F$60,"SNC")</f>
        <v>0</v>
      </c>
      <c r="L85" s="138">
        <f>COUNTIFS($I$3:$I$60,"&lt;&gt;",$F$3:$F$60,"SCI")</f>
        <v>0</v>
      </c>
      <c r="M85" s="149"/>
      <c r="N85" s="150"/>
      <c r="O85" s="151"/>
      <c r="P85" s="138">
        <f>COUNTIFS($I$3:$I$60,"&lt;&gt;",$F$3:$F$60,"GROUPEMENT")</f>
        <v>0</v>
      </c>
      <c r="Q85" s="152">
        <f>COUNTIFS($I$3:$I$60,"&lt;&gt;",$F$3:$F$60,"EIRL")</f>
        <v>0</v>
      </c>
      <c r="R85" s="138">
        <f>COUNTIFS($I$3:$I$60,"&lt;&gt;",$F$3:$F$60,"AUTRES")</f>
        <v>0</v>
      </c>
      <c r="S85" s="148"/>
      <c r="T85" s="148">
        <f>+SUM(E85:P85)</f>
        <v>2</v>
      </c>
      <c r="U85" s="164"/>
      <c r="V85" s="164"/>
      <c r="W85" s="164"/>
      <c r="X85" s="164"/>
      <c r="Y85" s="164"/>
      <c r="Z85" s="164"/>
      <c r="AA85" s="164"/>
      <c r="AB85" s="164"/>
      <c r="AC85" s="164"/>
      <c r="AE85" s="164"/>
      <c r="AF85" s="164"/>
      <c r="AG85" s="164"/>
      <c r="AH85" s="164"/>
      <c r="AI85" s="164"/>
      <c r="AJ85" s="164"/>
      <c r="AK85" s="164"/>
      <c r="AL85" s="164"/>
      <c r="AM85" s="164"/>
      <c r="AN85" s="164"/>
      <c r="AO85" s="164"/>
      <c r="AP85" s="164"/>
      <c r="AQ85" s="164"/>
      <c r="AR85" s="164"/>
      <c r="AS85" s="164"/>
      <c r="AT85" s="164"/>
      <c r="AU85" s="164"/>
      <c r="AV85" s="164"/>
      <c r="AW85" s="164"/>
      <c r="AX85" s="164"/>
    </row>
    <row r="86" spans="2:50" x14ac:dyDescent="0.25">
      <c r="B86" s="280"/>
      <c r="C86" s="146" t="s">
        <v>121</v>
      </c>
      <c r="D86" s="138">
        <f>COUNTIFS($I$3:$I$60,"&lt;&gt;",$D$3:$D$60,"BNC")</f>
        <v>0</v>
      </c>
      <c r="E86" s="153"/>
      <c r="F86" s="138"/>
      <c r="G86" s="154"/>
      <c r="H86" s="155"/>
      <c r="I86" s="151"/>
      <c r="J86" s="138">
        <f>COUNTIFS($I$3:$I$60,"&lt;&gt;",$D$3:$D$60,"BNC")</f>
        <v>0</v>
      </c>
      <c r="K86" s="138"/>
      <c r="L86" s="138"/>
      <c r="M86" s="138"/>
      <c r="N86" s="138"/>
      <c r="O86" s="138"/>
      <c r="P86" s="138"/>
      <c r="Q86" s="152"/>
      <c r="R86" s="138"/>
      <c r="S86" s="148"/>
      <c r="T86" s="148">
        <f>+SUM(E86:P86)</f>
        <v>0</v>
      </c>
      <c r="U86" s="164"/>
      <c r="V86" s="164"/>
      <c r="W86" s="164"/>
      <c r="X86" s="164"/>
      <c r="Y86" s="164"/>
      <c r="Z86" s="164"/>
      <c r="AA86" s="164"/>
      <c r="AB86" s="164"/>
      <c r="AC86" s="164"/>
      <c r="AE86" s="164"/>
      <c r="AF86" s="164"/>
      <c r="AG86" s="164"/>
      <c r="AH86" s="164"/>
      <c r="AI86" s="164"/>
      <c r="AJ86" s="164"/>
      <c r="AK86" s="164"/>
      <c r="AL86" s="164"/>
      <c r="AM86" s="164"/>
      <c r="AN86" s="164"/>
      <c r="AO86" s="164"/>
      <c r="AP86" s="164"/>
      <c r="AQ86" s="164"/>
      <c r="AR86" s="164"/>
      <c r="AS86" s="164"/>
      <c r="AT86" s="164"/>
      <c r="AU86" s="164"/>
      <c r="AV86" s="164"/>
      <c r="AW86" s="164"/>
      <c r="AX86" s="164"/>
    </row>
    <row r="87" spans="2:50" x14ac:dyDescent="0.25">
      <c r="B87" s="280"/>
      <c r="C87" s="138" t="s">
        <v>122</v>
      </c>
      <c r="D87" s="138">
        <f>COUNTIFS($I$3:$I$60,"&lt;&gt;",$D$3:$D$60,"AGRI")</f>
        <v>0</v>
      </c>
      <c r="E87" s="152"/>
      <c r="F87" s="138"/>
      <c r="G87" s="148">
        <f>COUNTIFS($I$3:$I$60,"&lt;&gt;",$F$3:$F$60,"SAS",$D$3:$D$60,"AGRI")</f>
        <v>0</v>
      </c>
      <c r="H87" s="138">
        <f>COUNTIFS($F$3:$F$60,"INDIVIDUEL",$D$3:$D$60,"AGRI",$I3:$I$60,"&lt;&gt;")</f>
        <v>0</v>
      </c>
      <c r="I87" s="138"/>
      <c r="J87" s="138"/>
      <c r="K87" s="138"/>
      <c r="L87" s="138"/>
      <c r="M87" s="138">
        <f>COUNTIFS($I$3:$I$60,"&lt;&gt;",$F$5:$F$62,"EARL")</f>
        <v>0</v>
      </c>
      <c r="N87" s="138">
        <f>COUNTIFS($I$3:$I$60,"&lt;&gt;",$F$5:$F$62,"ETA")</f>
        <v>0</v>
      </c>
      <c r="O87" s="138">
        <f>COUNTIFS($I$3:$I$60,"&lt;&gt;",$F$5:$F$62,"SCEA")</f>
        <v>0</v>
      </c>
      <c r="P87" s="138"/>
      <c r="Q87" s="152"/>
      <c r="R87" s="138"/>
      <c r="S87" s="148"/>
      <c r="T87" s="148">
        <f>+SUM(E87:P87)</f>
        <v>0</v>
      </c>
      <c r="U87" s="164"/>
      <c r="V87" s="164"/>
      <c r="W87" s="164"/>
      <c r="X87" s="164"/>
      <c r="Y87" s="164"/>
      <c r="Z87" s="164"/>
      <c r="AA87" s="164"/>
      <c r="AB87" s="164"/>
      <c r="AC87" s="164"/>
      <c r="AE87" s="164"/>
      <c r="AF87" s="164"/>
      <c r="AG87" s="164"/>
      <c r="AH87" s="164"/>
      <c r="AI87" s="164"/>
      <c r="AJ87" s="164"/>
      <c r="AK87" s="164"/>
      <c r="AL87" s="164"/>
      <c r="AM87" s="164"/>
      <c r="AN87" s="164"/>
      <c r="AO87" s="164"/>
      <c r="AP87" s="164"/>
      <c r="AQ87" s="164"/>
      <c r="AR87" s="164"/>
      <c r="AS87" s="164"/>
      <c r="AT87" s="164"/>
      <c r="AU87" s="164"/>
      <c r="AV87" s="164"/>
      <c r="AW87" s="164"/>
      <c r="AX87" s="164"/>
    </row>
    <row r="88" spans="2:50" x14ac:dyDescent="0.25">
      <c r="B88" s="280" t="s">
        <v>123</v>
      </c>
      <c r="C88" s="280"/>
      <c r="D88" s="138">
        <f t="shared" ref="D88:R88" si="8">+SUM(D85:D87)</f>
        <v>2</v>
      </c>
      <c r="E88" s="152">
        <f t="shared" si="8"/>
        <v>1</v>
      </c>
      <c r="F88" s="152">
        <f t="shared" si="8"/>
        <v>1</v>
      </c>
      <c r="G88" s="152">
        <f t="shared" si="8"/>
        <v>0</v>
      </c>
      <c r="H88" s="152">
        <f t="shared" si="8"/>
        <v>0</v>
      </c>
      <c r="I88" s="152">
        <f t="shared" si="8"/>
        <v>0</v>
      </c>
      <c r="J88" s="152">
        <f t="shared" si="8"/>
        <v>0</v>
      </c>
      <c r="K88" s="152">
        <f t="shared" si="8"/>
        <v>0</v>
      </c>
      <c r="L88" s="152">
        <f t="shared" si="8"/>
        <v>0</v>
      </c>
      <c r="M88" s="152">
        <f t="shared" si="8"/>
        <v>0</v>
      </c>
      <c r="N88" s="152">
        <f t="shared" si="8"/>
        <v>0</v>
      </c>
      <c r="O88" s="152">
        <f t="shared" si="8"/>
        <v>0</v>
      </c>
      <c r="P88" s="152">
        <f t="shared" si="8"/>
        <v>0</v>
      </c>
      <c r="Q88" s="152">
        <f t="shared" si="8"/>
        <v>0</v>
      </c>
      <c r="R88" s="152">
        <f t="shared" si="8"/>
        <v>0</v>
      </c>
      <c r="S88" s="156"/>
      <c r="T88" s="148">
        <f>+SUM(T85:T87)</f>
        <v>2</v>
      </c>
      <c r="U88" s="164"/>
      <c r="V88" s="164"/>
      <c r="W88" s="164"/>
      <c r="X88" s="164"/>
      <c r="Y88" s="164"/>
      <c r="Z88" s="164"/>
      <c r="AA88" s="164"/>
      <c r="AB88" s="164"/>
      <c r="AC88" s="164"/>
      <c r="AE88" s="164"/>
      <c r="AF88" s="164"/>
      <c r="AG88" s="164"/>
      <c r="AH88" s="164"/>
      <c r="AI88" s="164"/>
      <c r="AJ88" s="164"/>
      <c r="AK88" s="164"/>
      <c r="AL88" s="164"/>
      <c r="AM88" s="164"/>
      <c r="AN88" s="164"/>
      <c r="AO88" s="164"/>
      <c r="AP88" s="164"/>
      <c r="AQ88" s="164"/>
      <c r="AR88" s="164"/>
      <c r="AS88" s="164"/>
      <c r="AT88" s="164"/>
      <c r="AU88" s="164"/>
      <c r="AV88" s="164"/>
      <c r="AW88" s="164"/>
      <c r="AX88" s="164"/>
    </row>
    <row r="89" spans="2:50" x14ac:dyDescent="0.25">
      <c r="B89" s="137"/>
      <c r="C89" s="137"/>
      <c r="D89" s="137"/>
      <c r="E89" s="137"/>
      <c r="F89" s="137"/>
      <c r="G89" s="137"/>
      <c r="H89" s="137"/>
      <c r="I89" s="137"/>
      <c r="J89" s="137"/>
      <c r="K89" s="137"/>
      <c r="L89" s="137"/>
      <c r="M89" s="137"/>
      <c r="N89" s="137"/>
      <c r="O89" s="137"/>
      <c r="P89" s="137"/>
      <c r="Q89" s="137"/>
      <c r="R89" s="137"/>
      <c r="S89" s="137"/>
      <c r="T89" s="137"/>
      <c r="U89" s="164"/>
      <c r="V89" s="164"/>
      <c r="W89" s="164"/>
      <c r="X89" s="164"/>
      <c r="Y89" s="164"/>
      <c r="Z89" s="164"/>
      <c r="AA89" s="164"/>
      <c r="AB89" s="164"/>
      <c r="AC89" s="164"/>
      <c r="AE89" s="164"/>
      <c r="AF89" s="164"/>
      <c r="AG89" s="164"/>
      <c r="AH89" s="164"/>
      <c r="AI89" s="164"/>
      <c r="AJ89" s="164"/>
      <c r="AK89" s="164"/>
      <c r="AL89" s="164"/>
      <c r="AM89" s="164"/>
      <c r="AN89" s="164"/>
      <c r="AO89" s="164"/>
      <c r="AP89" s="164"/>
      <c r="AQ89" s="164"/>
      <c r="AR89" s="164"/>
      <c r="AS89" s="164"/>
      <c r="AT89" s="164"/>
      <c r="AU89" s="164"/>
      <c r="AV89" s="164"/>
      <c r="AW89" s="164"/>
      <c r="AX89" s="164"/>
    </row>
    <row r="90" spans="2:50" x14ac:dyDescent="0.25">
      <c r="B90" s="281">
        <v>44196</v>
      </c>
      <c r="C90" s="138"/>
      <c r="D90" s="138"/>
      <c r="E90" s="140" t="str">
        <f t="shared" ref="E90:R90" si="9">E65</f>
        <v>SARL</v>
      </c>
      <c r="F90" s="138" t="str">
        <f t="shared" si="9"/>
        <v>EURL</v>
      </c>
      <c r="G90" s="141" t="str">
        <f t="shared" si="9"/>
        <v>SAS</v>
      </c>
      <c r="H90" s="142" t="str">
        <f t="shared" si="9"/>
        <v>INDIVIDUEL</v>
      </c>
      <c r="I90" s="142" t="str">
        <f t="shared" si="9"/>
        <v>ASSOCIATION</v>
      </c>
      <c r="J90" s="240" t="str">
        <f t="shared" si="9"/>
        <v>PROFESSION LIBERALE</v>
      </c>
      <c r="K90" s="240" t="str">
        <f t="shared" si="9"/>
        <v>SNC</v>
      </c>
      <c r="L90" s="240" t="str">
        <f t="shared" si="9"/>
        <v>SCI</v>
      </c>
      <c r="M90" s="240" t="str">
        <f t="shared" si="9"/>
        <v>EARL</v>
      </c>
      <c r="N90" s="240" t="str">
        <f t="shared" si="9"/>
        <v>ETA</v>
      </c>
      <c r="O90" s="240" t="str">
        <f t="shared" si="9"/>
        <v>SCEA</v>
      </c>
      <c r="P90" s="240" t="str">
        <f t="shared" si="9"/>
        <v>GROUPEMENT</v>
      </c>
      <c r="Q90" s="138" t="str">
        <f t="shared" si="9"/>
        <v>EIRL</v>
      </c>
      <c r="R90" s="138" t="str">
        <f t="shared" si="9"/>
        <v>AUTRES</v>
      </c>
      <c r="S90" s="138"/>
      <c r="T90" s="240" t="s">
        <v>86</v>
      </c>
      <c r="U90" s="164"/>
      <c r="V90" s="164"/>
      <c r="W90" s="164"/>
      <c r="X90" s="164"/>
      <c r="Y90" s="164"/>
      <c r="Z90" s="164"/>
      <c r="AA90" s="164"/>
      <c r="AB90" s="164"/>
      <c r="AC90" s="164"/>
      <c r="AE90" s="164"/>
      <c r="AF90" s="164"/>
      <c r="AG90" s="164"/>
      <c r="AH90" s="164"/>
      <c r="AI90" s="164"/>
      <c r="AJ90" s="164"/>
      <c r="AK90" s="164"/>
      <c r="AL90" s="164"/>
      <c r="AM90" s="164"/>
      <c r="AN90" s="164"/>
      <c r="AO90" s="164"/>
      <c r="AP90" s="164"/>
      <c r="AQ90" s="164"/>
      <c r="AR90" s="164"/>
      <c r="AS90" s="164"/>
      <c r="AT90" s="164"/>
      <c r="AU90" s="164"/>
      <c r="AV90" s="164"/>
      <c r="AW90" s="164"/>
      <c r="AX90" s="164"/>
    </row>
    <row r="91" spans="2:50" x14ac:dyDescent="0.25">
      <c r="B91" s="280"/>
      <c r="C91" s="146" t="s">
        <v>109</v>
      </c>
      <c r="D91" s="138">
        <f>COUNTIFS($I$3:$I$60,"&lt;&gt;",$E$3:$E$60,DATE(Paramètres!A4,Paramètres!D15,Paramètres!C15),$D$3:$D$60,"ACS")</f>
        <v>2</v>
      </c>
      <c r="E91" s="147">
        <f>COUNTIFS($I$3:$I$60,"&lt;&gt;",$E$3:$E$60,DATE(Paramètres!A4,Paramètres!D15,Paramètres!C15),$F$3:$F$60,"SARL")</f>
        <v>1</v>
      </c>
      <c r="F91" s="138">
        <f>+COUNTIFS($I$3:$I$60,"&lt;&gt;",$E$3:$E$60,DATE(Paramètres!A4,Paramètres!D15,Paramètres!C15),$F$3:$F$60,"EURL")</f>
        <v>1</v>
      </c>
      <c r="G91" s="148">
        <f>COUNTIFS($I$3:$I$60,"&lt;&gt;",$E$3:$E$60,DATE(Paramètres!A4,Paramètres!D15,Paramètres!C15),$F$3:$F$60,"SAS",$D$3:$D$60,"ACS")</f>
        <v>0</v>
      </c>
      <c r="H91" s="138">
        <f>COUNTIFS($I$3:$I$60,"&lt;&gt;",$E$3:$E$60,DATE(Paramètres!A4,Paramètres!D15,Paramètres!C15),$F$3:$F$60,"INDIVIDUEL",$D$3:$D$60,"ACS")</f>
        <v>0</v>
      </c>
      <c r="I91" s="138">
        <f>+COUNTIFS($I$3:$I$60,"&lt;&gt;",$E$3:$E$60,DATE(Paramètres!A4,Paramètres!D15,Paramètres!C15),$F$3:$F$60,"ASSOCIATION")</f>
        <v>0</v>
      </c>
      <c r="J91" s="138"/>
      <c r="K91" s="138">
        <f>COUNTIFS($I$3:$I$60,"&lt;&gt;",$E$3:$E$60,DATE(Paramètres!A4,Paramètres!D15,Paramètres!C15),$F$3:$F$60,"SNC")</f>
        <v>0</v>
      </c>
      <c r="L91" s="138">
        <f>COUNTIFS($I$3:$I$60,"&lt;&gt;",$E$3:$E$60,DATE(Paramètres!A4,Paramètres!D15,Paramètres!C15),$F$3:$F$60,"SCI")</f>
        <v>0</v>
      </c>
      <c r="M91" s="149"/>
      <c r="N91" s="150"/>
      <c r="O91" s="151"/>
      <c r="P91" s="138">
        <f>COUNTIFS($I$3:$I$60,"&lt;&gt;",$E$3:$E$60,DATE(Paramètres!A4,Paramètres!D15,Paramètres!C15),$F$3:$F$60,"GROUPEMENT")</f>
        <v>0</v>
      </c>
      <c r="Q91" s="138">
        <f>COUNTIFS($I$3:$I$60,"&lt;&gt;",$E$3:$E$60,DATE(Paramètres!A4,Paramètres!D15,Paramètres!C15),$F$3:$F$60,"EIRL")</f>
        <v>0</v>
      </c>
      <c r="R91" s="138">
        <f>COUNTIFS($I$3:$I$60,"&lt;&gt;",$E$3:$E$60,DATE(Paramètres!A4,Paramètres!D15,Paramètres!C15),$F$3:$F$60,"AUTRES")</f>
        <v>0</v>
      </c>
      <c r="S91" s="138"/>
      <c r="T91" s="138">
        <f>+SUM(E91:P91)</f>
        <v>2</v>
      </c>
      <c r="U91" s="164"/>
      <c r="V91" s="164"/>
      <c r="W91" s="164"/>
      <c r="X91" s="164"/>
      <c r="Y91" s="164"/>
      <c r="Z91" s="164"/>
      <c r="AA91" s="164"/>
      <c r="AB91" s="164"/>
      <c r="AC91" s="164"/>
      <c r="AE91" s="164"/>
      <c r="AF91" s="164"/>
      <c r="AG91" s="164"/>
      <c r="AH91" s="164"/>
      <c r="AI91" s="164"/>
      <c r="AJ91" s="164"/>
      <c r="AK91" s="164"/>
      <c r="AL91" s="164"/>
      <c r="AM91" s="164"/>
      <c r="AN91" s="164"/>
      <c r="AO91" s="164"/>
      <c r="AP91" s="164"/>
      <c r="AQ91" s="164"/>
      <c r="AR91" s="164"/>
      <c r="AS91" s="164"/>
      <c r="AT91" s="164"/>
      <c r="AU91" s="164"/>
      <c r="AV91" s="164"/>
      <c r="AW91" s="164"/>
      <c r="AX91" s="164"/>
    </row>
    <row r="92" spans="2:50" x14ac:dyDescent="0.25">
      <c r="B92" s="280"/>
      <c r="C92" s="146" t="s">
        <v>121</v>
      </c>
      <c r="D92" s="138">
        <f>COUNTIFS($I$3:$I$60,"&lt;&gt;",$E$3:$E$60,DATE(Paramètres!A4,Paramètres!D15,Paramètres!C15),$D$3:$D$60,"BNC")</f>
        <v>0</v>
      </c>
      <c r="E92" s="153"/>
      <c r="F92" s="138"/>
      <c r="G92" s="154"/>
      <c r="H92" s="155"/>
      <c r="I92" s="151"/>
      <c r="J92" s="138">
        <f>COUNTIFS($I$3:$I$60,"&lt;&gt;",$E$3:$E$60,DATE(Paramètres!A4,Paramètres!D15,Paramètres!C15),$D$3:$D$60,"BNC")</f>
        <v>0</v>
      </c>
      <c r="K92" s="149"/>
      <c r="L92" s="150"/>
      <c r="M92" s="150"/>
      <c r="N92" s="150"/>
      <c r="O92" s="150"/>
      <c r="P92" s="151"/>
      <c r="Q92" s="138"/>
      <c r="R92" s="138"/>
      <c r="S92" s="138"/>
      <c r="T92" s="138">
        <f>+SUM(E92:P92)</f>
        <v>0</v>
      </c>
      <c r="U92" s="164"/>
      <c r="V92" s="164"/>
      <c r="W92" s="164"/>
      <c r="X92" s="164"/>
      <c r="Y92" s="164"/>
      <c r="Z92" s="164"/>
      <c r="AA92" s="164"/>
      <c r="AB92" s="164"/>
      <c r="AC92" s="164"/>
      <c r="AE92" s="164"/>
      <c r="AF92" s="164"/>
      <c r="AG92" s="164"/>
      <c r="AH92" s="164"/>
      <c r="AI92" s="164"/>
      <c r="AJ92" s="164"/>
      <c r="AK92" s="164"/>
      <c r="AL92" s="164"/>
      <c r="AM92" s="164"/>
      <c r="AN92" s="164"/>
      <c r="AO92" s="164"/>
      <c r="AP92" s="164"/>
      <c r="AQ92" s="164"/>
      <c r="AR92" s="164"/>
      <c r="AS92" s="164"/>
      <c r="AT92" s="164"/>
      <c r="AU92" s="164"/>
      <c r="AV92" s="164"/>
      <c r="AW92" s="164"/>
      <c r="AX92" s="164"/>
    </row>
    <row r="93" spans="2:50" x14ac:dyDescent="0.25">
      <c r="B93" s="280"/>
      <c r="C93" s="138" t="s">
        <v>122</v>
      </c>
      <c r="D93" s="138">
        <f>COUNTIFS($I$3:$I$60,"&lt;&gt;",$E$3:$E$60,DATE(Paramètres!A4,Paramètres!D15,Paramètres!C15),$D$3:$D$60,"AGRI")</f>
        <v>0</v>
      </c>
      <c r="E93" s="153"/>
      <c r="F93" s="138"/>
      <c r="G93" s="154">
        <f>COUNTIFS($I$3:$I$60,"&lt;&gt;",$E$3:$E$60,DATE(Paramètres!A4,Paramètres!D15,Paramètres!C15),$F$3:$F$60,"SAS",$D$3:$D$60,"AGRI")</f>
        <v>0</v>
      </c>
      <c r="H93" s="138">
        <f>COUNTIFS($I$3:$I$60,"&lt;&gt;",$E$3:$E$60,DATE(Paramètres!A4,Paramètres!D15,Paramètres!C15),$F$3:$F$60,"INDIVIDUEL",$D$3:$D$60,"AGRI")</f>
        <v>0</v>
      </c>
      <c r="I93" s="152"/>
      <c r="J93" s="149"/>
      <c r="K93" s="150"/>
      <c r="L93" s="151"/>
      <c r="M93" s="138">
        <f>COUNTIFS($I$3:$I$60,"&lt;&gt;",$AZ$3:$AZ$60,"X",$E$3:$E$60,DATE(Paramètres!A4,Paramètres!D15,Paramètres!C15),$F$3:$F$60,"EARL")</f>
        <v>0</v>
      </c>
      <c r="N93" s="138">
        <f>COUNTIFS($I$3:$I$60,"&lt;&gt;",$E$3:$E$60,DATE(Paramètres!A4,Paramètres!D15,Paramètres!C15),$F$3:$F$60,"ETA")</f>
        <v>0</v>
      </c>
      <c r="O93" s="138">
        <f>COUNTIFS($I$3:$I$60,"&lt;&gt;",$E$3:$E$60,DATE(Paramètres!A4,Paramètres!D15,Paramètres!C15),$F$3:$F$60,"SCEA")</f>
        <v>0</v>
      </c>
      <c r="P93" s="138"/>
      <c r="Q93" s="138"/>
      <c r="R93" s="138"/>
      <c r="S93" s="138"/>
      <c r="T93" s="138">
        <f>+SUM(E93:P93)</f>
        <v>0</v>
      </c>
      <c r="U93" s="164"/>
      <c r="V93" s="164"/>
      <c r="W93" s="164"/>
      <c r="X93" s="164"/>
      <c r="Y93" s="164"/>
      <c r="Z93" s="164"/>
      <c r="AA93" s="164"/>
      <c r="AB93" s="164"/>
      <c r="AC93" s="164"/>
      <c r="AE93" s="164"/>
      <c r="AF93" s="164"/>
      <c r="AG93" s="164"/>
      <c r="AH93" s="164"/>
      <c r="AI93" s="164"/>
      <c r="AJ93" s="164"/>
      <c r="AK93" s="164"/>
      <c r="AL93" s="164"/>
      <c r="AM93" s="164"/>
      <c r="AN93" s="164"/>
      <c r="AO93" s="164"/>
      <c r="AP93" s="164"/>
      <c r="AQ93" s="164"/>
      <c r="AR93" s="164"/>
      <c r="AS93" s="164"/>
      <c r="AT93" s="164"/>
      <c r="AU93" s="164"/>
      <c r="AV93" s="164"/>
      <c r="AW93" s="164"/>
      <c r="AX93" s="164"/>
    </row>
    <row r="94" spans="2:50" x14ac:dyDescent="0.25">
      <c r="B94" s="280" t="s">
        <v>123</v>
      </c>
      <c r="C94" s="280"/>
      <c r="D94" s="138">
        <f t="shared" ref="D94:R94" si="10">+SUM(D91:D93)</f>
        <v>2</v>
      </c>
      <c r="E94" s="152">
        <f t="shared" si="10"/>
        <v>1</v>
      </c>
      <c r="F94" s="152">
        <f t="shared" si="10"/>
        <v>1</v>
      </c>
      <c r="G94" s="152">
        <f t="shared" si="10"/>
        <v>0</v>
      </c>
      <c r="H94" s="152">
        <f t="shared" si="10"/>
        <v>0</v>
      </c>
      <c r="I94" s="152">
        <f t="shared" si="10"/>
        <v>0</v>
      </c>
      <c r="J94" s="152">
        <f t="shared" si="10"/>
        <v>0</v>
      </c>
      <c r="K94" s="152">
        <f t="shared" si="10"/>
        <v>0</v>
      </c>
      <c r="L94" s="152">
        <f t="shared" si="10"/>
        <v>0</v>
      </c>
      <c r="M94" s="152">
        <f t="shared" si="10"/>
        <v>0</v>
      </c>
      <c r="N94" s="152">
        <f t="shared" si="10"/>
        <v>0</v>
      </c>
      <c r="O94" s="152">
        <f t="shared" si="10"/>
        <v>0</v>
      </c>
      <c r="P94" s="152">
        <f t="shared" si="10"/>
        <v>0</v>
      </c>
      <c r="Q94" s="152">
        <f t="shared" si="10"/>
        <v>0</v>
      </c>
      <c r="R94" s="152">
        <f t="shared" si="10"/>
        <v>0</v>
      </c>
      <c r="S94" s="152"/>
      <c r="T94" s="138">
        <f>+SUM(T91:T93)</f>
        <v>2</v>
      </c>
      <c r="U94" s="164"/>
      <c r="V94" s="164"/>
      <c r="W94" s="164"/>
      <c r="X94" s="164"/>
      <c r="Y94" s="164"/>
      <c r="Z94" s="164"/>
      <c r="AA94" s="164"/>
      <c r="AB94" s="164"/>
      <c r="AC94" s="164"/>
      <c r="AE94" s="164"/>
      <c r="AF94" s="164"/>
      <c r="AG94" s="164"/>
      <c r="AH94" s="164"/>
      <c r="AI94" s="164"/>
      <c r="AJ94" s="164"/>
      <c r="AK94" s="164"/>
      <c r="AL94" s="164"/>
      <c r="AM94" s="164"/>
      <c r="AN94" s="164"/>
      <c r="AO94" s="164"/>
      <c r="AP94" s="164"/>
      <c r="AQ94" s="164"/>
      <c r="AR94" s="164"/>
      <c r="AS94" s="164"/>
      <c r="AT94" s="164"/>
      <c r="AU94" s="164"/>
      <c r="AV94" s="164"/>
      <c r="AW94" s="164"/>
      <c r="AX94" s="164"/>
    </row>
    <row r="95" spans="2:50" x14ac:dyDescent="0.25">
      <c r="B95" s="137"/>
      <c r="C95" s="137"/>
      <c r="D95" s="137"/>
      <c r="E95" s="137"/>
      <c r="F95" s="137"/>
      <c r="G95" s="137"/>
      <c r="H95" s="137"/>
      <c r="I95" s="137"/>
      <c r="J95" s="137"/>
      <c r="K95" s="137"/>
      <c r="L95" s="137"/>
      <c r="M95" s="137"/>
      <c r="N95" s="137"/>
      <c r="O95" s="137"/>
      <c r="P95" s="137"/>
      <c r="Q95" s="137"/>
      <c r="R95" s="137"/>
      <c r="S95" s="137"/>
      <c r="T95" s="137"/>
      <c r="U95" s="164"/>
      <c r="V95" s="164"/>
      <c r="W95" s="164"/>
      <c r="X95" s="164"/>
      <c r="Y95" s="164"/>
      <c r="Z95" s="164"/>
      <c r="AA95" s="164"/>
      <c r="AB95" s="164"/>
      <c r="AC95" s="164"/>
      <c r="AE95" s="164"/>
      <c r="AF95" s="164"/>
      <c r="AG95" s="164"/>
      <c r="AH95" s="164"/>
      <c r="AI95" s="164"/>
      <c r="AJ95" s="164"/>
      <c r="AK95" s="164"/>
      <c r="AL95" s="164"/>
      <c r="AM95" s="164"/>
      <c r="AN95" s="164"/>
      <c r="AO95" s="164"/>
      <c r="AP95" s="164"/>
      <c r="AQ95" s="164"/>
      <c r="AR95" s="164"/>
      <c r="AS95" s="164"/>
      <c r="AT95" s="164"/>
      <c r="AU95" s="164"/>
      <c r="AV95" s="164"/>
      <c r="AW95" s="164"/>
      <c r="AX95" s="164"/>
    </row>
    <row r="96" spans="2:50" x14ac:dyDescent="0.25">
      <c r="B96" s="280" t="s">
        <v>40</v>
      </c>
      <c r="C96" s="138"/>
      <c r="D96" s="138"/>
      <c r="E96" s="140" t="str">
        <f t="shared" ref="E96:R96" si="11">E65</f>
        <v>SARL</v>
      </c>
      <c r="F96" s="138" t="str">
        <f t="shared" si="11"/>
        <v>EURL</v>
      </c>
      <c r="G96" s="141" t="str">
        <f t="shared" si="11"/>
        <v>SAS</v>
      </c>
      <c r="H96" s="142" t="str">
        <f t="shared" si="11"/>
        <v>INDIVIDUEL</v>
      </c>
      <c r="I96" s="142" t="str">
        <f t="shared" si="11"/>
        <v>ASSOCIATION</v>
      </c>
      <c r="J96" s="240" t="str">
        <f t="shared" si="11"/>
        <v>PROFESSION LIBERALE</v>
      </c>
      <c r="K96" s="240" t="str">
        <f t="shared" si="11"/>
        <v>SNC</v>
      </c>
      <c r="L96" s="240" t="str">
        <f t="shared" si="11"/>
        <v>SCI</v>
      </c>
      <c r="M96" s="240" t="str">
        <f t="shared" si="11"/>
        <v>EARL</v>
      </c>
      <c r="N96" s="240" t="str">
        <f t="shared" si="11"/>
        <v>ETA</v>
      </c>
      <c r="O96" s="240" t="str">
        <f t="shared" si="11"/>
        <v>SCEA</v>
      </c>
      <c r="P96" s="240" t="str">
        <f t="shared" si="11"/>
        <v>GROUPEMENT</v>
      </c>
      <c r="Q96" s="138" t="str">
        <f t="shared" si="11"/>
        <v>EIRL</v>
      </c>
      <c r="R96" s="138" t="str">
        <f t="shared" si="11"/>
        <v>AUTRES</v>
      </c>
      <c r="S96" s="138"/>
      <c r="T96" s="240" t="s">
        <v>86</v>
      </c>
      <c r="U96" s="164"/>
      <c r="V96" s="164"/>
      <c r="W96" s="164"/>
      <c r="X96" s="164"/>
      <c r="Y96" s="164"/>
      <c r="Z96" s="164"/>
      <c r="AA96" s="164"/>
      <c r="AB96" s="164"/>
      <c r="AC96" s="164"/>
      <c r="AE96" s="164"/>
      <c r="AF96" s="164"/>
      <c r="AG96" s="164"/>
      <c r="AH96" s="164"/>
      <c r="AI96" s="164"/>
      <c r="AJ96" s="164"/>
      <c r="AK96" s="164"/>
      <c r="AL96" s="164"/>
      <c r="AM96" s="164"/>
      <c r="AN96" s="164"/>
      <c r="AO96" s="164"/>
      <c r="AP96" s="164"/>
      <c r="AQ96" s="164"/>
      <c r="AR96" s="164"/>
      <c r="AS96" s="164"/>
      <c r="AT96" s="164"/>
      <c r="AU96" s="164"/>
      <c r="AV96" s="164"/>
      <c r="AW96" s="164"/>
      <c r="AX96" s="164"/>
    </row>
    <row r="97" spans="2:50" x14ac:dyDescent="0.25">
      <c r="B97" s="280"/>
      <c r="C97" s="146" t="s">
        <v>109</v>
      </c>
      <c r="D97" s="138">
        <f>+D85-D91</f>
        <v>0</v>
      </c>
      <c r="E97" s="152">
        <f>+E85-E91</f>
        <v>0</v>
      </c>
      <c r="F97" s="152">
        <f t="shared" ref="F97:R97" si="12">+F85-F91</f>
        <v>0</v>
      </c>
      <c r="G97" s="152">
        <f t="shared" si="12"/>
        <v>0</v>
      </c>
      <c r="H97" s="152">
        <f t="shared" si="12"/>
        <v>0</v>
      </c>
      <c r="I97" s="152">
        <f t="shared" si="12"/>
        <v>0</v>
      </c>
      <c r="J97" s="152">
        <f t="shared" si="12"/>
        <v>0</v>
      </c>
      <c r="K97" s="152">
        <f t="shared" si="12"/>
        <v>0</v>
      </c>
      <c r="L97" s="152">
        <f t="shared" si="12"/>
        <v>0</v>
      </c>
      <c r="M97" s="152">
        <f t="shared" si="12"/>
        <v>0</v>
      </c>
      <c r="N97" s="152">
        <f t="shared" si="12"/>
        <v>0</v>
      </c>
      <c r="O97" s="152">
        <f t="shared" si="12"/>
        <v>0</v>
      </c>
      <c r="P97" s="152">
        <f t="shared" si="12"/>
        <v>0</v>
      </c>
      <c r="Q97" s="152">
        <f t="shared" si="12"/>
        <v>0</v>
      </c>
      <c r="R97" s="152">
        <f t="shared" si="12"/>
        <v>0</v>
      </c>
      <c r="S97" s="152"/>
      <c r="T97" s="138">
        <f>+SUM(E97:P97)</f>
        <v>0</v>
      </c>
      <c r="U97" s="164"/>
      <c r="V97" s="164"/>
      <c r="W97" s="164"/>
      <c r="X97" s="164"/>
      <c r="Y97" s="164"/>
      <c r="Z97" s="164"/>
      <c r="AA97" s="164"/>
      <c r="AB97" s="164"/>
      <c r="AC97" s="164"/>
      <c r="AE97" s="164"/>
      <c r="AF97" s="164"/>
      <c r="AG97" s="164"/>
      <c r="AH97" s="164"/>
      <c r="AI97" s="164"/>
      <c r="AJ97" s="164"/>
      <c r="AK97" s="164"/>
      <c r="AL97" s="164"/>
      <c r="AM97" s="164"/>
      <c r="AN97" s="164"/>
      <c r="AO97" s="164"/>
      <c r="AP97" s="164"/>
      <c r="AQ97" s="164"/>
      <c r="AR97" s="164"/>
      <c r="AS97" s="164"/>
      <c r="AT97" s="164"/>
      <c r="AU97" s="164"/>
      <c r="AV97" s="164"/>
      <c r="AW97" s="164"/>
      <c r="AX97" s="164"/>
    </row>
    <row r="98" spans="2:50" x14ac:dyDescent="0.25">
      <c r="B98" s="280"/>
      <c r="C98" s="146" t="s">
        <v>121</v>
      </c>
      <c r="D98" s="138">
        <f>+D86-D92</f>
        <v>0</v>
      </c>
      <c r="E98" s="138">
        <f t="shared" ref="E98:R100" si="13">+E86-E92</f>
        <v>0</v>
      </c>
      <c r="F98" s="138">
        <f t="shared" si="13"/>
        <v>0</v>
      </c>
      <c r="G98" s="138">
        <f t="shared" si="13"/>
        <v>0</v>
      </c>
      <c r="H98" s="138">
        <f t="shared" si="13"/>
        <v>0</v>
      </c>
      <c r="I98" s="138">
        <f t="shared" si="13"/>
        <v>0</v>
      </c>
      <c r="J98" s="138">
        <f t="shared" si="13"/>
        <v>0</v>
      </c>
      <c r="K98" s="138">
        <f t="shared" si="13"/>
        <v>0</v>
      </c>
      <c r="L98" s="138">
        <f t="shared" si="13"/>
        <v>0</v>
      </c>
      <c r="M98" s="138">
        <f t="shared" si="13"/>
        <v>0</v>
      </c>
      <c r="N98" s="138">
        <f t="shared" si="13"/>
        <v>0</v>
      </c>
      <c r="O98" s="138">
        <f t="shared" si="13"/>
        <v>0</v>
      </c>
      <c r="P98" s="138">
        <f t="shared" si="13"/>
        <v>0</v>
      </c>
      <c r="Q98" s="138">
        <f t="shared" si="13"/>
        <v>0</v>
      </c>
      <c r="R98" s="138">
        <f t="shared" si="13"/>
        <v>0</v>
      </c>
      <c r="S98" s="138"/>
      <c r="T98" s="138">
        <f>+SUM(E98:P98)</f>
        <v>0</v>
      </c>
      <c r="U98" s="164"/>
      <c r="V98" s="164"/>
      <c r="W98" s="164"/>
      <c r="X98" s="164"/>
      <c r="Y98" s="164"/>
      <c r="Z98" s="164"/>
      <c r="AA98" s="164"/>
      <c r="AB98" s="164"/>
      <c r="AC98" s="164"/>
      <c r="AE98" s="164"/>
      <c r="AF98" s="164"/>
      <c r="AG98" s="164"/>
      <c r="AH98" s="164"/>
      <c r="AI98" s="164"/>
      <c r="AJ98" s="164"/>
      <c r="AK98" s="164"/>
      <c r="AL98" s="164"/>
      <c r="AM98" s="164"/>
      <c r="AN98" s="164"/>
      <c r="AO98" s="164"/>
      <c r="AP98" s="164"/>
      <c r="AQ98" s="164"/>
      <c r="AR98" s="164"/>
      <c r="AS98" s="164"/>
      <c r="AT98" s="164"/>
      <c r="AU98" s="164"/>
      <c r="AV98" s="164"/>
      <c r="AW98" s="164"/>
      <c r="AX98" s="164"/>
    </row>
    <row r="99" spans="2:50" x14ac:dyDescent="0.25">
      <c r="B99" s="280"/>
      <c r="C99" s="138" t="s">
        <v>122</v>
      </c>
      <c r="D99" s="138">
        <f>+D87-D93</f>
        <v>0</v>
      </c>
      <c r="E99" s="138">
        <f t="shared" si="13"/>
        <v>0</v>
      </c>
      <c r="F99" s="138">
        <f t="shared" si="13"/>
        <v>0</v>
      </c>
      <c r="G99" s="138">
        <f t="shared" si="13"/>
        <v>0</v>
      </c>
      <c r="H99" s="138">
        <f t="shared" si="13"/>
        <v>0</v>
      </c>
      <c r="I99" s="138">
        <f t="shared" si="13"/>
        <v>0</v>
      </c>
      <c r="J99" s="138">
        <f t="shared" si="13"/>
        <v>0</v>
      </c>
      <c r="K99" s="138">
        <f t="shared" si="13"/>
        <v>0</v>
      </c>
      <c r="L99" s="138">
        <f t="shared" si="13"/>
        <v>0</v>
      </c>
      <c r="M99" s="138">
        <f t="shared" si="13"/>
        <v>0</v>
      </c>
      <c r="N99" s="138">
        <f t="shared" si="13"/>
        <v>0</v>
      </c>
      <c r="O99" s="138">
        <f t="shared" si="13"/>
        <v>0</v>
      </c>
      <c r="P99" s="138">
        <f t="shared" si="13"/>
        <v>0</v>
      </c>
      <c r="Q99" s="138">
        <f t="shared" si="13"/>
        <v>0</v>
      </c>
      <c r="R99" s="138">
        <f t="shared" si="13"/>
        <v>0</v>
      </c>
      <c r="S99" s="138"/>
      <c r="T99" s="138">
        <f>+SUM(E99:P99)</f>
        <v>0</v>
      </c>
      <c r="U99" s="164"/>
      <c r="V99" s="164"/>
      <c r="W99" s="164"/>
      <c r="X99" s="164"/>
      <c r="Y99" s="164"/>
      <c r="Z99" s="164"/>
      <c r="AA99" s="164"/>
      <c r="AB99" s="164"/>
      <c r="AC99" s="164"/>
      <c r="AE99" s="164"/>
      <c r="AF99" s="164"/>
      <c r="AG99" s="164"/>
      <c r="AH99" s="164"/>
      <c r="AI99" s="164"/>
      <c r="AJ99" s="164"/>
      <c r="AK99" s="164"/>
      <c r="AL99" s="164"/>
      <c r="AM99" s="164"/>
      <c r="AN99" s="164"/>
      <c r="AO99" s="164"/>
      <c r="AP99" s="164"/>
      <c r="AQ99" s="164"/>
      <c r="AR99" s="164"/>
      <c r="AS99" s="164"/>
      <c r="AT99" s="164"/>
      <c r="AU99" s="164"/>
      <c r="AV99" s="164"/>
      <c r="AW99" s="164"/>
      <c r="AX99" s="164"/>
    </row>
    <row r="100" spans="2:50" x14ac:dyDescent="0.25">
      <c r="B100" s="280" t="s">
        <v>123</v>
      </c>
      <c r="C100" s="280"/>
      <c r="D100" s="138">
        <f>+D88-D94</f>
        <v>0</v>
      </c>
      <c r="E100" s="138">
        <f t="shared" si="13"/>
        <v>0</v>
      </c>
      <c r="F100" s="138">
        <f t="shared" si="13"/>
        <v>0</v>
      </c>
      <c r="G100" s="138">
        <f t="shared" si="13"/>
        <v>0</v>
      </c>
      <c r="H100" s="138">
        <f t="shared" si="13"/>
        <v>0</v>
      </c>
      <c r="I100" s="138">
        <f t="shared" si="13"/>
        <v>0</v>
      </c>
      <c r="J100" s="138">
        <f t="shared" si="13"/>
        <v>0</v>
      </c>
      <c r="K100" s="138">
        <f t="shared" si="13"/>
        <v>0</v>
      </c>
      <c r="L100" s="138">
        <f t="shared" si="13"/>
        <v>0</v>
      </c>
      <c r="M100" s="138">
        <f t="shared" si="13"/>
        <v>0</v>
      </c>
      <c r="N100" s="138">
        <f t="shared" si="13"/>
        <v>0</v>
      </c>
      <c r="O100" s="138">
        <f t="shared" si="13"/>
        <v>0</v>
      </c>
      <c r="P100" s="138">
        <f t="shared" si="13"/>
        <v>0</v>
      </c>
      <c r="Q100" s="138">
        <f t="shared" si="13"/>
        <v>0</v>
      </c>
      <c r="R100" s="138">
        <f t="shared" si="13"/>
        <v>0</v>
      </c>
      <c r="S100" s="138"/>
      <c r="T100" s="138">
        <f>+SUM(T97:T99)</f>
        <v>0</v>
      </c>
      <c r="U100" s="164"/>
      <c r="V100" s="164"/>
      <c r="W100" s="164"/>
      <c r="X100" s="164"/>
      <c r="Y100" s="164"/>
      <c r="Z100" s="164"/>
      <c r="AA100" s="164"/>
      <c r="AB100" s="164"/>
      <c r="AC100" s="164"/>
      <c r="AE100" s="164"/>
      <c r="AF100" s="164"/>
      <c r="AG100" s="164"/>
      <c r="AH100" s="164"/>
      <c r="AI100" s="164"/>
      <c r="AJ100" s="164"/>
      <c r="AK100" s="164"/>
      <c r="AL100" s="164"/>
      <c r="AM100" s="164"/>
      <c r="AN100" s="164"/>
      <c r="AO100" s="164"/>
      <c r="AP100" s="164"/>
      <c r="AQ100" s="164"/>
      <c r="AR100" s="164"/>
      <c r="AS100" s="164"/>
      <c r="AT100" s="164"/>
      <c r="AU100" s="164"/>
      <c r="AV100" s="164"/>
      <c r="AW100" s="164"/>
      <c r="AX100" s="164"/>
    </row>
    <row r="101" spans="2:50" x14ac:dyDescent="0.25">
      <c r="U101" s="164"/>
      <c r="V101" s="164"/>
      <c r="W101" s="164"/>
      <c r="X101" s="164"/>
      <c r="Y101" s="164"/>
      <c r="Z101" s="164"/>
      <c r="AA101" s="164"/>
      <c r="AB101" s="164"/>
      <c r="AC101" s="164"/>
      <c r="AE101" s="164"/>
      <c r="AF101" s="164"/>
      <c r="AG101" s="164"/>
      <c r="AH101" s="164"/>
      <c r="AI101" s="164"/>
      <c r="AJ101" s="164"/>
      <c r="AK101" s="164"/>
      <c r="AL101" s="164"/>
      <c r="AM101" s="164"/>
      <c r="AN101" s="164"/>
      <c r="AO101" s="164"/>
      <c r="AP101" s="164"/>
      <c r="AQ101" s="164"/>
      <c r="AR101" s="164"/>
      <c r="AS101" s="164"/>
      <c r="AT101" s="164"/>
      <c r="AU101" s="164"/>
      <c r="AV101" s="164"/>
      <c r="AW101" s="164"/>
      <c r="AX101" s="164"/>
    </row>
    <row r="102" spans="2:50" x14ac:dyDescent="0.25">
      <c r="B102" s="89" t="s">
        <v>133</v>
      </c>
      <c r="U102" s="164"/>
      <c r="V102" s="164"/>
      <c r="W102" s="164"/>
      <c r="X102" s="164"/>
      <c r="Y102" s="164"/>
      <c r="Z102" s="164"/>
      <c r="AA102" s="164"/>
      <c r="AB102" s="164"/>
      <c r="AC102" s="164"/>
      <c r="AE102" s="164"/>
      <c r="AF102" s="164"/>
      <c r="AG102" s="164"/>
      <c r="AH102" s="164"/>
      <c r="AI102" s="164"/>
      <c r="AJ102" s="164"/>
      <c r="AK102" s="164"/>
      <c r="AL102" s="164"/>
      <c r="AM102" s="164"/>
      <c r="AN102" s="164"/>
      <c r="AO102" s="164"/>
      <c r="AP102" s="164"/>
      <c r="AQ102" s="164"/>
      <c r="AR102" s="164"/>
      <c r="AS102" s="164"/>
      <c r="AT102" s="164"/>
      <c r="AU102" s="164"/>
      <c r="AV102" s="164"/>
      <c r="AW102" s="164"/>
      <c r="AX102" s="164"/>
    </row>
    <row r="103" spans="2:50" x14ac:dyDescent="0.25">
      <c r="U103" s="164"/>
      <c r="V103" s="164"/>
      <c r="W103" s="164"/>
      <c r="X103" s="164"/>
      <c r="Y103" s="164"/>
      <c r="Z103" s="164"/>
      <c r="AA103" s="164"/>
      <c r="AB103" s="164"/>
      <c r="AC103" s="164"/>
      <c r="AE103" s="164"/>
      <c r="AF103" s="164"/>
      <c r="AG103" s="164"/>
      <c r="AH103" s="164"/>
      <c r="AI103" s="164"/>
      <c r="AJ103" s="164"/>
      <c r="AK103" s="164"/>
      <c r="AL103" s="164"/>
      <c r="AM103" s="164"/>
      <c r="AN103" s="164"/>
      <c r="AO103" s="164"/>
      <c r="AP103" s="164"/>
      <c r="AQ103" s="164"/>
      <c r="AR103" s="164"/>
      <c r="AS103" s="164"/>
      <c r="AT103" s="164"/>
      <c r="AU103" s="164"/>
      <c r="AV103" s="164"/>
      <c r="AW103" s="164"/>
      <c r="AX103" s="164"/>
    </row>
    <row r="104" spans="2:50" x14ac:dyDescent="0.25">
      <c r="B104" s="274" t="s">
        <v>120</v>
      </c>
      <c r="C104" s="122"/>
      <c r="D104" s="122"/>
      <c r="E104" s="157" t="str">
        <f t="shared" ref="E104:R104" si="14">E65</f>
        <v>SARL</v>
      </c>
      <c r="F104" s="121" t="str">
        <f t="shared" si="14"/>
        <v>EURL</v>
      </c>
      <c r="G104" s="158" t="str">
        <f t="shared" si="14"/>
        <v>SAS</v>
      </c>
      <c r="H104" s="158" t="str">
        <f t="shared" si="14"/>
        <v>INDIVIDUEL</v>
      </c>
      <c r="I104" s="158" t="str">
        <f t="shared" si="14"/>
        <v>ASSOCIATION</v>
      </c>
      <c r="J104" s="157" t="str">
        <f t="shared" si="14"/>
        <v>PROFESSION LIBERALE</v>
      </c>
      <c r="K104" s="157" t="str">
        <f t="shared" si="14"/>
        <v>SNC</v>
      </c>
      <c r="L104" s="157" t="str">
        <f t="shared" si="14"/>
        <v>SCI</v>
      </c>
      <c r="M104" s="157" t="str">
        <f t="shared" si="14"/>
        <v>EARL</v>
      </c>
      <c r="N104" s="157" t="str">
        <f t="shared" si="14"/>
        <v>ETA</v>
      </c>
      <c r="O104" s="157" t="str">
        <f t="shared" si="14"/>
        <v>SCEA</v>
      </c>
      <c r="P104" s="157" t="str">
        <f t="shared" si="14"/>
        <v>GROUPEMENT</v>
      </c>
      <c r="Q104" s="121" t="str">
        <f t="shared" si="14"/>
        <v>EIRL</v>
      </c>
      <c r="R104" s="121" t="str">
        <f t="shared" si="14"/>
        <v>AUTRES</v>
      </c>
      <c r="S104" s="121"/>
      <c r="T104" s="157" t="s">
        <v>86</v>
      </c>
      <c r="U104" s="164"/>
      <c r="V104" s="164"/>
      <c r="W104" s="164"/>
      <c r="X104" s="164"/>
      <c r="Y104" s="164"/>
      <c r="Z104" s="164"/>
      <c r="AA104" s="164"/>
      <c r="AB104" s="164"/>
      <c r="AC104" s="164"/>
      <c r="AE104" s="164"/>
      <c r="AF104" s="164"/>
      <c r="AG104" s="164"/>
      <c r="AH104" s="164"/>
      <c r="AI104" s="164"/>
      <c r="AJ104" s="164"/>
      <c r="AK104" s="164"/>
      <c r="AL104" s="164"/>
      <c r="AM104" s="164"/>
      <c r="AN104" s="164"/>
      <c r="AO104" s="164"/>
      <c r="AP104" s="164"/>
      <c r="AQ104" s="164"/>
      <c r="AR104" s="164"/>
      <c r="AS104" s="164"/>
      <c r="AT104" s="164"/>
      <c r="AU104" s="164"/>
      <c r="AV104" s="164"/>
      <c r="AW104" s="164"/>
      <c r="AX104" s="164"/>
    </row>
    <row r="105" spans="2:50" x14ac:dyDescent="0.25">
      <c r="B105" s="275"/>
      <c r="C105" s="120" t="s">
        <v>109</v>
      </c>
      <c r="D105" s="122">
        <f>+D66-D85</f>
        <v>1</v>
      </c>
      <c r="E105" s="122">
        <f t="shared" ref="E105:R107" si="15">+E66-E85</f>
        <v>0</v>
      </c>
      <c r="F105" s="122">
        <f t="shared" si="15"/>
        <v>0</v>
      </c>
      <c r="G105" s="122">
        <f t="shared" si="15"/>
        <v>0</v>
      </c>
      <c r="H105" s="122">
        <f t="shared" si="15"/>
        <v>0</v>
      </c>
      <c r="I105" s="122">
        <f t="shared" si="15"/>
        <v>0</v>
      </c>
      <c r="J105" s="122">
        <f t="shared" si="15"/>
        <v>0</v>
      </c>
      <c r="K105" s="122">
        <f t="shared" si="15"/>
        <v>0</v>
      </c>
      <c r="L105" s="122">
        <f t="shared" si="15"/>
        <v>0</v>
      </c>
      <c r="M105" s="122">
        <f t="shared" si="15"/>
        <v>0</v>
      </c>
      <c r="N105" s="122">
        <f t="shared" si="15"/>
        <v>0</v>
      </c>
      <c r="O105" s="122">
        <f t="shared" si="15"/>
        <v>0</v>
      </c>
      <c r="P105" s="122">
        <f t="shared" si="15"/>
        <v>0</v>
      </c>
      <c r="Q105" s="122">
        <f t="shared" si="15"/>
        <v>1</v>
      </c>
      <c r="R105" s="122">
        <f t="shared" si="15"/>
        <v>0</v>
      </c>
      <c r="S105" s="122"/>
      <c r="T105" s="122">
        <f>+SUM(E105:P105)</f>
        <v>0</v>
      </c>
      <c r="U105" s="164"/>
      <c r="V105" s="164"/>
      <c r="W105" s="164"/>
      <c r="X105" s="164"/>
      <c r="Y105" s="164"/>
      <c r="Z105" s="164"/>
      <c r="AA105" s="164"/>
      <c r="AB105" s="164"/>
      <c r="AC105" s="164"/>
      <c r="AE105" s="164"/>
      <c r="AF105" s="164"/>
      <c r="AG105" s="164"/>
      <c r="AH105" s="164"/>
      <c r="AI105" s="164"/>
      <c r="AJ105" s="164"/>
      <c r="AK105" s="164"/>
      <c r="AL105" s="164"/>
      <c r="AM105" s="164"/>
      <c r="AN105" s="164"/>
      <c r="AO105" s="164"/>
      <c r="AP105" s="164"/>
      <c r="AQ105" s="164"/>
      <c r="AR105" s="164"/>
      <c r="AS105" s="164"/>
      <c r="AT105" s="164"/>
      <c r="AU105" s="164"/>
      <c r="AV105" s="164"/>
      <c r="AW105" s="164"/>
      <c r="AX105" s="164"/>
    </row>
    <row r="106" spans="2:50" x14ac:dyDescent="0.25">
      <c r="B106" s="275"/>
      <c r="C106" s="120" t="s">
        <v>121</v>
      </c>
      <c r="D106" s="122">
        <f>+D67-D86</f>
        <v>0</v>
      </c>
      <c r="E106" s="122">
        <f t="shared" si="15"/>
        <v>0</v>
      </c>
      <c r="F106" s="122">
        <f t="shared" si="15"/>
        <v>0</v>
      </c>
      <c r="G106" s="122">
        <f t="shared" si="15"/>
        <v>0</v>
      </c>
      <c r="H106" s="122">
        <f t="shared" si="15"/>
        <v>0</v>
      </c>
      <c r="I106" s="122">
        <f t="shared" si="15"/>
        <v>0</v>
      </c>
      <c r="J106" s="122">
        <f t="shared" si="15"/>
        <v>0</v>
      </c>
      <c r="K106" s="122">
        <f t="shared" si="15"/>
        <v>0</v>
      </c>
      <c r="L106" s="122">
        <f t="shared" si="15"/>
        <v>0</v>
      </c>
      <c r="M106" s="122">
        <f t="shared" si="15"/>
        <v>0</v>
      </c>
      <c r="N106" s="122">
        <f t="shared" si="15"/>
        <v>0</v>
      </c>
      <c r="O106" s="122">
        <f t="shared" si="15"/>
        <v>0</v>
      </c>
      <c r="P106" s="122">
        <f t="shared" si="15"/>
        <v>0</v>
      </c>
      <c r="Q106" s="122">
        <f t="shared" si="15"/>
        <v>0</v>
      </c>
      <c r="R106" s="122">
        <f t="shared" si="15"/>
        <v>0</v>
      </c>
      <c r="S106" s="122"/>
      <c r="T106" s="122">
        <f>+SUM(E106:P106)</f>
        <v>0</v>
      </c>
      <c r="U106" s="164"/>
      <c r="V106" s="164"/>
      <c r="W106" s="164"/>
      <c r="X106" s="164"/>
      <c r="Y106" s="164"/>
      <c r="Z106" s="164"/>
      <c r="AA106" s="164"/>
      <c r="AB106" s="164"/>
      <c r="AC106" s="164"/>
      <c r="AE106" s="164"/>
      <c r="AF106" s="164"/>
      <c r="AG106" s="164"/>
      <c r="AH106" s="164"/>
      <c r="AI106" s="164"/>
      <c r="AJ106" s="164"/>
      <c r="AK106" s="164"/>
      <c r="AL106" s="164"/>
      <c r="AM106" s="164"/>
      <c r="AN106" s="164"/>
      <c r="AO106" s="164"/>
      <c r="AP106" s="164"/>
      <c r="AQ106" s="164"/>
      <c r="AR106" s="164"/>
      <c r="AS106" s="164"/>
      <c r="AT106" s="164"/>
      <c r="AU106" s="164"/>
      <c r="AV106" s="164"/>
      <c r="AW106" s="164"/>
      <c r="AX106" s="164"/>
    </row>
    <row r="107" spans="2:50" x14ac:dyDescent="0.25">
      <c r="B107" s="276"/>
      <c r="C107" s="122" t="s">
        <v>122</v>
      </c>
      <c r="D107" s="122">
        <f>+D68-D87</f>
        <v>0</v>
      </c>
      <c r="E107" s="122">
        <f t="shared" si="15"/>
        <v>0</v>
      </c>
      <c r="F107" s="122">
        <f t="shared" si="15"/>
        <v>0</v>
      </c>
      <c r="G107" s="122">
        <f t="shared" si="15"/>
        <v>0</v>
      </c>
      <c r="H107" s="122">
        <f t="shared" si="15"/>
        <v>0</v>
      </c>
      <c r="I107" s="122">
        <f t="shared" si="15"/>
        <v>0</v>
      </c>
      <c r="J107" s="122">
        <f t="shared" si="15"/>
        <v>0</v>
      </c>
      <c r="K107" s="122">
        <f t="shared" si="15"/>
        <v>0</v>
      </c>
      <c r="L107" s="122">
        <f t="shared" si="15"/>
        <v>0</v>
      </c>
      <c r="M107" s="122">
        <f t="shared" si="15"/>
        <v>0</v>
      </c>
      <c r="N107" s="122">
        <f t="shared" si="15"/>
        <v>0</v>
      </c>
      <c r="O107" s="122">
        <f t="shared" si="15"/>
        <v>0</v>
      </c>
      <c r="P107" s="122">
        <f t="shared" si="15"/>
        <v>0</v>
      </c>
      <c r="Q107" s="122">
        <f t="shared" si="15"/>
        <v>0</v>
      </c>
      <c r="R107" s="122">
        <f t="shared" si="15"/>
        <v>0</v>
      </c>
      <c r="S107" s="122"/>
      <c r="T107" s="122">
        <f>+SUM(E107:P107)</f>
        <v>0</v>
      </c>
      <c r="U107" s="164"/>
      <c r="V107" s="164"/>
      <c r="W107" s="164"/>
      <c r="X107" s="164"/>
      <c r="Y107" s="164"/>
      <c r="Z107" s="164"/>
      <c r="AA107" s="164"/>
      <c r="AB107" s="164"/>
      <c r="AC107" s="164"/>
      <c r="AE107" s="164"/>
      <c r="AF107" s="164"/>
      <c r="AG107" s="164"/>
      <c r="AH107" s="164"/>
      <c r="AI107" s="164"/>
      <c r="AJ107" s="164"/>
      <c r="AK107" s="164"/>
      <c r="AL107" s="164"/>
      <c r="AM107" s="164"/>
      <c r="AN107" s="164"/>
      <c r="AO107" s="164"/>
      <c r="AP107" s="164"/>
      <c r="AQ107" s="164"/>
      <c r="AR107" s="164"/>
      <c r="AS107" s="164"/>
      <c r="AT107" s="164"/>
      <c r="AU107" s="164"/>
      <c r="AV107" s="164"/>
      <c r="AW107" s="164"/>
      <c r="AX107" s="164"/>
    </row>
    <row r="108" spans="2:50" x14ac:dyDescent="0.25">
      <c r="B108" s="277" t="s">
        <v>123</v>
      </c>
      <c r="C108" s="277"/>
      <c r="D108" s="122">
        <f t="shared" ref="D108:R108" si="16">+SUM(D105:D107)</f>
        <v>1</v>
      </c>
      <c r="E108" s="122">
        <f t="shared" si="16"/>
        <v>0</v>
      </c>
      <c r="F108" s="122">
        <f t="shared" si="16"/>
        <v>0</v>
      </c>
      <c r="G108" s="122">
        <f t="shared" si="16"/>
        <v>0</v>
      </c>
      <c r="H108" s="122">
        <f t="shared" si="16"/>
        <v>0</v>
      </c>
      <c r="I108" s="122">
        <f t="shared" si="16"/>
        <v>0</v>
      </c>
      <c r="J108" s="122">
        <f t="shared" si="16"/>
        <v>0</v>
      </c>
      <c r="K108" s="122">
        <f t="shared" si="16"/>
        <v>0</v>
      </c>
      <c r="L108" s="122">
        <f t="shared" si="16"/>
        <v>0</v>
      </c>
      <c r="M108" s="122">
        <f t="shared" si="16"/>
        <v>0</v>
      </c>
      <c r="N108" s="122">
        <f t="shared" si="16"/>
        <v>0</v>
      </c>
      <c r="O108" s="122">
        <f t="shared" si="16"/>
        <v>0</v>
      </c>
      <c r="P108" s="122">
        <f t="shared" si="16"/>
        <v>0</v>
      </c>
      <c r="Q108" s="122">
        <f t="shared" si="16"/>
        <v>1</v>
      </c>
      <c r="R108" s="122">
        <f t="shared" si="16"/>
        <v>0</v>
      </c>
      <c r="S108" s="122"/>
      <c r="T108" s="122">
        <f>+SUM(T105:T107)</f>
        <v>0</v>
      </c>
      <c r="U108" s="164"/>
      <c r="V108" s="164"/>
      <c r="W108" s="164"/>
      <c r="X108" s="164"/>
      <c r="Y108" s="164"/>
      <c r="Z108" s="164"/>
      <c r="AA108" s="164"/>
      <c r="AB108" s="164"/>
      <c r="AC108" s="164"/>
      <c r="AE108" s="164"/>
      <c r="AF108" s="164"/>
      <c r="AG108" s="164"/>
      <c r="AH108" s="164"/>
      <c r="AI108" s="164"/>
      <c r="AJ108" s="164"/>
      <c r="AK108" s="164"/>
      <c r="AL108" s="164"/>
      <c r="AM108" s="164"/>
      <c r="AN108" s="164"/>
      <c r="AO108" s="164"/>
      <c r="AP108" s="164"/>
      <c r="AQ108" s="164"/>
      <c r="AR108" s="164"/>
      <c r="AS108" s="164"/>
      <c r="AT108" s="164"/>
      <c r="AU108" s="164"/>
      <c r="AV108" s="164"/>
      <c r="AW108" s="164"/>
      <c r="AX108" s="164"/>
    </row>
    <row r="109" spans="2:50" x14ac:dyDescent="0.25">
      <c r="B109" s="90"/>
      <c r="C109" s="90"/>
      <c r="D109" s="90"/>
      <c r="E109" s="90"/>
      <c r="G109" s="90"/>
      <c r="H109" s="90"/>
      <c r="I109" s="90"/>
      <c r="J109" s="90"/>
      <c r="K109" s="90"/>
      <c r="L109" s="90"/>
      <c r="M109" s="90"/>
      <c r="N109" s="90"/>
      <c r="O109" s="90"/>
      <c r="P109" s="90"/>
      <c r="T109" s="90"/>
      <c r="U109" s="164"/>
      <c r="V109" s="164"/>
      <c r="W109" s="164"/>
      <c r="X109" s="164"/>
      <c r="Y109" s="164"/>
      <c r="Z109" s="164"/>
      <c r="AA109" s="164"/>
      <c r="AB109" s="164"/>
      <c r="AC109" s="164"/>
      <c r="AE109" s="164"/>
      <c r="AF109" s="164"/>
      <c r="AG109" s="164"/>
      <c r="AH109" s="164"/>
      <c r="AI109" s="164"/>
      <c r="AJ109" s="164"/>
      <c r="AK109" s="164"/>
      <c r="AL109" s="164"/>
      <c r="AM109" s="164"/>
      <c r="AN109" s="164"/>
      <c r="AO109" s="164"/>
      <c r="AP109" s="164"/>
      <c r="AQ109" s="164"/>
      <c r="AR109" s="164"/>
      <c r="AS109" s="164"/>
      <c r="AT109" s="164"/>
      <c r="AU109" s="164"/>
      <c r="AV109" s="164"/>
      <c r="AW109" s="164"/>
      <c r="AX109" s="164"/>
    </row>
    <row r="110" spans="2:50" x14ac:dyDescent="0.25">
      <c r="B110" s="278">
        <v>44196</v>
      </c>
      <c r="C110" s="122"/>
      <c r="D110" s="122"/>
      <c r="E110" s="128" t="str">
        <f t="shared" ref="E110:R110" si="17">E65</f>
        <v>SARL</v>
      </c>
      <c r="F110" s="121" t="str">
        <f t="shared" si="17"/>
        <v>EURL</v>
      </c>
      <c r="G110" s="127" t="str">
        <f t="shared" si="17"/>
        <v>SAS</v>
      </c>
      <c r="H110" s="127" t="str">
        <f t="shared" si="17"/>
        <v>INDIVIDUEL</v>
      </c>
      <c r="I110" s="127" t="str">
        <f t="shared" si="17"/>
        <v>ASSOCIATION</v>
      </c>
      <c r="J110" s="128" t="str">
        <f t="shared" si="17"/>
        <v>PROFESSION LIBERALE</v>
      </c>
      <c r="K110" s="128" t="str">
        <f t="shared" si="17"/>
        <v>SNC</v>
      </c>
      <c r="L110" s="128" t="str">
        <f t="shared" si="17"/>
        <v>SCI</v>
      </c>
      <c r="M110" s="128" t="str">
        <f t="shared" si="17"/>
        <v>EARL</v>
      </c>
      <c r="N110" s="128" t="str">
        <f t="shared" si="17"/>
        <v>ETA</v>
      </c>
      <c r="O110" s="128" t="str">
        <f t="shared" si="17"/>
        <v>SCEA</v>
      </c>
      <c r="P110" s="128" t="str">
        <f t="shared" si="17"/>
        <v>GROUPEMENT</v>
      </c>
      <c r="Q110" s="128" t="str">
        <f t="shared" si="17"/>
        <v>EIRL</v>
      </c>
      <c r="R110" s="121" t="str">
        <f t="shared" si="17"/>
        <v>AUTRES</v>
      </c>
      <c r="S110" s="121"/>
      <c r="T110" s="128" t="s">
        <v>86</v>
      </c>
      <c r="U110" s="164"/>
      <c r="V110" s="164"/>
      <c r="W110" s="164"/>
      <c r="X110" s="164"/>
      <c r="Y110" s="164"/>
      <c r="Z110" s="164"/>
      <c r="AA110" s="164"/>
      <c r="AB110" s="164"/>
      <c r="AC110" s="164"/>
      <c r="AE110" s="164"/>
      <c r="AF110" s="164"/>
      <c r="AG110" s="164"/>
      <c r="AH110" s="164"/>
      <c r="AI110" s="164"/>
      <c r="AJ110" s="164"/>
      <c r="AK110" s="164"/>
      <c r="AL110" s="164"/>
      <c r="AM110" s="164"/>
      <c r="AN110" s="164"/>
      <c r="AO110" s="164"/>
      <c r="AP110" s="164"/>
      <c r="AQ110" s="164"/>
      <c r="AR110" s="164"/>
      <c r="AS110" s="164"/>
      <c r="AT110" s="164"/>
      <c r="AU110" s="164"/>
      <c r="AV110" s="164"/>
      <c r="AW110" s="164"/>
      <c r="AX110" s="164"/>
    </row>
    <row r="111" spans="2:50" x14ac:dyDescent="0.25">
      <c r="B111" s="275"/>
      <c r="C111" s="120" t="s">
        <v>109</v>
      </c>
      <c r="D111" s="122">
        <f>+D72-D91</f>
        <v>1</v>
      </c>
      <c r="E111" s="122">
        <f t="shared" ref="E111:R113" si="18">+E72-E91</f>
        <v>0</v>
      </c>
      <c r="F111" s="122">
        <f t="shared" si="18"/>
        <v>0</v>
      </c>
      <c r="G111" s="122">
        <f t="shared" si="18"/>
        <v>0</v>
      </c>
      <c r="H111" s="122">
        <f t="shared" si="18"/>
        <v>0</v>
      </c>
      <c r="I111" s="122">
        <f t="shared" si="18"/>
        <v>0</v>
      </c>
      <c r="J111" s="122">
        <f t="shared" si="18"/>
        <v>0</v>
      </c>
      <c r="K111" s="122">
        <f t="shared" si="18"/>
        <v>0</v>
      </c>
      <c r="L111" s="122">
        <f t="shared" si="18"/>
        <v>0</v>
      </c>
      <c r="M111" s="122">
        <f t="shared" si="18"/>
        <v>0</v>
      </c>
      <c r="N111" s="122">
        <f t="shared" si="18"/>
        <v>0</v>
      </c>
      <c r="O111" s="122">
        <f t="shared" si="18"/>
        <v>0</v>
      </c>
      <c r="P111" s="122">
        <f t="shared" si="18"/>
        <v>0</v>
      </c>
      <c r="Q111" s="122">
        <f t="shared" si="18"/>
        <v>1</v>
      </c>
      <c r="R111" s="122">
        <f t="shared" si="18"/>
        <v>0</v>
      </c>
      <c r="S111" s="122"/>
      <c r="T111" s="122">
        <f>+SUM(E111:P111)</f>
        <v>0</v>
      </c>
      <c r="U111" s="164"/>
      <c r="V111" s="164"/>
      <c r="W111" s="164"/>
      <c r="X111" s="164"/>
      <c r="Y111" s="164"/>
      <c r="Z111" s="164"/>
      <c r="AA111" s="164"/>
      <c r="AB111" s="164"/>
      <c r="AC111" s="164"/>
      <c r="AE111" s="164"/>
      <c r="AF111" s="164"/>
      <c r="AG111" s="164"/>
      <c r="AH111" s="164"/>
      <c r="AI111" s="164"/>
      <c r="AJ111" s="164"/>
      <c r="AK111" s="164"/>
      <c r="AL111" s="164"/>
      <c r="AM111" s="164"/>
      <c r="AN111" s="164"/>
      <c r="AO111" s="164"/>
      <c r="AP111" s="164"/>
      <c r="AQ111" s="164"/>
      <c r="AR111" s="164"/>
      <c r="AS111" s="164"/>
      <c r="AT111" s="164"/>
      <c r="AU111" s="164"/>
      <c r="AV111" s="164"/>
      <c r="AW111" s="164"/>
      <c r="AX111" s="164"/>
    </row>
    <row r="112" spans="2:50" x14ac:dyDescent="0.25">
      <c r="B112" s="275"/>
      <c r="C112" s="120" t="s">
        <v>121</v>
      </c>
      <c r="D112" s="122">
        <f>+D73-D92</f>
        <v>0</v>
      </c>
      <c r="E112" s="122">
        <f t="shared" si="18"/>
        <v>0</v>
      </c>
      <c r="F112" s="122">
        <f t="shared" si="18"/>
        <v>0</v>
      </c>
      <c r="G112" s="122">
        <f t="shared" si="18"/>
        <v>0</v>
      </c>
      <c r="H112" s="122">
        <f t="shared" si="18"/>
        <v>0</v>
      </c>
      <c r="I112" s="122">
        <f t="shared" si="18"/>
        <v>0</v>
      </c>
      <c r="J112" s="122">
        <f t="shared" si="18"/>
        <v>0</v>
      </c>
      <c r="K112" s="122">
        <f t="shared" si="18"/>
        <v>0</v>
      </c>
      <c r="L112" s="122">
        <f t="shared" si="18"/>
        <v>0</v>
      </c>
      <c r="M112" s="122">
        <f t="shared" si="18"/>
        <v>0</v>
      </c>
      <c r="N112" s="122">
        <f t="shared" si="18"/>
        <v>0</v>
      </c>
      <c r="O112" s="122">
        <f t="shared" si="18"/>
        <v>0</v>
      </c>
      <c r="P112" s="122">
        <f t="shared" si="18"/>
        <v>0</v>
      </c>
      <c r="Q112" s="122">
        <f t="shared" si="18"/>
        <v>0</v>
      </c>
      <c r="R112" s="122">
        <f t="shared" si="18"/>
        <v>0</v>
      </c>
      <c r="S112" s="122"/>
      <c r="T112" s="122">
        <f>+SUM(E112:P112)</f>
        <v>0</v>
      </c>
      <c r="U112" s="164"/>
      <c r="V112" s="164"/>
      <c r="W112" s="164"/>
      <c r="X112" s="164"/>
      <c r="Y112" s="164"/>
      <c r="Z112" s="164"/>
      <c r="AA112" s="164"/>
      <c r="AB112" s="164"/>
      <c r="AC112" s="164"/>
      <c r="AE112" s="164"/>
      <c r="AF112" s="164"/>
      <c r="AG112" s="164"/>
      <c r="AH112" s="164"/>
      <c r="AI112" s="164"/>
      <c r="AJ112" s="164"/>
      <c r="AK112" s="164"/>
      <c r="AL112" s="164"/>
      <c r="AM112" s="164"/>
      <c r="AN112" s="164"/>
      <c r="AO112" s="164"/>
      <c r="AP112" s="164"/>
      <c r="AQ112" s="164"/>
      <c r="AR112" s="164"/>
      <c r="AS112" s="164"/>
      <c r="AT112" s="164"/>
      <c r="AU112" s="164"/>
      <c r="AV112" s="164"/>
      <c r="AW112" s="164"/>
      <c r="AX112" s="164"/>
    </row>
    <row r="113" spans="2:50" x14ac:dyDescent="0.25">
      <c r="B113" s="276"/>
      <c r="C113" s="122" t="s">
        <v>122</v>
      </c>
      <c r="D113" s="122">
        <f>+D74-D93</f>
        <v>0</v>
      </c>
      <c r="E113" s="122">
        <f t="shared" si="18"/>
        <v>0</v>
      </c>
      <c r="F113" s="122">
        <f t="shared" si="18"/>
        <v>0</v>
      </c>
      <c r="G113" s="122">
        <f t="shared" si="18"/>
        <v>0</v>
      </c>
      <c r="H113" s="122">
        <f t="shared" si="18"/>
        <v>0</v>
      </c>
      <c r="I113" s="122">
        <f t="shared" si="18"/>
        <v>0</v>
      </c>
      <c r="J113" s="122">
        <f t="shared" si="18"/>
        <v>0</v>
      </c>
      <c r="K113" s="122">
        <f t="shared" si="18"/>
        <v>0</v>
      </c>
      <c r="L113" s="122">
        <f t="shared" si="18"/>
        <v>0</v>
      </c>
      <c r="M113" s="122">
        <f t="shared" si="18"/>
        <v>0</v>
      </c>
      <c r="N113" s="122">
        <f t="shared" si="18"/>
        <v>0</v>
      </c>
      <c r="O113" s="122">
        <f t="shared" si="18"/>
        <v>0</v>
      </c>
      <c r="P113" s="122">
        <f t="shared" si="18"/>
        <v>0</v>
      </c>
      <c r="Q113" s="122">
        <f t="shared" si="18"/>
        <v>0</v>
      </c>
      <c r="R113" s="122">
        <f t="shared" si="18"/>
        <v>0</v>
      </c>
      <c r="S113" s="122"/>
      <c r="T113" s="122">
        <f>+SUM(E113:P113)</f>
        <v>0</v>
      </c>
      <c r="U113" s="164"/>
      <c r="V113" s="164"/>
      <c r="W113" s="164"/>
      <c r="X113" s="164"/>
      <c r="Y113" s="164"/>
      <c r="Z113" s="164"/>
      <c r="AA113" s="164"/>
      <c r="AB113" s="164"/>
      <c r="AC113" s="164"/>
      <c r="AE113" s="164"/>
      <c r="AF113" s="164"/>
      <c r="AG113" s="164"/>
      <c r="AH113" s="164"/>
      <c r="AI113" s="164"/>
      <c r="AJ113" s="164"/>
      <c r="AK113" s="164"/>
      <c r="AL113" s="164"/>
      <c r="AM113" s="164"/>
      <c r="AN113" s="164"/>
      <c r="AO113" s="164"/>
      <c r="AP113" s="164"/>
      <c r="AQ113" s="164"/>
      <c r="AR113" s="164"/>
      <c r="AS113" s="164"/>
      <c r="AT113" s="164"/>
      <c r="AU113" s="164"/>
      <c r="AV113" s="164"/>
      <c r="AW113" s="164"/>
      <c r="AX113" s="164"/>
    </row>
    <row r="114" spans="2:50" x14ac:dyDescent="0.25">
      <c r="B114" s="277" t="s">
        <v>123</v>
      </c>
      <c r="C114" s="277"/>
      <c r="D114" s="122">
        <f t="shared" ref="D114:R114" si="19">+SUM(D111:D113)</f>
        <v>1</v>
      </c>
      <c r="E114" s="122">
        <f t="shared" si="19"/>
        <v>0</v>
      </c>
      <c r="F114" s="122">
        <f t="shared" si="19"/>
        <v>0</v>
      </c>
      <c r="G114" s="122">
        <f t="shared" si="19"/>
        <v>0</v>
      </c>
      <c r="H114" s="122">
        <f t="shared" si="19"/>
        <v>0</v>
      </c>
      <c r="I114" s="122">
        <f t="shared" si="19"/>
        <v>0</v>
      </c>
      <c r="J114" s="122">
        <f t="shared" si="19"/>
        <v>0</v>
      </c>
      <c r="K114" s="122">
        <f t="shared" si="19"/>
        <v>0</v>
      </c>
      <c r="L114" s="122">
        <f t="shared" si="19"/>
        <v>0</v>
      </c>
      <c r="M114" s="122">
        <f t="shared" si="19"/>
        <v>0</v>
      </c>
      <c r="N114" s="122">
        <f t="shared" si="19"/>
        <v>0</v>
      </c>
      <c r="O114" s="122">
        <f t="shared" si="19"/>
        <v>0</v>
      </c>
      <c r="P114" s="122">
        <f t="shared" si="19"/>
        <v>0</v>
      </c>
      <c r="Q114" s="122">
        <f t="shared" si="19"/>
        <v>1</v>
      </c>
      <c r="R114" s="122">
        <f t="shared" si="19"/>
        <v>0</v>
      </c>
      <c r="S114" s="122"/>
      <c r="T114" s="122">
        <f>+SUM(T111:T113)</f>
        <v>0</v>
      </c>
      <c r="U114" s="164"/>
      <c r="V114" s="164"/>
      <c r="W114" s="164"/>
      <c r="X114" s="164"/>
      <c r="Y114" s="164"/>
      <c r="Z114" s="164"/>
      <c r="AA114" s="164"/>
      <c r="AB114" s="164"/>
      <c r="AC114" s="164"/>
      <c r="AE114" s="164"/>
      <c r="AF114" s="164"/>
      <c r="AG114" s="164"/>
      <c r="AH114" s="164"/>
      <c r="AI114" s="164"/>
      <c r="AJ114" s="164"/>
      <c r="AK114" s="164"/>
      <c r="AL114" s="164"/>
      <c r="AM114" s="164"/>
      <c r="AN114" s="164"/>
      <c r="AO114" s="164"/>
      <c r="AP114" s="164"/>
      <c r="AQ114" s="164"/>
      <c r="AR114" s="164"/>
      <c r="AS114" s="164"/>
      <c r="AT114" s="164"/>
      <c r="AU114" s="164"/>
      <c r="AV114" s="164"/>
      <c r="AW114" s="164"/>
      <c r="AX114" s="164"/>
    </row>
    <row r="115" spans="2:50" x14ac:dyDescent="0.25">
      <c r="B115" s="90"/>
      <c r="C115" s="90"/>
      <c r="D115" s="90"/>
      <c r="E115" s="90"/>
      <c r="G115" s="90"/>
      <c r="H115" s="90"/>
      <c r="I115" s="90"/>
      <c r="J115" s="90"/>
      <c r="K115" s="90"/>
      <c r="L115" s="90"/>
      <c r="M115" s="90"/>
      <c r="N115" s="90"/>
      <c r="O115" s="90"/>
      <c r="P115" s="90"/>
      <c r="T115" s="90"/>
      <c r="U115" s="164"/>
      <c r="V115" s="164"/>
      <c r="W115" s="164"/>
      <c r="X115" s="164"/>
      <c r="Y115" s="164"/>
      <c r="Z115" s="164"/>
      <c r="AA115" s="164"/>
      <c r="AB115" s="164"/>
      <c r="AC115" s="164"/>
      <c r="AE115" s="164"/>
      <c r="AF115" s="164"/>
      <c r="AG115" s="164"/>
      <c r="AH115" s="164"/>
      <c r="AI115" s="164"/>
      <c r="AJ115" s="164"/>
      <c r="AK115" s="164"/>
      <c r="AL115" s="164"/>
      <c r="AM115" s="164"/>
      <c r="AN115" s="164"/>
      <c r="AO115" s="164"/>
      <c r="AP115" s="164"/>
      <c r="AQ115" s="164"/>
      <c r="AR115" s="164"/>
      <c r="AS115" s="164"/>
      <c r="AT115" s="164"/>
      <c r="AU115" s="164"/>
      <c r="AV115" s="164"/>
      <c r="AW115" s="164"/>
      <c r="AX115" s="164"/>
    </row>
    <row r="116" spans="2:50" x14ac:dyDescent="0.25">
      <c r="B116" s="278" t="s">
        <v>40</v>
      </c>
      <c r="C116" s="122"/>
      <c r="D116" s="122"/>
      <c r="E116" s="125" t="str">
        <f t="shared" ref="E116:R116" si="20">E65</f>
        <v>SARL</v>
      </c>
      <c r="F116" s="121" t="str">
        <f t="shared" si="20"/>
        <v>EURL</v>
      </c>
      <c r="G116" s="126" t="str">
        <f t="shared" si="20"/>
        <v>SAS</v>
      </c>
      <c r="H116" s="127" t="str">
        <f t="shared" si="20"/>
        <v>INDIVIDUEL</v>
      </c>
      <c r="I116" s="127" t="str">
        <f t="shared" si="20"/>
        <v>ASSOCIATION</v>
      </c>
      <c r="J116" s="128" t="str">
        <f t="shared" si="20"/>
        <v>PROFESSION LIBERALE</v>
      </c>
      <c r="K116" s="128" t="str">
        <f t="shared" si="20"/>
        <v>SNC</v>
      </c>
      <c r="L116" s="128" t="str">
        <f t="shared" si="20"/>
        <v>SCI</v>
      </c>
      <c r="M116" s="128" t="str">
        <f t="shared" si="20"/>
        <v>EARL</v>
      </c>
      <c r="N116" s="128" t="str">
        <f t="shared" si="20"/>
        <v>ETA</v>
      </c>
      <c r="O116" s="128" t="str">
        <f t="shared" si="20"/>
        <v>SCEA</v>
      </c>
      <c r="P116" s="128" t="str">
        <f t="shared" si="20"/>
        <v>GROUPEMENT</v>
      </c>
      <c r="Q116" s="128" t="str">
        <f t="shared" si="20"/>
        <v>EIRL</v>
      </c>
      <c r="R116" s="121" t="str">
        <f t="shared" si="20"/>
        <v>AUTRES</v>
      </c>
      <c r="S116" s="121"/>
      <c r="T116" s="128" t="s">
        <v>86</v>
      </c>
      <c r="U116" s="164"/>
      <c r="V116" s="164"/>
      <c r="W116" s="164"/>
      <c r="X116" s="164"/>
      <c r="Y116" s="164"/>
      <c r="Z116" s="164"/>
      <c r="AA116" s="164"/>
      <c r="AB116" s="164"/>
      <c r="AC116" s="164"/>
      <c r="AE116" s="164"/>
      <c r="AF116" s="164"/>
      <c r="AG116" s="164"/>
      <c r="AH116" s="164"/>
      <c r="AI116" s="164"/>
      <c r="AJ116" s="164"/>
      <c r="AK116" s="164"/>
      <c r="AL116" s="164"/>
      <c r="AM116" s="164"/>
      <c r="AN116" s="164"/>
      <c r="AO116" s="164"/>
      <c r="AP116" s="164"/>
      <c r="AQ116" s="164"/>
      <c r="AR116" s="164"/>
      <c r="AS116" s="164"/>
      <c r="AT116" s="164"/>
      <c r="AU116" s="164"/>
      <c r="AV116" s="164"/>
      <c r="AW116" s="164"/>
      <c r="AX116" s="164"/>
    </row>
    <row r="117" spans="2:50" x14ac:dyDescent="0.25">
      <c r="B117" s="275"/>
      <c r="C117" s="120" t="s">
        <v>109</v>
      </c>
      <c r="D117" s="122">
        <f>+D105-D111</f>
        <v>0</v>
      </c>
      <c r="E117" s="122">
        <f t="shared" ref="E117:R120" si="21">+E105-E111</f>
        <v>0</v>
      </c>
      <c r="F117" s="122">
        <f t="shared" si="21"/>
        <v>0</v>
      </c>
      <c r="G117" s="122">
        <f t="shared" si="21"/>
        <v>0</v>
      </c>
      <c r="H117" s="122">
        <f t="shared" si="21"/>
        <v>0</v>
      </c>
      <c r="I117" s="122">
        <f t="shared" si="21"/>
        <v>0</v>
      </c>
      <c r="J117" s="122">
        <f t="shared" si="21"/>
        <v>0</v>
      </c>
      <c r="K117" s="122">
        <f t="shared" si="21"/>
        <v>0</v>
      </c>
      <c r="L117" s="122">
        <f t="shared" si="21"/>
        <v>0</v>
      </c>
      <c r="M117" s="122">
        <f t="shared" si="21"/>
        <v>0</v>
      </c>
      <c r="N117" s="122">
        <f t="shared" si="21"/>
        <v>0</v>
      </c>
      <c r="O117" s="122">
        <f t="shared" si="21"/>
        <v>0</v>
      </c>
      <c r="P117" s="122">
        <f t="shared" si="21"/>
        <v>0</v>
      </c>
      <c r="Q117" s="122">
        <f t="shared" si="21"/>
        <v>0</v>
      </c>
      <c r="R117" s="122">
        <f t="shared" si="21"/>
        <v>0</v>
      </c>
      <c r="S117" s="122"/>
      <c r="T117" s="122">
        <f>+SUM(E117:P117)</f>
        <v>0</v>
      </c>
      <c r="U117" s="164"/>
      <c r="V117" s="164"/>
      <c r="W117" s="164"/>
      <c r="X117" s="164"/>
      <c r="Y117" s="164"/>
      <c r="Z117" s="164"/>
      <c r="AA117" s="164"/>
      <c r="AB117" s="164"/>
      <c r="AC117" s="164"/>
      <c r="AE117" s="164"/>
      <c r="AF117" s="164"/>
      <c r="AG117" s="164"/>
      <c r="AH117" s="164"/>
      <c r="AI117" s="164"/>
      <c r="AJ117" s="164"/>
      <c r="AK117" s="164"/>
      <c r="AL117" s="164"/>
      <c r="AM117" s="164"/>
      <c r="AN117" s="164"/>
      <c r="AO117" s="164"/>
      <c r="AP117" s="164"/>
      <c r="AQ117" s="164"/>
      <c r="AR117" s="164"/>
      <c r="AS117" s="164"/>
      <c r="AT117" s="164"/>
      <c r="AU117" s="164"/>
      <c r="AV117" s="164"/>
      <c r="AW117" s="164"/>
      <c r="AX117" s="164"/>
    </row>
    <row r="118" spans="2:50" x14ac:dyDescent="0.25">
      <c r="B118" s="275"/>
      <c r="C118" s="120" t="s">
        <v>121</v>
      </c>
      <c r="D118" s="122">
        <f>+D106-D112</f>
        <v>0</v>
      </c>
      <c r="E118" s="122">
        <f t="shared" si="21"/>
        <v>0</v>
      </c>
      <c r="F118" s="122">
        <f t="shared" si="21"/>
        <v>0</v>
      </c>
      <c r="G118" s="122">
        <f t="shared" si="21"/>
        <v>0</v>
      </c>
      <c r="H118" s="122">
        <f t="shared" si="21"/>
        <v>0</v>
      </c>
      <c r="I118" s="122">
        <f t="shared" si="21"/>
        <v>0</v>
      </c>
      <c r="J118" s="122">
        <f t="shared" si="21"/>
        <v>0</v>
      </c>
      <c r="K118" s="122">
        <f t="shared" si="21"/>
        <v>0</v>
      </c>
      <c r="L118" s="122">
        <f t="shared" si="21"/>
        <v>0</v>
      </c>
      <c r="M118" s="122">
        <f t="shared" si="21"/>
        <v>0</v>
      </c>
      <c r="N118" s="122">
        <f t="shared" si="21"/>
        <v>0</v>
      </c>
      <c r="O118" s="122">
        <f t="shared" si="21"/>
        <v>0</v>
      </c>
      <c r="P118" s="122">
        <f t="shared" si="21"/>
        <v>0</v>
      </c>
      <c r="Q118" s="122">
        <f t="shared" si="21"/>
        <v>0</v>
      </c>
      <c r="R118" s="122">
        <f t="shared" si="21"/>
        <v>0</v>
      </c>
      <c r="S118" s="122"/>
      <c r="T118" s="122">
        <f>+SUM(E118:P118)</f>
        <v>0</v>
      </c>
      <c r="U118" s="164"/>
      <c r="V118" s="164"/>
      <c r="W118" s="164"/>
      <c r="X118" s="164"/>
      <c r="Y118" s="164"/>
      <c r="Z118" s="164"/>
      <c r="AA118" s="164"/>
      <c r="AB118" s="164"/>
      <c r="AC118" s="164"/>
      <c r="AE118" s="164"/>
      <c r="AF118" s="164"/>
      <c r="AG118" s="164"/>
      <c r="AH118" s="164"/>
      <c r="AI118" s="164"/>
      <c r="AJ118" s="164"/>
      <c r="AK118" s="164"/>
      <c r="AL118" s="164"/>
      <c r="AM118" s="164"/>
      <c r="AN118" s="164"/>
      <c r="AO118" s="164"/>
      <c r="AP118" s="164"/>
      <c r="AQ118" s="164"/>
      <c r="AR118" s="164"/>
      <c r="AS118" s="164"/>
      <c r="AT118" s="164"/>
      <c r="AU118" s="164"/>
      <c r="AV118" s="164"/>
      <c r="AW118" s="164"/>
      <c r="AX118" s="164"/>
    </row>
    <row r="119" spans="2:50" x14ac:dyDescent="0.25">
      <c r="B119" s="276"/>
      <c r="C119" s="122" t="s">
        <v>122</v>
      </c>
      <c r="D119" s="122">
        <f>+D107-D113</f>
        <v>0</v>
      </c>
      <c r="E119" s="122">
        <f t="shared" si="21"/>
        <v>0</v>
      </c>
      <c r="F119" s="122">
        <f t="shared" si="21"/>
        <v>0</v>
      </c>
      <c r="G119" s="122">
        <f t="shared" si="21"/>
        <v>0</v>
      </c>
      <c r="H119" s="122">
        <f t="shared" si="21"/>
        <v>0</v>
      </c>
      <c r="I119" s="122">
        <f t="shared" si="21"/>
        <v>0</v>
      </c>
      <c r="J119" s="122">
        <f t="shared" si="21"/>
        <v>0</v>
      </c>
      <c r="K119" s="122">
        <f t="shared" si="21"/>
        <v>0</v>
      </c>
      <c r="L119" s="122">
        <f t="shared" si="21"/>
        <v>0</v>
      </c>
      <c r="M119" s="122">
        <f t="shared" si="21"/>
        <v>0</v>
      </c>
      <c r="N119" s="122">
        <f t="shared" si="21"/>
        <v>0</v>
      </c>
      <c r="O119" s="122">
        <f t="shared" si="21"/>
        <v>0</v>
      </c>
      <c r="P119" s="122">
        <f t="shared" si="21"/>
        <v>0</v>
      </c>
      <c r="Q119" s="122">
        <f t="shared" si="21"/>
        <v>0</v>
      </c>
      <c r="R119" s="122">
        <f t="shared" si="21"/>
        <v>0</v>
      </c>
      <c r="S119" s="122"/>
      <c r="T119" s="122">
        <f>+SUM(E119:P119)</f>
        <v>0</v>
      </c>
      <c r="U119" s="164"/>
      <c r="V119" s="164"/>
      <c r="W119" s="164"/>
      <c r="X119" s="164"/>
      <c r="Y119" s="164"/>
      <c r="Z119" s="164"/>
      <c r="AA119" s="164"/>
      <c r="AB119" s="164"/>
      <c r="AC119" s="164"/>
      <c r="AE119" s="164"/>
      <c r="AF119" s="164"/>
      <c r="AG119" s="164"/>
      <c r="AH119" s="164"/>
      <c r="AI119" s="164"/>
      <c r="AJ119" s="164"/>
      <c r="AK119" s="164"/>
      <c r="AL119" s="164"/>
      <c r="AM119" s="164"/>
      <c r="AN119" s="164"/>
      <c r="AO119" s="164"/>
      <c r="AP119" s="164"/>
      <c r="AQ119" s="164"/>
      <c r="AR119" s="164"/>
      <c r="AS119" s="164"/>
      <c r="AT119" s="164"/>
      <c r="AU119" s="164"/>
      <c r="AV119" s="164"/>
      <c r="AW119" s="164"/>
      <c r="AX119" s="164"/>
    </row>
    <row r="120" spans="2:50" x14ac:dyDescent="0.25">
      <c r="B120" s="277" t="s">
        <v>123</v>
      </c>
      <c r="C120" s="277"/>
      <c r="D120" s="122">
        <f>+D108-D114</f>
        <v>0</v>
      </c>
      <c r="E120" s="122">
        <f t="shared" si="21"/>
        <v>0</v>
      </c>
      <c r="F120" s="122">
        <f t="shared" si="21"/>
        <v>0</v>
      </c>
      <c r="G120" s="122">
        <f t="shared" si="21"/>
        <v>0</v>
      </c>
      <c r="H120" s="122">
        <f t="shared" si="21"/>
        <v>0</v>
      </c>
      <c r="I120" s="122">
        <f t="shared" si="21"/>
        <v>0</v>
      </c>
      <c r="J120" s="122">
        <f t="shared" si="21"/>
        <v>0</v>
      </c>
      <c r="K120" s="122">
        <f t="shared" si="21"/>
        <v>0</v>
      </c>
      <c r="L120" s="122">
        <f t="shared" si="21"/>
        <v>0</v>
      </c>
      <c r="M120" s="122">
        <f t="shared" si="21"/>
        <v>0</v>
      </c>
      <c r="N120" s="122">
        <f t="shared" si="21"/>
        <v>0</v>
      </c>
      <c r="O120" s="122">
        <f t="shared" si="21"/>
        <v>0</v>
      </c>
      <c r="P120" s="122">
        <f t="shared" si="21"/>
        <v>0</v>
      </c>
      <c r="Q120" s="122">
        <f t="shared" si="21"/>
        <v>0</v>
      </c>
      <c r="R120" s="122">
        <f t="shared" si="21"/>
        <v>0</v>
      </c>
      <c r="S120" s="122"/>
      <c r="T120" s="122">
        <f>+SUM(T117:T119)</f>
        <v>0</v>
      </c>
      <c r="U120" s="164"/>
      <c r="V120" s="164"/>
      <c r="W120" s="164"/>
      <c r="X120" s="164"/>
      <c r="Y120" s="164"/>
      <c r="Z120" s="164"/>
      <c r="AA120" s="164"/>
      <c r="AB120" s="164"/>
      <c r="AC120" s="164"/>
      <c r="AE120" s="164"/>
      <c r="AF120" s="164"/>
      <c r="AG120" s="164"/>
      <c r="AH120" s="164"/>
      <c r="AI120" s="164"/>
      <c r="AJ120" s="164"/>
      <c r="AK120" s="164"/>
      <c r="AL120" s="164"/>
      <c r="AM120" s="164"/>
      <c r="AN120" s="164"/>
      <c r="AO120" s="164"/>
      <c r="AP120" s="164"/>
      <c r="AQ120" s="164"/>
      <c r="AR120" s="164"/>
      <c r="AS120" s="164"/>
      <c r="AT120" s="164"/>
      <c r="AU120" s="164"/>
      <c r="AV120" s="164"/>
      <c r="AW120" s="164"/>
      <c r="AX120" s="164"/>
    </row>
    <row r="121" spans="2:50" x14ac:dyDescent="0.25">
      <c r="U121" s="164"/>
      <c r="V121" s="164"/>
      <c r="W121" s="164"/>
      <c r="X121" s="164"/>
      <c r="Y121" s="164"/>
      <c r="Z121" s="164"/>
      <c r="AA121" s="164"/>
      <c r="AB121" s="164"/>
      <c r="AC121" s="164"/>
      <c r="AE121" s="164"/>
      <c r="AF121" s="164"/>
      <c r="AG121" s="164"/>
      <c r="AH121" s="164"/>
      <c r="AI121" s="164"/>
      <c r="AJ121" s="164"/>
      <c r="AK121" s="164"/>
      <c r="AL121" s="164"/>
      <c r="AM121" s="164"/>
      <c r="AN121" s="164"/>
      <c r="AO121" s="164"/>
      <c r="AP121" s="164"/>
      <c r="AQ121" s="164"/>
      <c r="AR121" s="164"/>
      <c r="AS121" s="164"/>
      <c r="AT121" s="164"/>
      <c r="AU121" s="164"/>
      <c r="AV121" s="164"/>
      <c r="AW121" s="164"/>
      <c r="AX121" s="164"/>
    </row>
    <row r="122" spans="2:50" x14ac:dyDescent="0.25">
      <c r="U122" s="164"/>
      <c r="V122" s="164"/>
      <c r="W122" s="164"/>
      <c r="X122" s="164"/>
      <c r="Y122" s="164"/>
      <c r="Z122" s="164"/>
      <c r="AA122" s="164"/>
      <c r="AB122" s="164"/>
      <c r="AC122" s="164"/>
      <c r="AE122" s="164"/>
      <c r="AF122" s="164"/>
      <c r="AG122" s="164"/>
      <c r="AH122" s="164"/>
      <c r="AI122" s="164"/>
      <c r="AJ122" s="164"/>
      <c r="AK122" s="164"/>
      <c r="AL122" s="164"/>
      <c r="AM122" s="164"/>
      <c r="AN122" s="164"/>
      <c r="AO122" s="164"/>
      <c r="AP122" s="164"/>
      <c r="AQ122" s="164"/>
      <c r="AR122" s="164"/>
      <c r="AS122" s="164"/>
      <c r="AT122" s="164"/>
      <c r="AU122" s="164"/>
      <c r="AV122" s="164"/>
      <c r="AW122" s="164"/>
      <c r="AX122" s="164"/>
    </row>
    <row r="123" spans="2:50" x14ac:dyDescent="0.25">
      <c r="U123" s="164"/>
      <c r="V123" s="164"/>
      <c r="W123" s="164"/>
      <c r="X123" s="164"/>
      <c r="Y123" s="164"/>
      <c r="Z123" s="164"/>
      <c r="AA123" s="164"/>
      <c r="AB123" s="164"/>
      <c r="AC123" s="164"/>
      <c r="AE123" s="164"/>
      <c r="AF123" s="164"/>
      <c r="AG123" s="164"/>
      <c r="AH123" s="164"/>
      <c r="AI123" s="164"/>
      <c r="AJ123" s="164"/>
      <c r="AK123" s="164"/>
      <c r="AL123" s="164"/>
      <c r="AM123" s="164"/>
      <c r="AN123" s="164"/>
      <c r="AO123" s="164"/>
      <c r="AP123" s="164"/>
      <c r="AQ123" s="164"/>
      <c r="AR123" s="164"/>
      <c r="AS123" s="164"/>
      <c r="AT123" s="164"/>
      <c r="AU123" s="164"/>
      <c r="AV123" s="164"/>
      <c r="AW123" s="164"/>
      <c r="AX123" s="164"/>
    </row>
    <row r="124" spans="2:50" x14ac:dyDescent="0.25">
      <c r="U124" s="164"/>
      <c r="V124" s="164"/>
      <c r="W124" s="164"/>
      <c r="X124" s="164"/>
      <c r="Y124" s="164"/>
      <c r="Z124" s="164"/>
      <c r="AA124" s="164"/>
      <c r="AB124" s="164"/>
      <c r="AC124" s="164"/>
      <c r="AE124" s="164"/>
      <c r="AF124" s="164"/>
      <c r="AG124" s="164"/>
      <c r="AH124" s="164"/>
      <c r="AI124" s="164"/>
      <c r="AJ124" s="164"/>
      <c r="AK124" s="164"/>
      <c r="AL124" s="164"/>
      <c r="AM124" s="164"/>
      <c r="AN124" s="164"/>
      <c r="AO124" s="164"/>
      <c r="AP124" s="164"/>
      <c r="AQ124" s="164"/>
      <c r="AR124" s="164"/>
      <c r="AS124" s="164"/>
      <c r="AT124" s="164"/>
      <c r="AU124" s="164"/>
      <c r="AV124" s="164"/>
      <c r="AW124" s="164"/>
      <c r="AX124" s="164"/>
    </row>
    <row r="125" spans="2:50" x14ac:dyDescent="0.25">
      <c r="U125" s="164"/>
      <c r="V125" s="164"/>
      <c r="W125" s="164"/>
      <c r="X125" s="164"/>
      <c r="Y125" s="164"/>
      <c r="Z125" s="164"/>
      <c r="AA125" s="164"/>
      <c r="AB125" s="164"/>
      <c r="AC125" s="164"/>
      <c r="AE125" s="164"/>
      <c r="AF125" s="164"/>
      <c r="AG125" s="164"/>
      <c r="AH125" s="164"/>
      <c r="AI125" s="164"/>
      <c r="AJ125" s="164"/>
      <c r="AK125" s="164"/>
      <c r="AL125" s="164"/>
      <c r="AM125" s="164"/>
      <c r="AN125" s="164"/>
      <c r="AO125" s="164"/>
      <c r="AP125" s="164"/>
      <c r="AQ125" s="164"/>
      <c r="AR125" s="164"/>
      <c r="AS125" s="164"/>
      <c r="AT125" s="164"/>
      <c r="AU125" s="164"/>
      <c r="AV125" s="164"/>
      <c r="AW125" s="164"/>
      <c r="AX125" s="164"/>
    </row>
    <row r="126" spans="2:50" x14ac:dyDescent="0.25">
      <c r="U126" s="164"/>
      <c r="V126" s="164"/>
      <c r="W126" s="164"/>
      <c r="X126" s="164"/>
      <c r="Y126" s="164"/>
      <c r="Z126" s="164"/>
      <c r="AA126" s="164"/>
      <c r="AB126" s="164"/>
      <c r="AC126" s="164"/>
      <c r="AE126" s="164"/>
      <c r="AF126" s="164"/>
      <c r="AG126" s="164"/>
      <c r="AH126" s="164"/>
      <c r="AI126" s="164"/>
      <c r="AJ126" s="164"/>
      <c r="AK126" s="164"/>
      <c r="AL126" s="164"/>
      <c r="AM126" s="164"/>
      <c r="AN126" s="164"/>
      <c r="AO126" s="164"/>
      <c r="AP126" s="164"/>
      <c r="AQ126" s="164"/>
      <c r="AR126" s="164"/>
      <c r="AS126" s="164"/>
      <c r="AT126" s="164"/>
      <c r="AU126" s="164"/>
      <c r="AV126" s="164"/>
      <c r="AW126" s="164"/>
      <c r="AX126" s="164"/>
    </row>
    <row r="127" spans="2:50" x14ac:dyDescent="0.25">
      <c r="U127" s="164"/>
      <c r="V127" s="164"/>
      <c r="W127" s="164"/>
      <c r="X127" s="164"/>
      <c r="Y127" s="164"/>
      <c r="Z127" s="164"/>
      <c r="AA127" s="164"/>
      <c r="AB127" s="164"/>
      <c r="AC127" s="164"/>
      <c r="AE127" s="164"/>
      <c r="AF127" s="164"/>
      <c r="AG127" s="164"/>
      <c r="AH127" s="164"/>
      <c r="AI127" s="164"/>
      <c r="AJ127" s="164"/>
      <c r="AK127" s="164"/>
      <c r="AL127" s="164"/>
      <c r="AM127" s="164"/>
      <c r="AN127" s="164"/>
      <c r="AO127" s="164"/>
      <c r="AP127" s="164"/>
      <c r="AQ127" s="164"/>
      <c r="AR127" s="164"/>
      <c r="AS127" s="164"/>
      <c r="AT127" s="164"/>
      <c r="AU127" s="164"/>
      <c r="AV127" s="164"/>
      <c r="AW127" s="164"/>
      <c r="AX127" s="164"/>
    </row>
    <row r="128" spans="2:50" x14ac:dyDescent="0.25">
      <c r="U128" s="164"/>
      <c r="V128" s="164"/>
      <c r="W128" s="164"/>
      <c r="X128" s="164"/>
      <c r="Y128" s="164"/>
      <c r="Z128" s="164"/>
      <c r="AA128" s="164"/>
      <c r="AB128" s="164"/>
      <c r="AC128" s="164"/>
      <c r="AE128" s="164"/>
      <c r="AF128" s="164"/>
      <c r="AG128" s="164"/>
      <c r="AH128" s="164"/>
      <c r="AI128" s="164"/>
      <c r="AJ128" s="164"/>
      <c r="AK128" s="164"/>
      <c r="AL128" s="164"/>
      <c r="AM128" s="164"/>
      <c r="AN128" s="164"/>
      <c r="AO128" s="164"/>
      <c r="AP128" s="164"/>
      <c r="AQ128" s="164"/>
      <c r="AR128" s="164"/>
      <c r="AS128" s="164"/>
      <c r="AT128" s="164"/>
      <c r="AU128" s="164"/>
      <c r="AV128" s="164"/>
      <c r="AW128" s="164"/>
      <c r="AX128" s="164"/>
    </row>
    <row r="129" spans="21:50" x14ac:dyDescent="0.25">
      <c r="U129" s="164"/>
      <c r="V129" s="164"/>
      <c r="W129" s="164"/>
      <c r="X129" s="164"/>
      <c r="Y129" s="164"/>
      <c r="Z129" s="164"/>
      <c r="AA129" s="164"/>
      <c r="AB129" s="164"/>
      <c r="AC129" s="164"/>
      <c r="AE129" s="164"/>
      <c r="AF129" s="164"/>
      <c r="AG129" s="164"/>
      <c r="AH129" s="164"/>
      <c r="AI129" s="164"/>
      <c r="AJ129" s="164"/>
      <c r="AK129" s="164"/>
      <c r="AL129" s="164"/>
      <c r="AM129" s="164"/>
      <c r="AN129" s="164"/>
      <c r="AO129" s="164"/>
      <c r="AP129" s="164"/>
      <c r="AQ129" s="164"/>
      <c r="AR129" s="164"/>
      <c r="AS129" s="164"/>
      <c r="AT129" s="164"/>
      <c r="AU129" s="164"/>
      <c r="AV129" s="164"/>
      <c r="AW129" s="164"/>
      <c r="AX129" s="164"/>
    </row>
    <row r="130" spans="21:50" x14ac:dyDescent="0.25">
      <c r="U130" s="164"/>
      <c r="V130" s="164"/>
      <c r="W130" s="164"/>
      <c r="X130" s="164"/>
      <c r="Y130" s="164"/>
      <c r="Z130" s="164"/>
      <c r="AA130" s="164"/>
      <c r="AB130" s="164"/>
      <c r="AC130" s="164"/>
      <c r="AE130" s="164"/>
      <c r="AF130" s="164"/>
      <c r="AG130" s="164"/>
      <c r="AH130" s="164"/>
      <c r="AI130" s="164"/>
      <c r="AJ130" s="164"/>
      <c r="AK130" s="164"/>
      <c r="AL130" s="164"/>
      <c r="AM130" s="164"/>
      <c r="AN130" s="164"/>
      <c r="AO130" s="164"/>
      <c r="AP130" s="164"/>
      <c r="AQ130" s="164"/>
      <c r="AR130" s="164"/>
      <c r="AS130" s="164"/>
      <c r="AT130" s="164"/>
      <c r="AU130" s="164"/>
      <c r="AV130" s="164"/>
      <c r="AW130" s="164"/>
      <c r="AX130" s="164"/>
    </row>
    <row r="131" spans="21:50" x14ac:dyDescent="0.25">
      <c r="U131" s="164"/>
      <c r="V131" s="164"/>
      <c r="W131" s="164"/>
      <c r="X131" s="164"/>
      <c r="Y131" s="164"/>
      <c r="Z131" s="164"/>
      <c r="AA131" s="164"/>
      <c r="AB131" s="164"/>
      <c r="AC131" s="164"/>
      <c r="AE131" s="164"/>
      <c r="AF131" s="164"/>
      <c r="AG131" s="164"/>
      <c r="AH131" s="164"/>
      <c r="AI131" s="164"/>
      <c r="AJ131" s="164"/>
      <c r="AK131" s="164"/>
      <c r="AL131" s="164"/>
      <c r="AM131" s="164"/>
      <c r="AN131" s="164"/>
      <c r="AO131" s="164"/>
      <c r="AP131" s="164"/>
      <c r="AQ131" s="164"/>
      <c r="AR131" s="164"/>
      <c r="AS131" s="164"/>
      <c r="AT131" s="164"/>
      <c r="AU131" s="164"/>
      <c r="AV131" s="164"/>
      <c r="AW131" s="164"/>
      <c r="AX131" s="164"/>
    </row>
    <row r="132" spans="21:50" x14ac:dyDescent="0.25">
      <c r="U132" s="164"/>
      <c r="V132" s="164"/>
      <c r="W132" s="164"/>
      <c r="X132" s="164"/>
      <c r="Y132" s="164"/>
      <c r="Z132" s="164"/>
      <c r="AA132" s="164"/>
      <c r="AB132" s="164"/>
      <c r="AC132" s="164"/>
      <c r="AE132" s="164"/>
      <c r="AF132" s="164"/>
      <c r="AG132" s="164"/>
      <c r="AH132" s="164"/>
      <c r="AI132" s="164"/>
      <c r="AJ132" s="164"/>
      <c r="AK132" s="164"/>
      <c r="AL132" s="164"/>
      <c r="AM132" s="164"/>
      <c r="AN132" s="164"/>
      <c r="AO132" s="164"/>
      <c r="AP132" s="164"/>
      <c r="AQ132" s="164"/>
      <c r="AR132" s="164"/>
      <c r="AS132" s="164"/>
      <c r="AT132" s="164"/>
      <c r="AU132" s="164"/>
      <c r="AV132" s="164"/>
      <c r="AW132" s="164"/>
      <c r="AX132" s="164"/>
    </row>
    <row r="133" spans="21:50" x14ac:dyDescent="0.25">
      <c r="U133" s="164"/>
      <c r="V133" s="164"/>
      <c r="W133" s="164"/>
      <c r="X133" s="164"/>
      <c r="Y133" s="164"/>
      <c r="Z133" s="164"/>
      <c r="AA133" s="164"/>
      <c r="AB133" s="164"/>
      <c r="AC133" s="164"/>
      <c r="AE133" s="164"/>
      <c r="AF133" s="164"/>
      <c r="AG133" s="164"/>
      <c r="AH133" s="164"/>
      <c r="AI133" s="164"/>
      <c r="AJ133" s="164"/>
      <c r="AK133" s="164"/>
      <c r="AL133" s="164"/>
      <c r="AM133" s="164"/>
      <c r="AN133" s="164"/>
      <c r="AO133" s="164"/>
      <c r="AP133" s="164"/>
      <c r="AQ133" s="164"/>
      <c r="AR133" s="164"/>
      <c r="AS133" s="164"/>
      <c r="AT133" s="164"/>
      <c r="AU133" s="164"/>
      <c r="AV133" s="164"/>
      <c r="AW133" s="164"/>
      <c r="AX133" s="164"/>
    </row>
    <row r="134" spans="21:50" x14ac:dyDescent="0.25">
      <c r="U134" s="164"/>
      <c r="V134" s="164"/>
      <c r="W134" s="164"/>
      <c r="X134" s="164"/>
      <c r="Y134" s="164"/>
      <c r="Z134" s="164"/>
      <c r="AA134" s="164"/>
      <c r="AB134" s="164"/>
      <c r="AC134" s="164"/>
      <c r="AE134" s="164"/>
      <c r="AF134" s="164"/>
      <c r="AG134" s="164"/>
      <c r="AH134" s="164"/>
      <c r="AI134" s="164"/>
      <c r="AJ134" s="164"/>
      <c r="AK134" s="164"/>
      <c r="AL134" s="164"/>
      <c r="AM134" s="164"/>
      <c r="AN134" s="164"/>
      <c r="AO134" s="164"/>
      <c r="AP134" s="164"/>
      <c r="AQ134" s="164"/>
      <c r="AR134" s="164"/>
      <c r="AS134" s="164"/>
      <c r="AT134" s="164"/>
      <c r="AU134" s="164"/>
      <c r="AV134" s="164"/>
      <c r="AW134" s="164"/>
      <c r="AX134" s="164"/>
    </row>
    <row r="135" spans="21:50" x14ac:dyDescent="0.25">
      <c r="U135" s="164"/>
      <c r="V135" s="164"/>
      <c r="W135" s="164"/>
      <c r="X135" s="164"/>
      <c r="Y135" s="164"/>
      <c r="Z135" s="164"/>
      <c r="AA135" s="164"/>
      <c r="AB135" s="164"/>
      <c r="AC135" s="164"/>
      <c r="AE135" s="164"/>
      <c r="AF135" s="164"/>
      <c r="AG135" s="164"/>
      <c r="AH135" s="164"/>
      <c r="AI135" s="164"/>
      <c r="AJ135" s="164"/>
      <c r="AK135" s="164"/>
      <c r="AL135" s="164"/>
      <c r="AM135" s="164"/>
      <c r="AN135" s="164"/>
      <c r="AO135" s="164"/>
      <c r="AP135" s="164"/>
      <c r="AQ135" s="164"/>
      <c r="AR135" s="164"/>
      <c r="AS135" s="164"/>
      <c r="AT135" s="164"/>
      <c r="AU135" s="164"/>
      <c r="AV135" s="164"/>
      <c r="AW135" s="164"/>
      <c r="AX135" s="164"/>
    </row>
    <row r="136" spans="21:50" x14ac:dyDescent="0.25">
      <c r="U136" s="164"/>
      <c r="V136" s="164"/>
      <c r="W136" s="164"/>
      <c r="X136" s="164"/>
      <c r="Y136" s="164"/>
      <c r="Z136" s="164"/>
      <c r="AA136" s="164"/>
      <c r="AB136" s="164"/>
      <c r="AC136" s="164"/>
      <c r="AE136" s="164"/>
      <c r="AF136" s="164"/>
      <c r="AG136" s="164"/>
      <c r="AH136" s="164"/>
      <c r="AI136" s="164"/>
      <c r="AJ136" s="164"/>
      <c r="AK136" s="164"/>
      <c r="AL136" s="164"/>
      <c r="AM136" s="164"/>
      <c r="AN136" s="164"/>
      <c r="AO136" s="164"/>
      <c r="AP136" s="164"/>
      <c r="AQ136" s="164"/>
      <c r="AR136" s="164"/>
      <c r="AS136" s="164"/>
      <c r="AT136" s="164"/>
      <c r="AU136" s="164"/>
      <c r="AV136" s="164"/>
      <c r="AW136" s="164"/>
      <c r="AX136" s="164"/>
    </row>
    <row r="137" spans="21:50" x14ac:dyDescent="0.25">
      <c r="U137" s="164"/>
      <c r="V137" s="164"/>
      <c r="W137" s="164"/>
      <c r="X137" s="164"/>
      <c r="Y137" s="164"/>
      <c r="Z137" s="164"/>
      <c r="AA137" s="164"/>
      <c r="AB137" s="164"/>
      <c r="AC137" s="164"/>
      <c r="AE137" s="164"/>
      <c r="AF137" s="164"/>
      <c r="AG137" s="164"/>
      <c r="AH137" s="164"/>
      <c r="AI137" s="164"/>
      <c r="AJ137" s="164"/>
      <c r="AK137" s="164"/>
      <c r="AL137" s="164"/>
      <c r="AM137" s="164"/>
      <c r="AN137" s="164"/>
      <c r="AO137" s="164"/>
      <c r="AP137" s="164"/>
      <c r="AQ137" s="164"/>
      <c r="AR137" s="164"/>
      <c r="AS137" s="164"/>
      <c r="AT137" s="164"/>
      <c r="AU137" s="164"/>
      <c r="AV137" s="164"/>
      <c r="AW137" s="164"/>
      <c r="AX137" s="164"/>
    </row>
    <row r="138" spans="21:50" x14ac:dyDescent="0.25">
      <c r="U138" s="164"/>
      <c r="V138" s="164"/>
      <c r="W138" s="164"/>
      <c r="X138" s="164"/>
      <c r="Y138" s="164"/>
      <c r="Z138" s="164"/>
      <c r="AA138" s="164"/>
      <c r="AB138" s="164"/>
      <c r="AC138" s="164"/>
      <c r="AE138" s="164"/>
      <c r="AF138" s="164"/>
      <c r="AG138" s="164"/>
      <c r="AH138" s="164"/>
      <c r="AI138" s="164"/>
      <c r="AJ138" s="164"/>
      <c r="AK138" s="164"/>
      <c r="AL138" s="164"/>
      <c r="AM138" s="164"/>
      <c r="AN138" s="164"/>
      <c r="AO138" s="164"/>
      <c r="AP138" s="164"/>
      <c r="AQ138" s="164"/>
      <c r="AR138" s="164"/>
      <c r="AS138" s="164"/>
      <c r="AT138" s="164"/>
      <c r="AU138" s="164"/>
      <c r="AV138" s="164"/>
      <c r="AW138" s="164"/>
      <c r="AX138" s="164"/>
    </row>
    <row r="139" spans="21:50" x14ac:dyDescent="0.25">
      <c r="U139" s="164"/>
      <c r="V139" s="164"/>
      <c r="W139" s="164"/>
      <c r="X139" s="164"/>
      <c r="Y139" s="164"/>
      <c r="Z139" s="164"/>
      <c r="AA139" s="164"/>
      <c r="AB139" s="164"/>
      <c r="AC139" s="164"/>
      <c r="AE139" s="164"/>
      <c r="AF139" s="164"/>
      <c r="AG139" s="164"/>
      <c r="AH139" s="164"/>
      <c r="AI139" s="164"/>
      <c r="AJ139" s="164"/>
      <c r="AK139" s="164"/>
      <c r="AL139" s="164"/>
      <c r="AM139" s="164"/>
      <c r="AN139" s="164"/>
      <c r="AO139" s="164"/>
      <c r="AP139" s="164"/>
      <c r="AQ139" s="164"/>
      <c r="AR139" s="164"/>
      <c r="AS139" s="164"/>
      <c r="AT139" s="164"/>
      <c r="AU139" s="164"/>
      <c r="AV139" s="164"/>
      <c r="AW139" s="164"/>
      <c r="AX139" s="164"/>
    </row>
    <row r="140" spans="21:50" x14ac:dyDescent="0.25">
      <c r="U140" s="164"/>
      <c r="V140" s="164"/>
      <c r="W140" s="164"/>
      <c r="X140" s="164"/>
      <c r="Y140" s="164"/>
      <c r="Z140" s="164"/>
      <c r="AA140" s="164"/>
      <c r="AB140" s="164"/>
      <c r="AC140" s="164"/>
      <c r="AE140" s="164"/>
      <c r="AF140" s="164"/>
      <c r="AG140" s="164"/>
      <c r="AH140" s="164"/>
      <c r="AI140" s="164"/>
      <c r="AJ140" s="164"/>
      <c r="AK140" s="164"/>
      <c r="AL140" s="164"/>
      <c r="AM140" s="164"/>
      <c r="AN140" s="164"/>
      <c r="AO140" s="164"/>
      <c r="AP140" s="164"/>
      <c r="AQ140" s="164"/>
      <c r="AR140" s="164"/>
      <c r="AS140" s="164"/>
      <c r="AT140" s="164"/>
      <c r="AU140" s="164"/>
      <c r="AV140" s="164"/>
      <c r="AW140" s="164"/>
      <c r="AX140" s="164"/>
    </row>
    <row r="141" spans="21:50" x14ac:dyDescent="0.25">
      <c r="U141" s="164"/>
      <c r="V141" s="164"/>
      <c r="W141" s="164"/>
      <c r="X141" s="164"/>
      <c r="Y141" s="164"/>
      <c r="Z141" s="164"/>
      <c r="AA141" s="164"/>
      <c r="AB141" s="164"/>
      <c r="AC141" s="164"/>
      <c r="AE141" s="164"/>
      <c r="AF141" s="164"/>
      <c r="AG141" s="164"/>
      <c r="AH141" s="164"/>
      <c r="AI141" s="164"/>
      <c r="AJ141" s="164"/>
      <c r="AK141" s="164"/>
      <c r="AL141" s="164"/>
      <c r="AM141" s="164"/>
      <c r="AN141" s="164"/>
      <c r="AO141" s="164"/>
      <c r="AP141" s="164"/>
      <c r="AQ141" s="164"/>
      <c r="AR141" s="164"/>
      <c r="AS141" s="164"/>
      <c r="AT141" s="164"/>
      <c r="AU141" s="164"/>
      <c r="AV141" s="164"/>
      <c r="AW141" s="164"/>
      <c r="AX141" s="164"/>
    </row>
    <row r="142" spans="21:50" x14ac:dyDescent="0.25">
      <c r="U142" s="164"/>
      <c r="V142" s="164"/>
      <c r="W142" s="164"/>
      <c r="X142" s="164"/>
      <c r="Y142" s="164"/>
      <c r="Z142" s="164"/>
      <c r="AA142" s="164"/>
      <c r="AB142" s="164"/>
      <c r="AC142" s="164"/>
      <c r="AE142" s="164"/>
      <c r="AF142" s="164"/>
      <c r="AG142" s="164"/>
      <c r="AH142" s="164"/>
      <c r="AI142" s="164"/>
      <c r="AJ142" s="164"/>
      <c r="AK142" s="164"/>
      <c r="AL142" s="164"/>
      <c r="AM142" s="164"/>
      <c r="AN142" s="164"/>
      <c r="AO142" s="164"/>
      <c r="AP142" s="164"/>
      <c r="AQ142" s="164"/>
      <c r="AR142" s="164"/>
      <c r="AS142" s="164"/>
      <c r="AT142" s="164"/>
      <c r="AU142" s="164"/>
      <c r="AV142" s="164"/>
      <c r="AW142" s="164"/>
      <c r="AX142" s="164"/>
    </row>
    <row r="143" spans="21:50" x14ac:dyDescent="0.25">
      <c r="U143" s="164"/>
      <c r="V143" s="164"/>
      <c r="W143" s="164"/>
      <c r="X143" s="164"/>
      <c r="Y143" s="164"/>
      <c r="Z143" s="164"/>
      <c r="AA143" s="164"/>
      <c r="AB143" s="164"/>
      <c r="AC143" s="164"/>
      <c r="AE143" s="164"/>
      <c r="AF143" s="164"/>
      <c r="AG143" s="164"/>
      <c r="AH143" s="164"/>
      <c r="AI143" s="164"/>
      <c r="AJ143" s="164"/>
      <c r="AK143" s="164"/>
      <c r="AL143" s="164"/>
      <c r="AM143" s="164"/>
      <c r="AN143" s="164"/>
      <c r="AO143" s="164"/>
      <c r="AP143" s="164"/>
      <c r="AQ143" s="164"/>
      <c r="AR143" s="164"/>
      <c r="AS143" s="164"/>
      <c r="AT143" s="164"/>
      <c r="AU143" s="164"/>
      <c r="AV143" s="164"/>
      <c r="AW143" s="164"/>
      <c r="AX143" s="164"/>
    </row>
    <row r="144" spans="21:50" x14ac:dyDescent="0.25">
      <c r="U144" s="164"/>
      <c r="V144" s="164"/>
      <c r="W144" s="164"/>
      <c r="X144" s="164"/>
      <c r="Y144" s="164"/>
      <c r="Z144" s="164"/>
      <c r="AA144" s="164"/>
      <c r="AB144" s="164"/>
      <c r="AC144" s="164"/>
      <c r="AE144" s="164"/>
      <c r="AF144" s="164"/>
      <c r="AG144" s="164"/>
      <c r="AH144" s="164"/>
      <c r="AI144" s="164"/>
      <c r="AJ144" s="164"/>
      <c r="AK144" s="164"/>
      <c r="AL144" s="164"/>
      <c r="AM144" s="164"/>
      <c r="AN144" s="164"/>
      <c r="AO144" s="164"/>
      <c r="AP144" s="164"/>
      <c r="AQ144" s="164"/>
      <c r="AR144" s="164"/>
      <c r="AS144" s="164"/>
      <c r="AT144" s="164"/>
      <c r="AU144" s="164"/>
      <c r="AV144" s="164"/>
      <c r="AW144" s="164"/>
      <c r="AX144" s="164"/>
    </row>
    <row r="145" spans="21:50" x14ac:dyDescent="0.25">
      <c r="U145" s="164"/>
      <c r="V145" s="164"/>
      <c r="W145" s="164"/>
      <c r="X145" s="164"/>
      <c r="Y145" s="164"/>
      <c r="Z145" s="164"/>
      <c r="AA145" s="164"/>
      <c r="AB145" s="164"/>
      <c r="AC145" s="164"/>
      <c r="AE145" s="164"/>
      <c r="AF145" s="164"/>
      <c r="AG145" s="164"/>
      <c r="AH145" s="164"/>
      <c r="AI145" s="164"/>
      <c r="AJ145" s="164"/>
      <c r="AK145" s="164"/>
      <c r="AL145" s="164"/>
      <c r="AM145" s="164"/>
      <c r="AN145" s="164"/>
      <c r="AO145" s="164"/>
      <c r="AP145" s="164"/>
      <c r="AQ145" s="164"/>
      <c r="AR145" s="164"/>
      <c r="AS145" s="164"/>
      <c r="AT145" s="164"/>
      <c r="AU145" s="164"/>
      <c r="AV145" s="164"/>
      <c r="AW145" s="164"/>
      <c r="AX145" s="164"/>
    </row>
    <row r="146" spans="21:50" x14ac:dyDescent="0.25">
      <c r="U146" s="164"/>
      <c r="V146" s="164"/>
      <c r="W146" s="164"/>
      <c r="X146" s="164"/>
      <c r="Y146" s="164"/>
      <c r="Z146" s="164"/>
      <c r="AA146" s="164"/>
      <c r="AB146" s="164"/>
      <c r="AC146" s="164"/>
      <c r="AE146" s="164"/>
      <c r="AF146" s="164"/>
      <c r="AG146" s="164"/>
      <c r="AH146" s="164"/>
      <c r="AI146" s="164"/>
      <c r="AJ146" s="164"/>
      <c r="AK146" s="164"/>
      <c r="AL146" s="164"/>
      <c r="AM146" s="164"/>
      <c r="AN146" s="164"/>
      <c r="AO146" s="164"/>
      <c r="AP146" s="164"/>
      <c r="AQ146" s="164"/>
      <c r="AR146" s="164"/>
      <c r="AS146" s="164"/>
      <c r="AT146" s="164"/>
      <c r="AU146" s="164"/>
      <c r="AV146" s="164"/>
      <c r="AW146" s="164"/>
      <c r="AX146" s="164"/>
    </row>
    <row r="147" spans="21:50" x14ac:dyDescent="0.25">
      <c r="U147" s="164"/>
      <c r="V147" s="164"/>
      <c r="W147" s="164"/>
      <c r="X147" s="164"/>
      <c r="Y147" s="164"/>
      <c r="Z147" s="164"/>
      <c r="AA147" s="164"/>
      <c r="AB147" s="164"/>
      <c r="AC147" s="164"/>
      <c r="AE147" s="164"/>
      <c r="AF147" s="164"/>
      <c r="AG147" s="164"/>
      <c r="AH147" s="164"/>
      <c r="AI147" s="164"/>
      <c r="AJ147" s="164"/>
      <c r="AK147" s="164"/>
      <c r="AL147" s="164"/>
      <c r="AM147" s="164"/>
      <c r="AN147" s="164"/>
      <c r="AO147" s="164"/>
      <c r="AP147" s="164"/>
      <c r="AQ147" s="164"/>
      <c r="AR147" s="164"/>
      <c r="AS147" s="164"/>
      <c r="AT147" s="164"/>
      <c r="AU147" s="164"/>
      <c r="AV147" s="164"/>
      <c r="AW147" s="164"/>
      <c r="AX147" s="164"/>
    </row>
    <row r="148" spans="21:50" x14ac:dyDescent="0.25">
      <c r="U148" s="164"/>
      <c r="V148" s="164"/>
      <c r="W148" s="164"/>
      <c r="X148" s="164"/>
      <c r="Y148" s="164"/>
      <c r="Z148" s="164"/>
      <c r="AA148" s="164"/>
      <c r="AB148" s="164"/>
      <c r="AC148" s="164"/>
      <c r="AE148" s="164"/>
      <c r="AF148" s="164"/>
      <c r="AG148" s="164"/>
      <c r="AH148" s="164"/>
      <c r="AI148" s="164"/>
      <c r="AJ148" s="164"/>
      <c r="AK148" s="164"/>
      <c r="AL148" s="164"/>
      <c r="AM148" s="164"/>
      <c r="AN148" s="164"/>
      <c r="AO148" s="164"/>
      <c r="AP148" s="164"/>
      <c r="AQ148" s="164"/>
      <c r="AR148" s="164"/>
      <c r="AS148" s="164"/>
      <c r="AT148" s="164"/>
      <c r="AU148" s="164"/>
      <c r="AV148" s="164"/>
      <c r="AW148" s="164"/>
      <c r="AX148" s="164"/>
    </row>
    <row r="149" spans="21:50" x14ac:dyDescent="0.25">
      <c r="U149" s="164"/>
      <c r="V149" s="164"/>
      <c r="W149" s="164"/>
      <c r="X149" s="164"/>
      <c r="Y149" s="164"/>
      <c r="Z149" s="164"/>
      <c r="AA149" s="164"/>
      <c r="AB149" s="164"/>
      <c r="AC149" s="164"/>
      <c r="AE149" s="164"/>
      <c r="AF149" s="164"/>
      <c r="AG149" s="164"/>
      <c r="AH149" s="164"/>
      <c r="AI149" s="164"/>
      <c r="AJ149" s="164"/>
      <c r="AK149" s="164"/>
      <c r="AL149" s="164"/>
      <c r="AM149" s="164"/>
      <c r="AN149" s="164"/>
      <c r="AO149" s="164"/>
      <c r="AP149" s="164"/>
      <c r="AQ149" s="164"/>
      <c r="AR149" s="164"/>
      <c r="AS149" s="164"/>
      <c r="AT149" s="164"/>
      <c r="AU149" s="164"/>
      <c r="AV149" s="164"/>
      <c r="AW149" s="164"/>
      <c r="AX149" s="164"/>
    </row>
    <row r="150" spans="21:50" x14ac:dyDescent="0.25">
      <c r="U150" s="164"/>
      <c r="V150" s="164"/>
      <c r="W150" s="164"/>
      <c r="X150" s="164"/>
      <c r="Y150" s="164"/>
      <c r="Z150" s="164"/>
      <c r="AA150" s="164"/>
      <c r="AB150" s="164"/>
      <c r="AC150" s="164"/>
      <c r="AE150" s="164"/>
      <c r="AF150" s="164"/>
      <c r="AG150" s="164"/>
      <c r="AH150" s="164"/>
      <c r="AI150" s="164"/>
      <c r="AJ150" s="164"/>
      <c r="AK150" s="164"/>
      <c r="AL150" s="164"/>
      <c r="AM150" s="164"/>
      <c r="AN150" s="164"/>
      <c r="AO150" s="164"/>
      <c r="AP150" s="164"/>
      <c r="AQ150" s="164"/>
      <c r="AR150" s="164"/>
      <c r="AS150" s="164"/>
      <c r="AT150" s="164"/>
      <c r="AU150" s="164"/>
      <c r="AV150" s="164"/>
      <c r="AW150" s="164"/>
      <c r="AX150" s="164"/>
    </row>
    <row r="151" spans="21:50" x14ac:dyDescent="0.25">
      <c r="U151" s="164"/>
      <c r="V151" s="164"/>
      <c r="W151" s="164"/>
      <c r="X151" s="164"/>
      <c r="Y151" s="164"/>
      <c r="Z151" s="164"/>
      <c r="AA151" s="164"/>
      <c r="AB151" s="164"/>
      <c r="AC151" s="164"/>
      <c r="AE151" s="164"/>
      <c r="AF151" s="164"/>
      <c r="AG151" s="164"/>
      <c r="AH151" s="164"/>
      <c r="AI151" s="164"/>
      <c r="AJ151" s="164"/>
      <c r="AK151" s="164"/>
      <c r="AL151" s="164"/>
      <c r="AM151" s="164"/>
      <c r="AN151" s="164"/>
      <c r="AO151" s="164"/>
      <c r="AP151" s="164"/>
      <c r="AQ151" s="164"/>
      <c r="AR151" s="164"/>
      <c r="AS151" s="164"/>
      <c r="AT151" s="164"/>
      <c r="AU151" s="164"/>
      <c r="AV151" s="164"/>
      <c r="AW151" s="164"/>
      <c r="AX151" s="164"/>
    </row>
    <row r="152" spans="21:50" x14ac:dyDescent="0.25">
      <c r="U152" s="164"/>
      <c r="V152" s="164"/>
      <c r="W152" s="164"/>
      <c r="X152" s="164"/>
      <c r="Y152" s="164"/>
      <c r="Z152" s="164"/>
      <c r="AA152" s="164"/>
      <c r="AB152" s="164"/>
      <c r="AC152" s="164"/>
      <c r="AE152" s="164"/>
      <c r="AF152" s="164"/>
      <c r="AG152" s="164"/>
      <c r="AH152" s="164"/>
      <c r="AI152" s="164"/>
      <c r="AJ152" s="164"/>
      <c r="AK152" s="164"/>
      <c r="AL152" s="164"/>
      <c r="AM152" s="164"/>
      <c r="AN152" s="164"/>
      <c r="AO152" s="164"/>
      <c r="AP152" s="164"/>
      <c r="AQ152" s="164"/>
      <c r="AR152" s="164"/>
      <c r="AS152" s="164"/>
      <c r="AT152" s="164"/>
      <c r="AU152" s="164"/>
      <c r="AV152" s="164"/>
      <c r="AW152" s="164"/>
      <c r="AX152" s="164"/>
    </row>
    <row r="153" spans="21:50" x14ac:dyDescent="0.25">
      <c r="U153" s="164"/>
      <c r="V153" s="164"/>
      <c r="W153" s="164"/>
      <c r="X153" s="164"/>
      <c r="Y153" s="164"/>
      <c r="Z153" s="164"/>
      <c r="AA153" s="164"/>
      <c r="AB153" s="164"/>
      <c r="AC153" s="164"/>
      <c r="AE153" s="164"/>
      <c r="AF153" s="164"/>
      <c r="AG153" s="164"/>
      <c r="AH153" s="164"/>
      <c r="AI153" s="164"/>
      <c r="AJ153" s="164"/>
      <c r="AK153" s="164"/>
      <c r="AL153" s="164"/>
      <c r="AM153" s="164"/>
      <c r="AN153" s="164"/>
      <c r="AO153" s="164"/>
      <c r="AP153" s="164"/>
      <c r="AQ153" s="164"/>
      <c r="AR153" s="164"/>
      <c r="AS153" s="164"/>
      <c r="AT153" s="164"/>
      <c r="AU153" s="164"/>
      <c r="AV153" s="164"/>
      <c r="AW153" s="164"/>
      <c r="AX153" s="164"/>
    </row>
    <row r="154" spans="21:50" x14ac:dyDescent="0.25">
      <c r="U154" s="164"/>
      <c r="V154" s="164"/>
      <c r="W154" s="164"/>
      <c r="X154" s="164"/>
      <c r="Y154" s="164"/>
      <c r="Z154" s="164"/>
      <c r="AA154" s="164"/>
      <c r="AB154" s="164"/>
      <c r="AC154" s="164"/>
      <c r="AE154" s="164"/>
      <c r="AF154" s="164"/>
      <c r="AG154" s="164"/>
      <c r="AH154" s="164"/>
      <c r="AI154" s="164"/>
      <c r="AJ154" s="164"/>
      <c r="AK154" s="164"/>
      <c r="AL154" s="164"/>
      <c r="AM154" s="164"/>
      <c r="AN154" s="164"/>
      <c r="AO154" s="164"/>
      <c r="AP154" s="164"/>
      <c r="AQ154" s="164"/>
      <c r="AR154" s="164"/>
      <c r="AS154" s="164"/>
      <c r="AT154" s="164"/>
      <c r="AU154" s="164"/>
      <c r="AV154" s="164"/>
      <c r="AW154" s="164"/>
      <c r="AX154" s="164"/>
    </row>
    <row r="155" spans="21:50" x14ac:dyDescent="0.25">
      <c r="U155" s="164"/>
      <c r="V155" s="164"/>
      <c r="W155" s="164"/>
      <c r="X155" s="164"/>
      <c r="Y155" s="164"/>
      <c r="Z155" s="164"/>
      <c r="AA155" s="164"/>
      <c r="AB155" s="164"/>
      <c r="AC155" s="164"/>
      <c r="AE155" s="164"/>
      <c r="AF155" s="164"/>
      <c r="AG155" s="164"/>
      <c r="AH155" s="164"/>
      <c r="AI155" s="164"/>
      <c r="AJ155" s="164"/>
      <c r="AK155" s="164"/>
      <c r="AL155" s="164"/>
      <c r="AM155" s="164"/>
      <c r="AN155" s="164"/>
      <c r="AO155" s="164"/>
      <c r="AP155" s="164"/>
      <c r="AQ155" s="164"/>
      <c r="AR155" s="164"/>
      <c r="AS155" s="164"/>
      <c r="AT155" s="164"/>
      <c r="AU155" s="164"/>
      <c r="AV155" s="164"/>
      <c r="AW155" s="164"/>
      <c r="AX155" s="164"/>
    </row>
    <row r="156" spans="21:50" x14ac:dyDescent="0.25">
      <c r="U156" s="164"/>
      <c r="V156" s="164"/>
      <c r="W156" s="164"/>
      <c r="X156" s="164"/>
      <c r="Y156" s="164"/>
      <c r="Z156" s="164"/>
      <c r="AA156" s="164"/>
      <c r="AB156" s="164"/>
      <c r="AC156" s="164"/>
      <c r="AE156" s="164"/>
      <c r="AF156" s="164"/>
      <c r="AG156" s="164"/>
      <c r="AH156" s="164"/>
      <c r="AI156" s="164"/>
      <c r="AJ156" s="164"/>
      <c r="AK156" s="164"/>
      <c r="AL156" s="164"/>
      <c r="AM156" s="164"/>
      <c r="AN156" s="164"/>
      <c r="AO156" s="164"/>
      <c r="AP156" s="164"/>
      <c r="AQ156" s="164"/>
      <c r="AR156" s="164"/>
      <c r="AS156" s="164"/>
      <c r="AT156" s="164"/>
      <c r="AU156" s="164"/>
      <c r="AV156" s="164"/>
      <c r="AW156" s="164"/>
      <c r="AX156" s="164"/>
    </row>
    <row r="157" spans="21:50" x14ac:dyDescent="0.25">
      <c r="U157" s="164"/>
      <c r="V157" s="164"/>
      <c r="W157" s="164"/>
      <c r="X157" s="164"/>
      <c r="Y157" s="164"/>
      <c r="Z157" s="164"/>
      <c r="AA157" s="164"/>
      <c r="AB157" s="164"/>
      <c r="AC157" s="164"/>
      <c r="AE157" s="164"/>
      <c r="AF157" s="164"/>
      <c r="AG157" s="164"/>
      <c r="AH157" s="164"/>
      <c r="AI157" s="164"/>
      <c r="AJ157" s="164"/>
      <c r="AK157" s="164"/>
      <c r="AL157" s="164"/>
      <c r="AM157" s="164"/>
      <c r="AN157" s="164"/>
      <c r="AO157" s="164"/>
      <c r="AP157" s="164"/>
      <c r="AQ157" s="164"/>
      <c r="AR157" s="164"/>
      <c r="AS157" s="164"/>
      <c r="AT157" s="164"/>
      <c r="AU157" s="164"/>
      <c r="AV157" s="164"/>
      <c r="AW157" s="164"/>
      <c r="AX157" s="164"/>
    </row>
    <row r="158" spans="21:50" x14ac:dyDescent="0.25">
      <c r="U158" s="164"/>
      <c r="V158" s="164"/>
      <c r="W158" s="164"/>
      <c r="X158" s="164"/>
      <c r="Y158" s="164"/>
      <c r="Z158" s="164"/>
      <c r="AA158" s="164"/>
      <c r="AB158" s="164"/>
      <c r="AC158" s="164"/>
      <c r="AE158" s="164"/>
      <c r="AF158" s="164"/>
      <c r="AG158" s="164"/>
      <c r="AH158" s="164"/>
      <c r="AI158" s="164"/>
      <c r="AJ158" s="164"/>
      <c r="AK158" s="164"/>
      <c r="AL158" s="164"/>
      <c r="AM158" s="164"/>
      <c r="AN158" s="164"/>
      <c r="AO158" s="164"/>
      <c r="AP158" s="164"/>
      <c r="AQ158" s="164"/>
      <c r="AR158" s="164"/>
      <c r="AS158" s="164"/>
      <c r="AT158" s="164"/>
      <c r="AU158" s="164"/>
      <c r="AV158" s="164"/>
      <c r="AW158" s="164"/>
      <c r="AX158" s="164"/>
    </row>
    <row r="159" spans="21:50" x14ac:dyDescent="0.25">
      <c r="U159" s="164"/>
      <c r="V159" s="164"/>
      <c r="W159" s="164"/>
      <c r="X159" s="164"/>
      <c r="Y159" s="164"/>
      <c r="Z159" s="164"/>
      <c r="AA159" s="164"/>
      <c r="AB159" s="164"/>
      <c r="AC159" s="164"/>
      <c r="AE159" s="164"/>
      <c r="AF159" s="164"/>
      <c r="AG159" s="164"/>
      <c r="AH159" s="164"/>
      <c r="AI159" s="164"/>
      <c r="AJ159" s="164"/>
      <c r="AK159" s="164"/>
      <c r="AL159" s="164"/>
      <c r="AM159" s="164"/>
      <c r="AN159" s="164"/>
      <c r="AO159" s="164"/>
      <c r="AP159" s="164"/>
      <c r="AQ159" s="164"/>
      <c r="AR159" s="164"/>
      <c r="AS159" s="164"/>
      <c r="AT159" s="164"/>
      <c r="AU159" s="164"/>
      <c r="AV159" s="164"/>
      <c r="AW159" s="164"/>
      <c r="AX159" s="164"/>
    </row>
    <row r="160" spans="21:50" x14ac:dyDescent="0.25">
      <c r="U160" s="164"/>
      <c r="V160" s="164"/>
      <c r="W160" s="164"/>
      <c r="X160" s="164"/>
      <c r="Y160" s="164"/>
      <c r="Z160" s="164"/>
      <c r="AA160" s="164"/>
      <c r="AB160" s="164"/>
      <c r="AC160" s="164"/>
      <c r="AE160" s="164"/>
      <c r="AF160" s="164"/>
      <c r="AG160" s="164"/>
      <c r="AH160" s="164"/>
      <c r="AI160" s="164"/>
      <c r="AJ160" s="164"/>
      <c r="AK160" s="164"/>
      <c r="AL160" s="164"/>
      <c r="AM160" s="164"/>
      <c r="AN160" s="164"/>
      <c r="AO160" s="164"/>
      <c r="AP160" s="164"/>
      <c r="AQ160" s="164"/>
      <c r="AR160" s="164"/>
      <c r="AS160" s="164"/>
      <c r="AT160" s="164"/>
      <c r="AU160" s="164"/>
      <c r="AV160" s="164"/>
      <c r="AW160" s="164"/>
      <c r="AX160" s="164"/>
    </row>
    <row r="161" spans="21:50" x14ac:dyDescent="0.25">
      <c r="U161" s="164"/>
      <c r="V161" s="164"/>
      <c r="W161" s="164"/>
      <c r="X161" s="164"/>
      <c r="Y161" s="164"/>
      <c r="Z161" s="164"/>
      <c r="AA161" s="164"/>
      <c r="AB161" s="164"/>
      <c r="AC161" s="164"/>
      <c r="AE161" s="164"/>
      <c r="AF161" s="164"/>
      <c r="AG161" s="164"/>
      <c r="AH161" s="164"/>
      <c r="AI161" s="164"/>
      <c r="AJ161" s="164"/>
      <c r="AK161" s="164"/>
      <c r="AL161" s="164"/>
      <c r="AM161" s="164"/>
      <c r="AN161" s="164"/>
      <c r="AO161" s="164"/>
      <c r="AP161" s="164"/>
      <c r="AQ161" s="164"/>
      <c r="AR161" s="164"/>
      <c r="AS161" s="164"/>
      <c r="AT161" s="164"/>
      <c r="AU161" s="164"/>
      <c r="AV161" s="164"/>
      <c r="AW161" s="164"/>
      <c r="AX161" s="164"/>
    </row>
    <row r="162" spans="21:50" x14ac:dyDescent="0.25">
      <c r="U162" s="164"/>
      <c r="V162" s="164"/>
      <c r="W162" s="164"/>
      <c r="X162" s="164"/>
      <c r="Y162" s="164"/>
      <c r="Z162" s="164"/>
      <c r="AA162" s="164"/>
      <c r="AB162" s="164"/>
      <c r="AC162" s="164"/>
      <c r="AE162" s="164"/>
      <c r="AF162" s="164"/>
      <c r="AG162" s="164"/>
      <c r="AH162" s="164"/>
      <c r="AI162" s="164"/>
      <c r="AJ162" s="164"/>
      <c r="AK162" s="164"/>
      <c r="AL162" s="164"/>
      <c r="AM162" s="164"/>
      <c r="AN162" s="164"/>
      <c r="AO162" s="164"/>
      <c r="AP162" s="164"/>
      <c r="AQ162" s="164"/>
      <c r="AR162" s="164"/>
      <c r="AS162" s="164"/>
      <c r="AT162" s="164"/>
      <c r="AU162" s="164"/>
      <c r="AV162" s="164"/>
      <c r="AW162" s="164"/>
      <c r="AX162" s="164"/>
    </row>
    <row r="163" spans="21:50" x14ac:dyDescent="0.25">
      <c r="U163" s="164"/>
      <c r="V163" s="164"/>
      <c r="W163" s="164"/>
      <c r="X163" s="164"/>
      <c r="Y163" s="164"/>
      <c r="Z163" s="164"/>
      <c r="AA163" s="164"/>
      <c r="AB163" s="164"/>
      <c r="AC163" s="164"/>
      <c r="AE163" s="164"/>
      <c r="AF163" s="164"/>
      <c r="AG163" s="164"/>
      <c r="AH163" s="164"/>
      <c r="AI163" s="164"/>
      <c r="AJ163" s="164"/>
      <c r="AK163" s="164"/>
      <c r="AL163" s="164"/>
      <c r="AM163" s="164"/>
      <c r="AN163" s="164"/>
      <c r="AO163" s="164"/>
      <c r="AP163" s="164"/>
      <c r="AQ163" s="164"/>
      <c r="AR163" s="164"/>
      <c r="AS163" s="164"/>
      <c r="AT163" s="164"/>
      <c r="AU163" s="164"/>
      <c r="AV163" s="164"/>
      <c r="AW163" s="164"/>
      <c r="AX163" s="164"/>
    </row>
    <row r="164" spans="21:50" x14ac:dyDescent="0.25">
      <c r="U164" s="164"/>
      <c r="V164" s="164"/>
      <c r="W164" s="164"/>
      <c r="X164" s="164"/>
      <c r="Y164" s="164"/>
      <c r="Z164" s="164"/>
      <c r="AA164" s="164"/>
      <c r="AB164" s="164"/>
      <c r="AC164" s="164"/>
      <c r="AE164" s="164"/>
      <c r="AF164" s="164"/>
      <c r="AG164" s="164"/>
      <c r="AH164" s="164"/>
      <c r="AI164" s="164"/>
      <c r="AJ164" s="164"/>
      <c r="AK164" s="164"/>
      <c r="AL164" s="164"/>
      <c r="AM164" s="164"/>
      <c r="AN164" s="164"/>
      <c r="AO164" s="164"/>
      <c r="AP164" s="164"/>
      <c r="AQ164" s="164"/>
      <c r="AR164" s="164"/>
      <c r="AS164" s="164"/>
      <c r="AT164" s="164"/>
      <c r="AU164" s="164"/>
      <c r="AV164" s="164"/>
      <c r="AW164" s="164"/>
      <c r="AX164" s="164"/>
    </row>
    <row r="165" spans="21:50" x14ac:dyDescent="0.25">
      <c r="U165" s="164"/>
      <c r="V165" s="164"/>
      <c r="W165" s="164"/>
      <c r="X165" s="164"/>
      <c r="Y165" s="164"/>
      <c r="Z165" s="164"/>
      <c r="AA165" s="164"/>
      <c r="AB165" s="164"/>
      <c r="AC165" s="164"/>
      <c r="AE165" s="164"/>
      <c r="AF165" s="164"/>
      <c r="AG165" s="164"/>
      <c r="AH165" s="164"/>
      <c r="AI165" s="164"/>
      <c r="AJ165" s="164"/>
      <c r="AK165" s="164"/>
      <c r="AL165" s="164"/>
      <c r="AM165" s="164"/>
      <c r="AN165" s="164"/>
      <c r="AO165" s="164"/>
      <c r="AP165" s="164"/>
      <c r="AQ165" s="164"/>
      <c r="AR165" s="164"/>
      <c r="AS165" s="164"/>
      <c r="AT165" s="164"/>
      <c r="AU165" s="164"/>
      <c r="AV165" s="164"/>
      <c r="AW165" s="164"/>
      <c r="AX165" s="164"/>
    </row>
    <row r="166" spans="21:50" x14ac:dyDescent="0.25">
      <c r="U166" s="164"/>
      <c r="V166" s="164"/>
      <c r="W166" s="164"/>
      <c r="X166" s="164"/>
      <c r="Y166" s="164"/>
      <c r="Z166" s="164"/>
      <c r="AA166" s="164"/>
      <c r="AB166" s="164"/>
      <c r="AC166" s="164"/>
      <c r="AE166" s="164"/>
      <c r="AF166" s="164"/>
      <c r="AG166" s="164"/>
      <c r="AH166" s="164"/>
      <c r="AI166" s="164"/>
      <c r="AJ166" s="164"/>
      <c r="AK166" s="164"/>
      <c r="AL166" s="164"/>
      <c r="AM166" s="164"/>
      <c r="AN166" s="164"/>
      <c r="AO166" s="164"/>
      <c r="AP166" s="164"/>
      <c r="AQ166" s="164"/>
      <c r="AR166" s="164"/>
      <c r="AS166" s="164"/>
      <c r="AT166" s="164"/>
      <c r="AU166" s="164"/>
      <c r="AV166" s="164"/>
      <c r="AW166" s="164"/>
      <c r="AX166" s="164"/>
    </row>
    <row r="167" spans="21:50" x14ac:dyDescent="0.25">
      <c r="U167" s="164"/>
      <c r="V167" s="164"/>
      <c r="W167" s="164"/>
      <c r="X167" s="164"/>
      <c r="Y167" s="164"/>
      <c r="Z167" s="164"/>
      <c r="AA167" s="164"/>
      <c r="AB167" s="164"/>
      <c r="AC167" s="164"/>
      <c r="AE167" s="164"/>
      <c r="AF167" s="164"/>
      <c r="AG167" s="164"/>
      <c r="AH167" s="164"/>
      <c r="AI167" s="164"/>
      <c r="AJ167" s="164"/>
      <c r="AK167" s="164"/>
      <c r="AL167" s="164"/>
      <c r="AM167" s="164"/>
      <c r="AN167" s="164"/>
      <c r="AO167" s="164"/>
      <c r="AP167" s="164"/>
      <c r="AQ167" s="164"/>
      <c r="AR167" s="164"/>
      <c r="AS167" s="164"/>
      <c r="AT167" s="164"/>
      <c r="AU167" s="164"/>
      <c r="AV167" s="164"/>
      <c r="AW167" s="164"/>
      <c r="AX167" s="164"/>
    </row>
    <row r="168" spans="21:50" x14ac:dyDescent="0.25">
      <c r="U168" s="164"/>
      <c r="V168" s="164"/>
      <c r="W168" s="164"/>
      <c r="X168" s="164"/>
      <c r="Y168" s="164"/>
      <c r="Z168" s="164"/>
      <c r="AA168" s="164"/>
      <c r="AB168" s="164"/>
      <c r="AC168" s="164"/>
      <c r="AE168" s="164"/>
      <c r="AF168" s="164"/>
      <c r="AG168" s="164"/>
      <c r="AH168" s="164"/>
      <c r="AI168" s="164"/>
      <c r="AJ168" s="164"/>
      <c r="AK168" s="164"/>
      <c r="AL168" s="164"/>
      <c r="AM168" s="164"/>
      <c r="AN168" s="164"/>
      <c r="AO168" s="164"/>
      <c r="AP168" s="164"/>
      <c r="AQ168" s="164"/>
      <c r="AR168" s="164"/>
      <c r="AS168" s="164"/>
      <c r="AT168" s="164"/>
      <c r="AU168" s="164"/>
      <c r="AV168" s="164"/>
      <c r="AW168" s="164"/>
      <c r="AX168" s="164"/>
    </row>
    <row r="169" spans="21:50" x14ac:dyDescent="0.25">
      <c r="U169" s="164"/>
      <c r="V169" s="164"/>
      <c r="W169" s="164"/>
      <c r="X169" s="164"/>
      <c r="Y169" s="164"/>
      <c r="Z169" s="164"/>
      <c r="AA169" s="164"/>
      <c r="AB169" s="164"/>
      <c r="AC169" s="164"/>
      <c r="AE169" s="164"/>
      <c r="AF169" s="164"/>
      <c r="AG169" s="164"/>
      <c r="AH169" s="164"/>
      <c r="AI169" s="164"/>
      <c r="AJ169" s="164"/>
      <c r="AK169" s="164"/>
      <c r="AL169" s="164"/>
      <c r="AM169" s="164"/>
      <c r="AN169" s="164"/>
      <c r="AO169" s="164"/>
      <c r="AP169" s="164"/>
      <c r="AQ169" s="164"/>
      <c r="AR169" s="164"/>
      <c r="AS169" s="164"/>
      <c r="AT169" s="164"/>
      <c r="AU169" s="164"/>
      <c r="AV169" s="164"/>
      <c r="AW169" s="164"/>
      <c r="AX169" s="164"/>
    </row>
    <row r="170" spans="21:50" x14ac:dyDescent="0.25">
      <c r="U170" s="164"/>
      <c r="V170" s="164"/>
      <c r="W170" s="164"/>
      <c r="X170" s="164"/>
      <c r="Y170" s="164"/>
      <c r="Z170" s="164"/>
      <c r="AA170" s="164"/>
      <c r="AB170" s="164"/>
      <c r="AC170" s="164"/>
      <c r="AE170" s="164"/>
      <c r="AF170" s="164"/>
      <c r="AG170" s="164"/>
      <c r="AH170" s="164"/>
      <c r="AI170" s="164"/>
      <c r="AJ170" s="164"/>
      <c r="AK170" s="164"/>
      <c r="AL170" s="164"/>
      <c r="AM170" s="164"/>
      <c r="AN170" s="164"/>
      <c r="AO170" s="164"/>
      <c r="AP170" s="164"/>
      <c r="AQ170" s="164"/>
      <c r="AR170" s="164"/>
      <c r="AS170" s="164"/>
      <c r="AT170" s="164"/>
      <c r="AU170" s="164"/>
      <c r="AV170" s="164"/>
      <c r="AW170" s="164"/>
      <c r="AX170" s="164"/>
    </row>
    <row r="171" spans="21:50" x14ac:dyDescent="0.25">
      <c r="U171" s="164"/>
      <c r="V171" s="164"/>
      <c r="W171" s="164"/>
      <c r="X171" s="164"/>
      <c r="Y171" s="164"/>
      <c r="Z171" s="164"/>
      <c r="AA171" s="164"/>
      <c r="AB171" s="164"/>
      <c r="AC171" s="164"/>
      <c r="AE171" s="164"/>
      <c r="AF171" s="164"/>
      <c r="AG171" s="164"/>
      <c r="AH171" s="164"/>
      <c r="AI171" s="164"/>
      <c r="AJ171" s="164"/>
      <c r="AK171" s="164"/>
      <c r="AL171" s="164"/>
      <c r="AM171" s="164"/>
      <c r="AN171" s="164"/>
      <c r="AO171" s="164"/>
      <c r="AP171" s="164"/>
      <c r="AQ171" s="164"/>
      <c r="AR171" s="164"/>
      <c r="AS171" s="164"/>
      <c r="AT171" s="164"/>
      <c r="AU171" s="164"/>
      <c r="AV171" s="164"/>
      <c r="AW171" s="164"/>
      <c r="AX171" s="164"/>
    </row>
    <row r="172" spans="21:50" x14ac:dyDescent="0.25">
      <c r="U172" s="164"/>
      <c r="V172" s="164"/>
      <c r="W172" s="164"/>
      <c r="X172" s="164"/>
      <c r="Y172" s="164"/>
      <c r="Z172" s="164"/>
      <c r="AA172" s="164"/>
      <c r="AB172" s="164"/>
      <c r="AC172" s="164"/>
      <c r="AE172" s="164"/>
      <c r="AF172" s="164"/>
      <c r="AG172" s="164"/>
      <c r="AH172" s="164"/>
      <c r="AI172" s="164"/>
      <c r="AJ172" s="164"/>
      <c r="AK172" s="164"/>
      <c r="AL172" s="164"/>
      <c r="AM172" s="164"/>
      <c r="AN172" s="164"/>
      <c r="AO172" s="164"/>
      <c r="AP172" s="164"/>
      <c r="AQ172" s="164"/>
      <c r="AR172" s="164"/>
      <c r="AS172" s="164"/>
      <c r="AT172" s="164"/>
      <c r="AU172" s="164"/>
      <c r="AV172" s="164"/>
      <c r="AW172" s="164"/>
      <c r="AX172" s="164"/>
    </row>
    <row r="173" spans="21:50" x14ac:dyDescent="0.25">
      <c r="U173" s="164"/>
      <c r="V173" s="164"/>
      <c r="W173" s="164"/>
      <c r="X173" s="164"/>
      <c r="Y173" s="164"/>
      <c r="Z173" s="164"/>
      <c r="AA173" s="164"/>
      <c r="AB173" s="164"/>
      <c r="AC173" s="164"/>
      <c r="AE173" s="164"/>
      <c r="AF173" s="164"/>
      <c r="AG173" s="164"/>
      <c r="AH173" s="164"/>
      <c r="AI173" s="164"/>
      <c r="AJ173" s="164"/>
      <c r="AK173" s="164"/>
      <c r="AL173" s="164"/>
      <c r="AM173" s="164"/>
      <c r="AN173" s="164"/>
      <c r="AO173" s="164"/>
      <c r="AP173" s="164"/>
      <c r="AQ173" s="164"/>
      <c r="AR173" s="164"/>
      <c r="AS173" s="164"/>
      <c r="AT173" s="164"/>
      <c r="AU173" s="164"/>
      <c r="AV173" s="164"/>
      <c r="AW173" s="164"/>
      <c r="AX173" s="164"/>
    </row>
    <row r="174" spans="21:50" x14ac:dyDescent="0.25">
      <c r="U174" s="164"/>
      <c r="V174" s="164"/>
      <c r="W174" s="164"/>
      <c r="X174" s="164"/>
      <c r="Y174" s="164"/>
      <c r="Z174" s="164"/>
      <c r="AA174" s="164"/>
      <c r="AB174" s="164"/>
      <c r="AC174" s="164"/>
      <c r="AE174" s="164"/>
      <c r="AF174" s="164"/>
      <c r="AG174" s="164"/>
      <c r="AH174" s="164"/>
      <c r="AI174" s="164"/>
      <c r="AJ174" s="164"/>
      <c r="AK174" s="164"/>
      <c r="AL174" s="164"/>
      <c r="AM174" s="164"/>
      <c r="AN174" s="164"/>
      <c r="AO174" s="164"/>
      <c r="AP174" s="164"/>
      <c r="AQ174" s="164"/>
      <c r="AR174" s="164"/>
      <c r="AS174" s="164"/>
      <c r="AT174" s="164"/>
      <c r="AU174" s="164"/>
      <c r="AV174" s="164"/>
      <c r="AW174" s="164"/>
      <c r="AX174" s="164"/>
    </row>
    <row r="175" spans="21:50" x14ac:dyDescent="0.25">
      <c r="U175" s="164"/>
      <c r="V175" s="164"/>
      <c r="W175" s="164"/>
      <c r="X175" s="164"/>
      <c r="Y175" s="164"/>
      <c r="Z175" s="164"/>
      <c r="AA175" s="164"/>
      <c r="AB175" s="164"/>
      <c r="AC175" s="164"/>
      <c r="AE175" s="164"/>
      <c r="AF175" s="164"/>
      <c r="AG175" s="164"/>
      <c r="AH175" s="164"/>
      <c r="AI175" s="164"/>
      <c r="AJ175" s="164"/>
      <c r="AK175" s="164"/>
      <c r="AL175" s="164"/>
      <c r="AM175" s="164"/>
      <c r="AN175" s="164"/>
      <c r="AO175" s="164"/>
      <c r="AP175" s="164"/>
      <c r="AQ175" s="164"/>
      <c r="AR175" s="164"/>
      <c r="AS175" s="164"/>
      <c r="AT175" s="164"/>
      <c r="AU175" s="164"/>
      <c r="AV175" s="164"/>
      <c r="AW175" s="164"/>
      <c r="AX175" s="164"/>
    </row>
    <row r="176" spans="21:50" x14ac:dyDescent="0.25">
      <c r="U176" s="164"/>
      <c r="V176" s="164"/>
      <c r="W176" s="164"/>
      <c r="X176" s="164"/>
      <c r="Y176" s="164"/>
      <c r="Z176" s="164"/>
      <c r="AA176" s="164"/>
      <c r="AB176" s="164"/>
      <c r="AC176" s="164"/>
      <c r="AE176" s="164"/>
      <c r="AF176" s="164"/>
      <c r="AG176" s="164"/>
      <c r="AH176" s="164"/>
      <c r="AI176" s="164"/>
      <c r="AJ176" s="164"/>
      <c r="AK176" s="164"/>
      <c r="AL176" s="164"/>
      <c r="AM176" s="164"/>
      <c r="AN176" s="164"/>
      <c r="AO176" s="164"/>
      <c r="AP176" s="164"/>
      <c r="AQ176" s="164"/>
      <c r="AR176" s="164"/>
      <c r="AS176" s="164"/>
      <c r="AT176" s="164"/>
      <c r="AU176" s="164"/>
      <c r="AV176" s="164"/>
      <c r="AW176" s="164"/>
      <c r="AX176" s="164"/>
    </row>
    <row r="177" spans="21:50" x14ac:dyDescent="0.25">
      <c r="U177" s="164"/>
      <c r="V177" s="164"/>
      <c r="W177" s="164"/>
      <c r="X177" s="164"/>
      <c r="Y177" s="164"/>
      <c r="Z177" s="164"/>
      <c r="AA177" s="164"/>
      <c r="AB177" s="164"/>
      <c r="AC177" s="164"/>
      <c r="AE177" s="164"/>
      <c r="AF177" s="164"/>
      <c r="AG177" s="164"/>
      <c r="AH177" s="164"/>
      <c r="AI177" s="164"/>
      <c r="AJ177" s="164"/>
      <c r="AK177" s="164"/>
      <c r="AL177" s="164"/>
      <c r="AM177" s="164"/>
      <c r="AN177" s="164"/>
      <c r="AO177" s="164"/>
      <c r="AP177" s="164"/>
      <c r="AQ177" s="164"/>
      <c r="AR177" s="164"/>
      <c r="AS177" s="164"/>
      <c r="AT177" s="164"/>
      <c r="AU177" s="164"/>
      <c r="AV177" s="164"/>
      <c r="AW177" s="164"/>
      <c r="AX177" s="164"/>
    </row>
    <row r="178" spans="21:50" x14ac:dyDescent="0.25">
      <c r="U178" s="164"/>
      <c r="V178" s="164"/>
      <c r="W178" s="164"/>
      <c r="X178" s="164"/>
      <c r="Y178" s="164"/>
      <c r="Z178" s="164"/>
      <c r="AA178" s="164"/>
      <c r="AB178" s="164"/>
      <c r="AC178" s="164"/>
      <c r="AE178" s="164"/>
      <c r="AF178" s="164"/>
      <c r="AG178" s="164"/>
      <c r="AH178" s="164"/>
      <c r="AI178" s="164"/>
      <c r="AJ178" s="164"/>
      <c r="AK178" s="164"/>
      <c r="AL178" s="164"/>
      <c r="AM178" s="164"/>
      <c r="AN178" s="164"/>
      <c r="AO178" s="164"/>
      <c r="AP178" s="164"/>
      <c r="AQ178" s="164"/>
      <c r="AR178" s="164"/>
      <c r="AS178" s="164"/>
      <c r="AT178" s="164"/>
      <c r="AU178" s="164"/>
      <c r="AV178" s="164"/>
      <c r="AW178" s="164"/>
      <c r="AX178" s="164"/>
    </row>
    <row r="179" spans="21:50" x14ac:dyDescent="0.25">
      <c r="U179" s="164"/>
      <c r="V179" s="164"/>
      <c r="W179" s="164"/>
      <c r="X179" s="164"/>
      <c r="Y179" s="164"/>
      <c r="Z179" s="164"/>
      <c r="AA179" s="164"/>
      <c r="AB179" s="164"/>
      <c r="AC179" s="164"/>
      <c r="AE179" s="164"/>
      <c r="AF179" s="164"/>
      <c r="AG179" s="164"/>
      <c r="AH179" s="164"/>
      <c r="AI179" s="164"/>
      <c r="AJ179" s="164"/>
      <c r="AK179" s="164"/>
      <c r="AL179" s="164"/>
      <c r="AM179" s="164"/>
      <c r="AN179" s="164"/>
      <c r="AO179" s="164"/>
      <c r="AP179" s="164"/>
      <c r="AQ179" s="164"/>
      <c r="AR179" s="164"/>
      <c r="AS179" s="164"/>
      <c r="AT179" s="164"/>
      <c r="AU179" s="164"/>
      <c r="AV179" s="164"/>
      <c r="AW179" s="164"/>
      <c r="AX179" s="164"/>
    </row>
    <row r="180" spans="21:50" x14ac:dyDescent="0.25">
      <c r="U180" s="164"/>
      <c r="V180" s="164"/>
      <c r="W180" s="164"/>
      <c r="X180" s="164"/>
      <c r="Y180" s="164"/>
      <c r="Z180" s="164"/>
      <c r="AA180" s="164"/>
      <c r="AB180" s="164"/>
      <c r="AC180" s="164"/>
      <c r="AE180" s="164"/>
      <c r="AF180" s="164"/>
      <c r="AG180" s="164"/>
      <c r="AH180" s="164"/>
      <c r="AI180" s="164"/>
      <c r="AJ180" s="164"/>
      <c r="AK180" s="164"/>
      <c r="AL180" s="164"/>
      <c r="AM180" s="164"/>
      <c r="AN180" s="164"/>
      <c r="AO180" s="164"/>
      <c r="AP180" s="164"/>
      <c r="AQ180" s="164"/>
      <c r="AR180" s="164"/>
      <c r="AS180" s="164"/>
      <c r="AT180" s="164"/>
      <c r="AU180" s="164"/>
      <c r="AV180" s="164"/>
      <c r="AW180" s="164"/>
      <c r="AX180" s="164"/>
    </row>
    <row r="181" spans="21:50" x14ac:dyDescent="0.25">
      <c r="U181" s="164"/>
      <c r="V181" s="164"/>
      <c r="W181" s="164"/>
      <c r="X181" s="164"/>
      <c r="Y181" s="164"/>
      <c r="Z181" s="164"/>
      <c r="AA181" s="164"/>
      <c r="AB181" s="164"/>
      <c r="AC181" s="164"/>
      <c r="AE181" s="164"/>
      <c r="AF181" s="164"/>
      <c r="AG181" s="164"/>
      <c r="AH181" s="164"/>
      <c r="AI181" s="164"/>
      <c r="AJ181" s="164"/>
      <c r="AK181" s="164"/>
      <c r="AL181" s="164"/>
      <c r="AM181" s="164"/>
      <c r="AN181" s="164"/>
      <c r="AO181" s="164"/>
      <c r="AP181" s="164"/>
      <c r="AQ181" s="164"/>
      <c r="AR181" s="164"/>
      <c r="AS181" s="164"/>
      <c r="AT181" s="164"/>
      <c r="AU181" s="164"/>
      <c r="AV181" s="164"/>
      <c r="AW181" s="164"/>
      <c r="AX181" s="164"/>
    </row>
    <row r="182" spans="21:50" x14ac:dyDescent="0.25">
      <c r="U182" s="164"/>
      <c r="V182" s="164"/>
      <c r="W182" s="164"/>
      <c r="X182" s="164"/>
      <c r="Y182" s="164"/>
      <c r="Z182" s="164"/>
      <c r="AA182" s="164"/>
      <c r="AB182" s="164"/>
      <c r="AC182" s="164"/>
      <c r="AE182" s="164"/>
      <c r="AF182" s="164"/>
      <c r="AG182" s="164"/>
      <c r="AH182" s="164"/>
      <c r="AI182" s="164"/>
      <c r="AJ182" s="164"/>
      <c r="AK182" s="164"/>
      <c r="AL182" s="164"/>
      <c r="AM182" s="164"/>
      <c r="AN182" s="164"/>
      <c r="AO182" s="164"/>
      <c r="AP182" s="164"/>
      <c r="AQ182" s="164"/>
      <c r="AR182" s="164"/>
      <c r="AS182" s="164"/>
      <c r="AT182" s="164"/>
      <c r="AU182" s="164"/>
      <c r="AV182" s="164"/>
      <c r="AW182" s="164"/>
      <c r="AX182" s="164"/>
    </row>
    <row r="183" spans="21:50" x14ac:dyDescent="0.25">
      <c r="U183" s="164"/>
      <c r="V183" s="164"/>
      <c r="W183" s="164"/>
      <c r="X183" s="164"/>
      <c r="Y183" s="164"/>
      <c r="Z183" s="164"/>
      <c r="AA183" s="164"/>
      <c r="AB183" s="164"/>
      <c r="AC183" s="164"/>
      <c r="AE183" s="164"/>
      <c r="AF183" s="164"/>
      <c r="AG183" s="164"/>
      <c r="AH183" s="164"/>
      <c r="AI183" s="164"/>
      <c r="AJ183" s="164"/>
      <c r="AK183" s="164"/>
      <c r="AL183" s="164"/>
      <c r="AM183" s="164"/>
      <c r="AN183" s="164"/>
      <c r="AO183" s="164"/>
      <c r="AP183" s="164"/>
      <c r="AQ183" s="164"/>
      <c r="AR183" s="164"/>
      <c r="AS183" s="164"/>
      <c r="AT183" s="164"/>
      <c r="AU183" s="164"/>
      <c r="AV183" s="164"/>
      <c r="AW183" s="164"/>
      <c r="AX183" s="164"/>
    </row>
  </sheetData>
  <sheetProtection formatColumns="0" deleteColumns="0" deleteRows="0" selectLockedCells="1"/>
  <mergeCells count="18">
    <mergeCell ref="B81:C81"/>
    <mergeCell ref="B65:B68"/>
    <mergeCell ref="B69:C69"/>
    <mergeCell ref="B71:B74"/>
    <mergeCell ref="B75:C75"/>
    <mergeCell ref="B77:B80"/>
    <mergeCell ref="B120:C120"/>
    <mergeCell ref="B84:B87"/>
    <mergeCell ref="B88:C88"/>
    <mergeCell ref="B90:B93"/>
    <mergeCell ref="B94:C94"/>
    <mergeCell ref="B96:B99"/>
    <mergeCell ref="B100:C100"/>
    <mergeCell ref="B104:B107"/>
    <mergeCell ref="B108:C108"/>
    <mergeCell ref="B110:B113"/>
    <mergeCell ref="B114:C114"/>
    <mergeCell ref="B116:B119"/>
  </mergeCells>
  <conditionalFormatting sqref="P3:P60">
    <cfRule type="expression" dxfId="225" priority="2">
      <formula>AND(P3&lt;&gt;"",P3&lt;&gt;"OUI")</formula>
    </cfRule>
  </conditionalFormatting>
  <conditionalFormatting sqref="AL3:AM60 S3:AH60">
    <cfRule type="expression" dxfId="224" priority="1" stopIfTrue="1">
      <formula>$AH3&lt;&gt;0</formula>
    </cfRule>
  </conditionalFormatting>
  <conditionalFormatting sqref="A3:E60">
    <cfRule type="expression" dxfId="223" priority="3" stopIfTrue="1">
      <formula>AND($I3&lt;&gt;"",AND($J3="",AND($AY3="",$AZ3="")))</formula>
    </cfRule>
    <cfRule type="expression" dxfId="222" priority="4" stopIfTrue="1">
      <formula>AND($J3&lt;&gt;"",AND($AY3="",$AZ3=""))</formula>
    </cfRule>
    <cfRule type="expression" dxfId="221" priority="5" stopIfTrue="1">
      <formula>AND($AY3&lt;&gt;"",$AZ3="")</formula>
    </cfRule>
    <cfRule type="expression" dxfId="220" priority="6" stopIfTrue="1">
      <formula>$AZ3="X"</formula>
    </cfRule>
  </conditionalFormatting>
  <dataValidations count="11">
    <dataValidation type="list" allowBlank="1" showInputMessage="1" showErrorMessage="1" sqref="H3:H60">
      <formula1>"MENSUELLE,TRIMESTRIELLE,EXERCICE,ANNUELLE"</formula1>
    </dataValidation>
    <dataValidation type="list" allowBlank="1" showInputMessage="1" showErrorMessage="1" sqref="BG3:BI60">
      <formula1>"OUI,NON,N/C"</formula1>
    </dataValidation>
    <dataValidation type="list" allowBlank="1" showInputMessage="1" showErrorMessage="1" sqref="AL3:AL60">
      <formula1>"ABONNE COURT,ABONNE LONG"</formula1>
    </dataValidation>
    <dataValidation type="list" allowBlank="1" showInputMessage="1" showErrorMessage="1" sqref="P3:P60">
      <formula1>"OUI,NON,A TERMINER,A FAIRE"</formula1>
    </dataValidation>
    <dataValidation type="list" allowBlank="1" showInputMessage="1" showErrorMessage="1" sqref="AY3:BA60">
      <formula1>"X"</formula1>
    </dataValidation>
    <dataValidation type="list" allowBlank="1" showInputMessage="1" showErrorMessage="1" sqref="R3:R60">
      <formula1>"OUI,NON,A FAIRE,N/A"</formula1>
    </dataValidation>
    <dataValidation type="list" allowBlank="1" showInputMessage="1" showErrorMessage="1" sqref="Q3:Q60 AM3:AM60">
      <formula1>"OUI,NON"</formula1>
    </dataValidation>
    <dataValidation type="list" allowBlank="1" showInputMessage="1" showErrorMessage="1" sqref="O3:O60">
      <formula1>"COMPTABLE,CONSEILLER"</formula1>
    </dataValidation>
    <dataValidation type="list" allowBlank="1" showInputMessage="1" showErrorMessage="1" sqref="M3:N60">
      <formula1>"OUI,NON,A FAIRE"</formula1>
    </dataValidation>
    <dataValidation type="list" allowBlank="1" showInputMessage="1" showErrorMessage="1" sqref="JW3:JW60 TS3:TS60 ADO3:ADO60 ANK3:ANK60 AXG3:AXG60 BHC3:BHC60 BQY3:BQY60 CAU3:CAU60 CKQ3:CKQ60 CUM3:CUM60 DEI3:DEI60 DOE3:DOE60 DYA3:DYA60 EHW3:EHW60 ERS3:ERS60 FBO3:FBO60 FLK3:FLK60 FVG3:FVG60 GFC3:GFC60 GOY3:GOY60 GYU3:GYU60 HIQ3:HIQ60 HSM3:HSM60 ICI3:ICI60 IME3:IME60 IWA3:IWA60 JFW3:JFW60 JPS3:JPS60 JZO3:JZO60 KJK3:KJK60 KTG3:KTG60 LDC3:LDC60 LMY3:LMY60 LWU3:LWU60 MGQ3:MGQ60 MQM3:MQM60 NAI3:NAI60 NKE3:NKE60 NUA3:NUA60 ODW3:ODW60 ONS3:ONS60 OXO3:OXO60 PHK3:PHK60 PRG3:PRG60 QBC3:QBC60 QKY3:QKY60 QUU3:QUU60 REQ3:REQ60 ROM3:ROM60 RYI3:RYI60 SIE3:SIE60 SSA3:SSA60 TBW3:TBW60 TLS3:TLS60 TVO3:TVO60 UFK3:UFK60 UPG3:UPG60 UZC3:UZC60 VIY3:VIY60 VSU3:VSU60 WCQ3:WCQ60 WMM3:WMM60 WWI3:WWI60 G65539:G65596 JV65539:JV65596 TR65539:TR65596 ADN65539:ADN65596 ANJ65539:ANJ65596 AXF65539:AXF65596 BHB65539:BHB65596 BQX65539:BQX65596 CAT65539:CAT65596 CKP65539:CKP65596 CUL65539:CUL65596 DEH65539:DEH65596 DOD65539:DOD65596 DXZ65539:DXZ65596 EHV65539:EHV65596 ERR65539:ERR65596 FBN65539:FBN65596 FLJ65539:FLJ65596 FVF65539:FVF65596 GFB65539:GFB65596 GOX65539:GOX65596 GYT65539:GYT65596 HIP65539:HIP65596 HSL65539:HSL65596 ICH65539:ICH65596 IMD65539:IMD65596 IVZ65539:IVZ65596 JFV65539:JFV65596 JPR65539:JPR65596 JZN65539:JZN65596 KJJ65539:KJJ65596 KTF65539:KTF65596 LDB65539:LDB65596 LMX65539:LMX65596 LWT65539:LWT65596 MGP65539:MGP65596 MQL65539:MQL65596 NAH65539:NAH65596 NKD65539:NKD65596 NTZ65539:NTZ65596 ODV65539:ODV65596 ONR65539:ONR65596 OXN65539:OXN65596 PHJ65539:PHJ65596 PRF65539:PRF65596 QBB65539:QBB65596 QKX65539:QKX65596 QUT65539:QUT65596 REP65539:REP65596 ROL65539:ROL65596 RYH65539:RYH65596 SID65539:SID65596 SRZ65539:SRZ65596 TBV65539:TBV65596 TLR65539:TLR65596 TVN65539:TVN65596 UFJ65539:UFJ65596 UPF65539:UPF65596 UZB65539:UZB65596 VIX65539:VIX65596 VST65539:VST65596 WCP65539:WCP65596 WML65539:WML65596 WWH65539:WWH65596 G131075:G131132 JV131075:JV131132 TR131075:TR131132 ADN131075:ADN131132 ANJ131075:ANJ131132 AXF131075:AXF131132 BHB131075:BHB131132 BQX131075:BQX131132 CAT131075:CAT131132 CKP131075:CKP131132 CUL131075:CUL131132 DEH131075:DEH131132 DOD131075:DOD131132 DXZ131075:DXZ131132 EHV131075:EHV131132 ERR131075:ERR131132 FBN131075:FBN131132 FLJ131075:FLJ131132 FVF131075:FVF131132 GFB131075:GFB131132 GOX131075:GOX131132 GYT131075:GYT131132 HIP131075:HIP131132 HSL131075:HSL131132 ICH131075:ICH131132 IMD131075:IMD131132 IVZ131075:IVZ131132 JFV131075:JFV131132 JPR131075:JPR131132 JZN131075:JZN131132 KJJ131075:KJJ131132 KTF131075:KTF131132 LDB131075:LDB131132 LMX131075:LMX131132 LWT131075:LWT131132 MGP131075:MGP131132 MQL131075:MQL131132 NAH131075:NAH131132 NKD131075:NKD131132 NTZ131075:NTZ131132 ODV131075:ODV131132 ONR131075:ONR131132 OXN131075:OXN131132 PHJ131075:PHJ131132 PRF131075:PRF131132 QBB131075:QBB131132 QKX131075:QKX131132 QUT131075:QUT131132 REP131075:REP131132 ROL131075:ROL131132 RYH131075:RYH131132 SID131075:SID131132 SRZ131075:SRZ131132 TBV131075:TBV131132 TLR131075:TLR131132 TVN131075:TVN131132 UFJ131075:UFJ131132 UPF131075:UPF131132 UZB131075:UZB131132 VIX131075:VIX131132 VST131075:VST131132 WCP131075:WCP131132 WML131075:WML131132 WWH131075:WWH131132 G196611:G196668 JV196611:JV196668 TR196611:TR196668 ADN196611:ADN196668 ANJ196611:ANJ196668 AXF196611:AXF196668 BHB196611:BHB196668 BQX196611:BQX196668 CAT196611:CAT196668 CKP196611:CKP196668 CUL196611:CUL196668 DEH196611:DEH196668 DOD196611:DOD196668 DXZ196611:DXZ196668 EHV196611:EHV196668 ERR196611:ERR196668 FBN196611:FBN196668 FLJ196611:FLJ196668 FVF196611:FVF196668 GFB196611:GFB196668 GOX196611:GOX196668 GYT196611:GYT196668 HIP196611:HIP196668 HSL196611:HSL196668 ICH196611:ICH196668 IMD196611:IMD196668 IVZ196611:IVZ196668 JFV196611:JFV196668 JPR196611:JPR196668 JZN196611:JZN196668 KJJ196611:KJJ196668 KTF196611:KTF196668 LDB196611:LDB196668 LMX196611:LMX196668 LWT196611:LWT196668 MGP196611:MGP196668 MQL196611:MQL196668 NAH196611:NAH196668 NKD196611:NKD196668 NTZ196611:NTZ196668 ODV196611:ODV196668 ONR196611:ONR196668 OXN196611:OXN196668 PHJ196611:PHJ196668 PRF196611:PRF196668 QBB196611:QBB196668 QKX196611:QKX196668 QUT196611:QUT196668 REP196611:REP196668 ROL196611:ROL196668 RYH196611:RYH196668 SID196611:SID196668 SRZ196611:SRZ196668 TBV196611:TBV196668 TLR196611:TLR196668 TVN196611:TVN196668 UFJ196611:UFJ196668 UPF196611:UPF196668 UZB196611:UZB196668 VIX196611:VIX196668 VST196611:VST196668 WCP196611:WCP196668 WML196611:WML196668 WWH196611:WWH196668 G262147:G262204 JV262147:JV262204 TR262147:TR262204 ADN262147:ADN262204 ANJ262147:ANJ262204 AXF262147:AXF262204 BHB262147:BHB262204 BQX262147:BQX262204 CAT262147:CAT262204 CKP262147:CKP262204 CUL262147:CUL262204 DEH262147:DEH262204 DOD262147:DOD262204 DXZ262147:DXZ262204 EHV262147:EHV262204 ERR262147:ERR262204 FBN262147:FBN262204 FLJ262147:FLJ262204 FVF262147:FVF262204 GFB262147:GFB262204 GOX262147:GOX262204 GYT262147:GYT262204 HIP262147:HIP262204 HSL262147:HSL262204 ICH262147:ICH262204 IMD262147:IMD262204 IVZ262147:IVZ262204 JFV262147:JFV262204 JPR262147:JPR262204 JZN262147:JZN262204 KJJ262147:KJJ262204 KTF262147:KTF262204 LDB262147:LDB262204 LMX262147:LMX262204 LWT262147:LWT262204 MGP262147:MGP262204 MQL262147:MQL262204 NAH262147:NAH262204 NKD262147:NKD262204 NTZ262147:NTZ262204 ODV262147:ODV262204 ONR262147:ONR262204 OXN262147:OXN262204 PHJ262147:PHJ262204 PRF262147:PRF262204 QBB262147:QBB262204 QKX262147:QKX262204 QUT262147:QUT262204 REP262147:REP262204 ROL262147:ROL262204 RYH262147:RYH262204 SID262147:SID262204 SRZ262147:SRZ262204 TBV262147:TBV262204 TLR262147:TLR262204 TVN262147:TVN262204 UFJ262147:UFJ262204 UPF262147:UPF262204 UZB262147:UZB262204 VIX262147:VIX262204 VST262147:VST262204 WCP262147:WCP262204 WML262147:WML262204 WWH262147:WWH262204 G327683:G327740 JV327683:JV327740 TR327683:TR327740 ADN327683:ADN327740 ANJ327683:ANJ327740 AXF327683:AXF327740 BHB327683:BHB327740 BQX327683:BQX327740 CAT327683:CAT327740 CKP327683:CKP327740 CUL327683:CUL327740 DEH327683:DEH327740 DOD327683:DOD327740 DXZ327683:DXZ327740 EHV327683:EHV327740 ERR327683:ERR327740 FBN327683:FBN327740 FLJ327683:FLJ327740 FVF327683:FVF327740 GFB327683:GFB327740 GOX327683:GOX327740 GYT327683:GYT327740 HIP327683:HIP327740 HSL327683:HSL327740 ICH327683:ICH327740 IMD327683:IMD327740 IVZ327683:IVZ327740 JFV327683:JFV327740 JPR327683:JPR327740 JZN327683:JZN327740 KJJ327683:KJJ327740 KTF327683:KTF327740 LDB327683:LDB327740 LMX327683:LMX327740 LWT327683:LWT327740 MGP327683:MGP327740 MQL327683:MQL327740 NAH327683:NAH327740 NKD327683:NKD327740 NTZ327683:NTZ327740 ODV327683:ODV327740 ONR327683:ONR327740 OXN327683:OXN327740 PHJ327683:PHJ327740 PRF327683:PRF327740 QBB327683:QBB327740 QKX327683:QKX327740 QUT327683:QUT327740 REP327683:REP327740 ROL327683:ROL327740 RYH327683:RYH327740 SID327683:SID327740 SRZ327683:SRZ327740 TBV327683:TBV327740 TLR327683:TLR327740 TVN327683:TVN327740 UFJ327683:UFJ327740 UPF327683:UPF327740 UZB327683:UZB327740 VIX327683:VIX327740 VST327683:VST327740 WCP327683:WCP327740 WML327683:WML327740 WWH327683:WWH327740 G393219:G393276 JV393219:JV393276 TR393219:TR393276 ADN393219:ADN393276 ANJ393219:ANJ393276 AXF393219:AXF393276 BHB393219:BHB393276 BQX393219:BQX393276 CAT393219:CAT393276 CKP393219:CKP393276 CUL393219:CUL393276 DEH393219:DEH393276 DOD393219:DOD393276 DXZ393219:DXZ393276 EHV393219:EHV393276 ERR393219:ERR393276 FBN393219:FBN393276 FLJ393219:FLJ393276 FVF393219:FVF393276 GFB393219:GFB393276 GOX393219:GOX393276 GYT393219:GYT393276 HIP393219:HIP393276 HSL393219:HSL393276 ICH393219:ICH393276 IMD393219:IMD393276 IVZ393219:IVZ393276 JFV393219:JFV393276 JPR393219:JPR393276 JZN393219:JZN393276 KJJ393219:KJJ393276 KTF393219:KTF393276 LDB393219:LDB393276 LMX393219:LMX393276 LWT393219:LWT393276 MGP393219:MGP393276 MQL393219:MQL393276 NAH393219:NAH393276 NKD393219:NKD393276 NTZ393219:NTZ393276 ODV393219:ODV393276 ONR393219:ONR393276 OXN393219:OXN393276 PHJ393219:PHJ393276 PRF393219:PRF393276 QBB393219:QBB393276 QKX393219:QKX393276 QUT393219:QUT393276 REP393219:REP393276 ROL393219:ROL393276 RYH393219:RYH393276 SID393219:SID393276 SRZ393219:SRZ393276 TBV393219:TBV393276 TLR393219:TLR393276 TVN393219:TVN393276 UFJ393219:UFJ393276 UPF393219:UPF393276 UZB393219:UZB393276 VIX393219:VIX393276 VST393219:VST393276 WCP393219:WCP393276 WML393219:WML393276 WWH393219:WWH393276 G458755:G458812 JV458755:JV458812 TR458755:TR458812 ADN458755:ADN458812 ANJ458755:ANJ458812 AXF458755:AXF458812 BHB458755:BHB458812 BQX458755:BQX458812 CAT458755:CAT458812 CKP458755:CKP458812 CUL458755:CUL458812 DEH458755:DEH458812 DOD458755:DOD458812 DXZ458755:DXZ458812 EHV458755:EHV458812 ERR458755:ERR458812 FBN458755:FBN458812 FLJ458755:FLJ458812 FVF458755:FVF458812 GFB458755:GFB458812 GOX458755:GOX458812 GYT458755:GYT458812 HIP458755:HIP458812 HSL458755:HSL458812 ICH458755:ICH458812 IMD458755:IMD458812 IVZ458755:IVZ458812 JFV458755:JFV458812 JPR458755:JPR458812 JZN458755:JZN458812 KJJ458755:KJJ458812 KTF458755:KTF458812 LDB458755:LDB458812 LMX458755:LMX458812 LWT458755:LWT458812 MGP458755:MGP458812 MQL458755:MQL458812 NAH458755:NAH458812 NKD458755:NKD458812 NTZ458755:NTZ458812 ODV458755:ODV458812 ONR458755:ONR458812 OXN458755:OXN458812 PHJ458755:PHJ458812 PRF458755:PRF458812 QBB458755:QBB458812 QKX458755:QKX458812 QUT458755:QUT458812 REP458755:REP458812 ROL458755:ROL458812 RYH458755:RYH458812 SID458755:SID458812 SRZ458755:SRZ458812 TBV458755:TBV458812 TLR458755:TLR458812 TVN458755:TVN458812 UFJ458755:UFJ458812 UPF458755:UPF458812 UZB458755:UZB458812 VIX458755:VIX458812 VST458755:VST458812 WCP458755:WCP458812 WML458755:WML458812 WWH458755:WWH458812 G524291:G524348 JV524291:JV524348 TR524291:TR524348 ADN524291:ADN524348 ANJ524291:ANJ524348 AXF524291:AXF524348 BHB524291:BHB524348 BQX524291:BQX524348 CAT524291:CAT524348 CKP524291:CKP524348 CUL524291:CUL524348 DEH524291:DEH524348 DOD524291:DOD524348 DXZ524291:DXZ524348 EHV524291:EHV524348 ERR524291:ERR524348 FBN524291:FBN524348 FLJ524291:FLJ524348 FVF524291:FVF524348 GFB524291:GFB524348 GOX524291:GOX524348 GYT524291:GYT524348 HIP524291:HIP524348 HSL524291:HSL524348 ICH524291:ICH524348 IMD524291:IMD524348 IVZ524291:IVZ524348 JFV524291:JFV524348 JPR524291:JPR524348 JZN524291:JZN524348 KJJ524291:KJJ524348 KTF524291:KTF524348 LDB524291:LDB524348 LMX524291:LMX524348 LWT524291:LWT524348 MGP524291:MGP524348 MQL524291:MQL524348 NAH524291:NAH524348 NKD524291:NKD524348 NTZ524291:NTZ524348 ODV524291:ODV524348 ONR524291:ONR524348 OXN524291:OXN524348 PHJ524291:PHJ524348 PRF524291:PRF524348 QBB524291:QBB524348 QKX524291:QKX524348 QUT524291:QUT524348 REP524291:REP524348 ROL524291:ROL524348 RYH524291:RYH524348 SID524291:SID524348 SRZ524291:SRZ524348 TBV524291:TBV524348 TLR524291:TLR524348 TVN524291:TVN524348 UFJ524291:UFJ524348 UPF524291:UPF524348 UZB524291:UZB524348 VIX524291:VIX524348 VST524291:VST524348 WCP524291:WCP524348 WML524291:WML524348 WWH524291:WWH524348 G589827:G589884 JV589827:JV589884 TR589827:TR589884 ADN589827:ADN589884 ANJ589827:ANJ589884 AXF589827:AXF589884 BHB589827:BHB589884 BQX589827:BQX589884 CAT589827:CAT589884 CKP589827:CKP589884 CUL589827:CUL589884 DEH589827:DEH589884 DOD589827:DOD589884 DXZ589827:DXZ589884 EHV589827:EHV589884 ERR589827:ERR589884 FBN589827:FBN589884 FLJ589827:FLJ589884 FVF589827:FVF589884 GFB589827:GFB589884 GOX589827:GOX589884 GYT589827:GYT589884 HIP589827:HIP589884 HSL589827:HSL589884 ICH589827:ICH589884 IMD589827:IMD589884 IVZ589827:IVZ589884 JFV589827:JFV589884 JPR589827:JPR589884 JZN589827:JZN589884 KJJ589827:KJJ589884 KTF589827:KTF589884 LDB589827:LDB589884 LMX589827:LMX589884 LWT589827:LWT589884 MGP589827:MGP589884 MQL589827:MQL589884 NAH589827:NAH589884 NKD589827:NKD589884 NTZ589827:NTZ589884 ODV589827:ODV589884 ONR589827:ONR589884 OXN589827:OXN589884 PHJ589827:PHJ589884 PRF589827:PRF589884 QBB589827:QBB589884 QKX589827:QKX589884 QUT589827:QUT589884 REP589827:REP589884 ROL589827:ROL589884 RYH589827:RYH589884 SID589827:SID589884 SRZ589827:SRZ589884 TBV589827:TBV589884 TLR589827:TLR589884 TVN589827:TVN589884 UFJ589827:UFJ589884 UPF589827:UPF589884 UZB589827:UZB589884 VIX589827:VIX589884 VST589827:VST589884 WCP589827:WCP589884 WML589827:WML589884 WWH589827:WWH589884 G655363:G655420 JV655363:JV655420 TR655363:TR655420 ADN655363:ADN655420 ANJ655363:ANJ655420 AXF655363:AXF655420 BHB655363:BHB655420 BQX655363:BQX655420 CAT655363:CAT655420 CKP655363:CKP655420 CUL655363:CUL655420 DEH655363:DEH655420 DOD655363:DOD655420 DXZ655363:DXZ655420 EHV655363:EHV655420 ERR655363:ERR655420 FBN655363:FBN655420 FLJ655363:FLJ655420 FVF655363:FVF655420 GFB655363:GFB655420 GOX655363:GOX655420 GYT655363:GYT655420 HIP655363:HIP655420 HSL655363:HSL655420 ICH655363:ICH655420 IMD655363:IMD655420 IVZ655363:IVZ655420 JFV655363:JFV655420 JPR655363:JPR655420 JZN655363:JZN655420 KJJ655363:KJJ655420 KTF655363:KTF655420 LDB655363:LDB655420 LMX655363:LMX655420 LWT655363:LWT655420 MGP655363:MGP655420 MQL655363:MQL655420 NAH655363:NAH655420 NKD655363:NKD655420 NTZ655363:NTZ655420 ODV655363:ODV655420 ONR655363:ONR655420 OXN655363:OXN655420 PHJ655363:PHJ655420 PRF655363:PRF655420 QBB655363:QBB655420 QKX655363:QKX655420 QUT655363:QUT655420 REP655363:REP655420 ROL655363:ROL655420 RYH655363:RYH655420 SID655363:SID655420 SRZ655363:SRZ655420 TBV655363:TBV655420 TLR655363:TLR655420 TVN655363:TVN655420 UFJ655363:UFJ655420 UPF655363:UPF655420 UZB655363:UZB655420 VIX655363:VIX655420 VST655363:VST655420 WCP655363:WCP655420 WML655363:WML655420 WWH655363:WWH655420 G720899:G720956 JV720899:JV720956 TR720899:TR720956 ADN720899:ADN720956 ANJ720899:ANJ720956 AXF720899:AXF720956 BHB720899:BHB720956 BQX720899:BQX720956 CAT720899:CAT720956 CKP720899:CKP720956 CUL720899:CUL720956 DEH720899:DEH720956 DOD720899:DOD720956 DXZ720899:DXZ720956 EHV720899:EHV720956 ERR720899:ERR720956 FBN720899:FBN720956 FLJ720899:FLJ720956 FVF720899:FVF720956 GFB720899:GFB720956 GOX720899:GOX720956 GYT720899:GYT720956 HIP720899:HIP720956 HSL720899:HSL720956 ICH720899:ICH720956 IMD720899:IMD720956 IVZ720899:IVZ720956 JFV720899:JFV720956 JPR720899:JPR720956 JZN720899:JZN720956 KJJ720899:KJJ720956 KTF720899:KTF720956 LDB720899:LDB720956 LMX720899:LMX720956 LWT720899:LWT720956 MGP720899:MGP720956 MQL720899:MQL720956 NAH720899:NAH720956 NKD720899:NKD720956 NTZ720899:NTZ720956 ODV720899:ODV720956 ONR720899:ONR720956 OXN720899:OXN720956 PHJ720899:PHJ720956 PRF720899:PRF720956 QBB720899:QBB720956 QKX720899:QKX720956 QUT720899:QUT720956 REP720899:REP720956 ROL720899:ROL720956 RYH720899:RYH720956 SID720899:SID720956 SRZ720899:SRZ720956 TBV720899:TBV720956 TLR720899:TLR720956 TVN720899:TVN720956 UFJ720899:UFJ720956 UPF720899:UPF720956 UZB720899:UZB720956 VIX720899:VIX720956 VST720899:VST720956 WCP720899:WCP720956 WML720899:WML720956 WWH720899:WWH720956 G786435:G786492 JV786435:JV786492 TR786435:TR786492 ADN786435:ADN786492 ANJ786435:ANJ786492 AXF786435:AXF786492 BHB786435:BHB786492 BQX786435:BQX786492 CAT786435:CAT786492 CKP786435:CKP786492 CUL786435:CUL786492 DEH786435:DEH786492 DOD786435:DOD786492 DXZ786435:DXZ786492 EHV786435:EHV786492 ERR786435:ERR786492 FBN786435:FBN786492 FLJ786435:FLJ786492 FVF786435:FVF786492 GFB786435:GFB786492 GOX786435:GOX786492 GYT786435:GYT786492 HIP786435:HIP786492 HSL786435:HSL786492 ICH786435:ICH786492 IMD786435:IMD786492 IVZ786435:IVZ786492 JFV786435:JFV786492 JPR786435:JPR786492 JZN786435:JZN786492 KJJ786435:KJJ786492 KTF786435:KTF786492 LDB786435:LDB786492 LMX786435:LMX786492 LWT786435:LWT786492 MGP786435:MGP786492 MQL786435:MQL786492 NAH786435:NAH786492 NKD786435:NKD786492 NTZ786435:NTZ786492 ODV786435:ODV786492 ONR786435:ONR786492 OXN786435:OXN786492 PHJ786435:PHJ786492 PRF786435:PRF786492 QBB786435:QBB786492 QKX786435:QKX786492 QUT786435:QUT786492 REP786435:REP786492 ROL786435:ROL786492 RYH786435:RYH786492 SID786435:SID786492 SRZ786435:SRZ786492 TBV786435:TBV786492 TLR786435:TLR786492 TVN786435:TVN786492 UFJ786435:UFJ786492 UPF786435:UPF786492 UZB786435:UZB786492 VIX786435:VIX786492 VST786435:VST786492 WCP786435:WCP786492 WML786435:WML786492 WWH786435:WWH786492 G851971:G852028 JV851971:JV852028 TR851971:TR852028 ADN851971:ADN852028 ANJ851971:ANJ852028 AXF851971:AXF852028 BHB851971:BHB852028 BQX851971:BQX852028 CAT851971:CAT852028 CKP851971:CKP852028 CUL851971:CUL852028 DEH851971:DEH852028 DOD851971:DOD852028 DXZ851971:DXZ852028 EHV851971:EHV852028 ERR851971:ERR852028 FBN851971:FBN852028 FLJ851971:FLJ852028 FVF851971:FVF852028 GFB851971:GFB852028 GOX851971:GOX852028 GYT851971:GYT852028 HIP851971:HIP852028 HSL851971:HSL852028 ICH851971:ICH852028 IMD851971:IMD852028 IVZ851971:IVZ852028 JFV851971:JFV852028 JPR851971:JPR852028 JZN851971:JZN852028 KJJ851971:KJJ852028 KTF851971:KTF852028 LDB851971:LDB852028 LMX851971:LMX852028 LWT851971:LWT852028 MGP851971:MGP852028 MQL851971:MQL852028 NAH851971:NAH852028 NKD851971:NKD852028 NTZ851971:NTZ852028 ODV851971:ODV852028 ONR851971:ONR852028 OXN851971:OXN852028 PHJ851971:PHJ852028 PRF851971:PRF852028 QBB851971:QBB852028 QKX851971:QKX852028 QUT851971:QUT852028 REP851971:REP852028 ROL851971:ROL852028 RYH851971:RYH852028 SID851971:SID852028 SRZ851971:SRZ852028 TBV851971:TBV852028 TLR851971:TLR852028 TVN851971:TVN852028 UFJ851971:UFJ852028 UPF851971:UPF852028 UZB851971:UZB852028 VIX851971:VIX852028 VST851971:VST852028 WCP851971:WCP852028 WML851971:WML852028 WWH851971:WWH852028 G917507:G917564 JV917507:JV917564 TR917507:TR917564 ADN917507:ADN917564 ANJ917507:ANJ917564 AXF917507:AXF917564 BHB917507:BHB917564 BQX917507:BQX917564 CAT917507:CAT917564 CKP917507:CKP917564 CUL917507:CUL917564 DEH917507:DEH917564 DOD917507:DOD917564 DXZ917507:DXZ917564 EHV917507:EHV917564 ERR917507:ERR917564 FBN917507:FBN917564 FLJ917507:FLJ917564 FVF917507:FVF917564 GFB917507:GFB917564 GOX917507:GOX917564 GYT917507:GYT917564 HIP917507:HIP917564 HSL917507:HSL917564 ICH917507:ICH917564 IMD917507:IMD917564 IVZ917507:IVZ917564 JFV917507:JFV917564 JPR917507:JPR917564 JZN917507:JZN917564 KJJ917507:KJJ917564 KTF917507:KTF917564 LDB917507:LDB917564 LMX917507:LMX917564 LWT917507:LWT917564 MGP917507:MGP917564 MQL917507:MQL917564 NAH917507:NAH917564 NKD917507:NKD917564 NTZ917507:NTZ917564 ODV917507:ODV917564 ONR917507:ONR917564 OXN917507:OXN917564 PHJ917507:PHJ917564 PRF917507:PRF917564 QBB917507:QBB917564 QKX917507:QKX917564 QUT917507:QUT917564 REP917507:REP917564 ROL917507:ROL917564 RYH917507:RYH917564 SID917507:SID917564 SRZ917507:SRZ917564 TBV917507:TBV917564 TLR917507:TLR917564 TVN917507:TVN917564 UFJ917507:UFJ917564 UPF917507:UPF917564 UZB917507:UZB917564 VIX917507:VIX917564 VST917507:VST917564 WCP917507:WCP917564 WML917507:WML917564 WWH917507:WWH917564 G983043:G983100 JV983043:JV983100 TR983043:TR983100 ADN983043:ADN983100 ANJ983043:ANJ983100 AXF983043:AXF983100 BHB983043:BHB983100 BQX983043:BQX983100 CAT983043:CAT983100 CKP983043:CKP983100 CUL983043:CUL983100 DEH983043:DEH983100 DOD983043:DOD983100 DXZ983043:DXZ983100 EHV983043:EHV983100 ERR983043:ERR983100 FBN983043:FBN983100 FLJ983043:FLJ983100 FVF983043:FVF983100 GFB983043:GFB983100 GOX983043:GOX983100 GYT983043:GYT983100 HIP983043:HIP983100 HSL983043:HSL983100 ICH983043:ICH983100 IMD983043:IMD983100 IVZ983043:IVZ983100 JFV983043:JFV983100 JPR983043:JPR983100 JZN983043:JZN983100 KJJ983043:KJJ983100 KTF983043:KTF983100 LDB983043:LDB983100 LMX983043:LMX983100 LWT983043:LWT983100 MGP983043:MGP983100 MQL983043:MQL983100 NAH983043:NAH983100 NKD983043:NKD983100 NTZ983043:NTZ983100 ODV983043:ODV983100 ONR983043:ONR983100 OXN983043:OXN983100 PHJ983043:PHJ983100 PRF983043:PRF983100 QBB983043:QBB983100 QKX983043:QKX983100 QUT983043:QUT983100 REP983043:REP983100 ROL983043:ROL983100 RYH983043:RYH983100 SID983043:SID983100 SRZ983043:SRZ983100 TBV983043:TBV983100 TLR983043:TLR983100 TVN983043:TVN983100 UFJ983043:UFJ983100 UPF983043:UPF983100 UZB983043:UZB983100 VIX983043:VIX983100 VST983043:VST983100 WCP983043:WCP983100 WML983043:WML983100 WWH983043:WWH983100 G3:G60">
      <formula1>"IS,IR,"</formula1>
    </dataValidation>
    <dataValidation type="list" allowBlank="1" showInputMessage="1" showErrorMessage="1" sqref="D3:D60 JT3:JT60 TP3:TP60 ADL3:ADL60 ANH3:ANH60 AXD3:AXD60 BGZ3:BGZ60 BQV3:BQV60 CAR3:CAR60 CKN3:CKN60 CUJ3:CUJ60 DEF3:DEF60 DOB3:DOB60 DXX3:DXX60 EHT3:EHT60 ERP3:ERP60 FBL3:FBL60 FLH3:FLH60 FVD3:FVD60 GEZ3:GEZ60 GOV3:GOV60 GYR3:GYR60 HIN3:HIN60 HSJ3:HSJ60 ICF3:ICF60 IMB3:IMB60 IVX3:IVX60 JFT3:JFT60 JPP3:JPP60 JZL3:JZL60 KJH3:KJH60 KTD3:KTD60 LCZ3:LCZ60 LMV3:LMV60 LWR3:LWR60 MGN3:MGN60 MQJ3:MQJ60 NAF3:NAF60 NKB3:NKB60 NTX3:NTX60 ODT3:ODT60 ONP3:ONP60 OXL3:OXL60 PHH3:PHH60 PRD3:PRD60 QAZ3:QAZ60 QKV3:QKV60 QUR3:QUR60 REN3:REN60 ROJ3:ROJ60 RYF3:RYF60 SIB3:SIB60 SRX3:SRX60 TBT3:TBT60 TLP3:TLP60 TVL3:TVL60 UFH3:UFH60 UPD3:UPD60 UYZ3:UYZ60 VIV3:VIV60 VSR3:VSR60 WCN3:WCN60 WMJ3:WMJ60 WWF3:WWF60 D65539:D65596 JS65539:JS65596 TO65539:TO65596 ADK65539:ADK65596 ANG65539:ANG65596 AXC65539:AXC65596 BGY65539:BGY65596 BQU65539:BQU65596 CAQ65539:CAQ65596 CKM65539:CKM65596 CUI65539:CUI65596 DEE65539:DEE65596 DOA65539:DOA65596 DXW65539:DXW65596 EHS65539:EHS65596 ERO65539:ERO65596 FBK65539:FBK65596 FLG65539:FLG65596 FVC65539:FVC65596 GEY65539:GEY65596 GOU65539:GOU65596 GYQ65539:GYQ65596 HIM65539:HIM65596 HSI65539:HSI65596 ICE65539:ICE65596 IMA65539:IMA65596 IVW65539:IVW65596 JFS65539:JFS65596 JPO65539:JPO65596 JZK65539:JZK65596 KJG65539:KJG65596 KTC65539:KTC65596 LCY65539:LCY65596 LMU65539:LMU65596 LWQ65539:LWQ65596 MGM65539:MGM65596 MQI65539:MQI65596 NAE65539:NAE65596 NKA65539:NKA65596 NTW65539:NTW65596 ODS65539:ODS65596 ONO65539:ONO65596 OXK65539:OXK65596 PHG65539:PHG65596 PRC65539:PRC65596 QAY65539:QAY65596 QKU65539:QKU65596 QUQ65539:QUQ65596 REM65539:REM65596 ROI65539:ROI65596 RYE65539:RYE65596 SIA65539:SIA65596 SRW65539:SRW65596 TBS65539:TBS65596 TLO65539:TLO65596 TVK65539:TVK65596 UFG65539:UFG65596 UPC65539:UPC65596 UYY65539:UYY65596 VIU65539:VIU65596 VSQ65539:VSQ65596 WCM65539:WCM65596 WMI65539:WMI65596 WWE65539:WWE65596 D131075:D131132 JS131075:JS131132 TO131075:TO131132 ADK131075:ADK131132 ANG131075:ANG131132 AXC131075:AXC131132 BGY131075:BGY131132 BQU131075:BQU131132 CAQ131075:CAQ131132 CKM131075:CKM131132 CUI131075:CUI131132 DEE131075:DEE131132 DOA131075:DOA131132 DXW131075:DXW131132 EHS131075:EHS131132 ERO131075:ERO131132 FBK131075:FBK131132 FLG131075:FLG131132 FVC131075:FVC131132 GEY131075:GEY131132 GOU131075:GOU131132 GYQ131075:GYQ131132 HIM131075:HIM131132 HSI131075:HSI131132 ICE131075:ICE131132 IMA131075:IMA131132 IVW131075:IVW131132 JFS131075:JFS131132 JPO131075:JPO131132 JZK131075:JZK131132 KJG131075:KJG131132 KTC131075:KTC131132 LCY131075:LCY131132 LMU131075:LMU131132 LWQ131075:LWQ131132 MGM131075:MGM131132 MQI131075:MQI131132 NAE131075:NAE131132 NKA131075:NKA131132 NTW131075:NTW131132 ODS131075:ODS131132 ONO131075:ONO131132 OXK131075:OXK131132 PHG131075:PHG131132 PRC131075:PRC131132 QAY131075:QAY131132 QKU131075:QKU131132 QUQ131075:QUQ131132 REM131075:REM131132 ROI131075:ROI131132 RYE131075:RYE131132 SIA131075:SIA131132 SRW131075:SRW131132 TBS131075:TBS131132 TLO131075:TLO131132 TVK131075:TVK131132 UFG131075:UFG131132 UPC131075:UPC131132 UYY131075:UYY131132 VIU131075:VIU131132 VSQ131075:VSQ131132 WCM131075:WCM131132 WMI131075:WMI131132 WWE131075:WWE131132 D196611:D196668 JS196611:JS196668 TO196611:TO196668 ADK196611:ADK196668 ANG196611:ANG196668 AXC196611:AXC196668 BGY196611:BGY196668 BQU196611:BQU196668 CAQ196611:CAQ196668 CKM196611:CKM196668 CUI196611:CUI196668 DEE196611:DEE196668 DOA196611:DOA196668 DXW196611:DXW196668 EHS196611:EHS196668 ERO196611:ERO196668 FBK196611:FBK196668 FLG196611:FLG196668 FVC196611:FVC196668 GEY196611:GEY196668 GOU196611:GOU196668 GYQ196611:GYQ196668 HIM196611:HIM196668 HSI196611:HSI196668 ICE196611:ICE196668 IMA196611:IMA196668 IVW196611:IVW196668 JFS196611:JFS196668 JPO196611:JPO196668 JZK196611:JZK196668 KJG196611:KJG196668 KTC196611:KTC196668 LCY196611:LCY196668 LMU196611:LMU196668 LWQ196611:LWQ196668 MGM196611:MGM196668 MQI196611:MQI196668 NAE196611:NAE196668 NKA196611:NKA196668 NTW196611:NTW196668 ODS196611:ODS196668 ONO196611:ONO196668 OXK196611:OXK196668 PHG196611:PHG196668 PRC196611:PRC196668 QAY196611:QAY196668 QKU196611:QKU196668 QUQ196611:QUQ196668 REM196611:REM196668 ROI196611:ROI196668 RYE196611:RYE196668 SIA196611:SIA196668 SRW196611:SRW196668 TBS196611:TBS196668 TLO196611:TLO196668 TVK196611:TVK196668 UFG196611:UFG196668 UPC196611:UPC196668 UYY196611:UYY196668 VIU196611:VIU196668 VSQ196611:VSQ196668 WCM196611:WCM196668 WMI196611:WMI196668 WWE196611:WWE196668 D262147:D262204 JS262147:JS262204 TO262147:TO262204 ADK262147:ADK262204 ANG262147:ANG262204 AXC262147:AXC262204 BGY262147:BGY262204 BQU262147:BQU262204 CAQ262147:CAQ262204 CKM262147:CKM262204 CUI262147:CUI262204 DEE262147:DEE262204 DOA262147:DOA262204 DXW262147:DXW262204 EHS262147:EHS262204 ERO262147:ERO262204 FBK262147:FBK262204 FLG262147:FLG262204 FVC262147:FVC262204 GEY262147:GEY262204 GOU262147:GOU262204 GYQ262147:GYQ262204 HIM262147:HIM262204 HSI262147:HSI262204 ICE262147:ICE262204 IMA262147:IMA262204 IVW262147:IVW262204 JFS262147:JFS262204 JPO262147:JPO262204 JZK262147:JZK262204 KJG262147:KJG262204 KTC262147:KTC262204 LCY262147:LCY262204 LMU262147:LMU262204 LWQ262147:LWQ262204 MGM262147:MGM262204 MQI262147:MQI262204 NAE262147:NAE262204 NKA262147:NKA262204 NTW262147:NTW262204 ODS262147:ODS262204 ONO262147:ONO262204 OXK262147:OXK262204 PHG262147:PHG262204 PRC262147:PRC262204 QAY262147:QAY262204 QKU262147:QKU262204 QUQ262147:QUQ262204 REM262147:REM262204 ROI262147:ROI262204 RYE262147:RYE262204 SIA262147:SIA262204 SRW262147:SRW262204 TBS262147:TBS262204 TLO262147:TLO262204 TVK262147:TVK262204 UFG262147:UFG262204 UPC262147:UPC262204 UYY262147:UYY262204 VIU262147:VIU262204 VSQ262147:VSQ262204 WCM262147:WCM262204 WMI262147:WMI262204 WWE262147:WWE262204 D327683:D327740 JS327683:JS327740 TO327683:TO327740 ADK327683:ADK327740 ANG327683:ANG327740 AXC327683:AXC327740 BGY327683:BGY327740 BQU327683:BQU327740 CAQ327683:CAQ327740 CKM327683:CKM327740 CUI327683:CUI327740 DEE327683:DEE327740 DOA327683:DOA327740 DXW327683:DXW327740 EHS327683:EHS327740 ERO327683:ERO327740 FBK327683:FBK327740 FLG327683:FLG327740 FVC327683:FVC327740 GEY327683:GEY327740 GOU327683:GOU327740 GYQ327683:GYQ327740 HIM327683:HIM327740 HSI327683:HSI327740 ICE327683:ICE327740 IMA327683:IMA327740 IVW327683:IVW327740 JFS327683:JFS327740 JPO327683:JPO327740 JZK327683:JZK327740 KJG327683:KJG327740 KTC327683:KTC327740 LCY327683:LCY327740 LMU327683:LMU327740 LWQ327683:LWQ327740 MGM327683:MGM327740 MQI327683:MQI327740 NAE327683:NAE327740 NKA327683:NKA327740 NTW327683:NTW327740 ODS327683:ODS327740 ONO327683:ONO327740 OXK327683:OXK327740 PHG327683:PHG327740 PRC327683:PRC327740 QAY327683:QAY327740 QKU327683:QKU327740 QUQ327683:QUQ327740 REM327683:REM327740 ROI327683:ROI327740 RYE327683:RYE327740 SIA327683:SIA327740 SRW327683:SRW327740 TBS327683:TBS327740 TLO327683:TLO327740 TVK327683:TVK327740 UFG327683:UFG327740 UPC327683:UPC327740 UYY327683:UYY327740 VIU327683:VIU327740 VSQ327683:VSQ327740 WCM327683:WCM327740 WMI327683:WMI327740 WWE327683:WWE327740 D393219:D393276 JS393219:JS393276 TO393219:TO393276 ADK393219:ADK393276 ANG393219:ANG393276 AXC393219:AXC393276 BGY393219:BGY393276 BQU393219:BQU393276 CAQ393219:CAQ393276 CKM393219:CKM393276 CUI393219:CUI393276 DEE393219:DEE393276 DOA393219:DOA393276 DXW393219:DXW393276 EHS393219:EHS393276 ERO393219:ERO393276 FBK393219:FBK393276 FLG393219:FLG393276 FVC393219:FVC393276 GEY393219:GEY393276 GOU393219:GOU393276 GYQ393219:GYQ393276 HIM393219:HIM393276 HSI393219:HSI393276 ICE393219:ICE393276 IMA393219:IMA393276 IVW393219:IVW393276 JFS393219:JFS393276 JPO393219:JPO393276 JZK393219:JZK393276 KJG393219:KJG393276 KTC393219:KTC393276 LCY393219:LCY393276 LMU393219:LMU393276 LWQ393219:LWQ393276 MGM393219:MGM393276 MQI393219:MQI393276 NAE393219:NAE393276 NKA393219:NKA393276 NTW393219:NTW393276 ODS393219:ODS393276 ONO393219:ONO393276 OXK393219:OXK393276 PHG393219:PHG393276 PRC393219:PRC393276 QAY393219:QAY393276 QKU393219:QKU393276 QUQ393219:QUQ393276 REM393219:REM393276 ROI393219:ROI393276 RYE393219:RYE393276 SIA393219:SIA393276 SRW393219:SRW393276 TBS393219:TBS393276 TLO393219:TLO393276 TVK393219:TVK393276 UFG393219:UFG393276 UPC393219:UPC393276 UYY393219:UYY393276 VIU393219:VIU393276 VSQ393219:VSQ393276 WCM393219:WCM393276 WMI393219:WMI393276 WWE393219:WWE393276 D458755:D458812 JS458755:JS458812 TO458755:TO458812 ADK458755:ADK458812 ANG458755:ANG458812 AXC458755:AXC458812 BGY458755:BGY458812 BQU458755:BQU458812 CAQ458755:CAQ458812 CKM458755:CKM458812 CUI458755:CUI458812 DEE458755:DEE458812 DOA458755:DOA458812 DXW458755:DXW458812 EHS458755:EHS458812 ERO458755:ERO458812 FBK458755:FBK458812 FLG458755:FLG458812 FVC458755:FVC458812 GEY458755:GEY458812 GOU458755:GOU458812 GYQ458755:GYQ458812 HIM458755:HIM458812 HSI458755:HSI458812 ICE458755:ICE458812 IMA458755:IMA458812 IVW458755:IVW458812 JFS458755:JFS458812 JPO458755:JPO458812 JZK458755:JZK458812 KJG458755:KJG458812 KTC458755:KTC458812 LCY458755:LCY458812 LMU458755:LMU458812 LWQ458755:LWQ458812 MGM458755:MGM458812 MQI458755:MQI458812 NAE458755:NAE458812 NKA458755:NKA458812 NTW458755:NTW458812 ODS458755:ODS458812 ONO458755:ONO458812 OXK458755:OXK458812 PHG458755:PHG458812 PRC458755:PRC458812 QAY458755:QAY458812 QKU458755:QKU458812 QUQ458755:QUQ458812 REM458755:REM458812 ROI458755:ROI458812 RYE458755:RYE458812 SIA458755:SIA458812 SRW458755:SRW458812 TBS458755:TBS458812 TLO458755:TLO458812 TVK458755:TVK458812 UFG458755:UFG458812 UPC458755:UPC458812 UYY458755:UYY458812 VIU458755:VIU458812 VSQ458755:VSQ458812 WCM458755:WCM458812 WMI458755:WMI458812 WWE458755:WWE458812 D524291:D524348 JS524291:JS524348 TO524291:TO524348 ADK524291:ADK524348 ANG524291:ANG524348 AXC524291:AXC524348 BGY524291:BGY524348 BQU524291:BQU524348 CAQ524291:CAQ524348 CKM524291:CKM524348 CUI524291:CUI524348 DEE524291:DEE524348 DOA524291:DOA524348 DXW524291:DXW524348 EHS524291:EHS524348 ERO524291:ERO524348 FBK524291:FBK524348 FLG524291:FLG524348 FVC524291:FVC524348 GEY524291:GEY524348 GOU524291:GOU524348 GYQ524291:GYQ524348 HIM524291:HIM524348 HSI524291:HSI524348 ICE524291:ICE524348 IMA524291:IMA524348 IVW524291:IVW524348 JFS524291:JFS524348 JPO524291:JPO524348 JZK524291:JZK524348 KJG524291:KJG524348 KTC524291:KTC524348 LCY524291:LCY524348 LMU524291:LMU524348 LWQ524291:LWQ524348 MGM524291:MGM524348 MQI524291:MQI524348 NAE524291:NAE524348 NKA524291:NKA524348 NTW524291:NTW524348 ODS524291:ODS524348 ONO524291:ONO524348 OXK524291:OXK524348 PHG524291:PHG524348 PRC524291:PRC524348 QAY524291:QAY524348 QKU524291:QKU524348 QUQ524291:QUQ524348 REM524291:REM524348 ROI524291:ROI524348 RYE524291:RYE524348 SIA524291:SIA524348 SRW524291:SRW524348 TBS524291:TBS524348 TLO524291:TLO524348 TVK524291:TVK524348 UFG524291:UFG524348 UPC524291:UPC524348 UYY524291:UYY524348 VIU524291:VIU524348 VSQ524291:VSQ524348 WCM524291:WCM524348 WMI524291:WMI524348 WWE524291:WWE524348 D589827:D589884 JS589827:JS589884 TO589827:TO589884 ADK589827:ADK589884 ANG589827:ANG589884 AXC589827:AXC589884 BGY589827:BGY589884 BQU589827:BQU589884 CAQ589827:CAQ589884 CKM589827:CKM589884 CUI589827:CUI589884 DEE589827:DEE589884 DOA589827:DOA589884 DXW589827:DXW589884 EHS589827:EHS589884 ERO589827:ERO589884 FBK589827:FBK589884 FLG589827:FLG589884 FVC589827:FVC589884 GEY589827:GEY589884 GOU589827:GOU589884 GYQ589827:GYQ589884 HIM589827:HIM589884 HSI589827:HSI589884 ICE589827:ICE589884 IMA589827:IMA589884 IVW589827:IVW589884 JFS589827:JFS589884 JPO589827:JPO589884 JZK589827:JZK589884 KJG589827:KJG589884 KTC589827:KTC589884 LCY589827:LCY589884 LMU589827:LMU589884 LWQ589827:LWQ589884 MGM589827:MGM589884 MQI589827:MQI589884 NAE589827:NAE589884 NKA589827:NKA589884 NTW589827:NTW589884 ODS589827:ODS589884 ONO589827:ONO589884 OXK589827:OXK589884 PHG589827:PHG589884 PRC589827:PRC589884 QAY589827:QAY589884 QKU589827:QKU589884 QUQ589827:QUQ589884 REM589827:REM589884 ROI589827:ROI589884 RYE589827:RYE589884 SIA589827:SIA589884 SRW589827:SRW589884 TBS589827:TBS589884 TLO589827:TLO589884 TVK589827:TVK589884 UFG589827:UFG589884 UPC589827:UPC589884 UYY589827:UYY589884 VIU589827:VIU589884 VSQ589827:VSQ589884 WCM589827:WCM589884 WMI589827:WMI589884 WWE589827:WWE589884 D655363:D655420 JS655363:JS655420 TO655363:TO655420 ADK655363:ADK655420 ANG655363:ANG655420 AXC655363:AXC655420 BGY655363:BGY655420 BQU655363:BQU655420 CAQ655363:CAQ655420 CKM655363:CKM655420 CUI655363:CUI655420 DEE655363:DEE655420 DOA655363:DOA655420 DXW655363:DXW655420 EHS655363:EHS655420 ERO655363:ERO655420 FBK655363:FBK655420 FLG655363:FLG655420 FVC655363:FVC655420 GEY655363:GEY655420 GOU655363:GOU655420 GYQ655363:GYQ655420 HIM655363:HIM655420 HSI655363:HSI655420 ICE655363:ICE655420 IMA655363:IMA655420 IVW655363:IVW655420 JFS655363:JFS655420 JPO655363:JPO655420 JZK655363:JZK655420 KJG655363:KJG655420 KTC655363:KTC655420 LCY655363:LCY655420 LMU655363:LMU655420 LWQ655363:LWQ655420 MGM655363:MGM655420 MQI655363:MQI655420 NAE655363:NAE655420 NKA655363:NKA655420 NTW655363:NTW655420 ODS655363:ODS655420 ONO655363:ONO655420 OXK655363:OXK655420 PHG655363:PHG655420 PRC655363:PRC655420 QAY655363:QAY655420 QKU655363:QKU655420 QUQ655363:QUQ655420 REM655363:REM655420 ROI655363:ROI655420 RYE655363:RYE655420 SIA655363:SIA655420 SRW655363:SRW655420 TBS655363:TBS655420 TLO655363:TLO655420 TVK655363:TVK655420 UFG655363:UFG655420 UPC655363:UPC655420 UYY655363:UYY655420 VIU655363:VIU655420 VSQ655363:VSQ655420 WCM655363:WCM655420 WMI655363:WMI655420 WWE655363:WWE655420 D720899:D720956 JS720899:JS720956 TO720899:TO720956 ADK720899:ADK720956 ANG720899:ANG720956 AXC720899:AXC720956 BGY720899:BGY720956 BQU720899:BQU720956 CAQ720899:CAQ720956 CKM720899:CKM720956 CUI720899:CUI720956 DEE720899:DEE720956 DOA720899:DOA720956 DXW720899:DXW720956 EHS720899:EHS720956 ERO720899:ERO720956 FBK720899:FBK720956 FLG720899:FLG720956 FVC720899:FVC720956 GEY720899:GEY720956 GOU720899:GOU720956 GYQ720899:GYQ720956 HIM720899:HIM720956 HSI720899:HSI720956 ICE720899:ICE720956 IMA720899:IMA720956 IVW720899:IVW720956 JFS720899:JFS720956 JPO720899:JPO720956 JZK720899:JZK720956 KJG720899:KJG720956 KTC720899:KTC720956 LCY720899:LCY720956 LMU720899:LMU720956 LWQ720899:LWQ720956 MGM720899:MGM720956 MQI720899:MQI720956 NAE720899:NAE720956 NKA720899:NKA720956 NTW720899:NTW720956 ODS720899:ODS720956 ONO720899:ONO720956 OXK720899:OXK720956 PHG720899:PHG720956 PRC720899:PRC720956 QAY720899:QAY720956 QKU720899:QKU720956 QUQ720899:QUQ720956 REM720899:REM720956 ROI720899:ROI720956 RYE720899:RYE720956 SIA720899:SIA720956 SRW720899:SRW720956 TBS720899:TBS720956 TLO720899:TLO720956 TVK720899:TVK720956 UFG720899:UFG720956 UPC720899:UPC720956 UYY720899:UYY720956 VIU720899:VIU720956 VSQ720899:VSQ720956 WCM720899:WCM720956 WMI720899:WMI720956 WWE720899:WWE720956 D786435:D786492 JS786435:JS786492 TO786435:TO786492 ADK786435:ADK786492 ANG786435:ANG786492 AXC786435:AXC786492 BGY786435:BGY786492 BQU786435:BQU786492 CAQ786435:CAQ786492 CKM786435:CKM786492 CUI786435:CUI786492 DEE786435:DEE786492 DOA786435:DOA786492 DXW786435:DXW786492 EHS786435:EHS786492 ERO786435:ERO786492 FBK786435:FBK786492 FLG786435:FLG786492 FVC786435:FVC786492 GEY786435:GEY786492 GOU786435:GOU786492 GYQ786435:GYQ786492 HIM786435:HIM786492 HSI786435:HSI786492 ICE786435:ICE786492 IMA786435:IMA786492 IVW786435:IVW786492 JFS786435:JFS786492 JPO786435:JPO786492 JZK786435:JZK786492 KJG786435:KJG786492 KTC786435:KTC786492 LCY786435:LCY786492 LMU786435:LMU786492 LWQ786435:LWQ786492 MGM786435:MGM786492 MQI786435:MQI786492 NAE786435:NAE786492 NKA786435:NKA786492 NTW786435:NTW786492 ODS786435:ODS786492 ONO786435:ONO786492 OXK786435:OXK786492 PHG786435:PHG786492 PRC786435:PRC786492 QAY786435:QAY786492 QKU786435:QKU786492 QUQ786435:QUQ786492 REM786435:REM786492 ROI786435:ROI786492 RYE786435:RYE786492 SIA786435:SIA786492 SRW786435:SRW786492 TBS786435:TBS786492 TLO786435:TLO786492 TVK786435:TVK786492 UFG786435:UFG786492 UPC786435:UPC786492 UYY786435:UYY786492 VIU786435:VIU786492 VSQ786435:VSQ786492 WCM786435:WCM786492 WMI786435:WMI786492 WWE786435:WWE786492 D851971:D852028 JS851971:JS852028 TO851971:TO852028 ADK851971:ADK852028 ANG851971:ANG852028 AXC851971:AXC852028 BGY851971:BGY852028 BQU851971:BQU852028 CAQ851971:CAQ852028 CKM851971:CKM852028 CUI851971:CUI852028 DEE851971:DEE852028 DOA851971:DOA852028 DXW851971:DXW852028 EHS851971:EHS852028 ERO851971:ERO852028 FBK851971:FBK852028 FLG851971:FLG852028 FVC851971:FVC852028 GEY851971:GEY852028 GOU851971:GOU852028 GYQ851971:GYQ852028 HIM851971:HIM852028 HSI851971:HSI852028 ICE851971:ICE852028 IMA851971:IMA852028 IVW851971:IVW852028 JFS851971:JFS852028 JPO851971:JPO852028 JZK851971:JZK852028 KJG851971:KJG852028 KTC851971:KTC852028 LCY851971:LCY852028 LMU851971:LMU852028 LWQ851971:LWQ852028 MGM851971:MGM852028 MQI851971:MQI852028 NAE851971:NAE852028 NKA851971:NKA852028 NTW851971:NTW852028 ODS851971:ODS852028 ONO851971:ONO852028 OXK851971:OXK852028 PHG851971:PHG852028 PRC851971:PRC852028 QAY851971:QAY852028 QKU851971:QKU852028 QUQ851971:QUQ852028 REM851971:REM852028 ROI851971:ROI852028 RYE851971:RYE852028 SIA851971:SIA852028 SRW851971:SRW852028 TBS851971:TBS852028 TLO851971:TLO852028 TVK851971:TVK852028 UFG851971:UFG852028 UPC851971:UPC852028 UYY851971:UYY852028 VIU851971:VIU852028 VSQ851971:VSQ852028 WCM851971:WCM852028 WMI851971:WMI852028 WWE851971:WWE852028 D917507:D917564 JS917507:JS917564 TO917507:TO917564 ADK917507:ADK917564 ANG917507:ANG917564 AXC917507:AXC917564 BGY917507:BGY917564 BQU917507:BQU917564 CAQ917507:CAQ917564 CKM917507:CKM917564 CUI917507:CUI917564 DEE917507:DEE917564 DOA917507:DOA917564 DXW917507:DXW917564 EHS917507:EHS917564 ERO917507:ERO917564 FBK917507:FBK917564 FLG917507:FLG917564 FVC917507:FVC917564 GEY917507:GEY917564 GOU917507:GOU917564 GYQ917507:GYQ917564 HIM917507:HIM917564 HSI917507:HSI917564 ICE917507:ICE917564 IMA917507:IMA917564 IVW917507:IVW917564 JFS917507:JFS917564 JPO917507:JPO917564 JZK917507:JZK917564 KJG917507:KJG917564 KTC917507:KTC917564 LCY917507:LCY917564 LMU917507:LMU917564 LWQ917507:LWQ917564 MGM917507:MGM917564 MQI917507:MQI917564 NAE917507:NAE917564 NKA917507:NKA917564 NTW917507:NTW917564 ODS917507:ODS917564 ONO917507:ONO917564 OXK917507:OXK917564 PHG917507:PHG917564 PRC917507:PRC917564 QAY917507:QAY917564 QKU917507:QKU917564 QUQ917507:QUQ917564 REM917507:REM917564 ROI917507:ROI917564 RYE917507:RYE917564 SIA917507:SIA917564 SRW917507:SRW917564 TBS917507:TBS917564 TLO917507:TLO917564 TVK917507:TVK917564 UFG917507:UFG917564 UPC917507:UPC917564 UYY917507:UYY917564 VIU917507:VIU917564 VSQ917507:VSQ917564 WCM917507:WCM917564 WMI917507:WMI917564 WWE917507:WWE917564 D983043:D983100 JS983043:JS983100 TO983043:TO983100 ADK983043:ADK983100 ANG983043:ANG983100 AXC983043:AXC983100 BGY983043:BGY983100 BQU983043:BQU983100 CAQ983043:CAQ983100 CKM983043:CKM983100 CUI983043:CUI983100 DEE983043:DEE983100 DOA983043:DOA983100 DXW983043:DXW983100 EHS983043:EHS983100 ERO983043:ERO983100 FBK983043:FBK983100 FLG983043:FLG983100 FVC983043:FVC983100 GEY983043:GEY983100 GOU983043:GOU983100 GYQ983043:GYQ983100 HIM983043:HIM983100 HSI983043:HSI983100 ICE983043:ICE983100 IMA983043:IMA983100 IVW983043:IVW983100 JFS983043:JFS983100 JPO983043:JPO983100 JZK983043:JZK983100 KJG983043:KJG983100 KTC983043:KTC983100 LCY983043:LCY983100 LMU983043:LMU983100 LWQ983043:LWQ983100 MGM983043:MGM983100 MQI983043:MQI983100 NAE983043:NAE983100 NKA983043:NKA983100 NTW983043:NTW983100 ODS983043:ODS983100 ONO983043:ONO983100 OXK983043:OXK983100 PHG983043:PHG983100 PRC983043:PRC983100 QAY983043:QAY983100 QKU983043:QKU983100 QUQ983043:QUQ983100 REM983043:REM983100 ROI983043:ROI983100 RYE983043:RYE983100 SIA983043:SIA983100 SRW983043:SRW983100 TBS983043:TBS983100 TLO983043:TLO983100 TVK983043:TVK983100 UFG983043:UFG983100 UPC983043:UPC983100 UYY983043:UYY983100 VIU983043:VIU983100 VSQ983043:VSQ983100 WCM983043:WCM983100 WMI983043:WMI983100 WWE983043:WWE983100">
      <formula1>"ACS,AGRI,BNC,"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Paramètres!$O$6:$O$16</xm:f>
          </x14:formula1>
          <xm:sqref>AK3:AK60</xm:sqref>
        </x14:dataValidation>
        <x14:dataValidation type="list" allowBlank="1" showInputMessage="1" showErrorMessage="1">
          <x14:formula1>
            <xm:f>Paramètres!$O$4:$O$16</xm:f>
          </x14:formula1>
          <xm:sqref>BF3:BF60</xm:sqref>
        </x14:dataValidation>
        <x14:dataValidation type="list" allowBlank="1" showInputMessage="1" showErrorMessage="1">
          <x14:formula1>
            <xm:f>Paramètres!$N$4:$N$13</xm:f>
          </x14:formula1>
          <xm:sqref>BE3:BE60</xm:sqref>
        </x14:dataValidation>
        <x14:dataValidation type="list" allowBlank="1" showInputMessage="1" showErrorMessage="1">
          <x14:formula1>
            <xm:f>Paramètres!$K$4:$K$9</xm:f>
          </x14:formula1>
          <xm:sqref>AJ3</xm:sqref>
        </x14:dataValidation>
        <x14:dataValidation type="list" allowBlank="1" showInputMessage="1" showErrorMessage="1">
          <x14:formula1>
            <xm:f>Paramètres!$L$4:$L$11</xm:f>
          </x14:formula1>
          <xm:sqref>A3:A60</xm:sqref>
        </x14:dataValidation>
        <x14:dataValidation type="list" allowBlank="1" showInputMessage="1" showErrorMessage="1">
          <x14:formula1>
            <xm:f>Paramètres!$K$4:$K$8</xm:f>
          </x14:formula1>
          <xm:sqref>AJ4:AJ60</xm:sqref>
        </x14:dataValidation>
        <x14:dataValidation type="list" allowBlank="1" showInputMessage="1" showErrorMessage="1">
          <x14:formula1>
            <xm:f>Paramètres!$J$4:$J$7</xm:f>
          </x14:formula1>
          <xm:sqref>AI3:AI60</xm:sqref>
        </x14:dataValidation>
        <x14:dataValidation type="list" allowBlank="1" showInputMessage="1" showErrorMessage="1">
          <x14:formula1>
            <xm:f>Paramètres!$F$4:$F$17</xm:f>
          </x14:formula1>
          <xm:sqref>F3:F52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DL183"/>
  <sheetViews>
    <sheetView zoomScale="85" zoomScaleNormal="85" workbookViewId="0">
      <pane xSplit="5" ySplit="2" topLeftCell="F3" activePane="bottomRight" state="frozen"/>
      <selection pane="topRight" activeCell="F1" sqref="F1"/>
      <selection pane="bottomLeft" activeCell="A3" sqref="A3"/>
      <selection pane="bottomRight" activeCell="A3" sqref="A3:A5"/>
    </sheetView>
  </sheetViews>
  <sheetFormatPr baseColWidth="10" defaultRowHeight="15" x14ac:dyDescent="0.25"/>
  <cols>
    <col min="1" max="1" width="24.42578125" style="89" bestFit="1" customWidth="1"/>
    <col min="2" max="2" width="15.42578125" style="89" customWidth="1"/>
    <col min="3" max="3" width="33.7109375" style="89" customWidth="1"/>
    <col min="4" max="4" width="19" style="89" customWidth="1"/>
    <col min="5" max="5" width="19.85546875" style="89" customWidth="1"/>
    <col min="6" max="6" width="18.5703125" style="89" customWidth="1"/>
    <col min="7" max="7" width="19.7109375" style="89" customWidth="1"/>
    <col min="8" max="8" width="14.85546875" style="89" customWidth="1"/>
    <col min="9" max="9" width="16.85546875" style="89" customWidth="1"/>
    <col min="10" max="12" width="11.42578125" style="89" customWidth="1"/>
    <col min="13" max="13" width="18.140625" style="89" customWidth="1"/>
    <col min="14" max="14" width="11.42578125" style="89" customWidth="1"/>
    <col min="15" max="15" width="12.5703125" style="89" customWidth="1"/>
    <col min="16" max="16" width="25" style="89" customWidth="1"/>
    <col min="17" max="17" width="16.5703125" style="89" customWidth="1"/>
    <col min="18" max="18" width="24" style="89" customWidth="1"/>
    <col min="19" max="19" width="16.5703125" style="89" customWidth="1"/>
    <col min="20" max="21" width="20" style="89" customWidth="1"/>
    <col min="22" max="22" width="20.85546875" style="89" customWidth="1"/>
    <col min="23" max="23" width="11.42578125" style="89" customWidth="1"/>
    <col min="24" max="24" width="23.7109375" style="89" customWidth="1"/>
    <col min="25" max="25" width="14" style="89" customWidth="1"/>
    <col min="26" max="26" width="13.28515625" style="89" customWidth="1"/>
    <col min="27" max="28" width="18.5703125" style="89" customWidth="1"/>
    <col min="29" max="29" width="18" style="89" customWidth="1"/>
    <col min="30" max="30" width="11.42578125" style="241" customWidth="1"/>
    <col min="31" max="32" width="18" style="89" customWidth="1"/>
    <col min="33" max="33" width="11.42578125" style="89" customWidth="1"/>
    <col min="34" max="35" width="18.7109375" style="241" customWidth="1"/>
    <col min="36" max="36" width="20" style="241" customWidth="1"/>
    <col min="37" max="37" width="18" style="89" customWidth="1"/>
    <col min="38" max="43" width="19" style="89" customWidth="1"/>
    <col min="44" max="44" width="11.42578125" style="241" customWidth="1"/>
    <col min="45" max="49" width="11.42578125" style="89" customWidth="1"/>
    <col min="50" max="50" width="15.140625" style="89" customWidth="1"/>
    <col min="51" max="51" width="14" style="89" customWidth="1"/>
    <col min="52" max="52" width="15.140625" style="89" customWidth="1"/>
    <col min="53" max="53" width="11.42578125" style="89" customWidth="1"/>
    <col min="54" max="54" width="22.28515625" style="89" customWidth="1"/>
    <col min="55" max="56" width="29.5703125" style="89" customWidth="1"/>
    <col min="57" max="57" width="30.85546875" style="89" customWidth="1"/>
    <col min="58" max="62" width="11.42578125" style="89" customWidth="1"/>
    <col min="63" max="76" width="30.7109375" style="89" customWidth="1"/>
    <col min="77" max="112" width="11.42578125" style="89" customWidth="1"/>
    <col min="113" max="116" width="11.42578125" style="89" hidden="1" customWidth="1"/>
    <col min="117" max="276" width="11.42578125" style="89"/>
    <col min="277" max="277" width="15.5703125" style="89" bestFit="1" customWidth="1"/>
    <col min="278" max="278" width="33.7109375" style="89" customWidth="1"/>
    <col min="279" max="279" width="19" style="89" customWidth="1"/>
    <col min="280" max="280" width="19.85546875" style="89" customWidth="1"/>
    <col min="281" max="281" width="18.5703125" style="89" customWidth="1"/>
    <col min="282" max="282" width="19.7109375" style="89" customWidth="1"/>
    <col min="283" max="283" width="14.85546875" style="89" customWidth="1"/>
    <col min="284" max="284" width="16.85546875" style="89" customWidth="1"/>
    <col min="285" max="287" width="11.42578125" style="89" customWidth="1"/>
    <col min="288" max="288" width="18.140625" style="89" customWidth="1"/>
    <col min="289" max="289" width="11.42578125" style="89" customWidth="1"/>
    <col min="290" max="290" width="12.5703125" style="89" customWidth="1"/>
    <col min="291" max="291" width="25" style="89" customWidth="1"/>
    <col min="292" max="292" width="16.5703125" style="89" bestFit="1" customWidth="1"/>
    <col min="293" max="293" width="24" style="89" customWidth="1"/>
    <col min="294" max="294" width="11.42578125" style="89" customWidth="1"/>
    <col min="295" max="295" width="20" style="89" customWidth="1"/>
    <col min="296" max="296" width="11.42578125" style="89" customWidth="1"/>
    <col min="297" max="297" width="19" style="89" customWidth="1"/>
    <col min="298" max="301" width="11.42578125" style="89" customWidth="1"/>
    <col min="302" max="302" width="15.140625" style="89" customWidth="1"/>
    <col min="303" max="303" width="14" style="89" customWidth="1"/>
    <col min="304" max="304" width="15.140625" style="89" customWidth="1"/>
    <col min="305" max="305" width="11.42578125" style="89" customWidth="1"/>
    <col min="306" max="306" width="51.7109375" style="89" customWidth="1"/>
    <col min="307" max="308" width="29.5703125" style="89" customWidth="1"/>
    <col min="309" max="309" width="44.42578125" style="89" customWidth="1"/>
    <col min="310" max="310" width="36.28515625" style="89" customWidth="1"/>
    <col min="311" max="311" width="27.42578125" style="89" bestFit="1" customWidth="1"/>
    <col min="312" max="532" width="11.42578125" style="89"/>
    <col min="533" max="533" width="15.5703125" style="89" bestFit="1" customWidth="1"/>
    <col min="534" max="534" width="33.7109375" style="89" customWidth="1"/>
    <col min="535" max="535" width="19" style="89" customWidth="1"/>
    <col min="536" max="536" width="19.85546875" style="89" customWidth="1"/>
    <col min="537" max="537" width="18.5703125" style="89" customWidth="1"/>
    <col min="538" max="538" width="19.7109375" style="89" customWidth="1"/>
    <col min="539" max="539" width="14.85546875" style="89" customWidth="1"/>
    <col min="540" max="540" width="16.85546875" style="89" customWidth="1"/>
    <col min="541" max="543" width="11.42578125" style="89" customWidth="1"/>
    <col min="544" max="544" width="18.140625" style="89" customWidth="1"/>
    <col min="545" max="545" width="11.42578125" style="89" customWidth="1"/>
    <col min="546" max="546" width="12.5703125" style="89" customWidth="1"/>
    <col min="547" max="547" width="25" style="89" customWidth="1"/>
    <col min="548" max="548" width="16.5703125" style="89" bestFit="1" customWidth="1"/>
    <col min="549" max="549" width="24" style="89" customWidth="1"/>
    <col min="550" max="550" width="11.42578125" style="89" customWidth="1"/>
    <col min="551" max="551" width="20" style="89" customWidth="1"/>
    <col min="552" max="552" width="11.42578125" style="89" customWidth="1"/>
    <col min="553" max="553" width="19" style="89" customWidth="1"/>
    <col min="554" max="557" width="11.42578125" style="89" customWidth="1"/>
    <col min="558" max="558" width="15.140625" style="89" customWidth="1"/>
    <col min="559" max="559" width="14" style="89" customWidth="1"/>
    <col min="560" max="560" width="15.140625" style="89" customWidth="1"/>
    <col min="561" max="561" width="11.42578125" style="89" customWidth="1"/>
    <col min="562" max="562" width="51.7109375" style="89" customWidth="1"/>
    <col min="563" max="564" width="29.5703125" style="89" customWidth="1"/>
    <col min="565" max="565" width="44.42578125" style="89" customWidth="1"/>
    <col min="566" max="566" width="36.28515625" style="89" customWidth="1"/>
    <col min="567" max="567" width="27.42578125" style="89" bestFit="1" customWidth="1"/>
    <col min="568" max="788" width="11.42578125" style="89"/>
    <col min="789" max="789" width="15.5703125" style="89" bestFit="1" customWidth="1"/>
    <col min="790" max="790" width="33.7109375" style="89" customWidth="1"/>
    <col min="791" max="791" width="19" style="89" customWidth="1"/>
    <col min="792" max="792" width="19.85546875" style="89" customWidth="1"/>
    <col min="793" max="793" width="18.5703125" style="89" customWidth="1"/>
    <col min="794" max="794" width="19.7109375" style="89" customWidth="1"/>
    <col min="795" max="795" width="14.85546875" style="89" customWidth="1"/>
    <col min="796" max="796" width="16.85546875" style="89" customWidth="1"/>
    <col min="797" max="799" width="11.42578125" style="89" customWidth="1"/>
    <col min="800" max="800" width="18.140625" style="89" customWidth="1"/>
    <col min="801" max="801" width="11.42578125" style="89" customWidth="1"/>
    <col min="802" max="802" width="12.5703125" style="89" customWidth="1"/>
    <col min="803" max="803" width="25" style="89" customWidth="1"/>
    <col min="804" max="804" width="16.5703125" style="89" bestFit="1" customWidth="1"/>
    <col min="805" max="805" width="24" style="89" customWidth="1"/>
    <col min="806" max="806" width="11.42578125" style="89" customWidth="1"/>
    <col min="807" max="807" width="20" style="89" customWidth="1"/>
    <col min="808" max="808" width="11.42578125" style="89" customWidth="1"/>
    <col min="809" max="809" width="19" style="89" customWidth="1"/>
    <col min="810" max="813" width="11.42578125" style="89" customWidth="1"/>
    <col min="814" max="814" width="15.140625" style="89" customWidth="1"/>
    <col min="815" max="815" width="14" style="89" customWidth="1"/>
    <col min="816" max="816" width="15.140625" style="89" customWidth="1"/>
    <col min="817" max="817" width="11.42578125" style="89" customWidth="1"/>
    <col min="818" max="818" width="51.7109375" style="89" customWidth="1"/>
    <col min="819" max="820" width="29.5703125" style="89" customWidth="1"/>
    <col min="821" max="821" width="44.42578125" style="89" customWidth="1"/>
    <col min="822" max="822" width="36.28515625" style="89" customWidth="1"/>
    <col min="823" max="823" width="27.42578125" style="89" bestFit="1" customWidth="1"/>
    <col min="824" max="1044" width="11.42578125" style="89"/>
    <col min="1045" max="1045" width="15.5703125" style="89" bestFit="1" customWidth="1"/>
    <col min="1046" max="1046" width="33.7109375" style="89" customWidth="1"/>
    <col min="1047" max="1047" width="19" style="89" customWidth="1"/>
    <col min="1048" max="1048" width="19.85546875" style="89" customWidth="1"/>
    <col min="1049" max="1049" width="18.5703125" style="89" customWidth="1"/>
    <col min="1050" max="1050" width="19.7109375" style="89" customWidth="1"/>
    <col min="1051" max="1051" width="14.85546875" style="89" customWidth="1"/>
    <col min="1052" max="1052" width="16.85546875" style="89" customWidth="1"/>
    <col min="1053" max="1055" width="11.42578125" style="89" customWidth="1"/>
    <col min="1056" max="1056" width="18.140625" style="89" customWidth="1"/>
    <col min="1057" max="1057" width="11.42578125" style="89" customWidth="1"/>
    <col min="1058" max="1058" width="12.5703125" style="89" customWidth="1"/>
    <col min="1059" max="1059" width="25" style="89" customWidth="1"/>
    <col min="1060" max="1060" width="16.5703125" style="89" bestFit="1" customWidth="1"/>
    <col min="1061" max="1061" width="24" style="89" customWidth="1"/>
    <col min="1062" max="1062" width="11.42578125" style="89" customWidth="1"/>
    <col min="1063" max="1063" width="20" style="89" customWidth="1"/>
    <col min="1064" max="1064" width="11.42578125" style="89" customWidth="1"/>
    <col min="1065" max="1065" width="19" style="89" customWidth="1"/>
    <col min="1066" max="1069" width="11.42578125" style="89" customWidth="1"/>
    <col min="1070" max="1070" width="15.140625" style="89" customWidth="1"/>
    <col min="1071" max="1071" width="14" style="89" customWidth="1"/>
    <col min="1072" max="1072" width="15.140625" style="89" customWidth="1"/>
    <col min="1073" max="1073" width="11.42578125" style="89" customWidth="1"/>
    <col min="1074" max="1074" width="51.7109375" style="89" customWidth="1"/>
    <col min="1075" max="1076" width="29.5703125" style="89" customWidth="1"/>
    <col min="1077" max="1077" width="44.42578125" style="89" customWidth="1"/>
    <col min="1078" max="1078" width="36.28515625" style="89" customWidth="1"/>
    <col min="1079" max="1079" width="27.42578125" style="89" bestFit="1" customWidth="1"/>
    <col min="1080" max="1300" width="11.42578125" style="89"/>
    <col min="1301" max="1301" width="15.5703125" style="89" bestFit="1" customWidth="1"/>
    <col min="1302" max="1302" width="33.7109375" style="89" customWidth="1"/>
    <col min="1303" max="1303" width="19" style="89" customWidth="1"/>
    <col min="1304" max="1304" width="19.85546875" style="89" customWidth="1"/>
    <col min="1305" max="1305" width="18.5703125" style="89" customWidth="1"/>
    <col min="1306" max="1306" width="19.7109375" style="89" customWidth="1"/>
    <col min="1307" max="1307" width="14.85546875" style="89" customWidth="1"/>
    <col min="1308" max="1308" width="16.85546875" style="89" customWidth="1"/>
    <col min="1309" max="1311" width="11.42578125" style="89" customWidth="1"/>
    <col min="1312" max="1312" width="18.140625" style="89" customWidth="1"/>
    <col min="1313" max="1313" width="11.42578125" style="89" customWidth="1"/>
    <col min="1314" max="1314" width="12.5703125" style="89" customWidth="1"/>
    <col min="1315" max="1315" width="25" style="89" customWidth="1"/>
    <col min="1316" max="1316" width="16.5703125" style="89" bestFit="1" customWidth="1"/>
    <col min="1317" max="1317" width="24" style="89" customWidth="1"/>
    <col min="1318" max="1318" width="11.42578125" style="89" customWidth="1"/>
    <col min="1319" max="1319" width="20" style="89" customWidth="1"/>
    <col min="1320" max="1320" width="11.42578125" style="89" customWidth="1"/>
    <col min="1321" max="1321" width="19" style="89" customWidth="1"/>
    <col min="1322" max="1325" width="11.42578125" style="89" customWidth="1"/>
    <col min="1326" max="1326" width="15.140625" style="89" customWidth="1"/>
    <col min="1327" max="1327" width="14" style="89" customWidth="1"/>
    <col min="1328" max="1328" width="15.140625" style="89" customWidth="1"/>
    <col min="1329" max="1329" width="11.42578125" style="89" customWidth="1"/>
    <col min="1330" max="1330" width="51.7109375" style="89" customWidth="1"/>
    <col min="1331" max="1332" width="29.5703125" style="89" customWidth="1"/>
    <col min="1333" max="1333" width="44.42578125" style="89" customWidth="1"/>
    <col min="1334" max="1334" width="36.28515625" style="89" customWidth="1"/>
    <col min="1335" max="1335" width="27.42578125" style="89" bestFit="1" customWidth="1"/>
    <col min="1336" max="1556" width="11.42578125" style="89"/>
    <col min="1557" max="1557" width="15.5703125" style="89" bestFit="1" customWidth="1"/>
    <col min="1558" max="1558" width="33.7109375" style="89" customWidth="1"/>
    <col min="1559" max="1559" width="19" style="89" customWidth="1"/>
    <col min="1560" max="1560" width="19.85546875" style="89" customWidth="1"/>
    <col min="1561" max="1561" width="18.5703125" style="89" customWidth="1"/>
    <col min="1562" max="1562" width="19.7109375" style="89" customWidth="1"/>
    <col min="1563" max="1563" width="14.85546875" style="89" customWidth="1"/>
    <col min="1564" max="1564" width="16.85546875" style="89" customWidth="1"/>
    <col min="1565" max="1567" width="11.42578125" style="89" customWidth="1"/>
    <col min="1568" max="1568" width="18.140625" style="89" customWidth="1"/>
    <col min="1569" max="1569" width="11.42578125" style="89" customWidth="1"/>
    <col min="1570" max="1570" width="12.5703125" style="89" customWidth="1"/>
    <col min="1571" max="1571" width="25" style="89" customWidth="1"/>
    <col min="1572" max="1572" width="16.5703125" style="89" bestFit="1" customWidth="1"/>
    <col min="1573" max="1573" width="24" style="89" customWidth="1"/>
    <col min="1574" max="1574" width="11.42578125" style="89" customWidth="1"/>
    <col min="1575" max="1575" width="20" style="89" customWidth="1"/>
    <col min="1576" max="1576" width="11.42578125" style="89" customWidth="1"/>
    <col min="1577" max="1577" width="19" style="89" customWidth="1"/>
    <col min="1578" max="1581" width="11.42578125" style="89" customWidth="1"/>
    <col min="1582" max="1582" width="15.140625" style="89" customWidth="1"/>
    <col min="1583" max="1583" width="14" style="89" customWidth="1"/>
    <col min="1584" max="1584" width="15.140625" style="89" customWidth="1"/>
    <col min="1585" max="1585" width="11.42578125" style="89" customWidth="1"/>
    <col min="1586" max="1586" width="51.7109375" style="89" customWidth="1"/>
    <col min="1587" max="1588" width="29.5703125" style="89" customWidth="1"/>
    <col min="1589" max="1589" width="44.42578125" style="89" customWidth="1"/>
    <col min="1590" max="1590" width="36.28515625" style="89" customWidth="1"/>
    <col min="1591" max="1591" width="27.42578125" style="89" bestFit="1" customWidth="1"/>
    <col min="1592" max="1812" width="11.42578125" style="89"/>
    <col min="1813" max="1813" width="15.5703125" style="89" bestFit="1" customWidth="1"/>
    <col min="1814" max="1814" width="33.7109375" style="89" customWidth="1"/>
    <col min="1815" max="1815" width="19" style="89" customWidth="1"/>
    <col min="1816" max="1816" width="19.85546875" style="89" customWidth="1"/>
    <col min="1817" max="1817" width="18.5703125" style="89" customWidth="1"/>
    <col min="1818" max="1818" width="19.7109375" style="89" customWidth="1"/>
    <col min="1819" max="1819" width="14.85546875" style="89" customWidth="1"/>
    <col min="1820" max="1820" width="16.85546875" style="89" customWidth="1"/>
    <col min="1821" max="1823" width="11.42578125" style="89" customWidth="1"/>
    <col min="1824" max="1824" width="18.140625" style="89" customWidth="1"/>
    <col min="1825" max="1825" width="11.42578125" style="89" customWidth="1"/>
    <col min="1826" max="1826" width="12.5703125" style="89" customWidth="1"/>
    <col min="1827" max="1827" width="25" style="89" customWidth="1"/>
    <col min="1828" max="1828" width="16.5703125" style="89" bestFit="1" customWidth="1"/>
    <col min="1829" max="1829" width="24" style="89" customWidth="1"/>
    <col min="1830" max="1830" width="11.42578125" style="89" customWidth="1"/>
    <col min="1831" max="1831" width="20" style="89" customWidth="1"/>
    <col min="1832" max="1832" width="11.42578125" style="89" customWidth="1"/>
    <col min="1833" max="1833" width="19" style="89" customWidth="1"/>
    <col min="1834" max="1837" width="11.42578125" style="89" customWidth="1"/>
    <col min="1838" max="1838" width="15.140625" style="89" customWidth="1"/>
    <col min="1839" max="1839" width="14" style="89" customWidth="1"/>
    <col min="1840" max="1840" width="15.140625" style="89" customWidth="1"/>
    <col min="1841" max="1841" width="11.42578125" style="89" customWidth="1"/>
    <col min="1842" max="1842" width="51.7109375" style="89" customWidth="1"/>
    <col min="1843" max="1844" width="29.5703125" style="89" customWidth="1"/>
    <col min="1845" max="1845" width="44.42578125" style="89" customWidth="1"/>
    <col min="1846" max="1846" width="36.28515625" style="89" customWidth="1"/>
    <col min="1847" max="1847" width="27.42578125" style="89" bestFit="1" customWidth="1"/>
    <col min="1848" max="2068" width="11.42578125" style="89"/>
    <col min="2069" max="2069" width="15.5703125" style="89" bestFit="1" customWidth="1"/>
    <col min="2070" max="2070" width="33.7109375" style="89" customWidth="1"/>
    <col min="2071" max="2071" width="19" style="89" customWidth="1"/>
    <col min="2072" max="2072" width="19.85546875" style="89" customWidth="1"/>
    <col min="2073" max="2073" width="18.5703125" style="89" customWidth="1"/>
    <col min="2074" max="2074" width="19.7109375" style="89" customWidth="1"/>
    <col min="2075" max="2075" width="14.85546875" style="89" customWidth="1"/>
    <col min="2076" max="2076" width="16.85546875" style="89" customWidth="1"/>
    <col min="2077" max="2079" width="11.42578125" style="89" customWidth="1"/>
    <col min="2080" max="2080" width="18.140625" style="89" customWidth="1"/>
    <col min="2081" max="2081" width="11.42578125" style="89" customWidth="1"/>
    <col min="2082" max="2082" width="12.5703125" style="89" customWidth="1"/>
    <col min="2083" max="2083" width="25" style="89" customWidth="1"/>
    <col min="2084" max="2084" width="16.5703125" style="89" bestFit="1" customWidth="1"/>
    <col min="2085" max="2085" width="24" style="89" customWidth="1"/>
    <col min="2086" max="2086" width="11.42578125" style="89" customWidth="1"/>
    <col min="2087" max="2087" width="20" style="89" customWidth="1"/>
    <col min="2088" max="2088" width="11.42578125" style="89" customWidth="1"/>
    <col min="2089" max="2089" width="19" style="89" customWidth="1"/>
    <col min="2090" max="2093" width="11.42578125" style="89" customWidth="1"/>
    <col min="2094" max="2094" width="15.140625" style="89" customWidth="1"/>
    <col min="2095" max="2095" width="14" style="89" customWidth="1"/>
    <col min="2096" max="2096" width="15.140625" style="89" customWidth="1"/>
    <col min="2097" max="2097" width="11.42578125" style="89" customWidth="1"/>
    <col min="2098" max="2098" width="51.7109375" style="89" customWidth="1"/>
    <col min="2099" max="2100" width="29.5703125" style="89" customWidth="1"/>
    <col min="2101" max="2101" width="44.42578125" style="89" customWidth="1"/>
    <col min="2102" max="2102" width="36.28515625" style="89" customWidth="1"/>
    <col min="2103" max="2103" width="27.42578125" style="89" bestFit="1" customWidth="1"/>
    <col min="2104" max="2324" width="11.42578125" style="89"/>
    <col min="2325" max="2325" width="15.5703125" style="89" bestFit="1" customWidth="1"/>
    <col min="2326" max="2326" width="33.7109375" style="89" customWidth="1"/>
    <col min="2327" max="2327" width="19" style="89" customWidth="1"/>
    <col min="2328" max="2328" width="19.85546875" style="89" customWidth="1"/>
    <col min="2329" max="2329" width="18.5703125" style="89" customWidth="1"/>
    <col min="2330" max="2330" width="19.7109375" style="89" customWidth="1"/>
    <col min="2331" max="2331" width="14.85546875" style="89" customWidth="1"/>
    <col min="2332" max="2332" width="16.85546875" style="89" customWidth="1"/>
    <col min="2333" max="2335" width="11.42578125" style="89" customWidth="1"/>
    <col min="2336" max="2336" width="18.140625" style="89" customWidth="1"/>
    <col min="2337" max="2337" width="11.42578125" style="89" customWidth="1"/>
    <col min="2338" max="2338" width="12.5703125" style="89" customWidth="1"/>
    <col min="2339" max="2339" width="25" style="89" customWidth="1"/>
    <col min="2340" max="2340" width="16.5703125" style="89" bestFit="1" customWidth="1"/>
    <col min="2341" max="2341" width="24" style="89" customWidth="1"/>
    <col min="2342" max="2342" width="11.42578125" style="89" customWidth="1"/>
    <col min="2343" max="2343" width="20" style="89" customWidth="1"/>
    <col min="2344" max="2344" width="11.42578125" style="89" customWidth="1"/>
    <col min="2345" max="2345" width="19" style="89" customWidth="1"/>
    <col min="2346" max="2349" width="11.42578125" style="89" customWidth="1"/>
    <col min="2350" max="2350" width="15.140625" style="89" customWidth="1"/>
    <col min="2351" max="2351" width="14" style="89" customWidth="1"/>
    <col min="2352" max="2352" width="15.140625" style="89" customWidth="1"/>
    <col min="2353" max="2353" width="11.42578125" style="89" customWidth="1"/>
    <col min="2354" max="2354" width="51.7109375" style="89" customWidth="1"/>
    <col min="2355" max="2356" width="29.5703125" style="89" customWidth="1"/>
    <col min="2357" max="2357" width="44.42578125" style="89" customWidth="1"/>
    <col min="2358" max="2358" width="36.28515625" style="89" customWidth="1"/>
    <col min="2359" max="2359" width="27.42578125" style="89" bestFit="1" customWidth="1"/>
    <col min="2360" max="2580" width="11.42578125" style="89"/>
    <col min="2581" max="2581" width="15.5703125" style="89" bestFit="1" customWidth="1"/>
    <col min="2582" max="2582" width="33.7109375" style="89" customWidth="1"/>
    <col min="2583" max="2583" width="19" style="89" customWidth="1"/>
    <col min="2584" max="2584" width="19.85546875" style="89" customWidth="1"/>
    <col min="2585" max="2585" width="18.5703125" style="89" customWidth="1"/>
    <col min="2586" max="2586" width="19.7109375" style="89" customWidth="1"/>
    <col min="2587" max="2587" width="14.85546875" style="89" customWidth="1"/>
    <col min="2588" max="2588" width="16.85546875" style="89" customWidth="1"/>
    <col min="2589" max="2591" width="11.42578125" style="89" customWidth="1"/>
    <col min="2592" max="2592" width="18.140625" style="89" customWidth="1"/>
    <col min="2593" max="2593" width="11.42578125" style="89" customWidth="1"/>
    <col min="2594" max="2594" width="12.5703125" style="89" customWidth="1"/>
    <col min="2595" max="2595" width="25" style="89" customWidth="1"/>
    <col min="2596" max="2596" width="16.5703125" style="89" bestFit="1" customWidth="1"/>
    <col min="2597" max="2597" width="24" style="89" customWidth="1"/>
    <col min="2598" max="2598" width="11.42578125" style="89" customWidth="1"/>
    <col min="2599" max="2599" width="20" style="89" customWidth="1"/>
    <col min="2600" max="2600" width="11.42578125" style="89" customWidth="1"/>
    <col min="2601" max="2601" width="19" style="89" customWidth="1"/>
    <col min="2602" max="2605" width="11.42578125" style="89" customWidth="1"/>
    <col min="2606" max="2606" width="15.140625" style="89" customWidth="1"/>
    <col min="2607" max="2607" width="14" style="89" customWidth="1"/>
    <col min="2608" max="2608" width="15.140625" style="89" customWidth="1"/>
    <col min="2609" max="2609" width="11.42578125" style="89" customWidth="1"/>
    <col min="2610" max="2610" width="51.7109375" style="89" customWidth="1"/>
    <col min="2611" max="2612" width="29.5703125" style="89" customWidth="1"/>
    <col min="2613" max="2613" width="44.42578125" style="89" customWidth="1"/>
    <col min="2614" max="2614" width="36.28515625" style="89" customWidth="1"/>
    <col min="2615" max="2615" width="27.42578125" style="89" bestFit="1" customWidth="1"/>
    <col min="2616" max="2836" width="11.42578125" style="89"/>
    <col min="2837" max="2837" width="15.5703125" style="89" bestFit="1" customWidth="1"/>
    <col min="2838" max="2838" width="33.7109375" style="89" customWidth="1"/>
    <col min="2839" max="2839" width="19" style="89" customWidth="1"/>
    <col min="2840" max="2840" width="19.85546875" style="89" customWidth="1"/>
    <col min="2841" max="2841" width="18.5703125" style="89" customWidth="1"/>
    <col min="2842" max="2842" width="19.7109375" style="89" customWidth="1"/>
    <col min="2843" max="2843" width="14.85546875" style="89" customWidth="1"/>
    <col min="2844" max="2844" width="16.85546875" style="89" customWidth="1"/>
    <col min="2845" max="2847" width="11.42578125" style="89" customWidth="1"/>
    <col min="2848" max="2848" width="18.140625" style="89" customWidth="1"/>
    <col min="2849" max="2849" width="11.42578125" style="89" customWidth="1"/>
    <col min="2850" max="2850" width="12.5703125" style="89" customWidth="1"/>
    <col min="2851" max="2851" width="25" style="89" customWidth="1"/>
    <col min="2852" max="2852" width="16.5703125" style="89" bestFit="1" customWidth="1"/>
    <col min="2853" max="2853" width="24" style="89" customWidth="1"/>
    <col min="2854" max="2854" width="11.42578125" style="89" customWidth="1"/>
    <col min="2855" max="2855" width="20" style="89" customWidth="1"/>
    <col min="2856" max="2856" width="11.42578125" style="89" customWidth="1"/>
    <col min="2857" max="2857" width="19" style="89" customWidth="1"/>
    <col min="2858" max="2861" width="11.42578125" style="89" customWidth="1"/>
    <col min="2862" max="2862" width="15.140625" style="89" customWidth="1"/>
    <col min="2863" max="2863" width="14" style="89" customWidth="1"/>
    <col min="2864" max="2864" width="15.140625" style="89" customWidth="1"/>
    <col min="2865" max="2865" width="11.42578125" style="89" customWidth="1"/>
    <col min="2866" max="2866" width="51.7109375" style="89" customWidth="1"/>
    <col min="2867" max="2868" width="29.5703125" style="89" customWidth="1"/>
    <col min="2869" max="2869" width="44.42578125" style="89" customWidth="1"/>
    <col min="2870" max="2870" width="36.28515625" style="89" customWidth="1"/>
    <col min="2871" max="2871" width="27.42578125" style="89" bestFit="1" customWidth="1"/>
    <col min="2872" max="3092" width="11.42578125" style="89"/>
    <col min="3093" max="3093" width="15.5703125" style="89" bestFit="1" customWidth="1"/>
    <col min="3094" max="3094" width="33.7109375" style="89" customWidth="1"/>
    <col min="3095" max="3095" width="19" style="89" customWidth="1"/>
    <col min="3096" max="3096" width="19.85546875" style="89" customWidth="1"/>
    <col min="3097" max="3097" width="18.5703125" style="89" customWidth="1"/>
    <col min="3098" max="3098" width="19.7109375" style="89" customWidth="1"/>
    <col min="3099" max="3099" width="14.85546875" style="89" customWidth="1"/>
    <col min="3100" max="3100" width="16.85546875" style="89" customWidth="1"/>
    <col min="3101" max="3103" width="11.42578125" style="89" customWidth="1"/>
    <col min="3104" max="3104" width="18.140625" style="89" customWidth="1"/>
    <col min="3105" max="3105" width="11.42578125" style="89" customWidth="1"/>
    <col min="3106" max="3106" width="12.5703125" style="89" customWidth="1"/>
    <col min="3107" max="3107" width="25" style="89" customWidth="1"/>
    <col min="3108" max="3108" width="16.5703125" style="89" bestFit="1" customWidth="1"/>
    <col min="3109" max="3109" width="24" style="89" customWidth="1"/>
    <col min="3110" max="3110" width="11.42578125" style="89" customWidth="1"/>
    <col min="3111" max="3111" width="20" style="89" customWidth="1"/>
    <col min="3112" max="3112" width="11.42578125" style="89" customWidth="1"/>
    <col min="3113" max="3113" width="19" style="89" customWidth="1"/>
    <col min="3114" max="3117" width="11.42578125" style="89" customWidth="1"/>
    <col min="3118" max="3118" width="15.140625" style="89" customWidth="1"/>
    <col min="3119" max="3119" width="14" style="89" customWidth="1"/>
    <col min="3120" max="3120" width="15.140625" style="89" customWidth="1"/>
    <col min="3121" max="3121" width="11.42578125" style="89" customWidth="1"/>
    <col min="3122" max="3122" width="51.7109375" style="89" customWidth="1"/>
    <col min="3123" max="3124" width="29.5703125" style="89" customWidth="1"/>
    <col min="3125" max="3125" width="44.42578125" style="89" customWidth="1"/>
    <col min="3126" max="3126" width="36.28515625" style="89" customWidth="1"/>
    <col min="3127" max="3127" width="27.42578125" style="89" bestFit="1" customWidth="1"/>
    <col min="3128" max="3348" width="11.42578125" style="89"/>
    <col min="3349" max="3349" width="15.5703125" style="89" bestFit="1" customWidth="1"/>
    <col min="3350" max="3350" width="33.7109375" style="89" customWidth="1"/>
    <col min="3351" max="3351" width="19" style="89" customWidth="1"/>
    <col min="3352" max="3352" width="19.85546875" style="89" customWidth="1"/>
    <col min="3353" max="3353" width="18.5703125" style="89" customWidth="1"/>
    <col min="3354" max="3354" width="19.7109375" style="89" customWidth="1"/>
    <col min="3355" max="3355" width="14.85546875" style="89" customWidth="1"/>
    <col min="3356" max="3356" width="16.85546875" style="89" customWidth="1"/>
    <col min="3357" max="3359" width="11.42578125" style="89" customWidth="1"/>
    <col min="3360" max="3360" width="18.140625" style="89" customWidth="1"/>
    <col min="3361" max="3361" width="11.42578125" style="89" customWidth="1"/>
    <col min="3362" max="3362" width="12.5703125" style="89" customWidth="1"/>
    <col min="3363" max="3363" width="25" style="89" customWidth="1"/>
    <col min="3364" max="3364" width="16.5703125" style="89" bestFit="1" customWidth="1"/>
    <col min="3365" max="3365" width="24" style="89" customWidth="1"/>
    <col min="3366" max="3366" width="11.42578125" style="89" customWidth="1"/>
    <col min="3367" max="3367" width="20" style="89" customWidth="1"/>
    <col min="3368" max="3368" width="11.42578125" style="89" customWidth="1"/>
    <col min="3369" max="3369" width="19" style="89" customWidth="1"/>
    <col min="3370" max="3373" width="11.42578125" style="89" customWidth="1"/>
    <col min="3374" max="3374" width="15.140625" style="89" customWidth="1"/>
    <col min="3375" max="3375" width="14" style="89" customWidth="1"/>
    <col min="3376" max="3376" width="15.140625" style="89" customWidth="1"/>
    <col min="3377" max="3377" width="11.42578125" style="89" customWidth="1"/>
    <col min="3378" max="3378" width="51.7109375" style="89" customWidth="1"/>
    <col min="3379" max="3380" width="29.5703125" style="89" customWidth="1"/>
    <col min="3381" max="3381" width="44.42578125" style="89" customWidth="1"/>
    <col min="3382" max="3382" width="36.28515625" style="89" customWidth="1"/>
    <col min="3383" max="3383" width="27.42578125" style="89" bestFit="1" customWidth="1"/>
    <col min="3384" max="3604" width="11.42578125" style="89"/>
    <col min="3605" max="3605" width="15.5703125" style="89" bestFit="1" customWidth="1"/>
    <col min="3606" max="3606" width="33.7109375" style="89" customWidth="1"/>
    <col min="3607" max="3607" width="19" style="89" customWidth="1"/>
    <col min="3608" max="3608" width="19.85546875" style="89" customWidth="1"/>
    <col min="3609" max="3609" width="18.5703125" style="89" customWidth="1"/>
    <col min="3610" max="3610" width="19.7109375" style="89" customWidth="1"/>
    <col min="3611" max="3611" width="14.85546875" style="89" customWidth="1"/>
    <col min="3612" max="3612" width="16.85546875" style="89" customWidth="1"/>
    <col min="3613" max="3615" width="11.42578125" style="89" customWidth="1"/>
    <col min="3616" max="3616" width="18.140625" style="89" customWidth="1"/>
    <col min="3617" max="3617" width="11.42578125" style="89" customWidth="1"/>
    <col min="3618" max="3618" width="12.5703125" style="89" customWidth="1"/>
    <col min="3619" max="3619" width="25" style="89" customWidth="1"/>
    <col min="3620" max="3620" width="16.5703125" style="89" bestFit="1" customWidth="1"/>
    <col min="3621" max="3621" width="24" style="89" customWidth="1"/>
    <col min="3622" max="3622" width="11.42578125" style="89" customWidth="1"/>
    <col min="3623" max="3623" width="20" style="89" customWidth="1"/>
    <col min="3624" max="3624" width="11.42578125" style="89" customWidth="1"/>
    <col min="3625" max="3625" width="19" style="89" customWidth="1"/>
    <col min="3626" max="3629" width="11.42578125" style="89" customWidth="1"/>
    <col min="3630" max="3630" width="15.140625" style="89" customWidth="1"/>
    <col min="3631" max="3631" width="14" style="89" customWidth="1"/>
    <col min="3632" max="3632" width="15.140625" style="89" customWidth="1"/>
    <col min="3633" max="3633" width="11.42578125" style="89" customWidth="1"/>
    <col min="3634" max="3634" width="51.7109375" style="89" customWidth="1"/>
    <col min="3635" max="3636" width="29.5703125" style="89" customWidth="1"/>
    <col min="3637" max="3637" width="44.42578125" style="89" customWidth="1"/>
    <col min="3638" max="3638" width="36.28515625" style="89" customWidth="1"/>
    <col min="3639" max="3639" width="27.42578125" style="89" bestFit="1" customWidth="1"/>
    <col min="3640" max="3860" width="11.42578125" style="89"/>
    <col min="3861" max="3861" width="15.5703125" style="89" bestFit="1" customWidth="1"/>
    <col min="3862" max="3862" width="33.7109375" style="89" customWidth="1"/>
    <col min="3863" max="3863" width="19" style="89" customWidth="1"/>
    <col min="3864" max="3864" width="19.85546875" style="89" customWidth="1"/>
    <col min="3865" max="3865" width="18.5703125" style="89" customWidth="1"/>
    <col min="3866" max="3866" width="19.7109375" style="89" customWidth="1"/>
    <col min="3867" max="3867" width="14.85546875" style="89" customWidth="1"/>
    <col min="3868" max="3868" width="16.85546875" style="89" customWidth="1"/>
    <col min="3869" max="3871" width="11.42578125" style="89" customWidth="1"/>
    <col min="3872" max="3872" width="18.140625" style="89" customWidth="1"/>
    <col min="3873" max="3873" width="11.42578125" style="89" customWidth="1"/>
    <col min="3874" max="3874" width="12.5703125" style="89" customWidth="1"/>
    <col min="3875" max="3875" width="25" style="89" customWidth="1"/>
    <col min="3876" max="3876" width="16.5703125" style="89" bestFit="1" customWidth="1"/>
    <col min="3877" max="3877" width="24" style="89" customWidth="1"/>
    <col min="3878" max="3878" width="11.42578125" style="89" customWidth="1"/>
    <col min="3879" max="3879" width="20" style="89" customWidth="1"/>
    <col min="3880" max="3880" width="11.42578125" style="89" customWidth="1"/>
    <col min="3881" max="3881" width="19" style="89" customWidth="1"/>
    <col min="3882" max="3885" width="11.42578125" style="89" customWidth="1"/>
    <col min="3886" max="3886" width="15.140625" style="89" customWidth="1"/>
    <col min="3887" max="3887" width="14" style="89" customWidth="1"/>
    <col min="3888" max="3888" width="15.140625" style="89" customWidth="1"/>
    <col min="3889" max="3889" width="11.42578125" style="89" customWidth="1"/>
    <col min="3890" max="3890" width="51.7109375" style="89" customWidth="1"/>
    <col min="3891" max="3892" width="29.5703125" style="89" customWidth="1"/>
    <col min="3893" max="3893" width="44.42578125" style="89" customWidth="1"/>
    <col min="3894" max="3894" width="36.28515625" style="89" customWidth="1"/>
    <col min="3895" max="3895" width="27.42578125" style="89" bestFit="1" customWidth="1"/>
    <col min="3896" max="4116" width="11.42578125" style="89"/>
    <col min="4117" max="4117" width="15.5703125" style="89" bestFit="1" customWidth="1"/>
    <col min="4118" max="4118" width="33.7109375" style="89" customWidth="1"/>
    <col min="4119" max="4119" width="19" style="89" customWidth="1"/>
    <col min="4120" max="4120" width="19.85546875" style="89" customWidth="1"/>
    <col min="4121" max="4121" width="18.5703125" style="89" customWidth="1"/>
    <col min="4122" max="4122" width="19.7109375" style="89" customWidth="1"/>
    <col min="4123" max="4123" width="14.85546875" style="89" customWidth="1"/>
    <col min="4124" max="4124" width="16.85546875" style="89" customWidth="1"/>
    <col min="4125" max="4127" width="11.42578125" style="89" customWidth="1"/>
    <col min="4128" max="4128" width="18.140625" style="89" customWidth="1"/>
    <col min="4129" max="4129" width="11.42578125" style="89" customWidth="1"/>
    <col min="4130" max="4130" width="12.5703125" style="89" customWidth="1"/>
    <col min="4131" max="4131" width="25" style="89" customWidth="1"/>
    <col min="4132" max="4132" width="16.5703125" style="89" bestFit="1" customWidth="1"/>
    <col min="4133" max="4133" width="24" style="89" customWidth="1"/>
    <col min="4134" max="4134" width="11.42578125" style="89" customWidth="1"/>
    <col min="4135" max="4135" width="20" style="89" customWidth="1"/>
    <col min="4136" max="4136" width="11.42578125" style="89" customWidth="1"/>
    <col min="4137" max="4137" width="19" style="89" customWidth="1"/>
    <col min="4138" max="4141" width="11.42578125" style="89" customWidth="1"/>
    <col min="4142" max="4142" width="15.140625" style="89" customWidth="1"/>
    <col min="4143" max="4143" width="14" style="89" customWidth="1"/>
    <col min="4144" max="4144" width="15.140625" style="89" customWidth="1"/>
    <col min="4145" max="4145" width="11.42578125" style="89" customWidth="1"/>
    <col min="4146" max="4146" width="51.7109375" style="89" customWidth="1"/>
    <col min="4147" max="4148" width="29.5703125" style="89" customWidth="1"/>
    <col min="4149" max="4149" width="44.42578125" style="89" customWidth="1"/>
    <col min="4150" max="4150" width="36.28515625" style="89" customWidth="1"/>
    <col min="4151" max="4151" width="27.42578125" style="89" bestFit="1" customWidth="1"/>
    <col min="4152" max="4372" width="11.42578125" style="89"/>
    <col min="4373" max="4373" width="15.5703125" style="89" bestFit="1" customWidth="1"/>
    <col min="4374" max="4374" width="33.7109375" style="89" customWidth="1"/>
    <col min="4375" max="4375" width="19" style="89" customWidth="1"/>
    <col min="4376" max="4376" width="19.85546875" style="89" customWidth="1"/>
    <col min="4377" max="4377" width="18.5703125" style="89" customWidth="1"/>
    <col min="4378" max="4378" width="19.7109375" style="89" customWidth="1"/>
    <col min="4379" max="4379" width="14.85546875" style="89" customWidth="1"/>
    <col min="4380" max="4380" width="16.85546875" style="89" customWidth="1"/>
    <col min="4381" max="4383" width="11.42578125" style="89" customWidth="1"/>
    <col min="4384" max="4384" width="18.140625" style="89" customWidth="1"/>
    <col min="4385" max="4385" width="11.42578125" style="89" customWidth="1"/>
    <col min="4386" max="4386" width="12.5703125" style="89" customWidth="1"/>
    <col min="4387" max="4387" width="25" style="89" customWidth="1"/>
    <col min="4388" max="4388" width="16.5703125" style="89" bestFit="1" customWidth="1"/>
    <col min="4389" max="4389" width="24" style="89" customWidth="1"/>
    <col min="4390" max="4390" width="11.42578125" style="89" customWidth="1"/>
    <col min="4391" max="4391" width="20" style="89" customWidth="1"/>
    <col min="4392" max="4392" width="11.42578125" style="89" customWidth="1"/>
    <col min="4393" max="4393" width="19" style="89" customWidth="1"/>
    <col min="4394" max="4397" width="11.42578125" style="89" customWidth="1"/>
    <col min="4398" max="4398" width="15.140625" style="89" customWidth="1"/>
    <col min="4399" max="4399" width="14" style="89" customWidth="1"/>
    <col min="4400" max="4400" width="15.140625" style="89" customWidth="1"/>
    <col min="4401" max="4401" width="11.42578125" style="89" customWidth="1"/>
    <col min="4402" max="4402" width="51.7109375" style="89" customWidth="1"/>
    <col min="4403" max="4404" width="29.5703125" style="89" customWidth="1"/>
    <col min="4405" max="4405" width="44.42578125" style="89" customWidth="1"/>
    <col min="4406" max="4406" width="36.28515625" style="89" customWidth="1"/>
    <col min="4407" max="4407" width="27.42578125" style="89" bestFit="1" customWidth="1"/>
    <col min="4408" max="4628" width="11.42578125" style="89"/>
    <col min="4629" max="4629" width="15.5703125" style="89" bestFit="1" customWidth="1"/>
    <col min="4630" max="4630" width="33.7109375" style="89" customWidth="1"/>
    <col min="4631" max="4631" width="19" style="89" customWidth="1"/>
    <col min="4632" max="4632" width="19.85546875" style="89" customWidth="1"/>
    <col min="4633" max="4633" width="18.5703125" style="89" customWidth="1"/>
    <col min="4634" max="4634" width="19.7109375" style="89" customWidth="1"/>
    <col min="4635" max="4635" width="14.85546875" style="89" customWidth="1"/>
    <col min="4636" max="4636" width="16.85546875" style="89" customWidth="1"/>
    <col min="4637" max="4639" width="11.42578125" style="89" customWidth="1"/>
    <col min="4640" max="4640" width="18.140625" style="89" customWidth="1"/>
    <col min="4641" max="4641" width="11.42578125" style="89" customWidth="1"/>
    <col min="4642" max="4642" width="12.5703125" style="89" customWidth="1"/>
    <col min="4643" max="4643" width="25" style="89" customWidth="1"/>
    <col min="4644" max="4644" width="16.5703125" style="89" bestFit="1" customWidth="1"/>
    <col min="4645" max="4645" width="24" style="89" customWidth="1"/>
    <col min="4646" max="4646" width="11.42578125" style="89" customWidth="1"/>
    <col min="4647" max="4647" width="20" style="89" customWidth="1"/>
    <col min="4648" max="4648" width="11.42578125" style="89" customWidth="1"/>
    <col min="4649" max="4649" width="19" style="89" customWidth="1"/>
    <col min="4650" max="4653" width="11.42578125" style="89" customWidth="1"/>
    <col min="4654" max="4654" width="15.140625" style="89" customWidth="1"/>
    <col min="4655" max="4655" width="14" style="89" customWidth="1"/>
    <col min="4656" max="4656" width="15.140625" style="89" customWidth="1"/>
    <col min="4657" max="4657" width="11.42578125" style="89" customWidth="1"/>
    <col min="4658" max="4658" width="51.7109375" style="89" customWidth="1"/>
    <col min="4659" max="4660" width="29.5703125" style="89" customWidth="1"/>
    <col min="4661" max="4661" width="44.42578125" style="89" customWidth="1"/>
    <col min="4662" max="4662" width="36.28515625" style="89" customWidth="1"/>
    <col min="4663" max="4663" width="27.42578125" style="89" bestFit="1" customWidth="1"/>
    <col min="4664" max="4884" width="11.42578125" style="89"/>
    <col min="4885" max="4885" width="15.5703125" style="89" bestFit="1" customWidth="1"/>
    <col min="4886" max="4886" width="33.7109375" style="89" customWidth="1"/>
    <col min="4887" max="4887" width="19" style="89" customWidth="1"/>
    <col min="4888" max="4888" width="19.85546875" style="89" customWidth="1"/>
    <col min="4889" max="4889" width="18.5703125" style="89" customWidth="1"/>
    <col min="4890" max="4890" width="19.7109375" style="89" customWidth="1"/>
    <col min="4891" max="4891" width="14.85546875" style="89" customWidth="1"/>
    <col min="4892" max="4892" width="16.85546875" style="89" customWidth="1"/>
    <col min="4893" max="4895" width="11.42578125" style="89" customWidth="1"/>
    <col min="4896" max="4896" width="18.140625" style="89" customWidth="1"/>
    <col min="4897" max="4897" width="11.42578125" style="89" customWidth="1"/>
    <col min="4898" max="4898" width="12.5703125" style="89" customWidth="1"/>
    <col min="4899" max="4899" width="25" style="89" customWidth="1"/>
    <col min="4900" max="4900" width="16.5703125" style="89" bestFit="1" customWidth="1"/>
    <col min="4901" max="4901" width="24" style="89" customWidth="1"/>
    <col min="4902" max="4902" width="11.42578125" style="89" customWidth="1"/>
    <col min="4903" max="4903" width="20" style="89" customWidth="1"/>
    <col min="4904" max="4904" width="11.42578125" style="89" customWidth="1"/>
    <col min="4905" max="4905" width="19" style="89" customWidth="1"/>
    <col min="4906" max="4909" width="11.42578125" style="89" customWidth="1"/>
    <col min="4910" max="4910" width="15.140625" style="89" customWidth="1"/>
    <col min="4911" max="4911" width="14" style="89" customWidth="1"/>
    <col min="4912" max="4912" width="15.140625" style="89" customWidth="1"/>
    <col min="4913" max="4913" width="11.42578125" style="89" customWidth="1"/>
    <col min="4914" max="4914" width="51.7109375" style="89" customWidth="1"/>
    <col min="4915" max="4916" width="29.5703125" style="89" customWidth="1"/>
    <col min="4917" max="4917" width="44.42578125" style="89" customWidth="1"/>
    <col min="4918" max="4918" width="36.28515625" style="89" customWidth="1"/>
    <col min="4919" max="4919" width="27.42578125" style="89" bestFit="1" customWidth="1"/>
    <col min="4920" max="5140" width="11.42578125" style="89"/>
    <col min="5141" max="5141" width="15.5703125" style="89" bestFit="1" customWidth="1"/>
    <col min="5142" max="5142" width="33.7109375" style="89" customWidth="1"/>
    <col min="5143" max="5143" width="19" style="89" customWidth="1"/>
    <col min="5144" max="5144" width="19.85546875" style="89" customWidth="1"/>
    <col min="5145" max="5145" width="18.5703125" style="89" customWidth="1"/>
    <col min="5146" max="5146" width="19.7109375" style="89" customWidth="1"/>
    <col min="5147" max="5147" width="14.85546875" style="89" customWidth="1"/>
    <col min="5148" max="5148" width="16.85546875" style="89" customWidth="1"/>
    <col min="5149" max="5151" width="11.42578125" style="89" customWidth="1"/>
    <col min="5152" max="5152" width="18.140625" style="89" customWidth="1"/>
    <col min="5153" max="5153" width="11.42578125" style="89" customWidth="1"/>
    <col min="5154" max="5154" width="12.5703125" style="89" customWidth="1"/>
    <col min="5155" max="5155" width="25" style="89" customWidth="1"/>
    <col min="5156" max="5156" width="16.5703125" style="89" bestFit="1" customWidth="1"/>
    <col min="5157" max="5157" width="24" style="89" customWidth="1"/>
    <col min="5158" max="5158" width="11.42578125" style="89" customWidth="1"/>
    <col min="5159" max="5159" width="20" style="89" customWidth="1"/>
    <col min="5160" max="5160" width="11.42578125" style="89" customWidth="1"/>
    <col min="5161" max="5161" width="19" style="89" customWidth="1"/>
    <col min="5162" max="5165" width="11.42578125" style="89" customWidth="1"/>
    <col min="5166" max="5166" width="15.140625" style="89" customWidth="1"/>
    <col min="5167" max="5167" width="14" style="89" customWidth="1"/>
    <col min="5168" max="5168" width="15.140625" style="89" customWidth="1"/>
    <col min="5169" max="5169" width="11.42578125" style="89" customWidth="1"/>
    <col min="5170" max="5170" width="51.7109375" style="89" customWidth="1"/>
    <col min="5171" max="5172" width="29.5703125" style="89" customWidth="1"/>
    <col min="5173" max="5173" width="44.42578125" style="89" customWidth="1"/>
    <col min="5174" max="5174" width="36.28515625" style="89" customWidth="1"/>
    <col min="5175" max="5175" width="27.42578125" style="89" bestFit="1" customWidth="1"/>
    <col min="5176" max="5396" width="11.42578125" style="89"/>
    <col min="5397" max="5397" width="15.5703125" style="89" bestFit="1" customWidth="1"/>
    <col min="5398" max="5398" width="33.7109375" style="89" customWidth="1"/>
    <col min="5399" max="5399" width="19" style="89" customWidth="1"/>
    <col min="5400" max="5400" width="19.85546875" style="89" customWidth="1"/>
    <col min="5401" max="5401" width="18.5703125" style="89" customWidth="1"/>
    <col min="5402" max="5402" width="19.7109375" style="89" customWidth="1"/>
    <col min="5403" max="5403" width="14.85546875" style="89" customWidth="1"/>
    <col min="5404" max="5404" width="16.85546875" style="89" customWidth="1"/>
    <col min="5405" max="5407" width="11.42578125" style="89" customWidth="1"/>
    <col min="5408" max="5408" width="18.140625" style="89" customWidth="1"/>
    <col min="5409" max="5409" width="11.42578125" style="89" customWidth="1"/>
    <col min="5410" max="5410" width="12.5703125" style="89" customWidth="1"/>
    <col min="5411" max="5411" width="25" style="89" customWidth="1"/>
    <col min="5412" max="5412" width="16.5703125" style="89" bestFit="1" customWidth="1"/>
    <col min="5413" max="5413" width="24" style="89" customWidth="1"/>
    <col min="5414" max="5414" width="11.42578125" style="89" customWidth="1"/>
    <col min="5415" max="5415" width="20" style="89" customWidth="1"/>
    <col min="5416" max="5416" width="11.42578125" style="89" customWidth="1"/>
    <col min="5417" max="5417" width="19" style="89" customWidth="1"/>
    <col min="5418" max="5421" width="11.42578125" style="89" customWidth="1"/>
    <col min="5422" max="5422" width="15.140625" style="89" customWidth="1"/>
    <col min="5423" max="5423" width="14" style="89" customWidth="1"/>
    <col min="5424" max="5424" width="15.140625" style="89" customWidth="1"/>
    <col min="5425" max="5425" width="11.42578125" style="89" customWidth="1"/>
    <col min="5426" max="5426" width="51.7109375" style="89" customWidth="1"/>
    <col min="5427" max="5428" width="29.5703125" style="89" customWidth="1"/>
    <col min="5429" max="5429" width="44.42578125" style="89" customWidth="1"/>
    <col min="5430" max="5430" width="36.28515625" style="89" customWidth="1"/>
    <col min="5431" max="5431" width="27.42578125" style="89" bestFit="1" customWidth="1"/>
    <col min="5432" max="5652" width="11.42578125" style="89"/>
    <col min="5653" max="5653" width="15.5703125" style="89" bestFit="1" customWidth="1"/>
    <col min="5654" max="5654" width="33.7109375" style="89" customWidth="1"/>
    <col min="5655" max="5655" width="19" style="89" customWidth="1"/>
    <col min="5656" max="5656" width="19.85546875" style="89" customWidth="1"/>
    <col min="5657" max="5657" width="18.5703125" style="89" customWidth="1"/>
    <col min="5658" max="5658" width="19.7109375" style="89" customWidth="1"/>
    <col min="5659" max="5659" width="14.85546875" style="89" customWidth="1"/>
    <col min="5660" max="5660" width="16.85546875" style="89" customWidth="1"/>
    <col min="5661" max="5663" width="11.42578125" style="89" customWidth="1"/>
    <col min="5664" max="5664" width="18.140625" style="89" customWidth="1"/>
    <col min="5665" max="5665" width="11.42578125" style="89" customWidth="1"/>
    <col min="5666" max="5666" width="12.5703125" style="89" customWidth="1"/>
    <col min="5667" max="5667" width="25" style="89" customWidth="1"/>
    <col min="5668" max="5668" width="16.5703125" style="89" bestFit="1" customWidth="1"/>
    <col min="5669" max="5669" width="24" style="89" customWidth="1"/>
    <col min="5670" max="5670" width="11.42578125" style="89" customWidth="1"/>
    <col min="5671" max="5671" width="20" style="89" customWidth="1"/>
    <col min="5672" max="5672" width="11.42578125" style="89" customWidth="1"/>
    <col min="5673" max="5673" width="19" style="89" customWidth="1"/>
    <col min="5674" max="5677" width="11.42578125" style="89" customWidth="1"/>
    <col min="5678" max="5678" width="15.140625" style="89" customWidth="1"/>
    <col min="5679" max="5679" width="14" style="89" customWidth="1"/>
    <col min="5680" max="5680" width="15.140625" style="89" customWidth="1"/>
    <col min="5681" max="5681" width="11.42578125" style="89" customWidth="1"/>
    <col min="5682" max="5682" width="51.7109375" style="89" customWidth="1"/>
    <col min="5683" max="5684" width="29.5703125" style="89" customWidth="1"/>
    <col min="5685" max="5685" width="44.42578125" style="89" customWidth="1"/>
    <col min="5686" max="5686" width="36.28515625" style="89" customWidth="1"/>
    <col min="5687" max="5687" width="27.42578125" style="89" bestFit="1" customWidth="1"/>
    <col min="5688" max="5908" width="11.42578125" style="89"/>
    <col min="5909" max="5909" width="15.5703125" style="89" bestFit="1" customWidth="1"/>
    <col min="5910" max="5910" width="33.7109375" style="89" customWidth="1"/>
    <col min="5911" max="5911" width="19" style="89" customWidth="1"/>
    <col min="5912" max="5912" width="19.85546875" style="89" customWidth="1"/>
    <col min="5913" max="5913" width="18.5703125" style="89" customWidth="1"/>
    <col min="5914" max="5914" width="19.7109375" style="89" customWidth="1"/>
    <col min="5915" max="5915" width="14.85546875" style="89" customWidth="1"/>
    <col min="5916" max="5916" width="16.85546875" style="89" customWidth="1"/>
    <col min="5917" max="5919" width="11.42578125" style="89" customWidth="1"/>
    <col min="5920" max="5920" width="18.140625" style="89" customWidth="1"/>
    <col min="5921" max="5921" width="11.42578125" style="89" customWidth="1"/>
    <col min="5922" max="5922" width="12.5703125" style="89" customWidth="1"/>
    <col min="5923" max="5923" width="25" style="89" customWidth="1"/>
    <col min="5924" max="5924" width="16.5703125" style="89" bestFit="1" customWidth="1"/>
    <col min="5925" max="5925" width="24" style="89" customWidth="1"/>
    <col min="5926" max="5926" width="11.42578125" style="89" customWidth="1"/>
    <col min="5927" max="5927" width="20" style="89" customWidth="1"/>
    <col min="5928" max="5928" width="11.42578125" style="89" customWidth="1"/>
    <col min="5929" max="5929" width="19" style="89" customWidth="1"/>
    <col min="5930" max="5933" width="11.42578125" style="89" customWidth="1"/>
    <col min="5934" max="5934" width="15.140625" style="89" customWidth="1"/>
    <col min="5935" max="5935" width="14" style="89" customWidth="1"/>
    <col min="5936" max="5936" width="15.140625" style="89" customWidth="1"/>
    <col min="5937" max="5937" width="11.42578125" style="89" customWidth="1"/>
    <col min="5938" max="5938" width="51.7109375" style="89" customWidth="1"/>
    <col min="5939" max="5940" width="29.5703125" style="89" customWidth="1"/>
    <col min="5941" max="5941" width="44.42578125" style="89" customWidth="1"/>
    <col min="5942" max="5942" width="36.28515625" style="89" customWidth="1"/>
    <col min="5943" max="5943" width="27.42578125" style="89" bestFit="1" customWidth="1"/>
    <col min="5944" max="6164" width="11.42578125" style="89"/>
    <col min="6165" max="6165" width="15.5703125" style="89" bestFit="1" customWidth="1"/>
    <col min="6166" max="6166" width="33.7109375" style="89" customWidth="1"/>
    <col min="6167" max="6167" width="19" style="89" customWidth="1"/>
    <col min="6168" max="6168" width="19.85546875" style="89" customWidth="1"/>
    <col min="6169" max="6169" width="18.5703125" style="89" customWidth="1"/>
    <col min="6170" max="6170" width="19.7109375" style="89" customWidth="1"/>
    <col min="6171" max="6171" width="14.85546875" style="89" customWidth="1"/>
    <col min="6172" max="6172" width="16.85546875" style="89" customWidth="1"/>
    <col min="6173" max="6175" width="11.42578125" style="89" customWidth="1"/>
    <col min="6176" max="6176" width="18.140625" style="89" customWidth="1"/>
    <col min="6177" max="6177" width="11.42578125" style="89" customWidth="1"/>
    <col min="6178" max="6178" width="12.5703125" style="89" customWidth="1"/>
    <col min="6179" max="6179" width="25" style="89" customWidth="1"/>
    <col min="6180" max="6180" width="16.5703125" style="89" bestFit="1" customWidth="1"/>
    <col min="6181" max="6181" width="24" style="89" customWidth="1"/>
    <col min="6182" max="6182" width="11.42578125" style="89" customWidth="1"/>
    <col min="6183" max="6183" width="20" style="89" customWidth="1"/>
    <col min="6184" max="6184" width="11.42578125" style="89" customWidth="1"/>
    <col min="6185" max="6185" width="19" style="89" customWidth="1"/>
    <col min="6186" max="6189" width="11.42578125" style="89" customWidth="1"/>
    <col min="6190" max="6190" width="15.140625" style="89" customWidth="1"/>
    <col min="6191" max="6191" width="14" style="89" customWidth="1"/>
    <col min="6192" max="6192" width="15.140625" style="89" customWidth="1"/>
    <col min="6193" max="6193" width="11.42578125" style="89" customWidth="1"/>
    <col min="6194" max="6194" width="51.7109375" style="89" customWidth="1"/>
    <col min="6195" max="6196" width="29.5703125" style="89" customWidth="1"/>
    <col min="6197" max="6197" width="44.42578125" style="89" customWidth="1"/>
    <col min="6198" max="6198" width="36.28515625" style="89" customWidth="1"/>
    <col min="6199" max="6199" width="27.42578125" style="89" bestFit="1" customWidth="1"/>
    <col min="6200" max="6420" width="11.42578125" style="89"/>
    <col min="6421" max="6421" width="15.5703125" style="89" bestFit="1" customWidth="1"/>
    <col min="6422" max="6422" width="33.7109375" style="89" customWidth="1"/>
    <col min="6423" max="6423" width="19" style="89" customWidth="1"/>
    <col min="6424" max="6424" width="19.85546875" style="89" customWidth="1"/>
    <col min="6425" max="6425" width="18.5703125" style="89" customWidth="1"/>
    <col min="6426" max="6426" width="19.7109375" style="89" customWidth="1"/>
    <col min="6427" max="6427" width="14.85546875" style="89" customWidth="1"/>
    <col min="6428" max="6428" width="16.85546875" style="89" customWidth="1"/>
    <col min="6429" max="6431" width="11.42578125" style="89" customWidth="1"/>
    <col min="6432" max="6432" width="18.140625" style="89" customWidth="1"/>
    <col min="6433" max="6433" width="11.42578125" style="89" customWidth="1"/>
    <col min="6434" max="6434" width="12.5703125" style="89" customWidth="1"/>
    <col min="6435" max="6435" width="25" style="89" customWidth="1"/>
    <col min="6436" max="6436" width="16.5703125" style="89" bestFit="1" customWidth="1"/>
    <col min="6437" max="6437" width="24" style="89" customWidth="1"/>
    <col min="6438" max="6438" width="11.42578125" style="89" customWidth="1"/>
    <col min="6439" max="6439" width="20" style="89" customWidth="1"/>
    <col min="6440" max="6440" width="11.42578125" style="89" customWidth="1"/>
    <col min="6441" max="6441" width="19" style="89" customWidth="1"/>
    <col min="6442" max="6445" width="11.42578125" style="89" customWidth="1"/>
    <col min="6446" max="6446" width="15.140625" style="89" customWidth="1"/>
    <col min="6447" max="6447" width="14" style="89" customWidth="1"/>
    <col min="6448" max="6448" width="15.140625" style="89" customWidth="1"/>
    <col min="6449" max="6449" width="11.42578125" style="89" customWidth="1"/>
    <col min="6450" max="6450" width="51.7109375" style="89" customWidth="1"/>
    <col min="6451" max="6452" width="29.5703125" style="89" customWidth="1"/>
    <col min="6453" max="6453" width="44.42578125" style="89" customWidth="1"/>
    <col min="6454" max="6454" width="36.28515625" style="89" customWidth="1"/>
    <col min="6455" max="6455" width="27.42578125" style="89" bestFit="1" customWidth="1"/>
    <col min="6456" max="6676" width="11.42578125" style="89"/>
    <col min="6677" max="6677" width="15.5703125" style="89" bestFit="1" customWidth="1"/>
    <col min="6678" max="6678" width="33.7109375" style="89" customWidth="1"/>
    <col min="6679" max="6679" width="19" style="89" customWidth="1"/>
    <col min="6680" max="6680" width="19.85546875" style="89" customWidth="1"/>
    <col min="6681" max="6681" width="18.5703125" style="89" customWidth="1"/>
    <col min="6682" max="6682" width="19.7109375" style="89" customWidth="1"/>
    <col min="6683" max="6683" width="14.85546875" style="89" customWidth="1"/>
    <col min="6684" max="6684" width="16.85546875" style="89" customWidth="1"/>
    <col min="6685" max="6687" width="11.42578125" style="89" customWidth="1"/>
    <col min="6688" max="6688" width="18.140625" style="89" customWidth="1"/>
    <col min="6689" max="6689" width="11.42578125" style="89" customWidth="1"/>
    <col min="6690" max="6690" width="12.5703125" style="89" customWidth="1"/>
    <col min="6691" max="6691" width="25" style="89" customWidth="1"/>
    <col min="6692" max="6692" width="16.5703125" style="89" bestFit="1" customWidth="1"/>
    <col min="6693" max="6693" width="24" style="89" customWidth="1"/>
    <col min="6694" max="6694" width="11.42578125" style="89" customWidth="1"/>
    <col min="6695" max="6695" width="20" style="89" customWidth="1"/>
    <col min="6696" max="6696" width="11.42578125" style="89" customWidth="1"/>
    <col min="6697" max="6697" width="19" style="89" customWidth="1"/>
    <col min="6698" max="6701" width="11.42578125" style="89" customWidth="1"/>
    <col min="6702" max="6702" width="15.140625" style="89" customWidth="1"/>
    <col min="6703" max="6703" width="14" style="89" customWidth="1"/>
    <col min="6704" max="6704" width="15.140625" style="89" customWidth="1"/>
    <col min="6705" max="6705" width="11.42578125" style="89" customWidth="1"/>
    <col min="6706" max="6706" width="51.7109375" style="89" customWidth="1"/>
    <col min="6707" max="6708" width="29.5703125" style="89" customWidth="1"/>
    <col min="6709" max="6709" width="44.42578125" style="89" customWidth="1"/>
    <col min="6710" max="6710" width="36.28515625" style="89" customWidth="1"/>
    <col min="6711" max="6711" width="27.42578125" style="89" bestFit="1" customWidth="1"/>
    <col min="6712" max="6932" width="11.42578125" style="89"/>
    <col min="6933" max="6933" width="15.5703125" style="89" bestFit="1" customWidth="1"/>
    <col min="6934" max="6934" width="33.7109375" style="89" customWidth="1"/>
    <col min="6935" max="6935" width="19" style="89" customWidth="1"/>
    <col min="6936" max="6936" width="19.85546875" style="89" customWidth="1"/>
    <col min="6937" max="6937" width="18.5703125" style="89" customWidth="1"/>
    <col min="6938" max="6938" width="19.7109375" style="89" customWidth="1"/>
    <col min="6939" max="6939" width="14.85546875" style="89" customWidth="1"/>
    <col min="6940" max="6940" width="16.85546875" style="89" customWidth="1"/>
    <col min="6941" max="6943" width="11.42578125" style="89" customWidth="1"/>
    <col min="6944" max="6944" width="18.140625" style="89" customWidth="1"/>
    <col min="6945" max="6945" width="11.42578125" style="89" customWidth="1"/>
    <col min="6946" max="6946" width="12.5703125" style="89" customWidth="1"/>
    <col min="6947" max="6947" width="25" style="89" customWidth="1"/>
    <col min="6948" max="6948" width="16.5703125" style="89" bestFit="1" customWidth="1"/>
    <col min="6949" max="6949" width="24" style="89" customWidth="1"/>
    <col min="6950" max="6950" width="11.42578125" style="89" customWidth="1"/>
    <col min="6951" max="6951" width="20" style="89" customWidth="1"/>
    <col min="6952" max="6952" width="11.42578125" style="89" customWidth="1"/>
    <col min="6953" max="6953" width="19" style="89" customWidth="1"/>
    <col min="6954" max="6957" width="11.42578125" style="89" customWidth="1"/>
    <col min="6958" max="6958" width="15.140625" style="89" customWidth="1"/>
    <col min="6959" max="6959" width="14" style="89" customWidth="1"/>
    <col min="6960" max="6960" width="15.140625" style="89" customWidth="1"/>
    <col min="6961" max="6961" width="11.42578125" style="89" customWidth="1"/>
    <col min="6962" max="6962" width="51.7109375" style="89" customWidth="1"/>
    <col min="6963" max="6964" width="29.5703125" style="89" customWidth="1"/>
    <col min="6965" max="6965" width="44.42578125" style="89" customWidth="1"/>
    <col min="6966" max="6966" width="36.28515625" style="89" customWidth="1"/>
    <col min="6967" max="6967" width="27.42578125" style="89" bestFit="1" customWidth="1"/>
    <col min="6968" max="7188" width="11.42578125" style="89"/>
    <col min="7189" max="7189" width="15.5703125" style="89" bestFit="1" customWidth="1"/>
    <col min="7190" max="7190" width="33.7109375" style="89" customWidth="1"/>
    <col min="7191" max="7191" width="19" style="89" customWidth="1"/>
    <col min="7192" max="7192" width="19.85546875" style="89" customWidth="1"/>
    <col min="7193" max="7193" width="18.5703125" style="89" customWidth="1"/>
    <col min="7194" max="7194" width="19.7109375" style="89" customWidth="1"/>
    <col min="7195" max="7195" width="14.85546875" style="89" customWidth="1"/>
    <col min="7196" max="7196" width="16.85546875" style="89" customWidth="1"/>
    <col min="7197" max="7199" width="11.42578125" style="89" customWidth="1"/>
    <col min="7200" max="7200" width="18.140625" style="89" customWidth="1"/>
    <col min="7201" max="7201" width="11.42578125" style="89" customWidth="1"/>
    <col min="7202" max="7202" width="12.5703125" style="89" customWidth="1"/>
    <col min="7203" max="7203" width="25" style="89" customWidth="1"/>
    <col min="7204" max="7204" width="16.5703125" style="89" bestFit="1" customWidth="1"/>
    <col min="7205" max="7205" width="24" style="89" customWidth="1"/>
    <col min="7206" max="7206" width="11.42578125" style="89" customWidth="1"/>
    <col min="7207" max="7207" width="20" style="89" customWidth="1"/>
    <col min="7208" max="7208" width="11.42578125" style="89" customWidth="1"/>
    <col min="7209" max="7209" width="19" style="89" customWidth="1"/>
    <col min="7210" max="7213" width="11.42578125" style="89" customWidth="1"/>
    <col min="7214" max="7214" width="15.140625" style="89" customWidth="1"/>
    <col min="7215" max="7215" width="14" style="89" customWidth="1"/>
    <col min="7216" max="7216" width="15.140625" style="89" customWidth="1"/>
    <col min="7217" max="7217" width="11.42578125" style="89" customWidth="1"/>
    <col min="7218" max="7218" width="51.7109375" style="89" customWidth="1"/>
    <col min="7219" max="7220" width="29.5703125" style="89" customWidth="1"/>
    <col min="7221" max="7221" width="44.42578125" style="89" customWidth="1"/>
    <col min="7222" max="7222" width="36.28515625" style="89" customWidth="1"/>
    <col min="7223" max="7223" width="27.42578125" style="89" bestFit="1" customWidth="1"/>
    <col min="7224" max="7444" width="11.42578125" style="89"/>
    <col min="7445" max="7445" width="15.5703125" style="89" bestFit="1" customWidth="1"/>
    <col min="7446" max="7446" width="33.7109375" style="89" customWidth="1"/>
    <col min="7447" max="7447" width="19" style="89" customWidth="1"/>
    <col min="7448" max="7448" width="19.85546875" style="89" customWidth="1"/>
    <col min="7449" max="7449" width="18.5703125" style="89" customWidth="1"/>
    <col min="7450" max="7450" width="19.7109375" style="89" customWidth="1"/>
    <col min="7451" max="7451" width="14.85546875" style="89" customWidth="1"/>
    <col min="7452" max="7452" width="16.85546875" style="89" customWidth="1"/>
    <col min="7453" max="7455" width="11.42578125" style="89" customWidth="1"/>
    <col min="7456" max="7456" width="18.140625" style="89" customWidth="1"/>
    <col min="7457" max="7457" width="11.42578125" style="89" customWidth="1"/>
    <col min="7458" max="7458" width="12.5703125" style="89" customWidth="1"/>
    <col min="7459" max="7459" width="25" style="89" customWidth="1"/>
    <col min="7460" max="7460" width="16.5703125" style="89" bestFit="1" customWidth="1"/>
    <col min="7461" max="7461" width="24" style="89" customWidth="1"/>
    <col min="7462" max="7462" width="11.42578125" style="89" customWidth="1"/>
    <col min="7463" max="7463" width="20" style="89" customWidth="1"/>
    <col min="7464" max="7464" width="11.42578125" style="89" customWidth="1"/>
    <col min="7465" max="7465" width="19" style="89" customWidth="1"/>
    <col min="7466" max="7469" width="11.42578125" style="89" customWidth="1"/>
    <col min="7470" max="7470" width="15.140625" style="89" customWidth="1"/>
    <col min="7471" max="7471" width="14" style="89" customWidth="1"/>
    <col min="7472" max="7472" width="15.140625" style="89" customWidth="1"/>
    <col min="7473" max="7473" width="11.42578125" style="89" customWidth="1"/>
    <col min="7474" max="7474" width="51.7109375" style="89" customWidth="1"/>
    <col min="7475" max="7476" width="29.5703125" style="89" customWidth="1"/>
    <col min="7477" max="7477" width="44.42578125" style="89" customWidth="1"/>
    <col min="7478" max="7478" width="36.28515625" style="89" customWidth="1"/>
    <col min="7479" max="7479" width="27.42578125" style="89" bestFit="1" customWidth="1"/>
    <col min="7480" max="7700" width="11.42578125" style="89"/>
    <col min="7701" max="7701" width="15.5703125" style="89" bestFit="1" customWidth="1"/>
    <col min="7702" max="7702" width="33.7109375" style="89" customWidth="1"/>
    <col min="7703" max="7703" width="19" style="89" customWidth="1"/>
    <col min="7704" max="7704" width="19.85546875" style="89" customWidth="1"/>
    <col min="7705" max="7705" width="18.5703125" style="89" customWidth="1"/>
    <col min="7706" max="7706" width="19.7109375" style="89" customWidth="1"/>
    <col min="7707" max="7707" width="14.85546875" style="89" customWidth="1"/>
    <col min="7708" max="7708" width="16.85546875" style="89" customWidth="1"/>
    <col min="7709" max="7711" width="11.42578125" style="89" customWidth="1"/>
    <col min="7712" max="7712" width="18.140625" style="89" customWidth="1"/>
    <col min="7713" max="7713" width="11.42578125" style="89" customWidth="1"/>
    <col min="7714" max="7714" width="12.5703125" style="89" customWidth="1"/>
    <col min="7715" max="7715" width="25" style="89" customWidth="1"/>
    <col min="7716" max="7716" width="16.5703125" style="89" bestFit="1" customWidth="1"/>
    <col min="7717" max="7717" width="24" style="89" customWidth="1"/>
    <col min="7718" max="7718" width="11.42578125" style="89" customWidth="1"/>
    <col min="7719" max="7719" width="20" style="89" customWidth="1"/>
    <col min="7720" max="7720" width="11.42578125" style="89" customWidth="1"/>
    <col min="7721" max="7721" width="19" style="89" customWidth="1"/>
    <col min="7722" max="7725" width="11.42578125" style="89" customWidth="1"/>
    <col min="7726" max="7726" width="15.140625" style="89" customWidth="1"/>
    <col min="7727" max="7727" width="14" style="89" customWidth="1"/>
    <col min="7728" max="7728" width="15.140625" style="89" customWidth="1"/>
    <col min="7729" max="7729" width="11.42578125" style="89" customWidth="1"/>
    <col min="7730" max="7730" width="51.7109375" style="89" customWidth="1"/>
    <col min="7731" max="7732" width="29.5703125" style="89" customWidth="1"/>
    <col min="7733" max="7733" width="44.42578125" style="89" customWidth="1"/>
    <col min="7734" max="7734" width="36.28515625" style="89" customWidth="1"/>
    <col min="7735" max="7735" width="27.42578125" style="89" bestFit="1" customWidth="1"/>
    <col min="7736" max="7956" width="11.42578125" style="89"/>
    <col min="7957" max="7957" width="15.5703125" style="89" bestFit="1" customWidth="1"/>
    <col min="7958" max="7958" width="33.7109375" style="89" customWidth="1"/>
    <col min="7959" max="7959" width="19" style="89" customWidth="1"/>
    <col min="7960" max="7960" width="19.85546875" style="89" customWidth="1"/>
    <col min="7961" max="7961" width="18.5703125" style="89" customWidth="1"/>
    <col min="7962" max="7962" width="19.7109375" style="89" customWidth="1"/>
    <col min="7963" max="7963" width="14.85546875" style="89" customWidth="1"/>
    <col min="7964" max="7964" width="16.85546875" style="89" customWidth="1"/>
    <col min="7965" max="7967" width="11.42578125" style="89" customWidth="1"/>
    <col min="7968" max="7968" width="18.140625" style="89" customWidth="1"/>
    <col min="7969" max="7969" width="11.42578125" style="89" customWidth="1"/>
    <col min="7970" max="7970" width="12.5703125" style="89" customWidth="1"/>
    <col min="7971" max="7971" width="25" style="89" customWidth="1"/>
    <col min="7972" max="7972" width="16.5703125" style="89" bestFit="1" customWidth="1"/>
    <col min="7973" max="7973" width="24" style="89" customWidth="1"/>
    <col min="7974" max="7974" width="11.42578125" style="89" customWidth="1"/>
    <col min="7975" max="7975" width="20" style="89" customWidth="1"/>
    <col min="7976" max="7976" width="11.42578125" style="89" customWidth="1"/>
    <col min="7977" max="7977" width="19" style="89" customWidth="1"/>
    <col min="7978" max="7981" width="11.42578125" style="89" customWidth="1"/>
    <col min="7982" max="7982" width="15.140625" style="89" customWidth="1"/>
    <col min="7983" max="7983" width="14" style="89" customWidth="1"/>
    <col min="7984" max="7984" width="15.140625" style="89" customWidth="1"/>
    <col min="7985" max="7985" width="11.42578125" style="89" customWidth="1"/>
    <col min="7986" max="7986" width="51.7109375" style="89" customWidth="1"/>
    <col min="7987" max="7988" width="29.5703125" style="89" customWidth="1"/>
    <col min="7989" max="7989" width="44.42578125" style="89" customWidth="1"/>
    <col min="7990" max="7990" width="36.28515625" style="89" customWidth="1"/>
    <col min="7991" max="7991" width="27.42578125" style="89" bestFit="1" customWidth="1"/>
    <col min="7992" max="8212" width="11.42578125" style="89"/>
    <col min="8213" max="8213" width="15.5703125" style="89" bestFit="1" customWidth="1"/>
    <col min="8214" max="8214" width="33.7109375" style="89" customWidth="1"/>
    <col min="8215" max="8215" width="19" style="89" customWidth="1"/>
    <col min="8216" max="8216" width="19.85546875" style="89" customWidth="1"/>
    <col min="8217" max="8217" width="18.5703125" style="89" customWidth="1"/>
    <col min="8218" max="8218" width="19.7109375" style="89" customWidth="1"/>
    <col min="8219" max="8219" width="14.85546875" style="89" customWidth="1"/>
    <col min="8220" max="8220" width="16.85546875" style="89" customWidth="1"/>
    <col min="8221" max="8223" width="11.42578125" style="89" customWidth="1"/>
    <col min="8224" max="8224" width="18.140625" style="89" customWidth="1"/>
    <col min="8225" max="8225" width="11.42578125" style="89" customWidth="1"/>
    <col min="8226" max="8226" width="12.5703125" style="89" customWidth="1"/>
    <col min="8227" max="8227" width="25" style="89" customWidth="1"/>
    <col min="8228" max="8228" width="16.5703125" style="89" bestFit="1" customWidth="1"/>
    <col min="8229" max="8229" width="24" style="89" customWidth="1"/>
    <col min="8230" max="8230" width="11.42578125" style="89" customWidth="1"/>
    <col min="8231" max="8231" width="20" style="89" customWidth="1"/>
    <col min="8232" max="8232" width="11.42578125" style="89" customWidth="1"/>
    <col min="8233" max="8233" width="19" style="89" customWidth="1"/>
    <col min="8234" max="8237" width="11.42578125" style="89" customWidth="1"/>
    <col min="8238" max="8238" width="15.140625" style="89" customWidth="1"/>
    <col min="8239" max="8239" width="14" style="89" customWidth="1"/>
    <col min="8240" max="8240" width="15.140625" style="89" customWidth="1"/>
    <col min="8241" max="8241" width="11.42578125" style="89" customWidth="1"/>
    <col min="8242" max="8242" width="51.7109375" style="89" customWidth="1"/>
    <col min="8243" max="8244" width="29.5703125" style="89" customWidth="1"/>
    <col min="8245" max="8245" width="44.42578125" style="89" customWidth="1"/>
    <col min="8246" max="8246" width="36.28515625" style="89" customWidth="1"/>
    <col min="8247" max="8247" width="27.42578125" style="89" bestFit="1" customWidth="1"/>
    <col min="8248" max="8468" width="11.42578125" style="89"/>
    <col min="8469" max="8469" width="15.5703125" style="89" bestFit="1" customWidth="1"/>
    <col min="8470" max="8470" width="33.7109375" style="89" customWidth="1"/>
    <col min="8471" max="8471" width="19" style="89" customWidth="1"/>
    <col min="8472" max="8472" width="19.85546875" style="89" customWidth="1"/>
    <col min="8473" max="8473" width="18.5703125" style="89" customWidth="1"/>
    <col min="8474" max="8474" width="19.7109375" style="89" customWidth="1"/>
    <col min="8475" max="8475" width="14.85546875" style="89" customWidth="1"/>
    <col min="8476" max="8476" width="16.85546875" style="89" customWidth="1"/>
    <col min="8477" max="8479" width="11.42578125" style="89" customWidth="1"/>
    <col min="8480" max="8480" width="18.140625" style="89" customWidth="1"/>
    <col min="8481" max="8481" width="11.42578125" style="89" customWidth="1"/>
    <col min="8482" max="8482" width="12.5703125" style="89" customWidth="1"/>
    <col min="8483" max="8483" width="25" style="89" customWidth="1"/>
    <col min="8484" max="8484" width="16.5703125" style="89" bestFit="1" customWidth="1"/>
    <col min="8485" max="8485" width="24" style="89" customWidth="1"/>
    <col min="8486" max="8486" width="11.42578125" style="89" customWidth="1"/>
    <col min="8487" max="8487" width="20" style="89" customWidth="1"/>
    <col min="8488" max="8488" width="11.42578125" style="89" customWidth="1"/>
    <col min="8489" max="8489" width="19" style="89" customWidth="1"/>
    <col min="8490" max="8493" width="11.42578125" style="89" customWidth="1"/>
    <col min="8494" max="8494" width="15.140625" style="89" customWidth="1"/>
    <col min="8495" max="8495" width="14" style="89" customWidth="1"/>
    <col min="8496" max="8496" width="15.140625" style="89" customWidth="1"/>
    <col min="8497" max="8497" width="11.42578125" style="89" customWidth="1"/>
    <col min="8498" max="8498" width="51.7109375" style="89" customWidth="1"/>
    <col min="8499" max="8500" width="29.5703125" style="89" customWidth="1"/>
    <col min="8501" max="8501" width="44.42578125" style="89" customWidth="1"/>
    <col min="8502" max="8502" width="36.28515625" style="89" customWidth="1"/>
    <col min="8503" max="8503" width="27.42578125" style="89" bestFit="1" customWidth="1"/>
    <col min="8504" max="8724" width="11.42578125" style="89"/>
    <col min="8725" max="8725" width="15.5703125" style="89" bestFit="1" customWidth="1"/>
    <col min="8726" max="8726" width="33.7109375" style="89" customWidth="1"/>
    <col min="8727" max="8727" width="19" style="89" customWidth="1"/>
    <col min="8728" max="8728" width="19.85546875" style="89" customWidth="1"/>
    <col min="8729" max="8729" width="18.5703125" style="89" customWidth="1"/>
    <col min="8730" max="8730" width="19.7109375" style="89" customWidth="1"/>
    <col min="8731" max="8731" width="14.85546875" style="89" customWidth="1"/>
    <col min="8732" max="8732" width="16.85546875" style="89" customWidth="1"/>
    <col min="8733" max="8735" width="11.42578125" style="89" customWidth="1"/>
    <col min="8736" max="8736" width="18.140625" style="89" customWidth="1"/>
    <col min="8737" max="8737" width="11.42578125" style="89" customWidth="1"/>
    <col min="8738" max="8738" width="12.5703125" style="89" customWidth="1"/>
    <col min="8739" max="8739" width="25" style="89" customWidth="1"/>
    <col min="8740" max="8740" width="16.5703125" style="89" bestFit="1" customWidth="1"/>
    <col min="8741" max="8741" width="24" style="89" customWidth="1"/>
    <col min="8742" max="8742" width="11.42578125" style="89" customWidth="1"/>
    <col min="8743" max="8743" width="20" style="89" customWidth="1"/>
    <col min="8744" max="8744" width="11.42578125" style="89" customWidth="1"/>
    <col min="8745" max="8745" width="19" style="89" customWidth="1"/>
    <col min="8746" max="8749" width="11.42578125" style="89" customWidth="1"/>
    <col min="8750" max="8750" width="15.140625" style="89" customWidth="1"/>
    <col min="8751" max="8751" width="14" style="89" customWidth="1"/>
    <col min="8752" max="8752" width="15.140625" style="89" customWidth="1"/>
    <col min="8753" max="8753" width="11.42578125" style="89" customWidth="1"/>
    <col min="8754" max="8754" width="51.7109375" style="89" customWidth="1"/>
    <col min="8755" max="8756" width="29.5703125" style="89" customWidth="1"/>
    <col min="8757" max="8757" width="44.42578125" style="89" customWidth="1"/>
    <col min="8758" max="8758" width="36.28515625" style="89" customWidth="1"/>
    <col min="8759" max="8759" width="27.42578125" style="89" bestFit="1" customWidth="1"/>
    <col min="8760" max="8980" width="11.42578125" style="89"/>
    <col min="8981" max="8981" width="15.5703125" style="89" bestFit="1" customWidth="1"/>
    <col min="8982" max="8982" width="33.7109375" style="89" customWidth="1"/>
    <col min="8983" max="8983" width="19" style="89" customWidth="1"/>
    <col min="8984" max="8984" width="19.85546875" style="89" customWidth="1"/>
    <col min="8985" max="8985" width="18.5703125" style="89" customWidth="1"/>
    <col min="8986" max="8986" width="19.7109375" style="89" customWidth="1"/>
    <col min="8987" max="8987" width="14.85546875" style="89" customWidth="1"/>
    <col min="8988" max="8988" width="16.85546875" style="89" customWidth="1"/>
    <col min="8989" max="8991" width="11.42578125" style="89" customWidth="1"/>
    <col min="8992" max="8992" width="18.140625" style="89" customWidth="1"/>
    <col min="8993" max="8993" width="11.42578125" style="89" customWidth="1"/>
    <col min="8994" max="8994" width="12.5703125" style="89" customWidth="1"/>
    <col min="8995" max="8995" width="25" style="89" customWidth="1"/>
    <col min="8996" max="8996" width="16.5703125" style="89" bestFit="1" customWidth="1"/>
    <col min="8997" max="8997" width="24" style="89" customWidth="1"/>
    <col min="8998" max="8998" width="11.42578125" style="89" customWidth="1"/>
    <col min="8999" max="8999" width="20" style="89" customWidth="1"/>
    <col min="9000" max="9000" width="11.42578125" style="89" customWidth="1"/>
    <col min="9001" max="9001" width="19" style="89" customWidth="1"/>
    <col min="9002" max="9005" width="11.42578125" style="89" customWidth="1"/>
    <col min="9006" max="9006" width="15.140625" style="89" customWidth="1"/>
    <col min="9007" max="9007" width="14" style="89" customWidth="1"/>
    <col min="9008" max="9008" width="15.140625" style="89" customWidth="1"/>
    <col min="9009" max="9009" width="11.42578125" style="89" customWidth="1"/>
    <col min="9010" max="9010" width="51.7109375" style="89" customWidth="1"/>
    <col min="9011" max="9012" width="29.5703125" style="89" customWidth="1"/>
    <col min="9013" max="9013" width="44.42578125" style="89" customWidth="1"/>
    <col min="9014" max="9014" width="36.28515625" style="89" customWidth="1"/>
    <col min="9015" max="9015" width="27.42578125" style="89" bestFit="1" customWidth="1"/>
    <col min="9016" max="9236" width="11.42578125" style="89"/>
    <col min="9237" max="9237" width="15.5703125" style="89" bestFit="1" customWidth="1"/>
    <col min="9238" max="9238" width="33.7109375" style="89" customWidth="1"/>
    <col min="9239" max="9239" width="19" style="89" customWidth="1"/>
    <col min="9240" max="9240" width="19.85546875" style="89" customWidth="1"/>
    <col min="9241" max="9241" width="18.5703125" style="89" customWidth="1"/>
    <col min="9242" max="9242" width="19.7109375" style="89" customWidth="1"/>
    <col min="9243" max="9243" width="14.85546875" style="89" customWidth="1"/>
    <col min="9244" max="9244" width="16.85546875" style="89" customWidth="1"/>
    <col min="9245" max="9247" width="11.42578125" style="89" customWidth="1"/>
    <col min="9248" max="9248" width="18.140625" style="89" customWidth="1"/>
    <col min="9249" max="9249" width="11.42578125" style="89" customWidth="1"/>
    <col min="9250" max="9250" width="12.5703125" style="89" customWidth="1"/>
    <col min="9251" max="9251" width="25" style="89" customWidth="1"/>
    <col min="9252" max="9252" width="16.5703125" style="89" bestFit="1" customWidth="1"/>
    <col min="9253" max="9253" width="24" style="89" customWidth="1"/>
    <col min="9254" max="9254" width="11.42578125" style="89" customWidth="1"/>
    <col min="9255" max="9255" width="20" style="89" customWidth="1"/>
    <col min="9256" max="9256" width="11.42578125" style="89" customWidth="1"/>
    <col min="9257" max="9257" width="19" style="89" customWidth="1"/>
    <col min="9258" max="9261" width="11.42578125" style="89" customWidth="1"/>
    <col min="9262" max="9262" width="15.140625" style="89" customWidth="1"/>
    <col min="9263" max="9263" width="14" style="89" customWidth="1"/>
    <col min="9264" max="9264" width="15.140625" style="89" customWidth="1"/>
    <col min="9265" max="9265" width="11.42578125" style="89" customWidth="1"/>
    <col min="9266" max="9266" width="51.7109375" style="89" customWidth="1"/>
    <col min="9267" max="9268" width="29.5703125" style="89" customWidth="1"/>
    <col min="9269" max="9269" width="44.42578125" style="89" customWidth="1"/>
    <col min="9270" max="9270" width="36.28515625" style="89" customWidth="1"/>
    <col min="9271" max="9271" width="27.42578125" style="89" bestFit="1" customWidth="1"/>
    <col min="9272" max="9492" width="11.42578125" style="89"/>
    <col min="9493" max="9493" width="15.5703125" style="89" bestFit="1" customWidth="1"/>
    <col min="9494" max="9494" width="33.7109375" style="89" customWidth="1"/>
    <col min="9495" max="9495" width="19" style="89" customWidth="1"/>
    <col min="9496" max="9496" width="19.85546875" style="89" customWidth="1"/>
    <col min="9497" max="9497" width="18.5703125" style="89" customWidth="1"/>
    <col min="9498" max="9498" width="19.7109375" style="89" customWidth="1"/>
    <col min="9499" max="9499" width="14.85546875" style="89" customWidth="1"/>
    <col min="9500" max="9500" width="16.85546875" style="89" customWidth="1"/>
    <col min="9501" max="9503" width="11.42578125" style="89" customWidth="1"/>
    <col min="9504" max="9504" width="18.140625" style="89" customWidth="1"/>
    <col min="9505" max="9505" width="11.42578125" style="89" customWidth="1"/>
    <col min="9506" max="9506" width="12.5703125" style="89" customWidth="1"/>
    <col min="9507" max="9507" width="25" style="89" customWidth="1"/>
    <col min="9508" max="9508" width="16.5703125" style="89" bestFit="1" customWidth="1"/>
    <col min="9509" max="9509" width="24" style="89" customWidth="1"/>
    <col min="9510" max="9510" width="11.42578125" style="89" customWidth="1"/>
    <col min="9511" max="9511" width="20" style="89" customWidth="1"/>
    <col min="9512" max="9512" width="11.42578125" style="89" customWidth="1"/>
    <col min="9513" max="9513" width="19" style="89" customWidth="1"/>
    <col min="9514" max="9517" width="11.42578125" style="89" customWidth="1"/>
    <col min="9518" max="9518" width="15.140625" style="89" customWidth="1"/>
    <col min="9519" max="9519" width="14" style="89" customWidth="1"/>
    <col min="9520" max="9520" width="15.140625" style="89" customWidth="1"/>
    <col min="9521" max="9521" width="11.42578125" style="89" customWidth="1"/>
    <col min="9522" max="9522" width="51.7109375" style="89" customWidth="1"/>
    <col min="9523" max="9524" width="29.5703125" style="89" customWidth="1"/>
    <col min="9525" max="9525" width="44.42578125" style="89" customWidth="1"/>
    <col min="9526" max="9526" width="36.28515625" style="89" customWidth="1"/>
    <col min="9527" max="9527" width="27.42578125" style="89" bestFit="1" customWidth="1"/>
    <col min="9528" max="9748" width="11.42578125" style="89"/>
    <col min="9749" max="9749" width="15.5703125" style="89" bestFit="1" customWidth="1"/>
    <col min="9750" max="9750" width="33.7109375" style="89" customWidth="1"/>
    <col min="9751" max="9751" width="19" style="89" customWidth="1"/>
    <col min="9752" max="9752" width="19.85546875" style="89" customWidth="1"/>
    <col min="9753" max="9753" width="18.5703125" style="89" customWidth="1"/>
    <col min="9754" max="9754" width="19.7109375" style="89" customWidth="1"/>
    <col min="9755" max="9755" width="14.85546875" style="89" customWidth="1"/>
    <col min="9756" max="9756" width="16.85546875" style="89" customWidth="1"/>
    <col min="9757" max="9759" width="11.42578125" style="89" customWidth="1"/>
    <col min="9760" max="9760" width="18.140625" style="89" customWidth="1"/>
    <col min="9761" max="9761" width="11.42578125" style="89" customWidth="1"/>
    <col min="9762" max="9762" width="12.5703125" style="89" customWidth="1"/>
    <col min="9763" max="9763" width="25" style="89" customWidth="1"/>
    <col min="9764" max="9764" width="16.5703125" style="89" bestFit="1" customWidth="1"/>
    <col min="9765" max="9765" width="24" style="89" customWidth="1"/>
    <col min="9766" max="9766" width="11.42578125" style="89" customWidth="1"/>
    <col min="9767" max="9767" width="20" style="89" customWidth="1"/>
    <col min="9768" max="9768" width="11.42578125" style="89" customWidth="1"/>
    <col min="9769" max="9769" width="19" style="89" customWidth="1"/>
    <col min="9770" max="9773" width="11.42578125" style="89" customWidth="1"/>
    <col min="9774" max="9774" width="15.140625" style="89" customWidth="1"/>
    <col min="9775" max="9775" width="14" style="89" customWidth="1"/>
    <col min="9776" max="9776" width="15.140625" style="89" customWidth="1"/>
    <col min="9777" max="9777" width="11.42578125" style="89" customWidth="1"/>
    <col min="9778" max="9778" width="51.7109375" style="89" customWidth="1"/>
    <col min="9779" max="9780" width="29.5703125" style="89" customWidth="1"/>
    <col min="9781" max="9781" width="44.42578125" style="89" customWidth="1"/>
    <col min="9782" max="9782" width="36.28515625" style="89" customWidth="1"/>
    <col min="9783" max="9783" width="27.42578125" style="89" bestFit="1" customWidth="1"/>
    <col min="9784" max="10004" width="11.42578125" style="89"/>
    <col min="10005" max="10005" width="15.5703125" style="89" bestFit="1" customWidth="1"/>
    <col min="10006" max="10006" width="33.7109375" style="89" customWidth="1"/>
    <col min="10007" max="10007" width="19" style="89" customWidth="1"/>
    <col min="10008" max="10008" width="19.85546875" style="89" customWidth="1"/>
    <col min="10009" max="10009" width="18.5703125" style="89" customWidth="1"/>
    <col min="10010" max="10010" width="19.7109375" style="89" customWidth="1"/>
    <col min="10011" max="10011" width="14.85546875" style="89" customWidth="1"/>
    <col min="10012" max="10012" width="16.85546875" style="89" customWidth="1"/>
    <col min="10013" max="10015" width="11.42578125" style="89" customWidth="1"/>
    <col min="10016" max="10016" width="18.140625" style="89" customWidth="1"/>
    <col min="10017" max="10017" width="11.42578125" style="89" customWidth="1"/>
    <col min="10018" max="10018" width="12.5703125" style="89" customWidth="1"/>
    <col min="10019" max="10019" width="25" style="89" customWidth="1"/>
    <col min="10020" max="10020" width="16.5703125" style="89" bestFit="1" customWidth="1"/>
    <col min="10021" max="10021" width="24" style="89" customWidth="1"/>
    <col min="10022" max="10022" width="11.42578125" style="89" customWidth="1"/>
    <col min="10023" max="10023" width="20" style="89" customWidth="1"/>
    <col min="10024" max="10024" width="11.42578125" style="89" customWidth="1"/>
    <col min="10025" max="10025" width="19" style="89" customWidth="1"/>
    <col min="10026" max="10029" width="11.42578125" style="89" customWidth="1"/>
    <col min="10030" max="10030" width="15.140625" style="89" customWidth="1"/>
    <col min="10031" max="10031" width="14" style="89" customWidth="1"/>
    <col min="10032" max="10032" width="15.140625" style="89" customWidth="1"/>
    <col min="10033" max="10033" width="11.42578125" style="89" customWidth="1"/>
    <col min="10034" max="10034" width="51.7109375" style="89" customWidth="1"/>
    <col min="10035" max="10036" width="29.5703125" style="89" customWidth="1"/>
    <col min="10037" max="10037" width="44.42578125" style="89" customWidth="1"/>
    <col min="10038" max="10038" width="36.28515625" style="89" customWidth="1"/>
    <col min="10039" max="10039" width="27.42578125" style="89" bestFit="1" customWidth="1"/>
    <col min="10040" max="10260" width="11.42578125" style="89"/>
    <col min="10261" max="10261" width="15.5703125" style="89" bestFit="1" customWidth="1"/>
    <col min="10262" max="10262" width="33.7109375" style="89" customWidth="1"/>
    <col min="10263" max="10263" width="19" style="89" customWidth="1"/>
    <col min="10264" max="10264" width="19.85546875" style="89" customWidth="1"/>
    <col min="10265" max="10265" width="18.5703125" style="89" customWidth="1"/>
    <col min="10266" max="10266" width="19.7109375" style="89" customWidth="1"/>
    <col min="10267" max="10267" width="14.85546875" style="89" customWidth="1"/>
    <col min="10268" max="10268" width="16.85546875" style="89" customWidth="1"/>
    <col min="10269" max="10271" width="11.42578125" style="89" customWidth="1"/>
    <col min="10272" max="10272" width="18.140625" style="89" customWidth="1"/>
    <col min="10273" max="10273" width="11.42578125" style="89" customWidth="1"/>
    <col min="10274" max="10274" width="12.5703125" style="89" customWidth="1"/>
    <col min="10275" max="10275" width="25" style="89" customWidth="1"/>
    <col min="10276" max="10276" width="16.5703125" style="89" bestFit="1" customWidth="1"/>
    <col min="10277" max="10277" width="24" style="89" customWidth="1"/>
    <col min="10278" max="10278" width="11.42578125" style="89" customWidth="1"/>
    <col min="10279" max="10279" width="20" style="89" customWidth="1"/>
    <col min="10280" max="10280" width="11.42578125" style="89" customWidth="1"/>
    <col min="10281" max="10281" width="19" style="89" customWidth="1"/>
    <col min="10282" max="10285" width="11.42578125" style="89" customWidth="1"/>
    <col min="10286" max="10286" width="15.140625" style="89" customWidth="1"/>
    <col min="10287" max="10287" width="14" style="89" customWidth="1"/>
    <col min="10288" max="10288" width="15.140625" style="89" customWidth="1"/>
    <col min="10289" max="10289" width="11.42578125" style="89" customWidth="1"/>
    <col min="10290" max="10290" width="51.7109375" style="89" customWidth="1"/>
    <col min="10291" max="10292" width="29.5703125" style="89" customWidth="1"/>
    <col min="10293" max="10293" width="44.42578125" style="89" customWidth="1"/>
    <col min="10294" max="10294" width="36.28515625" style="89" customWidth="1"/>
    <col min="10295" max="10295" width="27.42578125" style="89" bestFit="1" customWidth="1"/>
    <col min="10296" max="10516" width="11.42578125" style="89"/>
    <col min="10517" max="10517" width="15.5703125" style="89" bestFit="1" customWidth="1"/>
    <col min="10518" max="10518" width="33.7109375" style="89" customWidth="1"/>
    <col min="10519" max="10519" width="19" style="89" customWidth="1"/>
    <col min="10520" max="10520" width="19.85546875" style="89" customWidth="1"/>
    <col min="10521" max="10521" width="18.5703125" style="89" customWidth="1"/>
    <col min="10522" max="10522" width="19.7109375" style="89" customWidth="1"/>
    <col min="10523" max="10523" width="14.85546875" style="89" customWidth="1"/>
    <col min="10524" max="10524" width="16.85546875" style="89" customWidth="1"/>
    <col min="10525" max="10527" width="11.42578125" style="89" customWidth="1"/>
    <col min="10528" max="10528" width="18.140625" style="89" customWidth="1"/>
    <col min="10529" max="10529" width="11.42578125" style="89" customWidth="1"/>
    <col min="10530" max="10530" width="12.5703125" style="89" customWidth="1"/>
    <col min="10531" max="10531" width="25" style="89" customWidth="1"/>
    <col min="10532" max="10532" width="16.5703125" style="89" bestFit="1" customWidth="1"/>
    <col min="10533" max="10533" width="24" style="89" customWidth="1"/>
    <col min="10534" max="10534" width="11.42578125" style="89" customWidth="1"/>
    <col min="10535" max="10535" width="20" style="89" customWidth="1"/>
    <col min="10536" max="10536" width="11.42578125" style="89" customWidth="1"/>
    <col min="10537" max="10537" width="19" style="89" customWidth="1"/>
    <col min="10538" max="10541" width="11.42578125" style="89" customWidth="1"/>
    <col min="10542" max="10542" width="15.140625" style="89" customWidth="1"/>
    <col min="10543" max="10543" width="14" style="89" customWidth="1"/>
    <col min="10544" max="10544" width="15.140625" style="89" customWidth="1"/>
    <col min="10545" max="10545" width="11.42578125" style="89" customWidth="1"/>
    <col min="10546" max="10546" width="51.7109375" style="89" customWidth="1"/>
    <col min="10547" max="10548" width="29.5703125" style="89" customWidth="1"/>
    <col min="10549" max="10549" width="44.42578125" style="89" customWidth="1"/>
    <col min="10550" max="10550" width="36.28515625" style="89" customWidth="1"/>
    <col min="10551" max="10551" width="27.42578125" style="89" bestFit="1" customWidth="1"/>
    <col min="10552" max="10772" width="11.42578125" style="89"/>
    <col min="10773" max="10773" width="15.5703125" style="89" bestFit="1" customWidth="1"/>
    <col min="10774" max="10774" width="33.7109375" style="89" customWidth="1"/>
    <col min="10775" max="10775" width="19" style="89" customWidth="1"/>
    <col min="10776" max="10776" width="19.85546875" style="89" customWidth="1"/>
    <col min="10777" max="10777" width="18.5703125" style="89" customWidth="1"/>
    <col min="10778" max="10778" width="19.7109375" style="89" customWidth="1"/>
    <col min="10779" max="10779" width="14.85546875" style="89" customWidth="1"/>
    <col min="10780" max="10780" width="16.85546875" style="89" customWidth="1"/>
    <col min="10781" max="10783" width="11.42578125" style="89" customWidth="1"/>
    <col min="10784" max="10784" width="18.140625" style="89" customWidth="1"/>
    <col min="10785" max="10785" width="11.42578125" style="89" customWidth="1"/>
    <col min="10786" max="10786" width="12.5703125" style="89" customWidth="1"/>
    <col min="10787" max="10787" width="25" style="89" customWidth="1"/>
    <col min="10788" max="10788" width="16.5703125" style="89" bestFit="1" customWidth="1"/>
    <col min="10789" max="10789" width="24" style="89" customWidth="1"/>
    <col min="10790" max="10790" width="11.42578125" style="89" customWidth="1"/>
    <col min="10791" max="10791" width="20" style="89" customWidth="1"/>
    <col min="10792" max="10792" width="11.42578125" style="89" customWidth="1"/>
    <col min="10793" max="10793" width="19" style="89" customWidth="1"/>
    <col min="10794" max="10797" width="11.42578125" style="89" customWidth="1"/>
    <col min="10798" max="10798" width="15.140625" style="89" customWidth="1"/>
    <col min="10799" max="10799" width="14" style="89" customWidth="1"/>
    <col min="10800" max="10800" width="15.140625" style="89" customWidth="1"/>
    <col min="10801" max="10801" width="11.42578125" style="89" customWidth="1"/>
    <col min="10802" max="10802" width="51.7109375" style="89" customWidth="1"/>
    <col min="10803" max="10804" width="29.5703125" style="89" customWidth="1"/>
    <col min="10805" max="10805" width="44.42578125" style="89" customWidth="1"/>
    <col min="10806" max="10806" width="36.28515625" style="89" customWidth="1"/>
    <col min="10807" max="10807" width="27.42578125" style="89" bestFit="1" customWidth="1"/>
    <col min="10808" max="11028" width="11.42578125" style="89"/>
    <col min="11029" max="11029" width="15.5703125" style="89" bestFit="1" customWidth="1"/>
    <col min="11030" max="11030" width="33.7109375" style="89" customWidth="1"/>
    <col min="11031" max="11031" width="19" style="89" customWidth="1"/>
    <col min="11032" max="11032" width="19.85546875" style="89" customWidth="1"/>
    <col min="11033" max="11033" width="18.5703125" style="89" customWidth="1"/>
    <col min="11034" max="11034" width="19.7109375" style="89" customWidth="1"/>
    <col min="11035" max="11035" width="14.85546875" style="89" customWidth="1"/>
    <col min="11036" max="11036" width="16.85546875" style="89" customWidth="1"/>
    <col min="11037" max="11039" width="11.42578125" style="89" customWidth="1"/>
    <col min="11040" max="11040" width="18.140625" style="89" customWidth="1"/>
    <col min="11041" max="11041" width="11.42578125" style="89" customWidth="1"/>
    <col min="11042" max="11042" width="12.5703125" style="89" customWidth="1"/>
    <col min="11043" max="11043" width="25" style="89" customWidth="1"/>
    <col min="11044" max="11044" width="16.5703125" style="89" bestFit="1" customWidth="1"/>
    <col min="11045" max="11045" width="24" style="89" customWidth="1"/>
    <col min="11046" max="11046" width="11.42578125" style="89" customWidth="1"/>
    <col min="11047" max="11047" width="20" style="89" customWidth="1"/>
    <col min="11048" max="11048" width="11.42578125" style="89" customWidth="1"/>
    <col min="11049" max="11049" width="19" style="89" customWidth="1"/>
    <col min="11050" max="11053" width="11.42578125" style="89" customWidth="1"/>
    <col min="11054" max="11054" width="15.140625" style="89" customWidth="1"/>
    <col min="11055" max="11055" width="14" style="89" customWidth="1"/>
    <col min="11056" max="11056" width="15.140625" style="89" customWidth="1"/>
    <col min="11057" max="11057" width="11.42578125" style="89" customWidth="1"/>
    <col min="11058" max="11058" width="51.7109375" style="89" customWidth="1"/>
    <col min="11059" max="11060" width="29.5703125" style="89" customWidth="1"/>
    <col min="11061" max="11061" width="44.42578125" style="89" customWidth="1"/>
    <col min="11062" max="11062" width="36.28515625" style="89" customWidth="1"/>
    <col min="11063" max="11063" width="27.42578125" style="89" bestFit="1" customWidth="1"/>
    <col min="11064" max="11284" width="11.42578125" style="89"/>
    <col min="11285" max="11285" width="15.5703125" style="89" bestFit="1" customWidth="1"/>
    <col min="11286" max="11286" width="33.7109375" style="89" customWidth="1"/>
    <col min="11287" max="11287" width="19" style="89" customWidth="1"/>
    <col min="11288" max="11288" width="19.85546875" style="89" customWidth="1"/>
    <col min="11289" max="11289" width="18.5703125" style="89" customWidth="1"/>
    <col min="11290" max="11290" width="19.7109375" style="89" customWidth="1"/>
    <col min="11291" max="11291" width="14.85546875" style="89" customWidth="1"/>
    <col min="11292" max="11292" width="16.85546875" style="89" customWidth="1"/>
    <col min="11293" max="11295" width="11.42578125" style="89" customWidth="1"/>
    <col min="11296" max="11296" width="18.140625" style="89" customWidth="1"/>
    <col min="11297" max="11297" width="11.42578125" style="89" customWidth="1"/>
    <col min="11298" max="11298" width="12.5703125" style="89" customWidth="1"/>
    <col min="11299" max="11299" width="25" style="89" customWidth="1"/>
    <col min="11300" max="11300" width="16.5703125" style="89" bestFit="1" customWidth="1"/>
    <col min="11301" max="11301" width="24" style="89" customWidth="1"/>
    <col min="11302" max="11302" width="11.42578125" style="89" customWidth="1"/>
    <col min="11303" max="11303" width="20" style="89" customWidth="1"/>
    <col min="11304" max="11304" width="11.42578125" style="89" customWidth="1"/>
    <col min="11305" max="11305" width="19" style="89" customWidth="1"/>
    <col min="11306" max="11309" width="11.42578125" style="89" customWidth="1"/>
    <col min="11310" max="11310" width="15.140625" style="89" customWidth="1"/>
    <col min="11311" max="11311" width="14" style="89" customWidth="1"/>
    <col min="11312" max="11312" width="15.140625" style="89" customWidth="1"/>
    <col min="11313" max="11313" width="11.42578125" style="89" customWidth="1"/>
    <col min="11314" max="11314" width="51.7109375" style="89" customWidth="1"/>
    <col min="11315" max="11316" width="29.5703125" style="89" customWidth="1"/>
    <col min="11317" max="11317" width="44.42578125" style="89" customWidth="1"/>
    <col min="11318" max="11318" width="36.28515625" style="89" customWidth="1"/>
    <col min="11319" max="11319" width="27.42578125" style="89" bestFit="1" customWidth="1"/>
    <col min="11320" max="11540" width="11.42578125" style="89"/>
    <col min="11541" max="11541" width="15.5703125" style="89" bestFit="1" customWidth="1"/>
    <col min="11542" max="11542" width="33.7109375" style="89" customWidth="1"/>
    <col min="11543" max="11543" width="19" style="89" customWidth="1"/>
    <col min="11544" max="11544" width="19.85546875" style="89" customWidth="1"/>
    <col min="11545" max="11545" width="18.5703125" style="89" customWidth="1"/>
    <col min="11546" max="11546" width="19.7109375" style="89" customWidth="1"/>
    <col min="11547" max="11547" width="14.85546875" style="89" customWidth="1"/>
    <col min="11548" max="11548" width="16.85546875" style="89" customWidth="1"/>
    <col min="11549" max="11551" width="11.42578125" style="89" customWidth="1"/>
    <col min="11552" max="11552" width="18.140625" style="89" customWidth="1"/>
    <col min="11553" max="11553" width="11.42578125" style="89" customWidth="1"/>
    <col min="11554" max="11554" width="12.5703125" style="89" customWidth="1"/>
    <col min="11555" max="11555" width="25" style="89" customWidth="1"/>
    <col min="11556" max="11556" width="16.5703125" style="89" bestFit="1" customWidth="1"/>
    <col min="11557" max="11557" width="24" style="89" customWidth="1"/>
    <col min="11558" max="11558" width="11.42578125" style="89" customWidth="1"/>
    <col min="11559" max="11559" width="20" style="89" customWidth="1"/>
    <col min="11560" max="11560" width="11.42578125" style="89" customWidth="1"/>
    <col min="11561" max="11561" width="19" style="89" customWidth="1"/>
    <col min="11562" max="11565" width="11.42578125" style="89" customWidth="1"/>
    <col min="11566" max="11566" width="15.140625" style="89" customWidth="1"/>
    <col min="11567" max="11567" width="14" style="89" customWidth="1"/>
    <col min="11568" max="11568" width="15.140625" style="89" customWidth="1"/>
    <col min="11569" max="11569" width="11.42578125" style="89" customWidth="1"/>
    <col min="11570" max="11570" width="51.7109375" style="89" customWidth="1"/>
    <col min="11571" max="11572" width="29.5703125" style="89" customWidth="1"/>
    <col min="11573" max="11573" width="44.42578125" style="89" customWidth="1"/>
    <col min="11574" max="11574" width="36.28515625" style="89" customWidth="1"/>
    <col min="11575" max="11575" width="27.42578125" style="89" bestFit="1" customWidth="1"/>
    <col min="11576" max="11796" width="11.42578125" style="89"/>
    <col min="11797" max="11797" width="15.5703125" style="89" bestFit="1" customWidth="1"/>
    <col min="11798" max="11798" width="33.7109375" style="89" customWidth="1"/>
    <col min="11799" max="11799" width="19" style="89" customWidth="1"/>
    <col min="11800" max="11800" width="19.85546875" style="89" customWidth="1"/>
    <col min="11801" max="11801" width="18.5703125" style="89" customWidth="1"/>
    <col min="11802" max="11802" width="19.7109375" style="89" customWidth="1"/>
    <col min="11803" max="11803" width="14.85546875" style="89" customWidth="1"/>
    <col min="11804" max="11804" width="16.85546875" style="89" customWidth="1"/>
    <col min="11805" max="11807" width="11.42578125" style="89" customWidth="1"/>
    <col min="11808" max="11808" width="18.140625" style="89" customWidth="1"/>
    <col min="11809" max="11809" width="11.42578125" style="89" customWidth="1"/>
    <col min="11810" max="11810" width="12.5703125" style="89" customWidth="1"/>
    <col min="11811" max="11811" width="25" style="89" customWidth="1"/>
    <col min="11812" max="11812" width="16.5703125" style="89" bestFit="1" customWidth="1"/>
    <col min="11813" max="11813" width="24" style="89" customWidth="1"/>
    <col min="11814" max="11814" width="11.42578125" style="89" customWidth="1"/>
    <col min="11815" max="11815" width="20" style="89" customWidth="1"/>
    <col min="11816" max="11816" width="11.42578125" style="89" customWidth="1"/>
    <col min="11817" max="11817" width="19" style="89" customWidth="1"/>
    <col min="11818" max="11821" width="11.42578125" style="89" customWidth="1"/>
    <col min="11822" max="11822" width="15.140625" style="89" customWidth="1"/>
    <col min="11823" max="11823" width="14" style="89" customWidth="1"/>
    <col min="11824" max="11824" width="15.140625" style="89" customWidth="1"/>
    <col min="11825" max="11825" width="11.42578125" style="89" customWidth="1"/>
    <col min="11826" max="11826" width="51.7109375" style="89" customWidth="1"/>
    <col min="11827" max="11828" width="29.5703125" style="89" customWidth="1"/>
    <col min="11829" max="11829" width="44.42578125" style="89" customWidth="1"/>
    <col min="11830" max="11830" width="36.28515625" style="89" customWidth="1"/>
    <col min="11831" max="11831" width="27.42578125" style="89" bestFit="1" customWidth="1"/>
    <col min="11832" max="12052" width="11.42578125" style="89"/>
    <col min="12053" max="12053" width="15.5703125" style="89" bestFit="1" customWidth="1"/>
    <col min="12054" max="12054" width="33.7109375" style="89" customWidth="1"/>
    <col min="12055" max="12055" width="19" style="89" customWidth="1"/>
    <col min="12056" max="12056" width="19.85546875" style="89" customWidth="1"/>
    <col min="12057" max="12057" width="18.5703125" style="89" customWidth="1"/>
    <col min="12058" max="12058" width="19.7109375" style="89" customWidth="1"/>
    <col min="12059" max="12059" width="14.85546875" style="89" customWidth="1"/>
    <col min="12060" max="12060" width="16.85546875" style="89" customWidth="1"/>
    <col min="12061" max="12063" width="11.42578125" style="89" customWidth="1"/>
    <col min="12064" max="12064" width="18.140625" style="89" customWidth="1"/>
    <col min="12065" max="12065" width="11.42578125" style="89" customWidth="1"/>
    <col min="12066" max="12066" width="12.5703125" style="89" customWidth="1"/>
    <col min="12067" max="12067" width="25" style="89" customWidth="1"/>
    <col min="12068" max="12068" width="16.5703125" style="89" bestFit="1" customWidth="1"/>
    <col min="12069" max="12069" width="24" style="89" customWidth="1"/>
    <col min="12070" max="12070" width="11.42578125" style="89" customWidth="1"/>
    <col min="12071" max="12071" width="20" style="89" customWidth="1"/>
    <col min="12072" max="12072" width="11.42578125" style="89" customWidth="1"/>
    <col min="12073" max="12073" width="19" style="89" customWidth="1"/>
    <col min="12074" max="12077" width="11.42578125" style="89" customWidth="1"/>
    <col min="12078" max="12078" width="15.140625" style="89" customWidth="1"/>
    <col min="12079" max="12079" width="14" style="89" customWidth="1"/>
    <col min="12080" max="12080" width="15.140625" style="89" customWidth="1"/>
    <col min="12081" max="12081" width="11.42578125" style="89" customWidth="1"/>
    <col min="12082" max="12082" width="51.7109375" style="89" customWidth="1"/>
    <col min="12083" max="12084" width="29.5703125" style="89" customWidth="1"/>
    <col min="12085" max="12085" width="44.42578125" style="89" customWidth="1"/>
    <col min="12086" max="12086" width="36.28515625" style="89" customWidth="1"/>
    <col min="12087" max="12087" width="27.42578125" style="89" bestFit="1" customWidth="1"/>
    <col min="12088" max="12308" width="11.42578125" style="89"/>
    <col min="12309" max="12309" width="15.5703125" style="89" bestFit="1" customWidth="1"/>
    <col min="12310" max="12310" width="33.7109375" style="89" customWidth="1"/>
    <col min="12311" max="12311" width="19" style="89" customWidth="1"/>
    <col min="12312" max="12312" width="19.85546875" style="89" customWidth="1"/>
    <col min="12313" max="12313" width="18.5703125" style="89" customWidth="1"/>
    <col min="12314" max="12314" width="19.7109375" style="89" customWidth="1"/>
    <col min="12315" max="12315" width="14.85546875" style="89" customWidth="1"/>
    <col min="12316" max="12316" width="16.85546875" style="89" customWidth="1"/>
    <col min="12317" max="12319" width="11.42578125" style="89" customWidth="1"/>
    <col min="12320" max="12320" width="18.140625" style="89" customWidth="1"/>
    <col min="12321" max="12321" width="11.42578125" style="89" customWidth="1"/>
    <col min="12322" max="12322" width="12.5703125" style="89" customWidth="1"/>
    <col min="12323" max="12323" width="25" style="89" customWidth="1"/>
    <col min="12324" max="12324" width="16.5703125" style="89" bestFit="1" customWidth="1"/>
    <col min="12325" max="12325" width="24" style="89" customWidth="1"/>
    <col min="12326" max="12326" width="11.42578125" style="89" customWidth="1"/>
    <col min="12327" max="12327" width="20" style="89" customWidth="1"/>
    <col min="12328" max="12328" width="11.42578125" style="89" customWidth="1"/>
    <col min="12329" max="12329" width="19" style="89" customWidth="1"/>
    <col min="12330" max="12333" width="11.42578125" style="89" customWidth="1"/>
    <col min="12334" max="12334" width="15.140625" style="89" customWidth="1"/>
    <col min="12335" max="12335" width="14" style="89" customWidth="1"/>
    <col min="12336" max="12336" width="15.140625" style="89" customWidth="1"/>
    <col min="12337" max="12337" width="11.42578125" style="89" customWidth="1"/>
    <col min="12338" max="12338" width="51.7109375" style="89" customWidth="1"/>
    <col min="12339" max="12340" width="29.5703125" style="89" customWidth="1"/>
    <col min="12341" max="12341" width="44.42578125" style="89" customWidth="1"/>
    <col min="12342" max="12342" width="36.28515625" style="89" customWidth="1"/>
    <col min="12343" max="12343" width="27.42578125" style="89" bestFit="1" customWidth="1"/>
    <col min="12344" max="12564" width="11.42578125" style="89"/>
    <col min="12565" max="12565" width="15.5703125" style="89" bestFit="1" customWidth="1"/>
    <col min="12566" max="12566" width="33.7109375" style="89" customWidth="1"/>
    <col min="12567" max="12567" width="19" style="89" customWidth="1"/>
    <col min="12568" max="12568" width="19.85546875" style="89" customWidth="1"/>
    <col min="12569" max="12569" width="18.5703125" style="89" customWidth="1"/>
    <col min="12570" max="12570" width="19.7109375" style="89" customWidth="1"/>
    <col min="12571" max="12571" width="14.85546875" style="89" customWidth="1"/>
    <col min="12572" max="12572" width="16.85546875" style="89" customWidth="1"/>
    <col min="12573" max="12575" width="11.42578125" style="89" customWidth="1"/>
    <col min="12576" max="12576" width="18.140625" style="89" customWidth="1"/>
    <col min="12577" max="12577" width="11.42578125" style="89" customWidth="1"/>
    <col min="12578" max="12578" width="12.5703125" style="89" customWidth="1"/>
    <col min="12579" max="12579" width="25" style="89" customWidth="1"/>
    <col min="12580" max="12580" width="16.5703125" style="89" bestFit="1" customWidth="1"/>
    <col min="12581" max="12581" width="24" style="89" customWidth="1"/>
    <col min="12582" max="12582" width="11.42578125" style="89" customWidth="1"/>
    <col min="12583" max="12583" width="20" style="89" customWidth="1"/>
    <col min="12584" max="12584" width="11.42578125" style="89" customWidth="1"/>
    <col min="12585" max="12585" width="19" style="89" customWidth="1"/>
    <col min="12586" max="12589" width="11.42578125" style="89" customWidth="1"/>
    <col min="12590" max="12590" width="15.140625" style="89" customWidth="1"/>
    <col min="12591" max="12591" width="14" style="89" customWidth="1"/>
    <col min="12592" max="12592" width="15.140625" style="89" customWidth="1"/>
    <col min="12593" max="12593" width="11.42578125" style="89" customWidth="1"/>
    <col min="12594" max="12594" width="51.7109375" style="89" customWidth="1"/>
    <col min="12595" max="12596" width="29.5703125" style="89" customWidth="1"/>
    <col min="12597" max="12597" width="44.42578125" style="89" customWidth="1"/>
    <col min="12598" max="12598" width="36.28515625" style="89" customWidth="1"/>
    <col min="12599" max="12599" width="27.42578125" style="89" bestFit="1" customWidth="1"/>
    <col min="12600" max="12820" width="11.42578125" style="89"/>
    <col min="12821" max="12821" width="15.5703125" style="89" bestFit="1" customWidth="1"/>
    <col min="12822" max="12822" width="33.7109375" style="89" customWidth="1"/>
    <col min="12823" max="12823" width="19" style="89" customWidth="1"/>
    <col min="12824" max="12824" width="19.85546875" style="89" customWidth="1"/>
    <col min="12825" max="12825" width="18.5703125" style="89" customWidth="1"/>
    <col min="12826" max="12826" width="19.7109375" style="89" customWidth="1"/>
    <col min="12827" max="12827" width="14.85546875" style="89" customWidth="1"/>
    <col min="12828" max="12828" width="16.85546875" style="89" customWidth="1"/>
    <col min="12829" max="12831" width="11.42578125" style="89" customWidth="1"/>
    <col min="12832" max="12832" width="18.140625" style="89" customWidth="1"/>
    <col min="12833" max="12833" width="11.42578125" style="89" customWidth="1"/>
    <col min="12834" max="12834" width="12.5703125" style="89" customWidth="1"/>
    <col min="12835" max="12835" width="25" style="89" customWidth="1"/>
    <col min="12836" max="12836" width="16.5703125" style="89" bestFit="1" customWidth="1"/>
    <col min="12837" max="12837" width="24" style="89" customWidth="1"/>
    <col min="12838" max="12838" width="11.42578125" style="89" customWidth="1"/>
    <col min="12839" max="12839" width="20" style="89" customWidth="1"/>
    <col min="12840" max="12840" width="11.42578125" style="89" customWidth="1"/>
    <col min="12841" max="12841" width="19" style="89" customWidth="1"/>
    <col min="12842" max="12845" width="11.42578125" style="89" customWidth="1"/>
    <col min="12846" max="12846" width="15.140625" style="89" customWidth="1"/>
    <col min="12847" max="12847" width="14" style="89" customWidth="1"/>
    <col min="12848" max="12848" width="15.140625" style="89" customWidth="1"/>
    <col min="12849" max="12849" width="11.42578125" style="89" customWidth="1"/>
    <col min="12850" max="12850" width="51.7109375" style="89" customWidth="1"/>
    <col min="12851" max="12852" width="29.5703125" style="89" customWidth="1"/>
    <col min="12853" max="12853" width="44.42578125" style="89" customWidth="1"/>
    <col min="12854" max="12854" width="36.28515625" style="89" customWidth="1"/>
    <col min="12855" max="12855" width="27.42578125" style="89" bestFit="1" customWidth="1"/>
    <col min="12856" max="13076" width="11.42578125" style="89"/>
    <col min="13077" max="13077" width="15.5703125" style="89" bestFit="1" customWidth="1"/>
    <col min="13078" max="13078" width="33.7109375" style="89" customWidth="1"/>
    <col min="13079" max="13079" width="19" style="89" customWidth="1"/>
    <col min="13080" max="13080" width="19.85546875" style="89" customWidth="1"/>
    <col min="13081" max="13081" width="18.5703125" style="89" customWidth="1"/>
    <col min="13082" max="13082" width="19.7109375" style="89" customWidth="1"/>
    <col min="13083" max="13083" width="14.85546875" style="89" customWidth="1"/>
    <col min="13084" max="13084" width="16.85546875" style="89" customWidth="1"/>
    <col min="13085" max="13087" width="11.42578125" style="89" customWidth="1"/>
    <col min="13088" max="13088" width="18.140625" style="89" customWidth="1"/>
    <col min="13089" max="13089" width="11.42578125" style="89" customWidth="1"/>
    <col min="13090" max="13090" width="12.5703125" style="89" customWidth="1"/>
    <col min="13091" max="13091" width="25" style="89" customWidth="1"/>
    <col min="13092" max="13092" width="16.5703125" style="89" bestFit="1" customWidth="1"/>
    <col min="13093" max="13093" width="24" style="89" customWidth="1"/>
    <col min="13094" max="13094" width="11.42578125" style="89" customWidth="1"/>
    <col min="13095" max="13095" width="20" style="89" customWidth="1"/>
    <col min="13096" max="13096" width="11.42578125" style="89" customWidth="1"/>
    <col min="13097" max="13097" width="19" style="89" customWidth="1"/>
    <col min="13098" max="13101" width="11.42578125" style="89" customWidth="1"/>
    <col min="13102" max="13102" width="15.140625" style="89" customWidth="1"/>
    <col min="13103" max="13103" width="14" style="89" customWidth="1"/>
    <col min="13104" max="13104" width="15.140625" style="89" customWidth="1"/>
    <col min="13105" max="13105" width="11.42578125" style="89" customWidth="1"/>
    <col min="13106" max="13106" width="51.7109375" style="89" customWidth="1"/>
    <col min="13107" max="13108" width="29.5703125" style="89" customWidth="1"/>
    <col min="13109" max="13109" width="44.42578125" style="89" customWidth="1"/>
    <col min="13110" max="13110" width="36.28515625" style="89" customWidth="1"/>
    <col min="13111" max="13111" width="27.42578125" style="89" bestFit="1" customWidth="1"/>
    <col min="13112" max="13332" width="11.42578125" style="89"/>
    <col min="13333" max="13333" width="15.5703125" style="89" bestFit="1" customWidth="1"/>
    <col min="13334" max="13334" width="33.7109375" style="89" customWidth="1"/>
    <col min="13335" max="13335" width="19" style="89" customWidth="1"/>
    <col min="13336" max="13336" width="19.85546875" style="89" customWidth="1"/>
    <col min="13337" max="13337" width="18.5703125" style="89" customWidth="1"/>
    <col min="13338" max="13338" width="19.7109375" style="89" customWidth="1"/>
    <col min="13339" max="13339" width="14.85546875" style="89" customWidth="1"/>
    <col min="13340" max="13340" width="16.85546875" style="89" customWidth="1"/>
    <col min="13341" max="13343" width="11.42578125" style="89" customWidth="1"/>
    <col min="13344" max="13344" width="18.140625" style="89" customWidth="1"/>
    <col min="13345" max="13345" width="11.42578125" style="89" customWidth="1"/>
    <col min="13346" max="13346" width="12.5703125" style="89" customWidth="1"/>
    <col min="13347" max="13347" width="25" style="89" customWidth="1"/>
    <col min="13348" max="13348" width="16.5703125" style="89" bestFit="1" customWidth="1"/>
    <col min="13349" max="13349" width="24" style="89" customWidth="1"/>
    <col min="13350" max="13350" width="11.42578125" style="89" customWidth="1"/>
    <col min="13351" max="13351" width="20" style="89" customWidth="1"/>
    <col min="13352" max="13352" width="11.42578125" style="89" customWidth="1"/>
    <col min="13353" max="13353" width="19" style="89" customWidth="1"/>
    <col min="13354" max="13357" width="11.42578125" style="89" customWidth="1"/>
    <col min="13358" max="13358" width="15.140625" style="89" customWidth="1"/>
    <col min="13359" max="13359" width="14" style="89" customWidth="1"/>
    <col min="13360" max="13360" width="15.140625" style="89" customWidth="1"/>
    <col min="13361" max="13361" width="11.42578125" style="89" customWidth="1"/>
    <col min="13362" max="13362" width="51.7109375" style="89" customWidth="1"/>
    <col min="13363" max="13364" width="29.5703125" style="89" customWidth="1"/>
    <col min="13365" max="13365" width="44.42578125" style="89" customWidth="1"/>
    <col min="13366" max="13366" width="36.28515625" style="89" customWidth="1"/>
    <col min="13367" max="13367" width="27.42578125" style="89" bestFit="1" customWidth="1"/>
    <col min="13368" max="13588" width="11.42578125" style="89"/>
    <col min="13589" max="13589" width="15.5703125" style="89" bestFit="1" customWidth="1"/>
    <col min="13590" max="13590" width="33.7109375" style="89" customWidth="1"/>
    <col min="13591" max="13591" width="19" style="89" customWidth="1"/>
    <col min="13592" max="13592" width="19.85546875" style="89" customWidth="1"/>
    <col min="13593" max="13593" width="18.5703125" style="89" customWidth="1"/>
    <col min="13594" max="13594" width="19.7109375" style="89" customWidth="1"/>
    <col min="13595" max="13595" width="14.85546875" style="89" customWidth="1"/>
    <col min="13596" max="13596" width="16.85546875" style="89" customWidth="1"/>
    <col min="13597" max="13599" width="11.42578125" style="89" customWidth="1"/>
    <col min="13600" max="13600" width="18.140625" style="89" customWidth="1"/>
    <col min="13601" max="13601" width="11.42578125" style="89" customWidth="1"/>
    <col min="13602" max="13602" width="12.5703125" style="89" customWidth="1"/>
    <col min="13603" max="13603" width="25" style="89" customWidth="1"/>
    <col min="13604" max="13604" width="16.5703125" style="89" bestFit="1" customWidth="1"/>
    <col min="13605" max="13605" width="24" style="89" customWidth="1"/>
    <col min="13606" max="13606" width="11.42578125" style="89" customWidth="1"/>
    <col min="13607" max="13607" width="20" style="89" customWidth="1"/>
    <col min="13608" max="13608" width="11.42578125" style="89" customWidth="1"/>
    <col min="13609" max="13609" width="19" style="89" customWidth="1"/>
    <col min="13610" max="13613" width="11.42578125" style="89" customWidth="1"/>
    <col min="13614" max="13614" width="15.140625" style="89" customWidth="1"/>
    <col min="13615" max="13615" width="14" style="89" customWidth="1"/>
    <col min="13616" max="13616" width="15.140625" style="89" customWidth="1"/>
    <col min="13617" max="13617" width="11.42578125" style="89" customWidth="1"/>
    <col min="13618" max="13618" width="51.7109375" style="89" customWidth="1"/>
    <col min="13619" max="13620" width="29.5703125" style="89" customWidth="1"/>
    <col min="13621" max="13621" width="44.42578125" style="89" customWidth="1"/>
    <col min="13622" max="13622" width="36.28515625" style="89" customWidth="1"/>
    <col min="13623" max="13623" width="27.42578125" style="89" bestFit="1" customWidth="1"/>
    <col min="13624" max="13844" width="11.42578125" style="89"/>
    <col min="13845" max="13845" width="15.5703125" style="89" bestFit="1" customWidth="1"/>
    <col min="13846" max="13846" width="33.7109375" style="89" customWidth="1"/>
    <col min="13847" max="13847" width="19" style="89" customWidth="1"/>
    <col min="13848" max="13848" width="19.85546875" style="89" customWidth="1"/>
    <col min="13849" max="13849" width="18.5703125" style="89" customWidth="1"/>
    <col min="13850" max="13850" width="19.7109375" style="89" customWidth="1"/>
    <col min="13851" max="13851" width="14.85546875" style="89" customWidth="1"/>
    <col min="13852" max="13852" width="16.85546875" style="89" customWidth="1"/>
    <col min="13853" max="13855" width="11.42578125" style="89" customWidth="1"/>
    <col min="13856" max="13856" width="18.140625" style="89" customWidth="1"/>
    <col min="13857" max="13857" width="11.42578125" style="89" customWidth="1"/>
    <col min="13858" max="13858" width="12.5703125" style="89" customWidth="1"/>
    <col min="13859" max="13859" width="25" style="89" customWidth="1"/>
    <col min="13860" max="13860" width="16.5703125" style="89" bestFit="1" customWidth="1"/>
    <col min="13861" max="13861" width="24" style="89" customWidth="1"/>
    <col min="13862" max="13862" width="11.42578125" style="89" customWidth="1"/>
    <col min="13863" max="13863" width="20" style="89" customWidth="1"/>
    <col min="13864" max="13864" width="11.42578125" style="89" customWidth="1"/>
    <col min="13865" max="13865" width="19" style="89" customWidth="1"/>
    <col min="13866" max="13869" width="11.42578125" style="89" customWidth="1"/>
    <col min="13870" max="13870" width="15.140625" style="89" customWidth="1"/>
    <col min="13871" max="13871" width="14" style="89" customWidth="1"/>
    <col min="13872" max="13872" width="15.140625" style="89" customWidth="1"/>
    <col min="13873" max="13873" width="11.42578125" style="89" customWidth="1"/>
    <col min="13874" max="13874" width="51.7109375" style="89" customWidth="1"/>
    <col min="13875" max="13876" width="29.5703125" style="89" customWidth="1"/>
    <col min="13877" max="13877" width="44.42578125" style="89" customWidth="1"/>
    <col min="13878" max="13878" width="36.28515625" style="89" customWidth="1"/>
    <col min="13879" max="13879" width="27.42578125" style="89" bestFit="1" customWidth="1"/>
    <col min="13880" max="14100" width="11.42578125" style="89"/>
    <col min="14101" max="14101" width="15.5703125" style="89" bestFit="1" customWidth="1"/>
    <col min="14102" max="14102" width="33.7109375" style="89" customWidth="1"/>
    <col min="14103" max="14103" width="19" style="89" customWidth="1"/>
    <col min="14104" max="14104" width="19.85546875" style="89" customWidth="1"/>
    <col min="14105" max="14105" width="18.5703125" style="89" customWidth="1"/>
    <col min="14106" max="14106" width="19.7109375" style="89" customWidth="1"/>
    <col min="14107" max="14107" width="14.85546875" style="89" customWidth="1"/>
    <col min="14108" max="14108" width="16.85546875" style="89" customWidth="1"/>
    <col min="14109" max="14111" width="11.42578125" style="89" customWidth="1"/>
    <col min="14112" max="14112" width="18.140625" style="89" customWidth="1"/>
    <col min="14113" max="14113" width="11.42578125" style="89" customWidth="1"/>
    <col min="14114" max="14114" width="12.5703125" style="89" customWidth="1"/>
    <col min="14115" max="14115" width="25" style="89" customWidth="1"/>
    <col min="14116" max="14116" width="16.5703125" style="89" bestFit="1" customWidth="1"/>
    <col min="14117" max="14117" width="24" style="89" customWidth="1"/>
    <col min="14118" max="14118" width="11.42578125" style="89" customWidth="1"/>
    <col min="14119" max="14119" width="20" style="89" customWidth="1"/>
    <col min="14120" max="14120" width="11.42578125" style="89" customWidth="1"/>
    <col min="14121" max="14121" width="19" style="89" customWidth="1"/>
    <col min="14122" max="14125" width="11.42578125" style="89" customWidth="1"/>
    <col min="14126" max="14126" width="15.140625" style="89" customWidth="1"/>
    <col min="14127" max="14127" width="14" style="89" customWidth="1"/>
    <col min="14128" max="14128" width="15.140625" style="89" customWidth="1"/>
    <col min="14129" max="14129" width="11.42578125" style="89" customWidth="1"/>
    <col min="14130" max="14130" width="51.7109375" style="89" customWidth="1"/>
    <col min="14131" max="14132" width="29.5703125" style="89" customWidth="1"/>
    <col min="14133" max="14133" width="44.42578125" style="89" customWidth="1"/>
    <col min="14134" max="14134" width="36.28515625" style="89" customWidth="1"/>
    <col min="14135" max="14135" width="27.42578125" style="89" bestFit="1" customWidth="1"/>
    <col min="14136" max="14356" width="11.42578125" style="89"/>
    <col min="14357" max="14357" width="15.5703125" style="89" bestFit="1" customWidth="1"/>
    <col min="14358" max="14358" width="33.7109375" style="89" customWidth="1"/>
    <col min="14359" max="14359" width="19" style="89" customWidth="1"/>
    <col min="14360" max="14360" width="19.85546875" style="89" customWidth="1"/>
    <col min="14361" max="14361" width="18.5703125" style="89" customWidth="1"/>
    <col min="14362" max="14362" width="19.7109375" style="89" customWidth="1"/>
    <col min="14363" max="14363" width="14.85546875" style="89" customWidth="1"/>
    <col min="14364" max="14364" width="16.85546875" style="89" customWidth="1"/>
    <col min="14365" max="14367" width="11.42578125" style="89" customWidth="1"/>
    <col min="14368" max="14368" width="18.140625" style="89" customWidth="1"/>
    <col min="14369" max="14369" width="11.42578125" style="89" customWidth="1"/>
    <col min="14370" max="14370" width="12.5703125" style="89" customWidth="1"/>
    <col min="14371" max="14371" width="25" style="89" customWidth="1"/>
    <col min="14372" max="14372" width="16.5703125" style="89" bestFit="1" customWidth="1"/>
    <col min="14373" max="14373" width="24" style="89" customWidth="1"/>
    <col min="14374" max="14374" width="11.42578125" style="89" customWidth="1"/>
    <col min="14375" max="14375" width="20" style="89" customWidth="1"/>
    <col min="14376" max="14376" width="11.42578125" style="89" customWidth="1"/>
    <col min="14377" max="14377" width="19" style="89" customWidth="1"/>
    <col min="14378" max="14381" width="11.42578125" style="89" customWidth="1"/>
    <col min="14382" max="14382" width="15.140625" style="89" customWidth="1"/>
    <col min="14383" max="14383" width="14" style="89" customWidth="1"/>
    <col min="14384" max="14384" width="15.140625" style="89" customWidth="1"/>
    <col min="14385" max="14385" width="11.42578125" style="89" customWidth="1"/>
    <col min="14386" max="14386" width="51.7109375" style="89" customWidth="1"/>
    <col min="14387" max="14388" width="29.5703125" style="89" customWidth="1"/>
    <col min="14389" max="14389" width="44.42578125" style="89" customWidth="1"/>
    <col min="14390" max="14390" width="36.28515625" style="89" customWidth="1"/>
    <col min="14391" max="14391" width="27.42578125" style="89" bestFit="1" customWidth="1"/>
    <col min="14392" max="14612" width="11.42578125" style="89"/>
    <col min="14613" max="14613" width="15.5703125" style="89" bestFit="1" customWidth="1"/>
    <col min="14614" max="14614" width="33.7109375" style="89" customWidth="1"/>
    <col min="14615" max="14615" width="19" style="89" customWidth="1"/>
    <col min="14616" max="14616" width="19.85546875" style="89" customWidth="1"/>
    <col min="14617" max="14617" width="18.5703125" style="89" customWidth="1"/>
    <col min="14618" max="14618" width="19.7109375" style="89" customWidth="1"/>
    <col min="14619" max="14619" width="14.85546875" style="89" customWidth="1"/>
    <col min="14620" max="14620" width="16.85546875" style="89" customWidth="1"/>
    <col min="14621" max="14623" width="11.42578125" style="89" customWidth="1"/>
    <col min="14624" max="14624" width="18.140625" style="89" customWidth="1"/>
    <col min="14625" max="14625" width="11.42578125" style="89" customWidth="1"/>
    <col min="14626" max="14626" width="12.5703125" style="89" customWidth="1"/>
    <col min="14627" max="14627" width="25" style="89" customWidth="1"/>
    <col min="14628" max="14628" width="16.5703125" style="89" bestFit="1" customWidth="1"/>
    <col min="14629" max="14629" width="24" style="89" customWidth="1"/>
    <col min="14630" max="14630" width="11.42578125" style="89" customWidth="1"/>
    <col min="14631" max="14631" width="20" style="89" customWidth="1"/>
    <col min="14632" max="14632" width="11.42578125" style="89" customWidth="1"/>
    <col min="14633" max="14633" width="19" style="89" customWidth="1"/>
    <col min="14634" max="14637" width="11.42578125" style="89" customWidth="1"/>
    <col min="14638" max="14638" width="15.140625" style="89" customWidth="1"/>
    <col min="14639" max="14639" width="14" style="89" customWidth="1"/>
    <col min="14640" max="14640" width="15.140625" style="89" customWidth="1"/>
    <col min="14641" max="14641" width="11.42578125" style="89" customWidth="1"/>
    <col min="14642" max="14642" width="51.7109375" style="89" customWidth="1"/>
    <col min="14643" max="14644" width="29.5703125" style="89" customWidth="1"/>
    <col min="14645" max="14645" width="44.42578125" style="89" customWidth="1"/>
    <col min="14646" max="14646" width="36.28515625" style="89" customWidth="1"/>
    <col min="14647" max="14647" width="27.42578125" style="89" bestFit="1" customWidth="1"/>
    <col min="14648" max="14868" width="11.42578125" style="89"/>
    <col min="14869" max="14869" width="15.5703125" style="89" bestFit="1" customWidth="1"/>
    <col min="14870" max="14870" width="33.7109375" style="89" customWidth="1"/>
    <col min="14871" max="14871" width="19" style="89" customWidth="1"/>
    <col min="14872" max="14872" width="19.85546875" style="89" customWidth="1"/>
    <col min="14873" max="14873" width="18.5703125" style="89" customWidth="1"/>
    <col min="14874" max="14874" width="19.7109375" style="89" customWidth="1"/>
    <col min="14875" max="14875" width="14.85546875" style="89" customWidth="1"/>
    <col min="14876" max="14876" width="16.85546875" style="89" customWidth="1"/>
    <col min="14877" max="14879" width="11.42578125" style="89" customWidth="1"/>
    <col min="14880" max="14880" width="18.140625" style="89" customWidth="1"/>
    <col min="14881" max="14881" width="11.42578125" style="89" customWidth="1"/>
    <col min="14882" max="14882" width="12.5703125" style="89" customWidth="1"/>
    <col min="14883" max="14883" width="25" style="89" customWidth="1"/>
    <col min="14884" max="14884" width="16.5703125" style="89" bestFit="1" customWidth="1"/>
    <col min="14885" max="14885" width="24" style="89" customWidth="1"/>
    <col min="14886" max="14886" width="11.42578125" style="89" customWidth="1"/>
    <col min="14887" max="14887" width="20" style="89" customWidth="1"/>
    <col min="14888" max="14888" width="11.42578125" style="89" customWidth="1"/>
    <col min="14889" max="14889" width="19" style="89" customWidth="1"/>
    <col min="14890" max="14893" width="11.42578125" style="89" customWidth="1"/>
    <col min="14894" max="14894" width="15.140625" style="89" customWidth="1"/>
    <col min="14895" max="14895" width="14" style="89" customWidth="1"/>
    <col min="14896" max="14896" width="15.140625" style="89" customWidth="1"/>
    <col min="14897" max="14897" width="11.42578125" style="89" customWidth="1"/>
    <col min="14898" max="14898" width="51.7109375" style="89" customWidth="1"/>
    <col min="14899" max="14900" width="29.5703125" style="89" customWidth="1"/>
    <col min="14901" max="14901" width="44.42578125" style="89" customWidth="1"/>
    <col min="14902" max="14902" width="36.28515625" style="89" customWidth="1"/>
    <col min="14903" max="14903" width="27.42578125" style="89" bestFit="1" customWidth="1"/>
    <col min="14904" max="15124" width="11.42578125" style="89"/>
    <col min="15125" max="15125" width="15.5703125" style="89" bestFit="1" customWidth="1"/>
    <col min="15126" max="15126" width="33.7109375" style="89" customWidth="1"/>
    <col min="15127" max="15127" width="19" style="89" customWidth="1"/>
    <col min="15128" max="15128" width="19.85546875" style="89" customWidth="1"/>
    <col min="15129" max="15129" width="18.5703125" style="89" customWidth="1"/>
    <col min="15130" max="15130" width="19.7109375" style="89" customWidth="1"/>
    <col min="15131" max="15131" width="14.85546875" style="89" customWidth="1"/>
    <col min="15132" max="15132" width="16.85546875" style="89" customWidth="1"/>
    <col min="15133" max="15135" width="11.42578125" style="89" customWidth="1"/>
    <col min="15136" max="15136" width="18.140625" style="89" customWidth="1"/>
    <col min="15137" max="15137" width="11.42578125" style="89" customWidth="1"/>
    <col min="15138" max="15138" width="12.5703125" style="89" customWidth="1"/>
    <col min="15139" max="15139" width="25" style="89" customWidth="1"/>
    <col min="15140" max="15140" width="16.5703125" style="89" bestFit="1" customWidth="1"/>
    <col min="15141" max="15141" width="24" style="89" customWidth="1"/>
    <col min="15142" max="15142" width="11.42578125" style="89" customWidth="1"/>
    <col min="15143" max="15143" width="20" style="89" customWidth="1"/>
    <col min="15144" max="15144" width="11.42578125" style="89" customWidth="1"/>
    <col min="15145" max="15145" width="19" style="89" customWidth="1"/>
    <col min="15146" max="15149" width="11.42578125" style="89" customWidth="1"/>
    <col min="15150" max="15150" width="15.140625" style="89" customWidth="1"/>
    <col min="15151" max="15151" width="14" style="89" customWidth="1"/>
    <col min="15152" max="15152" width="15.140625" style="89" customWidth="1"/>
    <col min="15153" max="15153" width="11.42578125" style="89" customWidth="1"/>
    <col min="15154" max="15154" width="51.7109375" style="89" customWidth="1"/>
    <col min="15155" max="15156" width="29.5703125" style="89" customWidth="1"/>
    <col min="15157" max="15157" width="44.42578125" style="89" customWidth="1"/>
    <col min="15158" max="15158" width="36.28515625" style="89" customWidth="1"/>
    <col min="15159" max="15159" width="27.42578125" style="89" bestFit="1" customWidth="1"/>
    <col min="15160" max="15380" width="11.42578125" style="89"/>
    <col min="15381" max="15381" width="15.5703125" style="89" bestFit="1" customWidth="1"/>
    <col min="15382" max="15382" width="33.7109375" style="89" customWidth="1"/>
    <col min="15383" max="15383" width="19" style="89" customWidth="1"/>
    <col min="15384" max="15384" width="19.85546875" style="89" customWidth="1"/>
    <col min="15385" max="15385" width="18.5703125" style="89" customWidth="1"/>
    <col min="15386" max="15386" width="19.7109375" style="89" customWidth="1"/>
    <col min="15387" max="15387" width="14.85546875" style="89" customWidth="1"/>
    <col min="15388" max="15388" width="16.85546875" style="89" customWidth="1"/>
    <col min="15389" max="15391" width="11.42578125" style="89" customWidth="1"/>
    <col min="15392" max="15392" width="18.140625" style="89" customWidth="1"/>
    <col min="15393" max="15393" width="11.42578125" style="89" customWidth="1"/>
    <col min="15394" max="15394" width="12.5703125" style="89" customWidth="1"/>
    <col min="15395" max="15395" width="25" style="89" customWidth="1"/>
    <col min="15396" max="15396" width="16.5703125" style="89" bestFit="1" customWidth="1"/>
    <col min="15397" max="15397" width="24" style="89" customWidth="1"/>
    <col min="15398" max="15398" width="11.42578125" style="89" customWidth="1"/>
    <col min="15399" max="15399" width="20" style="89" customWidth="1"/>
    <col min="15400" max="15400" width="11.42578125" style="89" customWidth="1"/>
    <col min="15401" max="15401" width="19" style="89" customWidth="1"/>
    <col min="15402" max="15405" width="11.42578125" style="89" customWidth="1"/>
    <col min="15406" max="15406" width="15.140625" style="89" customWidth="1"/>
    <col min="15407" max="15407" width="14" style="89" customWidth="1"/>
    <col min="15408" max="15408" width="15.140625" style="89" customWidth="1"/>
    <col min="15409" max="15409" width="11.42578125" style="89" customWidth="1"/>
    <col min="15410" max="15410" width="51.7109375" style="89" customWidth="1"/>
    <col min="15411" max="15412" width="29.5703125" style="89" customWidth="1"/>
    <col min="15413" max="15413" width="44.42578125" style="89" customWidth="1"/>
    <col min="15414" max="15414" width="36.28515625" style="89" customWidth="1"/>
    <col min="15415" max="15415" width="27.42578125" style="89" bestFit="1" customWidth="1"/>
    <col min="15416" max="15636" width="11.42578125" style="89"/>
    <col min="15637" max="15637" width="15.5703125" style="89" bestFit="1" customWidth="1"/>
    <col min="15638" max="15638" width="33.7109375" style="89" customWidth="1"/>
    <col min="15639" max="15639" width="19" style="89" customWidth="1"/>
    <col min="15640" max="15640" width="19.85546875" style="89" customWidth="1"/>
    <col min="15641" max="15641" width="18.5703125" style="89" customWidth="1"/>
    <col min="15642" max="15642" width="19.7109375" style="89" customWidth="1"/>
    <col min="15643" max="15643" width="14.85546875" style="89" customWidth="1"/>
    <col min="15644" max="15644" width="16.85546875" style="89" customWidth="1"/>
    <col min="15645" max="15647" width="11.42578125" style="89" customWidth="1"/>
    <col min="15648" max="15648" width="18.140625" style="89" customWidth="1"/>
    <col min="15649" max="15649" width="11.42578125" style="89" customWidth="1"/>
    <col min="15650" max="15650" width="12.5703125" style="89" customWidth="1"/>
    <col min="15651" max="15651" width="25" style="89" customWidth="1"/>
    <col min="15652" max="15652" width="16.5703125" style="89" bestFit="1" customWidth="1"/>
    <col min="15653" max="15653" width="24" style="89" customWidth="1"/>
    <col min="15654" max="15654" width="11.42578125" style="89" customWidth="1"/>
    <col min="15655" max="15655" width="20" style="89" customWidth="1"/>
    <col min="15656" max="15656" width="11.42578125" style="89" customWidth="1"/>
    <col min="15657" max="15657" width="19" style="89" customWidth="1"/>
    <col min="15658" max="15661" width="11.42578125" style="89" customWidth="1"/>
    <col min="15662" max="15662" width="15.140625" style="89" customWidth="1"/>
    <col min="15663" max="15663" width="14" style="89" customWidth="1"/>
    <col min="15664" max="15664" width="15.140625" style="89" customWidth="1"/>
    <col min="15665" max="15665" width="11.42578125" style="89" customWidth="1"/>
    <col min="15666" max="15666" width="51.7109375" style="89" customWidth="1"/>
    <col min="15667" max="15668" width="29.5703125" style="89" customWidth="1"/>
    <col min="15669" max="15669" width="44.42578125" style="89" customWidth="1"/>
    <col min="15670" max="15670" width="36.28515625" style="89" customWidth="1"/>
    <col min="15671" max="15671" width="27.42578125" style="89" bestFit="1" customWidth="1"/>
    <col min="15672" max="15892" width="11.42578125" style="89"/>
    <col min="15893" max="15893" width="15.5703125" style="89" bestFit="1" customWidth="1"/>
    <col min="15894" max="15894" width="33.7109375" style="89" customWidth="1"/>
    <col min="15895" max="15895" width="19" style="89" customWidth="1"/>
    <col min="15896" max="15896" width="19.85546875" style="89" customWidth="1"/>
    <col min="15897" max="15897" width="18.5703125" style="89" customWidth="1"/>
    <col min="15898" max="15898" width="19.7109375" style="89" customWidth="1"/>
    <col min="15899" max="15899" width="14.85546875" style="89" customWidth="1"/>
    <col min="15900" max="15900" width="16.85546875" style="89" customWidth="1"/>
    <col min="15901" max="15903" width="11.42578125" style="89" customWidth="1"/>
    <col min="15904" max="15904" width="18.140625" style="89" customWidth="1"/>
    <col min="15905" max="15905" width="11.42578125" style="89" customWidth="1"/>
    <col min="15906" max="15906" width="12.5703125" style="89" customWidth="1"/>
    <col min="15907" max="15907" width="25" style="89" customWidth="1"/>
    <col min="15908" max="15908" width="16.5703125" style="89" bestFit="1" customWidth="1"/>
    <col min="15909" max="15909" width="24" style="89" customWidth="1"/>
    <col min="15910" max="15910" width="11.42578125" style="89" customWidth="1"/>
    <col min="15911" max="15911" width="20" style="89" customWidth="1"/>
    <col min="15912" max="15912" width="11.42578125" style="89" customWidth="1"/>
    <col min="15913" max="15913" width="19" style="89" customWidth="1"/>
    <col min="15914" max="15917" width="11.42578125" style="89" customWidth="1"/>
    <col min="15918" max="15918" width="15.140625" style="89" customWidth="1"/>
    <col min="15919" max="15919" width="14" style="89" customWidth="1"/>
    <col min="15920" max="15920" width="15.140625" style="89" customWidth="1"/>
    <col min="15921" max="15921" width="11.42578125" style="89" customWidth="1"/>
    <col min="15922" max="15922" width="51.7109375" style="89" customWidth="1"/>
    <col min="15923" max="15924" width="29.5703125" style="89" customWidth="1"/>
    <col min="15925" max="15925" width="44.42578125" style="89" customWidth="1"/>
    <col min="15926" max="15926" width="36.28515625" style="89" customWidth="1"/>
    <col min="15927" max="15927" width="27.42578125" style="89" bestFit="1" customWidth="1"/>
    <col min="15928" max="16148" width="11.42578125" style="89"/>
    <col min="16149" max="16149" width="15.5703125" style="89" bestFit="1" customWidth="1"/>
    <col min="16150" max="16150" width="33.7109375" style="89" customWidth="1"/>
    <col min="16151" max="16151" width="19" style="89" customWidth="1"/>
    <col min="16152" max="16152" width="19.85546875" style="89" customWidth="1"/>
    <col min="16153" max="16153" width="18.5703125" style="89" customWidth="1"/>
    <col min="16154" max="16154" width="19.7109375" style="89" customWidth="1"/>
    <col min="16155" max="16155" width="14.85546875" style="89" customWidth="1"/>
    <col min="16156" max="16156" width="16.85546875" style="89" customWidth="1"/>
    <col min="16157" max="16159" width="11.42578125" style="89" customWidth="1"/>
    <col min="16160" max="16160" width="18.140625" style="89" customWidth="1"/>
    <col min="16161" max="16161" width="11.42578125" style="89" customWidth="1"/>
    <col min="16162" max="16162" width="12.5703125" style="89" customWidth="1"/>
    <col min="16163" max="16163" width="25" style="89" customWidth="1"/>
    <col min="16164" max="16164" width="16.5703125" style="89" bestFit="1" customWidth="1"/>
    <col min="16165" max="16165" width="24" style="89" customWidth="1"/>
    <col min="16166" max="16166" width="11.42578125" style="89" customWidth="1"/>
    <col min="16167" max="16167" width="20" style="89" customWidth="1"/>
    <col min="16168" max="16168" width="11.42578125" style="89" customWidth="1"/>
    <col min="16169" max="16169" width="19" style="89" customWidth="1"/>
    <col min="16170" max="16173" width="11.42578125" style="89" customWidth="1"/>
    <col min="16174" max="16174" width="15.140625" style="89" customWidth="1"/>
    <col min="16175" max="16175" width="14" style="89" customWidth="1"/>
    <col min="16176" max="16176" width="15.140625" style="89" customWidth="1"/>
    <col min="16177" max="16177" width="11.42578125" style="89" customWidth="1"/>
    <col min="16178" max="16178" width="51.7109375" style="89" customWidth="1"/>
    <col min="16179" max="16180" width="29.5703125" style="89" customWidth="1"/>
    <col min="16181" max="16181" width="44.42578125" style="89" customWidth="1"/>
    <col min="16182" max="16182" width="36.28515625" style="89" customWidth="1"/>
    <col min="16183" max="16183" width="27.42578125" style="89" bestFit="1" customWidth="1"/>
    <col min="16184" max="16384" width="11.42578125" style="89"/>
  </cols>
  <sheetData>
    <row r="1" spans="1:76" s="90" customFormat="1" ht="34.5" customHeight="1" x14ac:dyDescent="0.6">
      <c r="AD1" s="238"/>
      <c r="AH1" s="238"/>
      <c r="AI1" s="238"/>
      <c r="AJ1" s="238"/>
      <c r="AR1" s="238"/>
      <c r="BL1" s="242" t="s">
        <v>218</v>
      </c>
      <c r="BM1" s="243"/>
      <c r="BN1" s="243"/>
      <c r="BO1" s="243"/>
      <c r="BP1" s="243"/>
      <c r="BQ1" s="243"/>
      <c r="BR1" s="243"/>
      <c r="BS1" s="243"/>
      <c r="BT1" s="243"/>
      <c r="BU1" s="243"/>
    </row>
    <row r="2" spans="1:76" ht="76.5" x14ac:dyDescent="0.25">
      <c r="A2" s="233" t="s">
        <v>176</v>
      </c>
      <c r="B2" s="234" t="s">
        <v>89</v>
      </c>
      <c r="C2" s="235" t="s">
        <v>90</v>
      </c>
      <c r="D2" s="235" t="s">
        <v>91</v>
      </c>
      <c r="E2" s="235" t="s">
        <v>92</v>
      </c>
      <c r="F2" s="236" t="s">
        <v>93</v>
      </c>
      <c r="G2" s="236" t="s">
        <v>94</v>
      </c>
      <c r="H2" s="236" t="s">
        <v>206</v>
      </c>
      <c r="I2" s="229" t="s">
        <v>95</v>
      </c>
      <c r="J2" s="226" t="s">
        <v>96</v>
      </c>
      <c r="K2" s="230" t="s">
        <v>97</v>
      </c>
      <c r="L2" s="226" t="s">
        <v>98</v>
      </c>
      <c r="M2" s="231" t="s">
        <v>99</v>
      </c>
      <c r="N2" s="231" t="s">
        <v>100</v>
      </c>
      <c r="O2" s="231" t="s">
        <v>101</v>
      </c>
      <c r="P2" s="226" t="s">
        <v>102</v>
      </c>
      <c r="Q2" s="226" t="s">
        <v>103</v>
      </c>
      <c r="R2" s="231" t="s">
        <v>145</v>
      </c>
      <c r="S2" s="237" t="s">
        <v>157</v>
      </c>
      <c r="T2" s="237" t="s">
        <v>158</v>
      </c>
      <c r="U2" s="237" t="s">
        <v>159</v>
      </c>
      <c r="V2" s="237" t="s">
        <v>160</v>
      </c>
      <c r="W2" s="237" t="s">
        <v>161</v>
      </c>
      <c r="X2" s="237" t="s">
        <v>211</v>
      </c>
      <c r="Y2" s="237" t="s">
        <v>212</v>
      </c>
      <c r="Z2" s="237" t="s">
        <v>213</v>
      </c>
      <c r="AA2" s="237" t="s">
        <v>162</v>
      </c>
      <c r="AB2" s="237" t="s">
        <v>163</v>
      </c>
      <c r="AC2" s="237" t="s">
        <v>164</v>
      </c>
      <c r="AD2" s="237" t="s">
        <v>165</v>
      </c>
      <c r="AE2" s="237" t="s">
        <v>166</v>
      </c>
      <c r="AF2" s="237" t="s">
        <v>167</v>
      </c>
      <c r="AG2" s="237" t="s">
        <v>178</v>
      </c>
      <c r="AH2" s="237" t="s">
        <v>179</v>
      </c>
      <c r="AI2" s="237" t="s">
        <v>104</v>
      </c>
      <c r="AJ2" s="237" t="s">
        <v>150</v>
      </c>
      <c r="AK2" s="237" t="s">
        <v>207</v>
      </c>
      <c r="AL2" s="231" t="s">
        <v>184</v>
      </c>
      <c r="AM2" s="231" t="s">
        <v>185</v>
      </c>
      <c r="AN2" s="231" t="s">
        <v>168</v>
      </c>
      <c r="AO2" s="231" t="s">
        <v>169</v>
      </c>
      <c r="AP2" s="237" t="s">
        <v>172</v>
      </c>
      <c r="AQ2" s="237" t="s">
        <v>173</v>
      </c>
      <c r="AR2" s="237" t="s">
        <v>181</v>
      </c>
      <c r="AS2" s="237" t="s">
        <v>180</v>
      </c>
      <c r="AT2" s="237" t="s">
        <v>170</v>
      </c>
      <c r="AU2" s="237" t="s">
        <v>171</v>
      </c>
      <c r="AV2" s="237" t="s">
        <v>182</v>
      </c>
      <c r="AW2" s="237" t="s">
        <v>183</v>
      </c>
      <c r="AX2" s="232" t="s">
        <v>105</v>
      </c>
      <c r="AY2" s="232" t="s">
        <v>106</v>
      </c>
      <c r="AZ2" s="226" t="s">
        <v>107</v>
      </c>
      <c r="BA2" s="232" t="s">
        <v>65</v>
      </c>
      <c r="BB2" s="226" t="s">
        <v>108</v>
      </c>
      <c r="BC2" s="226" t="s">
        <v>146</v>
      </c>
      <c r="BD2" s="226" t="s">
        <v>147</v>
      </c>
      <c r="BE2" s="227" t="s">
        <v>186</v>
      </c>
      <c r="BF2" s="227" t="s">
        <v>187</v>
      </c>
      <c r="BG2" s="227" t="s">
        <v>188</v>
      </c>
      <c r="BH2" s="228" t="s">
        <v>216</v>
      </c>
      <c r="BI2" s="228" t="s">
        <v>217</v>
      </c>
      <c r="BK2" s="239" t="s">
        <v>219</v>
      </c>
      <c r="BL2" s="239" t="s">
        <v>219</v>
      </c>
      <c r="BM2" s="239" t="s">
        <v>219</v>
      </c>
      <c r="BN2" s="239" t="s">
        <v>219</v>
      </c>
      <c r="BO2" s="239" t="s">
        <v>219</v>
      </c>
      <c r="BP2" s="239" t="s">
        <v>219</v>
      </c>
      <c r="BQ2" s="239" t="s">
        <v>219</v>
      </c>
      <c r="BR2" s="239" t="s">
        <v>219</v>
      </c>
      <c r="BS2" s="239" t="s">
        <v>219</v>
      </c>
      <c r="BT2" s="239" t="s">
        <v>219</v>
      </c>
      <c r="BU2" s="239" t="s">
        <v>219</v>
      </c>
      <c r="BV2" s="239" t="s">
        <v>219</v>
      </c>
      <c r="BW2" s="239" t="s">
        <v>219</v>
      </c>
      <c r="BX2" s="239" t="s">
        <v>219</v>
      </c>
    </row>
    <row r="3" spans="1:76" x14ac:dyDescent="0.25">
      <c r="A3" s="169" t="s">
        <v>140</v>
      </c>
      <c r="B3" s="170">
        <v>860000</v>
      </c>
      <c r="C3" s="165" t="s">
        <v>198</v>
      </c>
      <c r="D3" s="171" t="s">
        <v>109</v>
      </c>
      <c r="E3" s="189">
        <v>43830</v>
      </c>
      <c r="F3" s="188" t="s">
        <v>115</v>
      </c>
      <c r="G3" s="189" t="s">
        <v>114</v>
      </c>
      <c r="H3" s="189" t="s">
        <v>208</v>
      </c>
      <c r="I3" s="189">
        <v>43899</v>
      </c>
      <c r="J3" s="189">
        <v>43937</v>
      </c>
      <c r="K3" s="190">
        <f>IF(I3="","",MONTH(I3))</f>
        <v>3</v>
      </c>
      <c r="L3" s="190">
        <f>IF(I3="","",DAYS360(E3,I3))</f>
        <v>69</v>
      </c>
      <c r="M3" s="188"/>
      <c r="N3" s="188"/>
      <c r="O3" s="188"/>
      <c r="P3" s="188"/>
      <c r="Q3" s="188"/>
      <c r="R3" s="188"/>
      <c r="S3" s="213">
        <v>100</v>
      </c>
      <c r="T3" s="207">
        <v>50</v>
      </c>
      <c r="U3" s="219"/>
      <c r="V3" s="213">
        <v>200</v>
      </c>
      <c r="W3" s="219">
        <v>200</v>
      </c>
      <c r="X3" s="219">
        <v>300</v>
      </c>
      <c r="Y3" s="219">
        <v>20</v>
      </c>
      <c r="Z3" s="219"/>
      <c r="AA3" s="219">
        <v>200</v>
      </c>
      <c r="AB3" s="219">
        <v>100</v>
      </c>
      <c r="AC3" s="219">
        <v>2000</v>
      </c>
      <c r="AD3" s="219">
        <v>200</v>
      </c>
      <c r="AE3" s="219">
        <v>600</v>
      </c>
      <c r="AF3" s="219">
        <v>500</v>
      </c>
      <c r="AG3" s="219">
        <v>4470</v>
      </c>
      <c r="AH3" s="225">
        <f>SUM(PORTEFEUILLE_SEBASTIEN[[#This Row],[PCR COMPTABLE €]:[MONTANT
RESPONSABLE RELATION CLIENT €]])-PORTEFEUILLE_SEBASTIEN[[#This Row],[MONTANT TOTAL LETTRE DE MISION €]]</f>
        <v>0</v>
      </c>
      <c r="AI3" s="191" t="s">
        <v>152</v>
      </c>
      <c r="AJ3" s="188" t="s">
        <v>155</v>
      </c>
      <c r="AK3" s="188" t="s">
        <v>153</v>
      </c>
      <c r="AL3" s="188" t="s">
        <v>199</v>
      </c>
      <c r="AM3" s="188" t="s">
        <v>200</v>
      </c>
      <c r="AN3" s="188">
        <v>36</v>
      </c>
      <c r="AO3" s="188">
        <v>16</v>
      </c>
      <c r="AP3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Q3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400</v>
      </c>
      <c r="AR3" s="188" t="str">
        <f>IF(PORTEFEUILLE_SEBASTIEN[[#This Row],[BONI AAC]]&lt;&gt;0,1,"")</f>
        <v/>
      </c>
      <c r="AS3" s="188">
        <f>IF(PORTEFEUILLE_SEBASTIEN[[#This Row],[MALI AAC]]&lt;&gt;0,1,"")</f>
        <v>1</v>
      </c>
      <c r="AT3" s="225">
        <f>IF(AN3&lt;&gt;"",IF((AN3*Paramètres!$H$4)-PORTEFEUILLE_SEBASTIEN[[#This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€]]-(DELPHINE!AN3*Paramètres!$H$4),0),0)</f>
        <v>0</v>
      </c>
      <c r="AU3" s="225">
        <f>IF(AN3&lt;&gt;"",IF(((AN3*Paramètres!$H$4)-PORTEFEUILLE_SEBASTIEN[[#This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€]])&gt;0,(AN3*Paramètres!$H$4)-PORTEFEUILLE_SEBASTIEN[[#This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V3" s="190" t="str">
        <f>IF(PORTEFEUILLE_SEBASTIEN[[#This Row],[BONI COMPTABLE]]&lt;&gt;0,1,"")</f>
        <v/>
      </c>
      <c r="AW3" s="190" t="str">
        <f>IF(PORTEFEUILLE_SEBASTIEN[[#This Row],[MALI COMPTABLE]]&lt;&gt;0,1,"")</f>
        <v/>
      </c>
      <c r="AX3" s="188">
        <v>2</v>
      </c>
      <c r="AY3" s="188" t="s">
        <v>209</v>
      </c>
      <c r="AZ3" s="188" t="s">
        <v>209</v>
      </c>
      <c r="BA3" s="188"/>
      <c r="BB3" s="188"/>
      <c r="BC3" s="188"/>
      <c r="BD3" s="188"/>
      <c r="BE3" s="192" t="s">
        <v>214</v>
      </c>
      <c r="BF3" s="192" t="s">
        <v>191</v>
      </c>
      <c r="BG3" s="192" t="s">
        <v>200</v>
      </c>
      <c r="BH3" s="193"/>
      <c r="BI3" s="192"/>
    </row>
    <row r="4" spans="1:76" x14ac:dyDescent="0.25">
      <c r="A4" s="169" t="s">
        <v>140</v>
      </c>
      <c r="B4" s="170">
        <v>860001</v>
      </c>
      <c r="C4" s="165" t="s">
        <v>210</v>
      </c>
      <c r="D4" s="171" t="s">
        <v>109</v>
      </c>
      <c r="E4" s="189">
        <v>43830</v>
      </c>
      <c r="F4" s="188" t="s">
        <v>112</v>
      </c>
      <c r="G4" s="189" t="s">
        <v>111</v>
      </c>
      <c r="H4" s="189"/>
      <c r="I4" s="189">
        <v>43873</v>
      </c>
      <c r="J4" s="189">
        <v>43938</v>
      </c>
      <c r="K4" s="190">
        <f t="shared" ref="K4:K60" si="0">IF(I4="","",MONTH(I4))</f>
        <v>2</v>
      </c>
      <c r="L4" s="190">
        <f t="shared" ref="L4:L60" si="1">IF(I4="","",DAYS360(E4,I4))</f>
        <v>42</v>
      </c>
      <c r="M4" s="188" t="s">
        <v>200</v>
      </c>
      <c r="N4" s="188"/>
      <c r="O4" s="188"/>
      <c r="P4" s="188"/>
      <c r="Q4" s="188"/>
      <c r="R4" s="188"/>
      <c r="S4" s="213">
        <v>0</v>
      </c>
      <c r="T4" s="207">
        <v>100</v>
      </c>
      <c r="U4" s="219"/>
      <c r="V4" s="219">
        <v>50</v>
      </c>
      <c r="W4" s="219">
        <v>550</v>
      </c>
      <c r="X4" s="219"/>
      <c r="Y4" s="219"/>
      <c r="Z4" s="219"/>
      <c r="AA4" s="219"/>
      <c r="AB4" s="219"/>
      <c r="AC4" s="219"/>
      <c r="AD4" s="219"/>
      <c r="AE4" s="219"/>
      <c r="AF4" s="219"/>
      <c r="AG4" s="219">
        <v>700</v>
      </c>
      <c r="AH4" s="225">
        <f>SUM(PORTEFEUILLE_SEBASTIEN[[#This Row],[PCR COMPTABLE €]:[MONTANT
RESPONSABLE RELATION CLIENT €]])-PORTEFEUILLE_SEBASTIEN[[#This Row],[MONTANT TOTAL LETTRE DE MISION €]]</f>
        <v>0</v>
      </c>
      <c r="AI4" s="191" t="s">
        <v>153</v>
      </c>
      <c r="AJ4" s="188" t="s">
        <v>154</v>
      </c>
      <c r="AK4" s="188"/>
      <c r="AL4" s="188" t="s">
        <v>199</v>
      </c>
      <c r="AM4" s="188"/>
      <c r="AN4" s="188">
        <v>30</v>
      </c>
      <c r="AO4" s="188">
        <v>20</v>
      </c>
      <c r="AP4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Q4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1000</v>
      </c>
      <c r="AR4" s="188" t="str">
        <f>IF(PORTEFEUILLE_SEBASTIEN[[#This Row],[BONI AAC]]&lt;&gt;0,1,"")</f>
        <v/>
      </c>
      <c r="AS4" s="188">
        <f>IF(PORTEFEUILLE_SEBASTIEN[[#This Row],[MALI AAC]]&lt;&gt;0,1,"")</f>
        <v>1</v>
      </c>
      <c r="AT4" s="225">
        <f>IF(AN4&lt;&gt;"",IF((AN4*Paramètres!$H$4)-PORTEFEUILLE_SEBASTIEN[[#This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€]]-(DELPHINE!AN4*Paramètres!$H$4),0),0)</f>
        <v>0</v>
      </c>
      <c r="AU4" s="225">
        <f>IF(AN4&lt;&gt;"",IF(((AN4*Paramètres!$H$4)-PORTEFEUILLE_SEBASTIEN[[#This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€]])&gt;0,(AN4*Paramètres!$H$4)-PORTEFEUILLE_SEBASTIEN[[#This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3000</v>
      </c>
      <c r="AV4" s="190" t="str">
        <f>IF(PORTEFEUILLE_SEBASTIEN[[#This Row],[BONI COMPTABLE]]&lt;&gt;0,1,"")</f>
        <v/>
      </c>
      <c r="AW4" s="190">
        <f>IF(PORTEFEUILLE_SEBASTIEN[[#This Row],[MALI COMPTABLE]]&lt;&gt;0,1,"")</f>
        <v>1</v>
      </c>
      <c r="AX4" s="188">
        <v>4</v>
      </c>
      <c r="AY4" s="188" t="s">
        <v>209</v>
      </c>
      <c r="AZ4" s="188" t="s">
        <v>209</v>
      </c>
      <c r="BA4" s="188"/>
      <c r="BB4" s="188"/>
      <c r="BC4" s="188"/>
      <c r="BD4" s="188"/>
      <c r="BE4" s="192" t="s">
        <v>214</v>
      </c>
      <c r="BF4" s="194" t="s">
        <v>138</v>
      </c>
      <c r="BG4" s="194" t="s">
        <v>215</v>
      </c>
      <c r="BH4" s="195"/>
      <c r="BI4" s="194"/>
    </row>
    <row r="5" spans="1:76" x14ac:dyDescent="0.25">
      <c r="A5" s="169" t="s">
        <v>140</v>
      </c>
      <c r="B5" s="170">
        <v>86000</v>
      </c>
      <c r="C5" s="165" t="s">
        <v>204</v>
      </c>
      <c r="D5" s="171" t="s">
        <v>109</v>
      </c>
      <c r="E5" s="189">
        <v>43830</v>
      </c>
      <c r="F5" s="188" t="s">
        <v>130</v>
      </c>
      <c r="G5" s="189" t="s">
        <v>114</v>
      </c>
      <c r="H5" s="189" t="s">
        <v>208</v>
      </c>
      <c r="I5" s="189"/>
      <c r="J5" s="189"/>
      <c r="K5" s="190" t="str">
        <f t="shared" si="0"/>
        <v/>
      </c>
      <c r="L5" s="190" t="str">
        <f t="shared" si="1"/>
        <v/>
      </c>
      <c r="M5" s="188"/>
      <c r="N5" s="188"/>
      <c r="O5" s="188"/>
      <c r="P5" s="188"/>
      <c r="Q5" s="188"/>
      <c r="R5" s="188"/>
      <c r="S5" s="213">
        <v>85</v>
      </c>
      <c r="T5" s="207">
        <v>85</v>
      </c>
      <c r="U5" s="219">
        <v>200</v>
      </c>
      <c r="V5" s="219">
        <v>200</v>
      </c>
      <c r="W5" s="219">
        <v>400</v>
      </c>
      <c r="X5" s="219"/>
      <c r="Y5" s="219">
        <v>400</v>
      </c>
      <c r="Z5" s="219"/>
      <c r="AA5" s="219">
        <v>600</v>
      </c>
      <c r="AB5" s="219"/>
      <c r="AC5" s="219">
        <v>1500</v>
      </c>
      <c r="AD5" s="219">
        <v>200</v>
      </c>
      <c r="AE5" s="219">
        <v>0</v>
      </c>
      <c r="AF5" s="219">
        <v>65</v>
      </c>
      <c r="AG5" s="219">
        <v>3735</v>
      </c>
      <c r="AH5" s="225">
        <f>SUM(PORTEFEUILLE_SEBASTIEN[[#This Row],[PCR COMPTABLE €]:[MONTANT
RESPONSABLE RELATION CLIENT €]])-PORTEFEUILLE_SEBASTIEN[[#This Row],[MONTANT TOTAL LETTRE DE MISION €]]</f>
        <v>0</v>
      </c>
      <c r="AI5" s="191" t="s">
        <v>153</v>
      </c>
      <c r="AJ5" s="188" t="s">
        <v>156</v>
      </c>
      <c r="AK5" s="188" t="s">
        <v>153</v>
      </c>
      <c r="AL5" s="188"/>
      <c r="AM5" s="188"/>
      <c r="AN5" s="188">
        <v>60</v>
      </c>
      <c r="AO5" s="188">
        <v>60</v>
      </c>
      <c r="AP5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Q5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2200</v>
      </c>
      <c r="AR5" s="188" t="str">
        <f>IF(PORTEFEUILLE_SEBASTIEN[[#This Row],[BONI AAC]]&lt;&gt;0,1,"")</f>
        <v/>
      </c>
      <c r="AS5" s="188">
        <f>IF(PORTEFEUILLE_SEBASTIEN[[#This Row],[MALI AAC]]&lt;&gt;0,1,"")</f>
        <v>1</v>
      </c>
      <c r="AT5" s="225">
        <f>IF(AN5&lt;&gt;"",IF((AN5*Paramètres!$H$4)-PORTEFEUILLE_SEBASTIEN[[#This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€]]-(DELPHINE!AN5*Paramètres!$H$4),0),0)</f>
        <v>0</v>
      </c>
      <c r="AU5" s="225">
        <f>IF(AN5&lt;&gt;"",IF(((AN5*Paramètres!$H$4)-PORTEFEUILLE_SEBASTIEN[[#This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€]])&gt;0,(AN5*Paramètres!$H$4)-PORTEFEUILLE_SEBASTIEN[[#This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4150</v>
      </c>
      <c r="AV5" s="190" t="str">
        <f>IF(PORTEFEUILLE_SEBASTIEN[[#This Row],[BONI COMPTABLE]]&lt;&gt;0,1,"")</f>
        <v/>
      </c>
      <c r="AW5" s="190">
        <f>IF(PORTEFEUILLE_SEBASTIEN[[#This Row],[MALI COMPTABLE]]&lt;&gt;0,1,"")</f>
        <v>1</v>
      </c>
      <c r="AX5" s="188"/>
      <c r="AY5" s="188"/>
      <c r="AZ5" s="188"/>
      <c r="BA5" s="188"/>
      <c r="BB5" s="188"/>
      <c r="BC5" s="188"/>
      <c r="BD5" s="188"/>
      <c r="BE5" s="192" t="s">
        <v>214</v>
      </c>
      <c r="BF5" s="194" t="s">
        <v>140</v>
      </c>
      <c r="BG5" s="194" t="s">
        <v>205</v>
      </c>
      <c r="BH5" s="195" t="s">
        <v>200</v>
      </c>
      <c r="BI5" s="194"/>
    </row>
    <row r="6" spans="1:76" x14ac:dyDescent="0.25">
      <c r="A6" s="172"/>
      <c r="B6" s="170"/>
      <c r="C6" s="165"/>
      <c r="D6" s="171"/>
      <c r="E6" s="189"/>
      <c r="F6" s="188"/>
      <c r="G6" s="189"/>
      <c r="H6" s="189"/>
      <c r="I6" s="189"/>
      <c r="J6" s="189"/>
      <c r="K6" s="190" t="str">
        <f t="shared" si="0"/>
        <v/>
      </c>
      <c r="L6" s="190" t="str">
        <f t="shared" si="1"/>
        <v/>
      </c>
      <c r="M6" s="188"/>
      <c r="N6" s="188"/>
      <c r="O6" s="188"/>
      <c r="P6" s="188"/>
      <c r="Q6" s="188"/>
      <c r="R6" s="188"/>
      <c r="S6" s="213"/>
      <c r="T6" s="207"/>
      <c r="U6" s="219"/>
      <c r="V6" s="219"/>
      <c r="W6" s="219"/>
      <c r="X6" s="219"/>
      <c r="Y6" s="219"/>
      <c r="Z6" s="219"/>
      <c r="AA6" s="219"/>
      <c r="AB6" s="219"/>
      <c r="AC6" s="219"/>
      <c r="AD6" s="219"/>
      <c r="AE6" s="219"/>
      <c r="AF6" s="219"/>
      <c r="AG6" s="219"/>
      <c r="AH6" s="225">
        <f>SUM(PORTEFEUILLE_SEBASTIEN[[#This Row],[PCR COMPTABLE €]:[MONTANT
RESPONSABLE RELATION CLIENT €]])-PORTEFEUILLE_SEBASTIEN[[#This Row],[MONTANT TOTAL LETTRE DE MISION €]]</f>
        <v>0</v>
      </c>
      <c r="AI6" s="191"/>
      <c r="AJ6" s="188"/>
      <c r="AK6" s="188"/>
      <c r="AL6" s="188"/>
      <c r="AM6" s="188"/>
      <c r="AN6" s="188"/>
      <c r="AO6" s="188"/>
      <c r="AP6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Q6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R6" s="188" t="str">
        <f>IF(PORTEFEUILLE_SEBASTIEN[[#This Row],[BONI AAC]]&lt;&gt;0,1,"")</f>
        <v/>
      </c>
      <c r="AS6" s="188" t="str">
        <f>IF(PORTEFEUILLE_SEBASTIEN[[#This Row],[MALI AAC]]&lt;&gt;0,1,"")</f>
        <v/>
      </c>
      <c r="AT6" s="225">
        <f>IF(AN6&lt;&gt;"",IF((AN6*Paramètres!$H$4)-PORTEFEUILLE_SEBASTIEN[[#This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€]]-(DELPHINE!AN6*Paramètres!$H$4),0),0)</f>
        <v>0</v>
      </c>
      <c r="AU6" s="225">
        <f>IF(AN6&lt;&gt;"",IF(((AN6*Paramètres!$H$4)-PORTEFEUILLE_SEBASTIEN[[#This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€]])&gt;0,(AN6*Paramètres!$H$4)-PORTEFEUILLE_SEBASTIEN[[#This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V6" s="190" t="str">
        <f>IF(PORTEFEUILLE_SEBASTIEN[[#This Row],[BONI COMPTABLE]]&lt;&gt;0,1,"")</f>
        <v/>
      </c>
      <c r="AW6" s="190" t="str">
        <f>IF(PORTEFEUILLE_SEBASTIEN[[#This Row],[MALI COMPTABLE]]&lt;&gt;0,1,"")</f>
        <v/>
      </c>
      <c r="AX6" s="188"/>
      <c r="AY6" s="188"/>
      <c r="AZ6" s="188"/>
      <c r="BA6" s="188"/>
      <c r="BB6" s="188"/>
      <c r="BC6" s="188"/>
      <c r="BD6" s="188"/>
      <c r="BE6" s="192"/>
      <c r="BF6" s="194"/>
      <c r="BG6" s="194"/>
      <c r="BH6" s="195"/>
      <c r="BI6" s="194"/>
    </row>
    <row r="7" spans="1:76" x14ac:dyDescent="0.25">
      <c r="A7" s="172"/>
      <c r="B7" s="173"/>
      <c r="C7" s="165"/>
      <c r="D7" s="171"/>
      <c r="E7" s="189"/>
      <c r="F7" s="188"/>
      <c r="G7" s="189"/>
      <c r="H7" s="189"/>
      <c r="I7" s="189"/>
      <c r="J7" s="189"/>
      <c r="K7" s="190" t="str">
        <f t="shared" si="0"/>
        <v/>
      </c>
      <c r="L7" s="190" t="str">
        <f t="shared" si="1"/>
        <v/>
      </c>
      <c r="M7" s="188"/>
      <c r="N7" s="188"/>
      <c r="O7" s="188"/>
      <c r="P7" s="188"/>
      <c r="Q7" s="188"/>
      <c r="R7" s="188"/>
      <c r="S7" s="213"/>
      <c r="T7" s="207"/>
      <c r="U7" s="219"/>
      <c r="V7" s="219"/>
      <c r="W7" s="219"/>
      <c r="X7" s="219"/>
      <c r="Y7" s="219"/>
      <c r="Z7" s="219"/>
      <c r="AA7" s="219"/>
      <c r="AB7" s="219"/>
      <c r="AC7" s="219"/>
      <c r="AD7" s="219"/>
      <c r="AE7" s="219"/>
      <c r="AF7" s="219"/>
      <c r="AG7" s="219"/>
      <c r="AH7" s="225">
        <f>SUM(PORTEFEUILLE_SEBASTIEN[[#This Row],[PCR COMPTABLE €]:[MONTANT
RESPONSABLE RELATION CLIENT €]])-PORTEFEUILLE_SEBASTIEN[[#This Row],[MONTANT TOTAL LETTRE DE MISION €]]</f>
        <v>0</v>
      </c>
      <c r="AI7" s="191"/>
      <c r="AJ7" s="188"/>
      <c r="AK7" s="188"/>
      <c r="AL7" s="188"/>
      <c r="AM7" s="188"/>
      <c r="AN7" s="188"/>
      <c r="AO7" s="188"/>
      <c r="AP7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Q7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R7" s="188" t="str">
        <f>IF(PORTEFEUILLE_SEBASTIEN[[#This Row],[BONI AAC]]&lt;&gt;0,1,"")</f>
        <v/>
      </c>
      <c r="AS7" s="188" t="str">
        <f>IF(PORTEFEUILLE_SEBASTIEN[[#This Row],[MALI AAC]]&lt;&gt;0,1,"")</f>
        <v/>
      </c>
      <c r="AT7" s="225">
        <f>IF(AN7&lt;&gt;"",IF((AN7*Paramètres!$H$4)-PORTEFEUILLE_SEBASTIEN[[#This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€]]-(DELPHINE!AN7*Paramètres!$H$4),0),0)</f>
        <v>0</v>
      </c>
      <c r="AU7" s="225">
        <f>IF(AN7&lt;&gt;"",IF(((AN7*Paramètres!$H$4)-PORTEFEUILLE_SEBASTIEN[[#This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€]])&gt;0,(AN7*Paramètres!$H$4)-PORTEFEUILLE_SEBASTIEN[[#This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V7" s="190" t="str">
        <f>IF(PORTEFEUILLE_SEBASTIEN[[#This Row],[BONI COMPTABLE]]&lt;&gt;0,1,"")</f>
        <v/>
      </c>
      <c r="AW7" s="190" t="str">
        <f>IF(PORTEFEUILLE_SEBASTIEN[[#This Row],[MALI COMPTABLE]]&lt;&gt;0,1,"")</f>
        <v/>
      </c>
      <c r="AX7" s="188"/>
      <c r="AY7" s="188"/>
      <c r="AZ7" s="188"/>
      <c r="BA7" s="188"/>
      <c r="BB7" s="196"/>
      <c r="BC7" s="196"/>
      <c r="BD7" s="196"/>
      <c r="BE7" s="192"/>
      <c r="BF7" s="194"/>
      <c r="BG7" s="194"/>
      <c r="BH7" s="195"/>
      <c r="BI7" s="194"/>
    </row>
    <row r="8" spans="1:76" x14ac:dyDescent="0.25">
      <c r="A8" s="172"/>
      <c r="B8" s="170"/>
      <c r="C8" s="165"/>
      <c r="D8" s="171"/>
      <c r="E8" s="189"/>
      <c r="F8" s="188"/>
      <c r="G8" s="189"/>
      <c r="H8" s="189"/>
      <c r="I8" s="189"/>
      <c r="J8" s="189"/>
      <c r="K8" s="190" t="str">
        <f t="shared" si="0"/>
        <v/>
      </c>
      <c r="L8" s="190" t="str">
        <f t="shared" si="1"/>
        <v/>
      </c>
      <c r="M8" s="188"/>
      <c r="N8" s="188"/>
      <c r="O8" s="188"/>
      <c r="P8" s="188"/>
      <c r="Q8" s="188"/>
      <c r="R8" s="188"/>
      <c r="S8" s="213"/>
      <c r="T8" s="207"/>
      <c r="U8" s="219"/>
      <c r="V8" s="219"/>
      <c r="W8" s="219"/>
      <c r="X8" s="219"/>
      <c r="Y8" s="219"/>
      <c r="Z8" s="219"/>
      <c r="AA8" s="219"/>
      <c r="AB8" s="219"/>
      <c r="AC8" s="219"/>
      <c r="AD8" s="219"/>
      <c r="AE8" s="219"/>
      <c r="AF8" s="219"/>
      <c r="AG8" s="219"/>
      <c r="AH8" s="225">
        <f>SUM(PORTEFEUILLE_SEBASTIEN[[#This Row],[PCR COMPTABLE €]:[MONTANT
RESPONSABLE RELATION CLIENT €]])-PORTEFEUILLE_SEBASTIEN[[#This Row],[MONTANT TOTAL LETTRE DE MISION €]]</f>
        <v>0</v>
      </c>
      <c r="AI8" s="191"/>
      <c r="AJ8" s="188"/>
      <c r="AK8" s="188"/>
      <c r="AL8" s="188"/>
      <c r="AM8" s="188"/>
      <c r="AN8" s="188"/>
      <c r="AO8" s="188"/>
      <c r="AP8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Q8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R8" s="188" t="str">
        <f>IF(PORTEFEUILLE_SEBASTIEN[[#This Row],[BONI AAC]]&lt;&gt;0,1,"")</f>
        <v/>
      </c>
      <c r="AS8" s="188" t="str">
        <f>IF(PORTEFEUILLE_SEBASTIEN[[#This Row],[MALI AAC]]&lt;&gt;0,1,"")</f>
        <v/>
      </c>
      <c r="AT8" s="225">
        <f>IF(AN8&lt;&gt;"",IF((AN8*Paramètres!$H$4)-PORTEFEUILLE_SEBASTIEN[[#This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€]]-(DELPHINE!AN8*Paramètres!$H$4),0),0)</f>
        <v>0</v>
      </c>
      <c r="AU8" s="225">
        <f>IF(AN8&lt;&gt;"",IF(((AN8*Paramètres!$H$4)-PORTEFEUILLE_SEBASTIEN[[#This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€]])&gt;0,(AN8*Paramètres!$H$4)-PORTEFEUILLE_SEBASTIEN[[#This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V8" s="190" t="str">
        <f>IF(PORTEFEUILLE_SEBASTIEN[[#This Row],[BONI COMPTABLE]]&lt;&gt;0,1,"")</f>
        <v/>
      </c>
      <c r="AW8" s="190" t="str">
        <f>IF(PORTEFEUILLE_SEBASTIEN[[#This Row],[MALI COMPTABLE]]&lt;&gt;0,1,"")</f>
        <v/>
      </c>
      <c r="AX8" s="188"/>
      <c r="AY8" s="188"/>
      <c r="AZ8" s="188"/>
      <c r="BA8" s="188"/>
      <c r="BB8" s="188"/>
      <c r="BC8" s="188"/>
      <c r="BD8" s="188"/>
      <c r="BE8" s="192"/>
      <c r="BF8" s="194"/>
      <c r="BG8" s="194"/>
      <c r="BH8" s="195"/>
      <c r="BI8" s="194"/>
    </row>
    <row r="9" spans="1:76" x14ac:dyDescent="0.25">
      <c r="A9" s="172"/>
      <c r="B9" s="170"/>
      <c r="C9" s="165"/>
      <c r="D9" s="171"/>
      <c r="E9" s="189"/>
      <c r="F9" s="188"/>
      <c r="G9" s="188"/>
      <c r="H9" s="189"/>
      <c r="I9" s="189"/>
      <c r="J9" s="189"/>
      <c r="K9" s="190" t="str">
        <f t="shared" si="0"/>
        <v/>
      </c>
      <c r="L9" s="190" t="str">
        <f t="shared" si="1"/>
        <v/>
      </c>
      <c r="M9" s="188"/>
      <c r="N9" s="188"/>
      <c r="O9" s="188"/>
      <c r="P9" s="188"/>
      <c r="Q9" s="188"/>
      <c r="R9" s="188"/>
      <c r="S9" s="214"/>
      <c r="T9" s="208"/>
      <c r="U9" s="220"/>
      <c r="V9" s="220"/>
      <c r="W9" s="220"/>
      <c r="X9" s="220"/>
      <c r="Y9" s="220"/>
      <c r="Z9" s="220"/>
      <c r="AA9" s="220"/>
      <c r="AB9" s="220"/>
      <c r="AC9" s="220"/>
      <c r="AD9" s="220"/>
      <c r="AE9" s="220"/>
      <c r="AF9" s="220"/>
      <c r="AG9" s="219"/>
      <c r="AH9" s="225">
        <f>SUM(PORTEFEUILLE_SEBASTIEN[[#This Row],[PCR COMPTABLE €]:[MONTANT
RESPONSABLE RELATION CLIENT €]])-PORTEFEUILLE_SEBASTIEN[[#This Row],[MONTANT TOTAL LETTRE DE MISION €]]</f>
        <v>0</v>
      </c>
      <c r="AI9" s="191"/>
      <c r="AJ9" s="188"/>
      <c r="AK9" s="188"/>
      <c r="AL9" s="196"/>
      <c r="AM9" s="196"/>
      <c r="AN9" s="196"/>
      <c r="AO9" s="196"/>
      <c r="AP9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Q9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R9" s="188" t="str">
        <f>IF(PORTEFEUILLE_SEBASTIEN[[#This Row],[BONI AAC]]&lt;&gt;0,1,"")</f>
        <v/>
      </c>
      <c r="AS9" s="188" t="str">
        <f>IF(PORTEFEUILLE_SEBASTIEN[[#This Row],[MALI AAC]]&lt;&gt;0,1,"")</f>
        <v/>
      </c>
      <c r="AT9" s="225">
        <f>IF(AN9&lt;&gt;"",IF((AN9*Paramètres!$H$4)-PORTEFEUILLE_SEBASTIEN[[#This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€]]-(DELPHINE!AN9*Paramètres!$H$4),0),0)</f>
        <v>0</v>
      </c>
      <c r="AU9" s="225">
        <f>IF(AN9&lt;&gt;"",IF(((AN9*Paramètres!$H$4)-PORTEFEUILLE_SEBASTIEN[[#This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€]])&gt;0,(AN9*Paramètres!$H$4)-PORTEFEUILLE_SEBASTIEN[[#This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V9" s="190" t="str">
        <f>IF(PORTEFEUILLE_SEBASTIEN[[#This Row],[BONI COMPTABLE]]&lt;&gt;0,1,"")</f>
        <v/>
      </c>
      <c r="AW9" s="190" t="str">
        <f>IF(PORTEFEUILLE_SEBASTIEN[[#This Row],[MALI COMPTABLE]]&lt;&gt;0,1,"")</f>
        <v/>
      </c>
      <c r="AX9" s="196"/>
      <c r="AY9" s="188"/>
      <c r="AZ9" s="188"/>
      <c r="BA9" s="188"/>
      <c r="BB9" s="188"/>
      <c r="BC9" s="188"/>
      <c r="BD9" s="188"/>
      <c r="BE9" s="192"/>
      <c r="BF9" s="194"/>
      <c r="BG9" s="194"/>
      <c r="BH9" s="195"/>
      <c r="BI9" s="194"/>
    </row>
    <row r="10" spans="1:76" x14ac:dyDescent="0.25">
      <c r="A10" s="172"/>
      <c r="B10" s="170"/>
      <c r="C10" s="165"/>
      <c r="D10" s="171"/>
      <c r="E10" s="189"/>
      <c r="F10" s="188"/>
      <c r="G10" s="189"/>
      <c r="H10" s="189"/>
      <c r="I10" s="189"/>
      <c r="J10" s="189"/>
      <c r="K10" s="190" t="str">
        <f t="shared" si="0"/>
        <v/>
      </c>
      <c r="L10" s="190" t="str">
        <f t="shared" si="1"/>
        <v/>
      </c>
      <c r="M10" s="188"/>
      <c r="N10" s="188"/>
      <c r="O10" s="188"/>
      <c r="P10" s="188"/>
      <c r="Q10" s="188"/>
      <c r="R10" s="188"/>
      <c r="S10" s="213"/>
      <c r="T10" s="207"/>
      <c r="U10" s="219"/>
      <c r="V10" s="219"/>
      <c r="W10" s="219"/>
      <c r="X10" s="219"/>
      <c r="Y10" s="219"/>
      <c r="Z10" s="219"/>
      <c r="AA10" s="219"/>
      <c r="AB10" s="219"/>
      <c r="AC10" s="219"/>
      <c r="AD10" s="219"/>
      <c r="AE10" s="219"/>
      <c r="AF10" s="219"/>
      <c r="AG10" s="219"/>
      <c r="AH10" s="225">
        <f>SUM(PORTEFEUILLE_SEBASTIEN[[#This Row],[PCR COMPTABLE €]:[MONTANT
RESPONSABLE RELATION CLIENT €]])-PORTEFEUILLE_SEBASTIEN[[#This Row],[MONTANT TOTAL LETTRE DE MISION €]]</f>
        <v>0</v>
      </c>
      <c r="AI10" s="191"/>
      <c r="AJ10" s="188"/>
      <c r="AK10" s="188"/>
      <c r="AL10" s="188"/>
      <c r="AM10" s="188"/>
      <c r="AN10" s="188"/>
      <c r="AO10" s="188"/>
      <c r="AP10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Q10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R10" s="188" t="str">
        <f>IF(PORTEFEUILLE_SEBASTIEN[[#This Row],[BONI AAC]]&lt;&gt;0,1,"")</f>
        <v/>
      </c>
      <c r="AS10" s="188" t="str">
        <f>IF(PORTEFEUILLE_SEBASTIEN[[#This Row],[MALI AAC]]&lt;&gt;0,1,"")</f>
        <v/>
      </c>
      <c r="AT10" s="225">
        <f>IF(AN10&lt;&gt;"",IF((AN10*Paramètres!$H$4)-PORTEFEUILLE_SEBASTIEN[[#This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€]]-(DELPHINE!AN10*Paramètres!$H$4),0),0)</f>
        <v>0</v>
      </c>
      <c r="AU10" s="225">
        <f>IF(AN10&lt;&gt;"",IF(((AN10*Paramètres!$H$4)-PORTEFEUILLE_SEBASTIEN[[#This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€]])&gt;0,(AN10*Paramètres!$H$4)-PORTEFEUILLE_SEBASTIEN[[#This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V10" s="190" t="str">
        <f>IF(PORTEFEUILLE_SEBASTIEN[[#This Row],[BONI COMPTABLE]]&lt;&gt;0,1,"")</f>
        <v/>
      </c>
      <c r="AW10" s="190" t="str">
        <f>IF(PORTEFEUILLE_SEBASTIEN[[#This Row],[MALI COMPTABLE]]&lt;&gt;0,1,"")</f>
        <v/>
      </c>
      <c r="AX10" s="188"/>
      <c r="AY10" s="188"/>
      <c r="AZ10" s="188"/>
      <c r="BA10" s="188"/>
      <c r="BB10" s="188"/>
      <c r="BC10" s="188"/>
      <c r="BD10" s="188"/>
      <c r="BE10" s="192"/>
      <c r="BF10" s="194"/>
      <c r="BG10" s="194"/>
      <c r="BH10" s="195"/>
      <c r="BI10" s="194"/>
    </row>
    <row r="11" spans="1:76" x14ac:dyDescent="0.25">
      <c r="A11" s="172"/>
      <c r="B11" s="173"/>
      <c r="C11" s="165"/>
      <c r="D11" s="171"/>
      <c r="E11" s="189"/>
      <c r="F11" s="188"/>
      <c r="G11" s="189"/>
      <c r="H11" s="189"/>
      <c r="I11" s="189"/>
      <c r="J11" s="189"/>
      <c r="K11" s="190" t="str">
        <f t="shared" si="0"/>
        <v/>
      </c>
      <c r="L11" s="190" t="str">
        <f t="shared" si="1"/>
        <v/>
      </c>
      <c r="M11" s="188"/>
      <c r="N11" s="188"/>
      <c r="O11" s="188"/>
      <c r="P11" s="188"/>
      <c r="Q11" s="188"/>
      <c r="R11" s="188"/>
      <c r="S11" s="213"/>
      <c r="T11" s="207"/>
      <c r="U11" s="219"/>
      <c r="V11" s="219"/>
      <c r="W11" s="219"/>
      <c r="X11" s="219"/>
      <c r="Y11" s="219"/>
      <c r="Z11" s="219"/>
      <c r="AA11" s="219"/>
      <c r="AB11" s="219"/>
      <c r="AC11" s="219"/>
      <c r="AD11" s="219"/>
      <c r="AE11" s="219"/>
      <c r="AF11" s="219"/>
      <c r="AG11" s="219"/>
      <c r="AH11" s="225">
        <f>SUM(PORTEFEUILLE_SEBASTIEN[[#This Row],[PCR COMPTABLE €]:[MONTANT
RESPONSABLE RELATION CLIENT €]])-PORTEFEUILLE_SEBASTIEN[[#This Row],[MONTANT TOTAL LETTRE DE MISION €]]</f>
        <v>0</v>
      </c>
      <c r="AI11" s="191"/>
      <c r="AJ11" s="188"/>
      <c r="AK11" s="188"/>
      <c r="AL11" s="188"/>
      <c r="AM11" s="188"/>
      <c r="AN11" s="188"/>
      <c r="AO11" s="188"/>
      <c r="AP11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Q11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R11" s="188" t="str">
        <f>IF(PORTEFEUILLE_SEBASTIEN[[#This Row],[BONI AAC]]&lt;&gt;0,1,"")</f>
        <v/>
      </c>
      <c r="AS11" s="188" t="str">
        <f>IF(PORTEFEUILLE_SEBASTIEN[[#This Row],[MALI AAC]]&lt;&gt;0,1,"")</f>
        <v/>
      </c>
      <c r="AT11" s="225">
        <f>IF(AN11&lt;&gt;"",IF((AN11*Paramètres!$H$4)-PORTEFEUILLE_SEBASTIEN[[#This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€]]-(DELPHINE!AN11*Paramètres!$H$4),0),0)</f>
        <v>0</v>
      </c>
      <c r="AU11" s="225">
        <f>IF(AN11&lt;&gt;"",IF(((AN11*Paramètres!$H$4)-PORTEFEUILLE_SEBASTIEN[[#This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€]])&gt;0,(AN11*Paramètres!$H$4)-PORTEFEUILLE_SEBASTIEN[[#This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V11" s="190" t="str">
        <f>IF(PORTEFEUILLE_SEBASTIEN[[#This Row],[BONI COMPTABLE]]&lt;&gt;0,1,"")</f>
        <v/>
      </c>
      <c r="AW11" s="190" t="str">
        <f>IF(PORTEFEUILLE_SEBASTIEN[[#This Row],[MALI COMPTABLE]]&lt;&gt;0,1,"")</f>
        <v/>
      </c>
      <c r="AX11" s="188"/>
      <c r="AY11" s="188"/>
      <c r="AZ11" s="188"/>
      <c r="BA11" s="188"/>
      <c r="BB11" s="188"/>
      <c r="BC11" s="188"/>
      <c r="BD11" s="188"/>
      <c r="BE11" s="192"/>
      <c r="BF11" s="194"/>
      <c r="BG11" s="194"/>
      <c r="BH11" s="195"/>
      <c r="BI11" s="194"/>
    </row>
    <row r="12" spans="1:76" x14ac:dyDescent="0.25">
      <c r="A12" s="172"/>
      <c r="B12" s="170"/>
      <c r="C12" s="165"/>
      <c r="D12" s="171"/>
      <c r="E12" s="189"/>
      <c r="F12" s="188"/>
      <c r="G12" s="189"/>
      <c r="H12" s="189"/>
      <c r="I12" s="189"/>
      <c r="J12" s="189"/>
      <c r="K12" s="190" t="str">
        <f t="shared" si="0"/>
        <v/>
      </c>
      <c r="L12" s="190" t="str">
        <f t="shared" si="1"/>
        <v/>
      </c>
      <c r="M12" s="188"/>
      <c r="N12" s="188"/>
      <c r="O12" s="188"/>
      <c r="P12" s="188"/>
      <c r="Q12" s="188"/>
      <c r="R12" s="188"/>
      <c r="S12" s="213"/>
      <c r="T12" s="207"/>
      <c r="U12" s="219"/>
      <c r="V12" s="219"/>
      <c r="W12" s="219"/>
      <c r="X12" s="219"/>
      <c r="Y12" s="219"/>
      <c r="Z12" s="219"/>
      <c r="AA12" s="219"/>
      <c r="AB12" s="219"/>
      <c r="AC12" s="219"/>
      <c r="AD12" s="219"/>
      <c r="AE12" s="219"/>
      <c r="AF12" s="219"/>
      <c r="AG12" s="219"/>
      <c r="AH12" s="225">
        <f>SUM(PORTEFEUILLE_SEBASTIEN[[#This Row],[PCR COMPTABLE €]:[MONTANT
RESPONSABLE RELATION CLIENT €]])-PORTEFEUILLE_SEBASTIEN[[#This Row],[MONTANT TOTAL LETTRE DE MISION €]]</f>
        <v>0</v>
      </c>
      <c r="AI12" s="191"/>
      <c r="AJ12" s="188"/>
      <c r="AK12" s="188"/>
      <c r="AL12" s="188"/>
      <c r="AM12" s="188"/>
      <c r="AN12" s="188"/>
      <c r="AO12" s="188"/>
      <c r="AP12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Q12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R12" s="188" t="str">
        <f>IF(PORTEFEUILLE_SEBASTIEN[[#This Row],[BONI AAC]]&lt;&gt;0,1,"")</f>
        <v/>
      </c>
      <c r="AS12" s="188" t="str">
        <f>IF(PORTEFEUILLE_SEBASTIEN[[#This Row],[MALI AAC]]&lt;&gt;0,1,"")</f>
        <v/>
      </c>
      <c r="AT12" s="225">
        <f>IF(AN12&lt;&gt;"",IF((AN12*Paramètres!$H$4)-PORTEFEUILLE_SEBASTIEN[[#This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€]]-(DELPHINE!AN12*Paramètres!$H$4),0),0)</f>
        <v>0</v>
      </c>
      <c r="AU12" s="225">
        <f>IF(AN12&lt;&gt;"",IF(((AN12*Paramètres!$H$4)-PORTEFEUILLE_SEBASTIEN[[#This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€]])&gt;0,(AN12*Paramètres!$H$4)-PORTEFEUILLE_SEBASTIEN[[#This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V12" s="190" t="str">
        <f>IF(PORTEFEUILLE_SEBASTIEN[[#This Row],[BONI COMPTABLE]]&lt;&gt;0,1,"")</f>
        <v/>
      </c>
      <c r="AW12" s="190" t="str">
        <f>IF(PORTEFEUILLE_SEBASTIEN[[#This Row],[MALI COMPTABLE]]&lt;&gt;0,1,"")</f>
        <v/>
      </c>
      <c r="AX12" s="188"/>
      <c r="AY12" s="188"/>
      <c r="AZ12" s="188"/>
      <c r="BA12" s="188"/>
      <c r="BB12" s="188"/>
      <c r="BC12" s="188"/>
      <c r="BD12" s="188"/>
      <c r="BE12" s="192"/>
      <c r="BF12" s="194"/>
      <c r="BG12" s="194"/>
      <c r="BH12" s="195"/>
      <c r="BI12" s="194"/>
    </row>
    <row r="13" spans="1:76" x14ac:dyDescent="0.25">
      <c r="A13" s="172"/>
      <c r="B13" s="170"/>
      <c r="C13" s="165"/>
      <c r="D13" s="171"/>
      <c r="E13" s="189"/>
      <c r="F13" s="188"/>
      <c r="G13" s="189"/>
      <c r="H13" s="189"/>
      <c r="I13" s="189"/>
      <c r="J13" s="189"/>
      <c r="K13" s="190" t="str">
        <f t="shared" si="0"/>
        <v/>
      </c>
      <c r="L13" s="190" t="str">
        <f t="shared" si="1"/>
        <v/>
      </c>
      <c r="M13" s="188"/>
      <c r="N13" s="188"/>
      <c r="O13" s="188"/>
      <c r="P13" s="188"/>
      <c r="Q13" s="188"/>
      <c r="R13" s="188"/>
      <c r="S13" s="213"/>
      <c r="T13" s="207"/>
      <c r="U13" s="219"/>
      <c r="V13" s="219"/>
      <c r="W13" s="219"/>
      <c r="X13" s="219"/>
      <c r="Y13" s="219"/>
      <c r="Z13" s="219"/>
      <c r="AA13" s="219"/>
      <c r="AB13" s="219"/>
      <c r="AC13" s="219"/>
      <c r="AD13" s="219"/>
      <c r="AE13" s="219"/>
      <c r="AF13" s="219"/>
      <c r="AG13" s="219"/>
      <c r="AH13" s="225">
        <f>SUM(PORTEFEUILLE_SEBASTIEN[[#This Row],[PCR COMPTABLE €]:[MONTANT
RESPONSABLE RELATION CLIENT €]])-PORTEFEUILLE_SEBASTIEN[[#This Row],[MONTANT TOTAL LETTRE DE MISION €]]</f>
        <v>0</v>
      </c>
      <c r="AI13" s="191"/>
      <c r="AJ13" s="188"/>
      <c r="AK13" s="188"/>
      <c r="AL13" s="188"/>
      <c r="AM13" s="188"/>
      <c r="AN13" s="188"/>
      <c r="AO13" s="188"/>
      <c r="AP13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Q13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R13" s="188" t="str">
        <f>IF(PORTEFEUILLE_SEBASTIEN[[#This Row],[BONI AAC]]&lt;&gt;0,1,"")</f>
        <v/>
      </c>
      <c r="AS13" s="188" t="str">
        <f>IF(PORTEFEUILLE_SEBASTIEN[[#This Row],[MALI AAC]]&lt;&gt;0,1,"")</f>
        <v/>
      </c>
      <c r="AT13" s="225">
        <f>IF(AN13&lt;&gt;"",IF((AN13*Paramètres!$H$4)-PORTEFEUILLE_SEBASTIEN[[#This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€]]-(DELPHINE!AN13*Paramètres!$H$4),0),0)</f>
        <v>0</v>
      </c>
      <c r="AU13" s="225">
        <f>IF(AN13&lt;&gt;"",IF(((AN13*Paramètres!$H$4)-PORTEFEUILLE_SEBASTIEN[[#This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€]])&gt;0,(AN13*Paramètres!$H$4)-PORTEFEUILLE_SEBASTIEN[[#This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V13" s="190" t="str">
        <f>IF(PORTEFEUILLE_SEBASTIEN[[#This Row],[BONI COMPTABLE]]&lt;&gt;0,1,"")</f>
        <v/>
      </c>
      <c r="AW13" s="190" t="str">
        <f>IF(PORTEFEUILLE_SEBASTIEN[[#This Row],[MALI COMPTABLE]]&lt;&gt;0,1,"")</f>
        <v/>
      </c>
      <c r="AX13" s="188"/>
      <c r="AY13" s="188"/>
      <c r="AZ13" s="188"/>
      <c r="BA13" s="188"/>
      <c r="BB13" s="188"/>
      <c r="BC13" s="188"/>
      <c r="BD13" s="188"/>
      <c r="BE13" s="192"/>
      <c r="BF13" s="194"/>
      <c r="BG13" s="194"/>
      <c r="BH13" s="195"/>
      <c r="BI13" s="194"/>
    </row>
    <row r="14" spans="1:76" x14ac:dyDescent="0.25">
      <c r="A14" s="172"/>
      <c r="B14" s="170"/>
      <c r="C14" s="165"/>
      <c r="D14" s="171"/>
      <c r="E14" s="189"/>
      <c r="F14" s="188"/>
      <c r="G14" s="189"/>
      <c r="H14" s="189"/>
      <c r="I14" s="189"/>
      <c r="J14" s="189"/>
      <c r="K14" s="190" t="str">
        <f t="shared" si="0"/>
        <v/>
      </c>
      <c r="L14" s="190" t="str">
        <f t="shared" si="1"/>
        <v/>
      </c>
      <c r="M14" s="188"/>
      <c r="N14" s="188"/>
      <c r="O14" s="188"/>
      <c r="P14" s="188"/>
      <c r="Q14" s="188"/>
      <c r="R14" s="188"/>
      <c r="S14" s="213"/>
      <c r="T14" s="207"/>
      <c r="U14" s="219"/>
      <c r="V14" s="219"/>
      <c r="W14" s="219"/>
      <c r="X14" s="219"/>
      <c r="Y14" s="219"/>
      <c r="Z14" s="219"/>
      <c r="AA14" s="219"/>
      <c r="AB14" s="219"/>
      <c r="AC14" s="219"/>
      <c r="AD14" s="219"/>
      <c r="AE14" s="219"/>
      <c r="AF14" s="219"/>
      <c r="AG14" s="219"/>
      <c r="AH14" s="225">
        <f>SUM(PORTEFEUILLE_SEBASTIEN[[#This Row],[PCR COMPTABLE €]:[MONTANT
RESPONSABLE RELATION CLIENT €]])-PORTEFEUILLE_SEBASTIEN[[#This Row],[MONTANT TOTAL LETTRE DE MISION €]]</f>
        <v>0</v>
      </c>
      <c r="AI14" s="191"/>
      <c r="AJ14" s="188"/>
      <c r="AK14" s="188"/>
      <c r="AL14" s="188"/>
      <c r="AM14" s="188"/>
      <c r="AN14" s="188"/>
      <c r="AO14" s="188"/>
      <c r="AP14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Q14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R14" s="188" t="str">
        <f>IF(PORTEFEUILLE_SEBASTIEN[[#This Row],[BONI AAC]]&lt;&gt;0,1,"")</f>
        <v/>
      </c>
      <c r="AS14" s="188" t="str">
        <f>IF(PORTEFEUILLE_SEBASTIEN[[#This Row],[MALI AAC]]&lt;&gt;0,1,"")</f>
        <v/>
      </c>
      <c r="AT14" s="225">
        <f>IF(AN14&lt;&gt;"",IF((AN14*Paramètres!$H$4)-PORTEFEUILLE_SEBASTIEN[[#This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€]]-(DELPHINE!AN14*Paramètres!$H$4),0),0)</f>
        <v>0</v>
      </c>
      <c r="AU14" s="225">
        <f>IF(AN14&lt;&gt;"",IF(((AN14*Paramètres!$H$4)-PORTEFEUILLE_SEBASTIEN[[#This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€]])&gt;0,(AN14*Paramètres!$H$4)-PORTEFEUILLE_SEBASTIEN[[#This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V14" s="190" t="str">
        <f>IF(PORTEFEUILLE_SEBASTIEN[[#This Row],[BONI COMPTABLE]]&lt;&gt;0,1,"")</f>
        <v/>
      </c>
      <c r="AW14" s="190" t="str">
        <f>IF(PORTEFEUILLE_SEBASTIEN[[#This Row],[MALI COMPTABLE]]&lt;&gt;0,1,"")</f>
        <v/>
      </c>
      <c r="AX14" s="188"/>
      <c r="AY14" s="188"/>
      <c r="AZ14" s="188"/>
      <c r="BA14" s="188"/>
      <c r="BB14" s="188"/>
      <c r="BC14" s="188"/>
      <c r="BD14" s="188"/>
      <c r="BE14" s="192"/>
      <c r="BF14" s="194"/>
      <c r="BG14" s="194"/>
      <c r="BH14" s="195"/>
      <c r="BI14" s="194"/>
    </row>
    <row r="15" spans="1:76" x14ac:dyDescent="0.25">
      <c r="A15" s="172"/>
      <c r="B15" s="170"/>
      <c r="C15" s="170"/>
      <c r="D15" s="171"/>
      <c r="E15" s="189"/>
      <c r="F15" s="188"/>
      <c r="G15" s="189"/>
      <c r="H15" s="189"/>
      <c r="I15" s="189"/>
      <c r="J15" s="189"/>
      <c r="K15" s="190" t="str">
        <f t="shared" si="0"/>
        <v/>
      </c>
      <c r="L15" s="190" t="str">
        <f t="shared" si="1"/>
        <v/>
      </c>
      <c r="M15" s="188"/>
      <c r="N15" s="188"/>
      <c r="O15" s="188"/>
      <c r="P15" s="188"/>
      <c r="Q15" s="188"/>
      <c r="R15" s="188"/>
      <c r="S15" s="213"/>
      <c r="T15" s="207"/>
      <c r="U15" s="219"/>
      <c r="V15" s="219"/>
      <c r="W15" s="219"/>
      <c r="X15" s="219"/>
      <c r="Y15" s="219"/>
      <c r="Z15" s="219"/>
      <c r="AA15" s="219"/>
      <c r="AB15" s="219"/>
      <c r="AC15" s="219"/>
      <c r="AD15" s="219"/>
      <c r="AE15" s="219"/>
      <c r="AF15" s="219"/>
      <c r="AG15" s="219"/>
      <c r="AH15" s="225">
        <f>SUM(PORTEFEUILLE_SEBASTIEN[[#This Row],[PCR COMPTABLE €]:[MONTANT
RESPONSABLE RELATION CLIENT €]])-PORTEFEUILLE_SEBASTIEN[[#This Row],[MONTANT TOTAL LETTRE DE MISION €]]</f>
        <v>0</v>
      </c>
      <c r="AI15" s="191"/>
      <c r="AJ15" s="188"/>
      <c r="AK15" s="188"/>
      <c r="AL15" s="188"/>
      <c r="AM15" s="188"/>
      <c r="AN15" s="188"/>
      <c r="AO15" s="188"/>
      <c r="AP15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Q15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R15" s="188" t="str">
        <f>IF(PORTEFEUILLE_SEBASTIEN[[#This Row],[BONI AAC]]&lt;&gt;0,1,"")</f>
        <v/>
      </c>
      <c r="AS15" s="188" t="str">
        <f>IF(PORTEFEUILLE_SEBASTIEN[[#This Row],[MALI AAC]]&lt;&gt;0,1,"")</f>
        <v/>
      </c>
      <c r="AT15" s="225">
        <f>IF(AN15&lt;&gt;"",IF((AN15*Paramètres!$H$4)-PORTEFEUILLE_SEBASTIEN[[#This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€]]-(DELPHINE!AN15*Paramètres!$H$4),0),0)</f>
        <v>0</v>
      </c>
      <c r="AU15" s="225">
        <f>IF(AN15&lt;&gt;"",IF(((AN15*Paramètres!$H$4)-PORTEFEUILLE_SEBASTIEN[[#This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€]])&gt;0,(AN15*Paramètres!$H$4)-PORTEFEUILLE_SEBASTIEN[[#This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V15" s="190" t="str">
        <f>IF(PORTEFEUILLE_SEBASTIEN[[#This Row],[BONI COMPTABLE]]&lt;&gt;0,1,"")</f>
        <v/>
      </c>
      <c r="AW15" s="190" t="str">
        <f>IF(PORTEFEUILLE_SEBASTIEN[[#This Row],[MALI COMPTABLE]]&lt;&gt;0,1,"")</f>
        <v/>
      </c>
      <c r="AX15" s="188"/>
      <c r="AY15" s="188"/>
      <c r="AZ15" s="188"/>
      <c r="BA15" s="188"/>
      <c r="BB15" s="188"/>
      <c r="BC15" s="188"/>
      <c r="BD15" s="188"/>
      <c r="BE15" s="192"/>
      <c r="BF15" s="194"/>
      <c r="BG15" s="194"/>
      <c r="BH15" s="195"/>
      <c r="BI15" s="194"/>
    </row>
    <row r="16" spans="1:76" x14ac:dyDescent="0.25">
      <c r="A16" s="172"/>
      <c r="B16" s="170"/>
      <c r="C16" s="174"/>
      <c r="D16" s="171"/>
      <c r="E16" s="189"/>
      <c r="F16" s="188"/>
      <c r="G16" s="189"/>
      <c r="H16" s="189"/>
      <c r="I16" s="189"/>
      <c r="J16" s="189"/>
      <c r="K16" s="190" t="str">
        <f t="shared" si="0"/>
        <v/>
      </c>
      <c r="L16" s="190" t="str">
        <f t="shared" si="1"/>
        <v/>
      </c>
      <c r="M16" s="188"/>
      <c r="N16" s="188"/>
      <c r="O16" s="188"/>
      <c r="P16" s="188"/>
      <c r="Q16" s="188"/>
      <c r="R16" s="188"/>
      <c r="S16" s="213"/>
      <c r="T16" s="207"/>
      <c r="U16" s="219"/>
      <c r="V16" s="219"/>
      <c r="W16" s="219"/>
      <c r="X16" s="219"/>
      <c r="Y16" s="219"/>
      <c r="Z16" s="219"/>
      <c r="AA16" s="219"/>
      <c r="AB16" s="219"/>
      <c r="AC16" s="219"/>
      <c r="AD16" s="219"/>
      <c r="AE16" s="219"/>
      <c r="AF16" s="219"/>
      <c r="AG16" s="219"/>
      <c r="AH16" s="225">
        <f>SUM(PORTEFEUILLE_SEBASTIEN[[#This Row],[PCR COMPTABLE €]:[MONTANT
RESPONSABLE RELATION CLIENT €]])-PORTEFEUILLE_SEBASTIEN[[#This Row],[MONTANT TOTAL LETTRE DE MISION €]]</f>
        <v>0</v>
      </c>
      <c r="AI16" s="191"/>
      <c r="AJ16" s="188"/>
      <c r="AK16" s="188"/>
      <c r="AL16" s="188"/>
      <c r="AM16" s="188"/>
      <c r="AN16" s="188"/>
      <c r="AO16" s="188"/>
      <c r="AP16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Q16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R16" s="188" t="str">
        <f>IF(PORTEFEUILLE_SEBASTIEN[[#This Row],[BONI AAC]]&lt;&gt;0,1,"")</f>
        <v/>
      </c>
      <c r="AS16" s="188" t="str">
        <f>IF(PORTEFEUILLE_SEBASTIEN[[#This Row],[MALI AAC]]&lt;&gt;0,1,"")</f>
        <v/>
      </c>
      <c r="AT16" s="225">
        <f>IF(AN16&lt;&gt;"",IF((AN16*Paramètres!$H$4)-PORTEFEUILLE_SEBASTIEN[[#This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€]]-(DELPHINE!AN16*Paramètres!$H$4),0),0)</f>
        <v>0</v>
      </c>
      <c r="AU16" s="225">
        <f>IF(AN16&lt;&gt;"",IF(((AN16*Paramètres!$H$4)-PORTEFEUILLE_SEBASTIEN[[#This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€]])&gt;0,(AN16*Paramètres!$H$4)-PORTEFEUILLE_SEBASTIEN[[#This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V16" s="190" t="str">
        <f>IF(PORTEFEUILLE_SEBASTIEN[[#This Row],[BONI COMPTABLE]]&lt;&gt;0,1,"")</f>
        <v/>
      </c>
      <c r="AW16" s="190" t="str">
        <f>IF(PORTEFEUILLE_SEBASTIEN[[#This Row],[MALI COMPTABLE]]&lt;&gt;0,1,"")</f>
        <v/>
      </c>
      <c r="AX16" s="188"/>
      <c r="AY16" s="188"/>
      <c r="AZ16" s="188"/>
      <c r="BA16" s="188"/>
      <c r="BB16" s="188"/>
      <c r="BC16" s="188"/>
      <c r="BD16" s="188"/>
      <c r="BE16" s="192"/>
      <c r="BF16" s="194"/>
      <c r="BG16" s="194"/>
      <c r="BH16" s="195"/>
      <c r="BI16" s="194"/>
    </row>
    <row r="17" spans="1:61" x14ac:dyDescent="0.25">
      <c r="A17" s="172"/>
      <c r="B17" s="170"/>
      <c r="C17" s="175"/>
      <c r="D17" s="171"/>
      <c r="E17" s="189"/>
      <c r="F17" s="188"/>
      <c r="G17" s="189"/>
      <c r="H17" s="189"/>
      <c r="I17" s="189"/>
      <c r="J17" s="189"/>
      <c r="K17" s="190" t="str">
        <f t="shared" si="0"/>
        <v/>
      </c>
      <c r="L17" s="190" t="str">
        <f t="shared" si="1"/>
        <v/>
      </c>
      <c r="M17" s="188"/>
      <c r="N17" s="188"/>
      <c r="O17" s="188"/>
      <c r="P17" s="188"/>
      <c r="Q17" s="188"/>
      <c r="R17" s="188"/>
      <c r="S17" s="213"/>
      <c r="T17" s="207"/>
      <c r="U17" s="219"/>
      <c r="V17" s="219"/>
      <c r="W17" s="219"/>
      <c r="X17" s="219"/>
      <c r="Y17" s="219"/>
      <c r="Z17" s="219"/>
      <c r="AA17" s="219"/>
      <c r="AB17" s="219"/>
      <c r="AC17" s="219"/>
      <c r="AD17" s="219"/>
      <c r="AE17" s="219"/>
      <c r="AF17" s="219"/>
      <c r="AG17" s="219"/>
      <c r="AH17" s="225">
        <f>SUM(PORTEFEUILLE_SEBASTIEN[[#This Row],[PCR COMPTABLE €]:[MONTANT
RESPONSABLE RELATION CLIENT €]])-PORTEFEUILLE_SEBASTIEN[[#This Row],[MONTANT TOTAL LETTRE DE MISION €]]</f>
        <v>0</v>
      </c>
      <c r="AI17" s="191"/>
      <c r="AJ17" s="188"/>
      <c r="AK17" s="188"/>
      <c r="AL17" s="188"/>
      <c r="AM17" s="188"/>
      <c r="AN17" s="188"/>
      <c r="AO17" s="188"/>
      <c r="AP17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Q17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R17" s="188" t="str">
        <f>IF(PORTEFEUILLE_SEBASTIEN[[#This Row],[BONI AAC]]&lt;&gt;0,1,"")</f>
        <v/>
      </c>
      <c r="AS17" s="188" t="str">
        <f>IF(PORTEFEUILLE_SEBASTIEN[[#This Row],[MALI AAC]]&lt;&gt;0,1,"")</f>
        <v/>
      </c>
      <c r="AT17" s="225">
        <f>IF(AN17&lt;&gt;"",IF((AN17*Paramètres!$H$4)-PORTEFEUILLE_SEBASTIEN[[#This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€]]-(DELPHINE!AN17*Paramètres!$H$4),0),0)</f>
        <v>0</v>
      </c>
      <c r="AU17" s="225">
        <f>IF(AN17&lt;&gt;"",IF(((AN17*Paramètres!$H$4)-PORTEFEUILLE_SEBASTIEN[[#This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€]])&gt;0,(AN17*Paramètres!$H$4)-PORTEFEUILLE_SEBASTIEN[[#This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V17" s="190" t="str">
        <f>IF(PORTEFEUILLE_SEBASTIEN[[#This Row],[BONI COMPTABLE]]&lt;&gt;0,1,"")</f>
        <v/>
      </c>
      <c r="AW17" s="190" t="str">
        <f>IF(PORTEFEUILLE_SEBASTIEN[[#This Row],[MALI COMPTABLE]]&lt;&gt;0,1,"")</f>
        <v/>
      </c>
      <c r="AX17" s="188"/>
      <c r="AY17" s="188"/>
      <c r="AZ17" s="188"/>
      <c r="BA17" s="188"/>
      <c r="BB17" s="188"/>
      <c r="BC17" s="188"/>
      <c r="BD17" s="188"/>
      <c r="BE17" s="192"/>
      <c r="BF17" s="194"/>
      <c r="BG17" s="194"/>
      <c r="BH17" s="195"/>
      <c r="BI17" s="194"/>
    </row>
    <row r="18" spans="1:61" s="241" customFormat="1" x14ac:dyDescent="0.25">
      <c r="A18" s="172"/>
      <c r="B18" s="170"/>
      <c r="C18" s="165"/>
      <c r="D18" s="171"/>
      <c r="E18" s="189"/>
      <c r="F18" s="188"/>
      <c r="G18" s="189"/>
      <c r="H18" s="189"/>
      <c r="I18" s="189"/>
      <c r="J18" s="189"/>
      <c r="K18" s="190" t="str">
        <f t="shared" si="0"/>
        <v/>
      </c>
      <c r="L18" s="190" t="str">
        <f t="shared" si="1"/>
        <v/>
      </c>
      <c r="M18" s="188"/>
      <c r="N18" s="188"/>
      <c r="O18" s="188"/>
      <c r="P18" s="188"/>
      <c r="Q18" s="188"/>
      <c r="R18" s="188"/>
      <c r="S18" s="213"/>
      <c r="T18" s="207"/>
      <c r="U18" s="219"/>
      <c r="V18" s="219"/>
      <c r="W18" s="219"/>
      <c r="X18" s="219"/>
      <c r="Y18" s="219"/>
      <c r="Z18" s="219"/>
      <c r="AA18" s="219"/>
      <c r="AB18" s="219"/>
      <c r="AC18" s="219"/>
      <c r="AD18" s="219"/>
      <c r="AE18" s="219"/>
      <c r="AF18" s="219"/>
      <c r="AG18" s="219"/>
      <c r="AH18" s="225">
        <f>SUM(PORTEFEUILLE_SEBASTIEN[[#This Row],[PCR COMPTABLE €]:[MONTANT
RESPONSABLE RELATION CLIENT €]])-PORTEFEUILLE_SEBASTIEN[[#This Row],[MONTANT TOTAL LETTRE DE MISION €]]</f>
        <v>0</v>
      </c>
      <c r="AI18" s="191"/>
      <c r="AJ18" s="188"/>
      <c r="AK18" s="188"/>
      <c r="AL18" s="188"/>
      <c r="AM18" s="188"/>
      <c r="AN18" s="188"/>
      <c r="AO18" s="188"/>
      <c r="AP18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Q18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R18" s="188" t="str">
        <f>IF(PORTEFEUILLE_SEBASTIEN[[#This Row],[BONI AAC]]&lt;&gt;0,1,"")</f>
        <v/>
      </c>
      <c r="AS18" s="188" t="str">
        <f>IF(PORTEFEUILLE_SEBASTIEN[[#This Row],[MALI AAC]]&lt;&gt;0,1,"")</f>
        <v/>
      </c>
      <c r="AT18" s="225">
        <f>IF(AN18&lt;&gt;"",IF((AN18*Paramètres!$H$4)-PORTEFEUILLE_SEBASTIEN[[#This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€]]-(DELPHINE!AN18*Paramètres!$H$4),0),0)</f>
        <v>0</v>
      </c>
      <c r="AU18" s="225">
        <f>IF(AN18&lt;&gt;"",IF(((AN18*Paramètres!$H$4)-PORTEFEUILLE_SEBASTIEN[[#This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€]])&gt;0,(AN18*Paramètres!$H$4)-PORTEFEUILLE_SEBASTIEN[[#This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V18" s="190" t="str">
        <f>IF(PORTEFEUILLE_SEBASTIEN[[#This Row],[BONI COMPTABLE]]&lt;&gt;0,1,"")</f>
        <v/>
      </c>
      <c r="AW18" s="190" t="str">
        <f>IF(PORTEFEUILLE_SEBASTIEN[[#This Row],[MALI COMPTABLE]]&lt;&gt;0,1,"")</f>
        <v/>
      </c>
      <c r="AX18" s="188"/>
      <c r="AY18" s="188"/>
      <c r="AZ18" s="188"/>
      <c r="BA18" s="188"/>
      <c r="BB18" s="188"/>
      <c r="BC18" s="188"/>
      <c r="BD18" s="188"/>
      <c r="BE18" s="192"/>
      <c r="BF18" s="194"/>
      <c r="BG18" s="194"/>
      <c r="BH18" s="195"/>
      <c r="BI18" s="194"/>
    </row>
    <row r="19" spans="1:61" x14ac:dyDescent="0.25">
      <c r="A19" s="172"/>
      <c r="B19" s="170"/>
      <c r="C19" s="165"/>
      <c r="D19" s="171"/>
      <c r="E19" s="189"/>
      <c r="F19" s="188"/>
      <c r="G19" s="189"/>
      <c r="H19" s="189"/>
      <c r="I19" s="189"/>
      <c r="J19" s="189"/>
      <c r="K19" s="190" t="str">
        <f t="shared" si="0"/>
        <v/>
      </c>
      <c r="L19" s="190" t="str">
        <f t="shared" si="1"/>
        <v/>
      </c>
      <c r="M19" s="188"/>
      <c r="N19" s="188"/>
      <c r="O19" s="188"/>
      <c r="P19" s="188"/>
      <c r="Q19" s="188"/>
      <c r="R19" s="188"/>
      <c r="S19" s="213"/>
      <c r="T19" s="207"/>
      <c r="U19" s="219"/>
      <c r="V19" s="219"/>
      <c r="W19" s="219"/>
      <c r="X19" s="219"/>
      <c r="Y19" s="219"/>
      <c r="Z19" s="219"/>
      <c r="AA19" s="219"/>
      <c r="AB19" s="219"/>
      <c r="AC19" s="219"/>
      <c r="AD19" s="219"/>
      <c r="AE19" s="219"/>
      <c r="AF19" s="219"/>
      <c r="AG19" s="219"/>
      <c r="AH19" s="225">
        <f>SUM(PORTEFEUILLE_SEBASTIEN[[#This Row],[PCR COMPTABLE €]:[MONTANT
RESPONSABLE RELATION CLIENT €]])-PORTEFEUILLE_SEBASTIEN[[#This Row],[MONTANT TOTAL LETTRE DE MISION €]]</f>
        <v>0</v>
      </c>
      <c r="AI19" s="191"/>
      <c r="AJ19" s="188"/>
      <c r="AK19" s="188"/>
      <c r="AL19" s="188"/>
      <c r="AM19" s="188"/>
      <c r="AN19" s="188"/>
      <c r="AO19" s="188"/>
      <c r="AP19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Q19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R19" s="188" t="str">
        <f>IF(PORTEFEUILLE_SEBASTIEN[[#This Row],[BONI AAC]]&lt;&gt;0,1,"")</f>
        <v/>
      </c>
      <c r="AS19" s="188" t="str">
        <f>IF(PORTEFEUILLE_SEBASTIEN[[#This Row],[MALI AAC]]&lt;&gt;0,1,"")</f>
        <v/>
      </c>
      <c r="AT19" s="225">
        <f>IF(AN19&lt;&gt;"",IF((AN19*Paramètres!$H$4)-PORTEFEUILLE_SEBASTIEN[[#This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€]]-(DELPHINE!AN19*Paramètres!$H$4),0),0)</f>
        <v>0</v>
      </c>
      <c r="AU19" s="225">
        <f>IF(AN19&lt;&gt;"",IF(((AN19*Paramètres!$H$4)-PORTEFEUILLE_SEBASTIEN[[#This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€]])&gt;0,(AN19*Paramètres!$H$4)-PORTEFEUILLE_SEBASTIEN[[#This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V19" s="190" t="str">
        <f>IF(PORTEFEUILLE_SEBASTIEN[[#This Row],[BONI COMPTABLE]]&lt;&gt;0,1,"")</f>
        <v/>
      </c>
      <c r="AW19" s="190" t="str">
        <f>IF(PORTEFEUILLE_SEBASTIEN[[#This Row],[MALI COMPTABLE]]&lt;&gt;0,1,"")</f>
        <v/>
      </c>
      <c r="AX19" s="188"/>
      <c r="AY19" s="188"/>
      <c r="AZ19" s="188"/>
      <c r="BA19" s="188"/>
      <c r="BB19" s="188"/>
      <c r="BC19" s="188"/>
      <c r="BD19" s="188"/>
      <c r="BE19" s="192"/>
      <c r="BF19" s="194"/>
      <c r="BG19" s="194"/>
      <c r="BH19" s="195"/>
      <c r="BI19" s="194"/>
    </row>
    <row r="20" spans="1:61" x14ac:dyDescent="0.25">
      <c r="A20" s="172"/>
      <c r="B20" s="170"/>
      <c r="C20" s="165"/>
      <c r="D20" s="171"/>
      <c r="E20" s="189"/>
      <c r="F20" s="188"/>
      <c r="G20" s="188"/>
      <c r="H20" s="189"/>
      <c r="I20" s="189"/>
      <c r="J20" s="189"/>
      <c r="K20" s="190" t="str">
        <f t="shared" si="0"/>
        <v/>
      </c>
      <c r="L20" s="190" t="str">
        <f t="shared" si="1"/>
        <v/>
      </c>
      <c r="M20" s="188"/>
      <c r="N20" s="188"/>
      <c r="O20" s="188"/>
      <c r="P20" s="188"/>
      <c r="Q20" s="188"/>
      <c r="R20" s="188"/>
      <c r="S20" s="214"/>
      <c r="T20" s="208"/>
      <c r="U20" s="220"/>
      <c r="V20" s="220"/>
      <c r="W20" s="220"/>
      <c r="X20" s="220"/>
      <c r="Y20" s="220"/>
      <c r="Z20" s="220"/>
      <c r="AA20" s="220"/>
      <c r="AB20" s="220"/>
      <c r="AC20" s="220"/>
      <c r="AD20" s="220"/>
      <c r="AE20" s="220"/>
      <c r="AF20" s="220"/>
      <c r="AG20" s="219"/>
      <c r="AH20" s="225">
        <f>SUM(PORTEFEUILLE_SEBASTIEN[[#This Row],[PCR COMPTABLE €]:[MONTANT
RESPONSABLE RELATION CLIENT €]])-PORTEFEUILLE_SEBASTIEN[[#This Row],[MONTANT TOTAL LETTRE DE MISION €]]</f>
        <v>0</v>
      </c>
      <c r="AI20" s="191"/>
      <c r="AJ20" s="188"/>
      <c r="AK20" s="188"/>
      <c r="AL20" s="196"/>
      <c r="AM20" s="196"/>
      <c r="AN20" s="196"/>
      <c r="AO20" s="196"/>
      <c r="AP20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Q20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R20" s="188" t="str">
        <f>IF(PORTEFEUILLE_SEBASTIEN[[#This Row],[BONI AAC]]&lt;&gt;0,1,"")</f>
        <v/>
      </c>
      <c r="AS20" s="188" t="str">
        <f>IF(PORTEFEUILLE_SEBASTIEN[[#This Row],[MALI AAC]]&lt;&gt;0,1,"")</f>
        <v/>
      </c>
      <c r="AT20" s="225">
        <f>IF(AN20&lt;&gt;"",IF((AN20*Paramètres!$H$4)-PORTEFEUILLE_SEBASTIEN[[#This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€]]-(DELPHINE!AN20*Paramètres!$H$4),0),0)</f>
        <v>0</v>
      </c>
      <c r="AU20" s="225">
        <f>IF(AN20&lt;&gt;"",IF(((AN20*Paramètres!$H$4)-PORTEFEUILLE_SEBASTIEN[[#This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€]])&gt;0,(AN20*Paramètres!$H$4)-PORTEFEUILLE_SEBASTIEN[[#This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V20" s="190" t="str">
        <f>IF(PORTEFEUILLE_SEBASTIEN[[#This Row],[BONI COMPTABLE]]&lt;&gt;0,1,"")</f>
        <v/>
      </c>
      <c r="AW20" s="190" t="str">
        <f>IF(PORTEFEUILLE_SEBASTIEN[[#This Row],[MALI COMPTABLE]]&lt;&gt;0,1,"")</f>
        <v/>
      </c>
      <c r="AX20" s="196"/>
      <c r="AY20" s="188"/>
      <c r="AZ20" s="188"/>
      <c r="BA20" s="188"/>
      <c r="BB20" s="196"/>
      <c r="BC20" s="196"/>
      <c r="BD20" s="196"/>
      <c r="BE20" s="192"/>
      <c r="BF20" s="194"/>
      <c r="BG20" s="194"/>
      <c r="BH20" s="195"/>
      <c r="BI20" s="194"/>
    </row>
    <row r="21" spans="1:61" x14ac:dyDescent="0.25">
      <c r="A21" s="172"/>
      <c r="B21" s="170"/>
      <c r="C21" s="165"/>
      <c r="D21" s="171"/>
      <c r="E21" s="189"/>
      <c r="F21" s="188"/>
      <c r="G21" s="189"/>
      <c r="H21" s="189"/>
      <c r="I21" s="189"/>
      <c r="J21" s="189"/>
      <c r="K21" s="190" t="str">
        <f t="shared" si="0"/>
        <v/>
      </c>
      <c r="L21" s="190" t="str">
        <f t="shared" si="1"/>
        <v/>
      </c>
      <c r="M21" s="188"/>
      <c r="N21" s="188"/>
      <c r="O21" s="188"/>
      <c r="P21" s="188"/>
      <c r="Q21" s="188"/>
      <c r="R21" s="188"/>
      <c r="S21" s="213"/>
      <c r="T21" s="207"/>
      <c r="U21" s="219"/>
      <c r="V21" s="219"/>
      <c r="W21" s="219"/>
      <c r="X21" s="219"/>
      <c r="Y21" s="219"/>
      <c r="Z21" s="219"/>
      <c r="AA21" s="219"/>
      <c r="AB21" s="219"/>
      <c r="AC21" s="219"/>
      <c r="AD21" s="219"/>
      <c r="AE21" s="219"/>
      <c r="AF21" s="219"/>
      <c r="AG21" s="219"/>
      <c r="AH21" s="225">
        <f>SUM(PORTEFEUILLE_SEBASTIEN[[#This Row],[PCR COMPTABLE €]:[MONTANT
RESPONSABLE RELATION CLIENT €]])-PORTEFEUILLE_SEBASTIEN[[#This Row],[MONTANT TOTAL LETTRE DE MISION €]]</f>
        <v>0</v>
      </c>
      <c r="AI21" s="191"/>
      <c r="AJ21" s="188"/>
      <c r="AK21" s="188"/>
      <c r="AL21" s="188"/>
      <c r="AM21" s="188"/>
      <c r="AN21" s="188"/>
      <c r="AO21" s="188"/>
      <c r="AP21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Q21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R21" s="188" t="str">
        <f>IF(PORTEFEUILLE_SEBASTIEN[[#This Row],[BONI AAC]]&lt;&gt;0,1,"")</f>
        <v/>
      </c>
      <c r="AS21" s="188" t="str">
        <f>IF(PORTEFEUILLE_SEBASTIEN[[#This Row],[MALI AAC]]&lt;&gt;0,1,"")</f>
        <v/>
      </c>
      <c r="AT21" s="225">
        <f>IF(AN21&lt;&gt;"",IF((AN21*Paramètres!$H$4)-PORTEFEUILLE_SEBASTIEN[[#This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€]]-(DELPHINE!AN21*Paramètres!$H$4),0),0)</f>
        <v>0</v>
      </c>
      <c r="AU21" s="225">
        <f>IF(AN21&lt;&gt;"",IF(((AN21*Paramètres!$H$4)-PORTEFEUILLE_SEBASTIEN[[#This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€]])&gt;0,(AN21*Paramètres!$H$4)-PORTEFEUILLE_SEBASTIEN[[#This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V21" s="190" t="str">
        <f>IF(PORTEFEUILLE_SEBASTIEN[[#This Row],[BONI COMPTABLE]]&lt;&gt;0,1,"")</f>
        <v/>
      </c>
      <c r="AW21" s="190" t="str">
        <f>IF(PORTEFEUILLE_SEBASTIEN[[#This Row],[MALI COMPTABLE]]&lt;&gt;0,1,"")</f>
        <v/>
      </c>
      <c r="AX21" s="188"/>
      <c r="AY21" s="188"/>
      <c r="AZ21" s="188"/>
      <c r="BA21" s="188"/>
      <c r="BB21" s="196"/>
      <c r="BC21" s="196"/>
      <c r="BD21" s="196"/>
      <c r="BE21" s="192"/>
      <c r="BF21" s="194"/>
      <c r="BG21" s="194"/>
      <c r="BH21" s="195"/>
      <c r="BI21" s="194"/>
    </row>
    <row r="22" spans="1:61" x14ac:dyDescent="0.25">
      <c r="A22" s="172"/>
      <c r="B22" s="170"/>
      <c r="C22" s="165"/>
      <c r="D22" s="171"/>
      <c r="E22" s="189"/>
      <c r="F22" s="188"/>
      <c r="G22" s="189"/>
      <c r="H22" s="189"/>
      <c r="I22" s="189"/>
      <c r="J22" s="189"/>
      <c r="K22" s="190" t="str">
        <f t="shared" si="0"/>
        <v/>
      </c>
      <c r="L22" s="190" t="str">
        <f t="shared" si="1"/>
        <v/>
      </c>
      <c r="M22" s="188"/>
      <c r="N22" s="188"/>
      <c r="O22" s="188"/>
      <c r="P22" s="188"/>
      <c r="Q22" s="188"/>
      <c r="R22" s="188"/>
      <c r="S22" s="215"/>
      <c r="T22" s="209"/>
      <c r="U22" s="221"/>
      <c r="V22" s="221"/>
      <c r="W22" s="221"/>
      <c r="X22" s="221"/>
      <c r="Y22" s="221"/>
      <c r="Z22" s="221"/>
      <c r="AA22" s="221"/>
      <c r="AB22" s="221"/>
      <c r="AC22" s="221"/>
      <c r="AD22" s="221"/>
      <c r="AE22" s="221"/>
      <c r="AF22" s="221"/>
      <c r="AG22" s="219"/>
      <c r="AH22" s="225">
        <f>SUM(PORTEFEUILLE_SEBASTIEN[[#This Row],[PCR COMPTABLE €]:[MONTANT
RESPONSABLE RELATION CLIENT €]])-PORTEFEUILLE_SEBASTIEN[[#This Row],[MONTANT TOTAL LETTRE DE MISION €]]</f>
        <v>0</v>
      </c>
      <c r="AI22" s="191"/>
      <c r="AJ22" s="188"/>
      <c r="AK22" s="188"/>
      <c r="AL22" s="197"/>
      <c r="AM22" s="197"/>
      <c r="AN22" s="197"/>
      <c r="AO22" s="197"/>
      <c r="AP22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Q22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R22" s="188" t="str">
        <f>IF(PORTEFEUILLE_SEBASTIEN[[#This Row],[BONI AAC]]&lt;&gt;0,1,"")</f>
        <v/>
      </c>
      <c r="AS22" s="188" t="str">
        <f>IF(PORTEFEUILLE_SEBASTIEN[[#This Row],[MALI AAC]]&lt;&gt;0,1,"")</f>
        <v/>
      </c>
      <c r="AT22" s="225">
        <f>IF(AN22&lt;&gt;"",IF((AN22*Paramètres!$H$4)-PORTEFEUILLE_SEBASTIEN[[#This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€]]-(DELPHINE!AN22*Paramètres!$H$4),0),0)</f>
        <v>0</v>
      </c>
      <c r="AU22" s="225">
        <f>IF(AN22&lt;&gt;"",IF(((AN22*Paramètres!$H$4)-PORTEFEUILLE_SEBASTIEN[[#This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€]])&gt;0,(AN22*Paramètres!$H$4)-PORTEFEUILLE_SEBASTIEN[[#This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V22" s="190" t="str">
        <f>IF(PORTEFEUILLE_SEBASTIEN[[#This Row],[BONI COMPTABLE]]&lt;&gt;0,1,"")</f>
        <v/>
      </c>
      <c r="AW22" s="190" t="str">
        <f>IF(PORTEFEUILLE_SEBASTIEN[[#This Row],[MALI COMPTABLE]]&lt;&gt;0,1,"")</f>
        <v/>
      </c>
      <c r="AX22" s="188"/>
      <c r="AY22" s="188"/>
      <c r="AZ22" s="188"/>
      <c r="BA22" s="188"/>
      <c r="BB22" s="196"/>
      <c r="BC22" s="196"/>
      <c r="BD22" s="196"/>
      <c r="BE22" s="192"/>
      <c r="BF22" s="194"/>
      <c r="BG22" s="194"/>
      <c r="BH22" s="195"/>
      <c r="BI22" s="194"/>
    </row>
    <row r="23" spans="1:61" x14ac:dyDescent="0.25">
      <c r="A23" s="172"/>
      <c r="B23" s="170"/>
      <c r="C23" s="165"/>
      <c r="D23" s="171"/>
      <c r="E23" s="189"/>
      <c r="F23" s="188"/>
      <c r="G23" s="189"/>
      <c r="H23" s="189"/>
      <c r="I23" s="189"/>
      <c r="J23" s="189"/>
      <c r="K23" s="190" t="str">
        <f t="shared" si="0"/>
        <v/>
      </c>
      <c r="L23" s="190" t="str">
        <f t="shared" si="1"/>
        <v/>
      </c>
      <c r="M23" s="188"/>
      <c r="N23" s="188"/>
      <c r="O23" s="188"/>
      <c r="P23" s="188"/>
      <c r="Q23" s="188"/>
      <c r="R23" s="188"/>
      <c r="S23" s="213"/>
      <c r="T23" s="207"/>
      <c r="U23" s="219"/>
      <c r="V23" s="219"/>
      <c r="W23" s="219"/>
      <c r="X23" s="219"/>
      <c r="Y23" s="219"/>
      <c r="Z23" s="219"/>
      <c r="AA23" s="219"/>
      <c r="AB23" s="219"/>
      <c r="AC23" s="219"/>
      <c r="AD23" s="219"/>
      <c r="AE23" s="219"/>
      <c r="AF23" s="219"/>
      <c r="AG23" s="219"/>
      <c r="AH23" s="225">
        <f>SUM(PORTEFEUILLE_SEBASTIEN[[#This Row],[PCR COMPTABLE €]:[MONTANT
RESPONSABLE RELATION CLIENT €]])-PORTEFEUILLE_SEBASTIEN[[#This Row],[MONTANT TOTAL LETTRE DE MISION €]]</f>
        <v>0</v>
      </c>
      <c r="AI23" s="191"/>
      <c r="AJ23" s="188"/>
      <c r="AK23" s="188"/>
      <c r="AL23" s="188"/>
      <c r="AM23" s="188"/>
      <c r="AN23" s="188"/>
      <c r="AO23" s="188"/>
      <c r="AP23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Q23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R23" s="188" t="str">
        <f>IF(PORTEFEUILLE_SEBASTIEN[[#This Row],[BONI AAC]]&lt;&gt;0,1,"")</f>
        <v/>
      </c>
      <c r="AS23" s="188" t="str">
        <f>IF(PORTEFEUILLE_SEBASTIEN[[#This Row],[MALI AAC]]&lt;&gt;0,1,"")</f>
        <v/>
      </c>
      <c r="AT23" s="225">
        <f>IF(AN23&lt;&gt;"",IF((AN23*Paramètres!$H$4)-PORTEFEUILLE_SEBASTIEN[[#This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€]]-(DELPHINE!AN23*Paramètres!$H$4),0),0)</f>
        <v>0</v>
      </c>
      <c r="AU23" s="225">
        <f>IF(AN23&lt;&gt;"",IF(((AN23*Paramètres!$H$4)-PORTEFEUILLE_SEBASTIEN[[#This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€]])&gt;0,(AN23*Paramètres!$H$4)-PORTEFEUILLE_SEBASTIEN[[#This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V23" s="190" t="str">
        <f>IF(PORTEFEUILLE_SEBASTIEN[[#This Row],[BONI COMPTABLE]]&lt;&gt;0,1,"")</f>
        <v/>
      </c>
      <c r="AW23" s="190" t="str">
        <f>IF(PORTEFEUILLE_SEBASTIEN[[#This Row],[MALI COMPTABLE]]&lt;&gt;0,1,"")</f>
        <v/>
      </c>
      <c r="AX23" s="188"/>
      <c r="AY23" s="188"/>
      <c r="AZ23" s="188"/>
      <c r="BA23" s="188"/>
      <c r="BB23" s="188"/>
      <c r="BC23" s="188"/>
      <c r="BD23" s="188"/>
      <c r="BE23" s="192"/>
      <c r="BF23" s="194"/>
      <c r="BG23" s="194"/>
      <c r="BH23" s="195"/>
      <c r="BI23" s="194"/>
    </row>
    <row r="24" spans="1:61" x14ac:dyDescent="0.25">
      <c r="A24" s="172"/>
      <c r="B24" s="170"/>
      <c r="C24" s="165"/>
      <c r="D24" s="171"/>
      <c r="E24" s="189"/>
      <c r="F24" s="188"/>
      <c r="G24" s="188"/>
      <c r="H24" s="189"/>
      <c r="I24" s="189"/>
      <c r="J24" s="189"/>
      <c r="K24" s="190" t="str">
        <f t="shared" si="0"/>
        <v/>
      </c>
      <c r="L24" s="190" t="str">
        <f t="shared" si="1"/>
        <v/>
      </c>
      <c r="M24" s="188"/>
      <c r="N24" s="188"/>
      <c r="O24" s="188"/>
      <c r="P24" s="188"/>
      <c r="Q24" s="188"/>
      <c r="R24" s="188"/>
      <c r="S24" s="214"/>
      <c r="T24" s="208"/>
      <c r="U24" s="220"/>
      <c r="V24" s="220"/>
      <c r="W24" s="220"/>
      <c r="X24" s="220"/>
      <c r="Y24" s="220"/>
      <c r="Z24" s="220"/>
      <c r="AA24" s="220"/>
      <c r="AB24" s="220"/>
      <c r="AC24" s="220"/>
      <c r="AD24" s="220"/>
      <c r="AE24" s="220"/>
      <c r="AF24" s="220"/>
      <c r="AG24" s="219"/>
      <c r="AH24" s="225">
        <f>SUM(PORTEFEUILLE_SEBASTIEN[[#This Row],[PCR COMPTABLE €]:[MONTANT
RESPONSABLE RELATION CLIENT €]])-PORTEFEUILLE_SEBASTIEN[[#This Row],[MONTANT TOTAL LETTRE DE MISION €]]</f>
        <v>0</v>
      </c>
      <c r="AI24" s="191"/>
      <c r="AJ24" s="188"/>
      <c r="AK24" s="188"/>
      <c r="AL24" s="196"/>
      <c r="AM24" s="196"/>
      <c r="AN24" s="196"/>
      <c r="AO24" s="196"/>
      <c r="AP24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Q24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R24" s="188" t="str">
        <f>IF(PORTEFEUILLE_SEBASTIEN[[#This Row],[BONI AAC]]&lt;&gt;0,1,"")</f>
        <v/>
      </c>
      <c r="AS24" s="188" t="str">
        <f>IF(PORTEFEUILLE_SEBASTIEN[[#This Row],[MALI AAC]]&lt;&gt;0,1,"")</f>
        <v/>
      </c>
      <c r="AT24" s="225">
        <f>IF(AN24&lt;&gt;"",IF((AN24*Paramètres!$H$4)-PORTEFEUILLE_SEBASTIEN[[#This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€]]-(DELPHINE!AN24*Paramètres!$H$4),0),0)</f>
        <v>0</v>
      </c>
      <c r="AU24" s="225">
        <f>IF(AN24&lt;&gt;"",IF(((AN24*Paramètres!$H$4)-PORTEFEUILLE_SEBASTIEN[[#This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€]])&gt;0,(AN24*Paramètres!$H$4)-PORTEFEUILLE_SEBASTIEN[[#This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V24" s="190" t="str">
        <f>IF(PORTEFEUILLE_SEBASTIEN[[#This Row],[BONI COMPTABLE]]&lt;&gt;0,1,"")</f>
        <v/>
      </c>
      <c r="AW24" s="190" t="str">
        <f>IF(PORTEFEUILLE_SEBASTIEN[[#This Row],[MALI COMPTABLE]]&lt;&gt;0,1,"")</f>
        <v/>
      </c>
      <c r="AX24" s="196"/>
      <c r="AY24" s="188"/>
      <c r="AZ24" s="188"/>
      <c r="BA24" s="188"/>
      <c r="BB24" s="188"/>
      <c r="BC24" s="188"/>
      <c r="BD24" s="188"/>
      <c r="BE24" s="192"/>
      <c r="BF24" s="194"/>
      <c r="BG24" s="194"/>
      <c r="BH24" s="195"/>
      <c r="BI24" s="194"/>
    </row>
    <row r="25" spans="1:61" x14ac:dyDescent="0.25">
      <c r="A25" s="172"/>
      <c r="B25" s="170"/>
      <c r="C25" s="165"/>
      <c r="D25" s="171"/>
      <c r="E25" s="189"/>
      <c r="F25" s="188"/>
      <c r="G25" s="188"/>
      <c r="H25" s="189"/>
      <c r="I25" s="189"/>
      <c r="J25" s="189"/>
      <c r="K25" s="190" t="str">
        <f t="shared" si="0"/>
        <v/>
      </c>
      <c r="L25" s="190" t="str">
        <f t="shared" si="1"/>
        <v/>
      </c>
      <c r="M25" s="188"/>
      <c r="N25" s="188"/>
      <c r="O25" s="188"/>
      <c r="P25" s="188"/>
      <c r="Q25" s="188"/>
      <c r="R25" s="188"/>
      <c r="S25" s="214"/>
      <c r="T25" s="208"/>
      <c r="U25" s="220"/>
      <c r="V25" s="220"/>
      <c r="W25" s="220"/>
      <c r="X25" s="220"/>
      <c r="Y25" s="220"/>
      <c r="Z25" s="220"/>
      <c r="AA25" s="220"/>
      <c r="AB25" s="220"/>
      <c r="AC25" s="220"/>
      <c r="AD25" s="220"/>
      <c r="AE25" s="220"/>
      <c r="AF25" s="220"/>
      <c r="AG25" s="219"/>
      <c r="AH25" s="225">
        <f>SUM(PORTEFEUILLE_SEBASTIEN[[#This Row],[PCR COMPTABLE €]:[MONTANT
RESPONSABLE RELATION CLIENT €]])-PORTEFEUILLE_SEBASTIEN[[#This Row],[MONTANT TOTAL LETTRE DE MISION €]]</f>
        <v>0</v>
      </c>
      <c r="AI25" s="191"/>
      <c r="AJ25" s="188"/>
      <c r="AK25" s="188"/>
      <c r="AL25" s="196"/>
      <c r="AM25" s="196"/>
      <c r="AN25" s="196"/>
      <c r="AO25" s="196"/>
      <c r="AP25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Q25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R25" s="188" t="str">
        <f>IF(PORTEFEUILLE_SEBASTIEN[[#This Row],[BONI AAC]]&lt;&gt;0,1,"")</f>
        <v/>
      </c>
      <c r="AS25" s="188" t="str">
        <f>IF(PORTEFEUILLE_SEBASTIEN[[#This Row],[MALI AAC]]&lt;&gt;0,1,"")</f>
        <v/>
      </c>
      <c r="AT25" s="225">
        <f>IF(AN25&lt;&gt;"",IF((AN25*Paramètres!$H$4)-PORTEFEUILLE_SEBASTIEN[[#This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€]]-(DELPHINE!AN25*Paramètres!$H$4),0),0)</f>
        <v>0</v>
      </c>
      <c r="AU25" s="225">
        <f>IF(AN25&lt;&gt;"",IF(((AN25*Paramètres!$H$4)-PORTEFEUILLE_SEBASTIEN[[#This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€]])&gt;0,(AN25*Paramètres!$H$4)-PORTEFEUILLE_SEBASTIEN[[#This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V25" s="190" t="str">
        <f>IF(PORTEFEUILLE_SEBASTIEN[[#This Row],[BONI COMPTABLE]]&lt;&gt;0,1,"")</f>
        <v/>
      </c>
      <c r="AW25" s="190" t="str">
        <f>IF(PORTEFEUILLE_SEBASTIEN[[#This Row],[MALI COMPTABLE]]&lt;&gt;0,1,"")</f>
        <v/>
      </c>
      <c r="AX25" s="196"/>
      <c r="AY25" s="188"/>
      <c r="AZ25" s="188"/>
      <c r="BA25" s="188"/>
      <c r="BB25" s="188"/>
      <c r="BC25" s="188"/>
      <c r="BD25" s="188"/>
      <c r="BE25" s="192"/>
      <c r="BF25" s="194"/>
      <c r="BG25" s="194"/>
      <c r="BH25" s="195"/>
      <c r="BI25" s="194"/>
    </row>
    <row r="26" spans="1:61" x14ac:dyDescent="0.25">
      <c r="A26" s="172"/>
      <c r="B26" s="170"/>
      <c r="C26" s="165"/>
      <c r="D26" s="171"/>
      <c r="E26" s="189"/>
      <c r="F26" s="188"/>
      <c r="G26" s="188"/>
      <c r="H26" s="189"/>
      <c r="I26" s="189"/>
      <c r="J26" s="189"/>
      <c r="K26" s="190" t="str">
        <f t="shared" si="0"/>
        <v/>
      </c>
      <c r="L26" s="190" t="str">
        <f t="shared" si="1"/>
        <v/>
      </c>
      <c r="M26" s="188"/>
      <c r="N26" s="188"/>
      <c r="O26" s="188"/>
      <c r="P26" s="188"/>
      <c r="Q26" s="188"/>
      <c r="R26" s="188"/>
      <c r="S26" s="214"/>
      <c r="T26" s="208"/>
      <c r="U26" s="220"/>
      <c r="V26" s="220"/>
      <c r="W26" s="220"/>
      <c r="X26" s="220"/>
      <c r="Y26" s="220"/>
      <c r="Z26" s="220"/>
      <c r="AA26" s="220"/>
      <c r="AB26" s="220"/>
      <c r="AC26" s="220"/>
      <c r="AD26" s="220"/>
      <c r="AE26" s="220"/>
      <c r="AF26" s="220"/>
      <c r="AG26" s="219"/>
      <c r="AH26" s="225">
        <f>SUM(PORTEFEUILLE_SEBASTIEN[[#This Row],[PCR COMPTABLE €]:[MONTANT
RESPONSABLE RELATION CLIENT €]])-PORTEFEUILLE_SEBASTIEN[[#This Row],[MONTANT TOTAL LETTRE DE MISION €]]</f>
        <v>0</v>
      </c>
      <c r="AI26" s="191"/>
      <c r="AJ26" s="188"/>
      <c r="AK26" s="188"/>
      <c r="AL26" s="196"/>
      <c r="AM26" s="196"/>
      <c r="AN26" s="196"/>
      <c r="AO26" s="196"/>
      <c r="AP26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Q26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R26" s="188" t="str">
        <f>IF(PORTEFEUILLE_SEBASTIEN[[#This Row],[BONI AAC]]&lt;&gt;0,1,"")</f>
        <v/>
      </c>
      <c r="AS26" s="188" t="str">
        <f>IF(PORTEFEUILLE_SEBASTIEN[[#This Row],[MALI AAC]]&lt;&gt;0,1,"")</f>
        <v/>
      </c>
      <c r="AT26" s="225">
        <f>IF(AN26&lt;&gt;"",IF((AN26*Paramètres!$H$4)-PORTEFEUILLE_SEBASTIEN[[#This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€]]-(DELPHINE!AN26*Paramètres!$H$4),0),0)</f>
        <v>0</v>
      </c>
      <c r="AU26" s="225">
        <f>IF(AN26&lt;&gt;"",IF(((AN26*Paramètres!$H$4)-PORTEFEUILLE_SEBASTIEN[[#This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€]])&gt;0,(AN26*Paramètres!$H$4)-PORTEFEUILLE_SEBASTIEN[[#This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V26" s="190" t="str">
        <f>IF(PORTEFEUILLE_SEBASTIEN[[#This Row],[BONI COMPTABLE]]&lt;&gt;0,1,"")</f>
        <v/>
      </c>
      <c r="AW26" s="190" t="str">
        <f>IF(PORTEFEUILLE_SEBASTIEN[[#This Row],[MALI COMPTABLE]]&lt;&gt;0,1,"")</f>
        <v/>
      </c>
      <c r="AX26" s="196"/>
      <c r="AY26" s="188"/>
      <c r="AZ26" s="188"/>
      <c r="BA26" s="188"/>
      <c r="BB26" s="188"/>
      <c r="BC26" s="188"/>
      <c r="BD26" s="188"/>
      <c r="BE26" s="192"/>
      <c r="BF26" s="194"/>
      <c r="BG26" s="194"/>
      <c r="BH26" s="195"/>
      <c r="BI26" s="194"/>
    </row>
    <row r="27" spans="1:61" x14ac:dyDescent="0.25">
      <c r="A27" s="172"/>
      <c r="B27" s="170"/>
      <c r="C27" s="165"/>
      <c r="D27" s="171"/>
      <c r="E27" s="189"/>
      <c r="F27" s="188"/>
      <c r="G27" s="188"/>
      <c r="H27" s="189"/>
      <c r="I27" s="189"/>
      <c r="J27" s="189"/>
      <c r="K27" s="190" t="str">
        <f t="shared" si="0"/>
        <v/>
      </c>
      <c r="L27" s="190" t="str">
        <f t="shared" si="1"/>
        <v/>
      </c>
      <c r="M27" s="188"/>
      <c r="N27" s="188"/>
      <c r="O27" s="188"/>
      <c r="P27" s="188"/>
      <c r="Q27" s="188"/>
      <c r="R27" s="188"/>
      <c r="S27" s="214"/>
      <c r="T27" s="208"/>
      <c r="U27" s="220"/>
      <c r="V27" s="220"/>
      <c r="W27" s="220"/>
      <c r="X27" s="220"/>
      <c r="Y27" s="220"/>
      <c r="Z27" s="220"/>
      <c r="AA27" s="220"/>
      <c r="AB27" s="220"/>
      <c r="AC27" s="220"/>
      <c r="AD27" s="220"/>
      <c r="AE27" s="220"/>
      <c r="AF27" s="220"/>
      <c r="AG27" s="219"/>
      <c r="AH27" s="225">
        <f>SUM(PORTEFEUILLE_SEBASTIEN[[#This Row],[PCR COMPTABLE €]:[MONTANT
RESPONSABLE RELATION CLIENT €]])-PORTEFEUILLE_SEBASTIEN[[#This Row],[MONTANT TOTAL LETTRE DE MISION €]]</f>
        <v>0</v>
      </c>
      <c r="AI27" s="191"/>
      <c r="AJ27" s="188"/>
      <c r="AK27" s="188"/>
      <c r="AL27" s="196"/>
      <c r="AM27" s="196"/>
      <c r="AN27" s="196"/>
      <c r="AO27" s="196"/>
      <c r="AP27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Q27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R27" s="188" t="str">
        <f>IF(PORTEFEUILLE_SEBASTIEN[[#This Row],[BONI AAC]]&lt;&gt;0,1,"")</f>
        <v/>
      </c>
      <c r="AS27" s="188" t="str">
        <f>IF(PORTEFEUILLE_SEBASTIEN[[#This Row],[MALI AAC]]&lt;&gt;0,1,"")</f>
        <v/>
      </c>
      <c r="AT27" s="225">
        <f>IF(AN27&lt;&gt;"",IF((AN27*Paramètres!$H$4)-PORTEFEUILLE_SEBASTIEN[[#This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€]]-(DELPHINE!AN27*Paramètres!$H$4),0),0)</f>
        <v>0</v>
      </c>
      <c r="AU27" s="225">
        <f>IF(AN27&lt;&gt;"",IF(((AN27*Paramètres!$H$4)-PORTEFEUILLE_SEBASTIEN[[#This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€]])&gt;0,(AN27*Paramètres!$H$4)-PORTEFEUILLE_SEBASTIEN[[#This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V27" s="190" t="str">
        <f>IF(PORTEFEUILLE_SEBASTIEN[[#This Row],[BONI COMPTABLE]]&lt;&gt;0,1,"")</f>
        <v/>
      </c>
      <c r="AW27" s="190" t="str">
        <f>IF(PORTEFEUILLE_SEBASTIEN[[#This Row],[MALI COMPTABLE]]&lt;&gt;0,1,"")</f>
        <v/>
      </c>
      <c r="AX27" s="196"/>
      <c r="AY27" s="188"/>
      <c r="AZ27" s="188"/>
      <c r="BA27" s="188"/>
      <c r="BB27" s="188"/>
      <c r="BC27" s="188"/>
      <c r="BD27" s="188"/>
      <c r="BE27" s="192"/>
      <c r="BF27" s="194"/>
      <c r="BG27" s="194"/>
      <c r="BH27" s="195"/>
      <c r="BI27" s="194"/>
    </row>
    <row r="28" spans="1:61" s="90" customFormat="1" x14ac:dyDescent="0.25">
      <c r="A28" s="176"/>
      <c r="B28" s="170"/>
      <c r="C28" s="165"/>
      <c r="D28" s="171"/>
      <c r="E28" s="189"/>
      <c r="F28" s="188"/>
      <c r="G28" s="189"/>
      <c r="H28" s="189"/>
      <c r="I28" s="189"/>
      <c r="J28" s="189"/>
      <c r="K28" s="190" t="str">
        <f t="shared" si="0"/>
        <v/>
      </c>
      <c r="L28" s="190" t="str">
        <f t="shared" si="1"/>
        <v/>
      </c>
      <c r="M28" s="188"/>
      <c r="N28" s="188"/>
      <c r="O28" s="188"/>
      <c r="P28" s="188"/>
      <c r="Q28" s="188"/>
      <c r="R28" s="188"/>
      <c r="S28" s="213"/>
      <c r="T28" s="207"/>
      <c r="U28" s="219"/>
      <c r="V28" s="219"/>
      <c r="W28" s="219"/>
      <c r="X28" s="219"/>
      <c r="Y28" s="219"/>
      <c r="Z28" s="219"/>
      <c r="AA28" s="219"/>
      <c r="AB28" s="219"/>
      <c r="AC28" s="219"/>
      <c r="AD28" s="219"/>
      <c r="AE28" s="219"/>
      <c r="AF28" s="219"/>
      <c r="AG28" s="219"/>
      <c r="AH28" s="225">
        <f>SUM(PORTEFEUILLE_SEBASTIEN[[#This Row],[PCR COMPTABLE €]:[MONTANT
RESPONSABLE RELATION CLIENT €]])-PORTEFEUILLE_SEBASTIEN[[#This Row],[MONTANT TOTAL LETTRE DE MISION €]]</f>
        <v>0</v>
      </c>
      <c r="AI28" s="191"/>
      <c r="AJ28" s="188"/>
      <c r="AK28" s="188"/>
      <c r="AL28" s="188"/>
      <c r="AM28" s="188"/>
      <c r="AN28" s="188"/>
      <c r="AO28" s="188"/>
      <c r="AP28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Q28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R28" s="188" t="str">
        <f>IF(PORTEFEUILLE_SEBASTIEN[[#This Row],[BONI AAC]]&lt;&gt;0,1,"")</f>
        <v/>
      </c>
      <c r="AS28" s="188" t="str">
        <f>IF(PORTEFEUILLE_SEBASTIEN[[#This Row],[MALI AAC]]&lt;&gt;0,1,"")</f>
        <v/>
      </c>
      <c r="AT28" s="225">
        <f>IF(AN28&lt;&gt;"",IF((AN28*Paramètres!$H$4)-PORTEFEUILLE_SEBASTIEN[[#This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€]]-(DELPHINE!AN28*Paramètres!$H$4),0),0)</f>
        <v>0</v>
      </c>
      <c r="AU28" s="225">
        <f>IF(AN28&lt;&gt;"",IF(((AN28*Paramètres!$H$4)-PORTEFEUILLE_SEBASTIEN[[#This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€]])&gt;0,(AN28*Paramètres!$H$4)-PORTEFEUILLE_SEBASTIEN[[#This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V28" s="190" t="str">
        <f>IF(PORTEFEUILLE_SEBASTIEN[[#This Row],[BONI COMPTABLE]]&lt;&gt;0,1,"")</f>
        <v/>
      </c>
      <c r="AW28" s="190" t="str">
        <f>IF(PORTEFEUILLE_SEBASTIEN[[#This Row],[MALI COMPTABLE]]&lt;&gt;0,1,"")</f>
        <v/>
      </c>
      <c r="AX28" s="188"/>
      <c r="AY28" s="188"/>
      <c r="AZ28" s="188"/>
      <c r="BA28" s="188"/>
      <c r="BB28" s="196"/>
      <c r="BC28" s="196"/>
      <c r="BD28" s="196"/>
      <c r="BE28" s="192"/>
      <c r="BF28" s="196"/>
      <c r="BG28" s="196"/>
      <c r="BH28" s="198"/>
      <c r="BI28" s="196"/>
    </row>
    <row r="29" spans="1:61" x14ac:dyDescent="0.25">
      <c r="A29" s="172"/>
      <c r="B29" s="170"/>
      <c r="C29" s="165"/>
      <c r="D29" s="171"/>
      <c r="E29" s="189"/>
      <c r="F29" s="188"/>
      <c r="G29" s="189"/>
      <c r="H29" s="189"/>
      <c r="I29" s="189"/>
      <c r="J29" s="189"/>
      <c r="K29" s="190" t="str">
        <f t="shared" si="0"/>
        <v/>
      </c>
      <c r="L29" s="190" t="str">
        <f t="shared" si="1"/>
        <v/>
      </c>
      <c r="M29" s="188"/>
      <c r="N29" s="188"/>
      <c r="O29" s="188"/>
      <c r="P29" s="188"/>
      <c r="Q29" s="188"/>
      <c r="R29" s="188"/>
      <c r="S29" s="213"/>
      <c r="T29" s="207"/>
      <c r="U29" s="219"/>
      <c r="V29" s="219"/>
      <c r="W29" s="219"/>
      <c r="X29" s="219"/>
      <c r="Y29" s="219"/>
      <c r="Z29" s="219"/>
      <c r="AA29" s="219"/>
      <c r="AB29" s="219"/>
      <c r="AC29" s="219"/>
      <c r="AD29" s="219"/>
      <c r="AE29" s="219"/>
      <c r="AF29" s="219"/>
      <c r="AG29" s="219"/>
      <c r="AH29" s="225">
        <f>SUM(PORTEFEUILLE_SEBASTIEN[[#This Row],[PCR COMPTABLE €]:[MONTANT
RESPONSABLE RELATION CLIENT €]])-PORTEFEUILLE_SEBASTIEN[[#This Row],[MONTANT TOTAL LETTRE DE MISION €]]</f>
        <v>0</v>
      </c>
      <c r="AI29" s="191"/>
      <c r="AJ29" s="188"/>
      <c r="AK29" s="188"/>
      <c r="AL29" s="188"/>
      <c r="AM29" s="188"/>
      <c r="AN29" s="188"/>
      <c r="AO29" s="188"/>
      <c r="AP29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Q29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R29" s="188" t="str">
        <f>IF(PORTEFEUILLE_SEBASTIEN[[#This Row],[BONI AAC]]&lt;&gt;0,1,"")</f>
        <v/>
      </c>
      <c r="AS29" s="188" t="str">
        <f>IF(PORTEFEUILLE_SEBASTIEN[[#This Row],[MALI AAC]]&lt;&gt;0,1,"")</f>
        <v/>
      </c>
      <c r="AT29" s="225">
        <f>IF(AN29&lt;&gt;"",IF((AN29*Paramètres!$H$4)-PORTEFEUILLE_SEBASTIEN[[#This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€]]-(DELPHINE!AN29*Paramètres!$H$4),0),0)</f>
        <v>0</v>
      </c>
      <c r="AU29" s="225">
        <f>IF(AN29&lt;&gt;"",IF(((AN29*Paramètres!$H$4)-PORTEFEUILLE_SEBASTIEN[[#This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€]])&gt;0,(AN29*Paramètres!$H$4)-PORTEFEUILLE_SEBASTIEN[[#This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V29" s="190" t="str">
        <f>IF(PORTEFEUILLE_SEBASTIEN[[#This Row],[BONI COMPTABLE]]&lt;&gt;0,1,"")</f>
        <v/>
      </c>
      <c r="AW29" s="190" t="str">
        <f>IF(PORTEFEUILLE_SEBASTIEN[[#This Row],[MALI COMPTABLE]]&lt;&gt;0,1,"")</f>
        <v/>
      </c>
      <c r="AX29" s="188"/>
      <c r="AY29" s="188"/>
      <c r="AZ29" s="188"/>
      <c r="BA29" s="188"/>
      <c r="BB29" s="196"/>
      <c r="BC29" s="196"/>
      <c r="BD29" s="196"/>
      <c r="BE29" s="192"/>
      <c r="BF29" s="194"/>
      <c r="BG29" s="194"/>
      <c r="BH29" s="195"/>
      <c r="BI29" s="194"/>
    </row>
    <row r="30" spans="1:61" x14ac:dyDescent="0.25">
      <c r="A30" s="172"/>
      <c r="B30" s="170"/>
      <c r="C30" s="165"/>
      <c r="D30" s="171"/>
      <c r="E30" s="189"/>
      <c r="F30" s="188"/>
      <c r="G30" s="189"/>
      <c r="H30" s="189"/>
      <c r="I30" s="189"/>
      <c r="J30" s="189"/>
      <c r="K30" s="190" t="str">
        <f t="shared" si="0"/>
        <v/>
      </c>
      <c r="L30" s="190" t="str">
        <f t="shared" si="1"/>
        <v/>
      </c>
      <c r="M30" s="188"/>
      <c r="N30" s="188"/>
      <c r="O30" s="188"/>
      <c r="P30" s="188"/>
      <c r="Q30" s="188"/>
      <c r="R30" s="188"/>
      <c r="S30" s="213"/>
      <c r="T30" s="207"/>
      <c r="U30" s="219"/>
      <c r="V30" s="219"/>
      <c r="W30" s="219"/>
      <c r="X30" s="219"/>
      <c r="Y30" s="219"/>
      <c r="Z30" s="219"/>
      <c r="AA30" s="219"/>
      <c r="AB30" s="219"/>
      <c r="AC30" s="219"/>
      <c r="AD30" s="219"/>
      <c r="AE30" s="219"/>
      <c r="AF30" s="219"/>
      <c r="AG30" s="219"/>
      <c r="AH30" s="225">
        <f>SUM(PORTEFEUILLE_SEBASTIEN[[#This Row],[PCR COMPTABLE €]:[MONTANT
RESPONSABLE RELATION CLIENT €]])-PORTEFEUILLE_SEBASTIEN[[#This Row],[MONTANT TOTAL LETTRE DE MISION €]]</f>
        <v>0</v>
      </c>
      <c r="AI30" s="191"/>
      <c r="AJ30" s="188"/>
      <c r="AK30" s="188"/>
      <c r="AL30" s="188"/>
      <c r="AM30" s="188"/>
      <c r="AN30" s="188"/>
      <c r="AO30" s="188"/>
      <c r="AP30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Q30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R30" s="188" t="str">
        <f>IF(PORTEFEUILLE_SEBASTIEN[[#This Row],[BONI AAC]]&lt;&gt;0,1,"")</f>
        <v/>
      </c>
      <c r="AS30" s="188" t="str">
        <f>IF(PORTEFEUILLE_SEBASTIEN[[#This Row],[MALI AAC]]&lt;&gt;0,1,"")</f>
        <v/>
      </c>
      <c r="AT30" s="225">
        <f>IF(AN30&lt;&gt;"",IF((AN30*Paramètres!$H$4)-PORTEFEUILLE_SEBASTIEN[[#This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€]]-(DELPHINE!AN30*Paramètres!$H$4),0),0)</f>
        <v>0</v>
      </c>
      <c r="AU30" s="225">
        <f>IF(AN30&lt;&gt;"",IF(((AN30*Paramètres!$H$4)-PORTEFEUILLE_SEBASTIEN[[#This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€]])&gt;0,(AN30*Paramètres!$H$4)-PORTEFEUILLE_SEBASTIEN[[#This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V30" s="190" t="str">
        <f>IF(PORTEFEUILLE_SEBASTIEN[[#This Row],[BONI COMPTABLE]]&lt;&gt;0,1,"")</f>
        <v/>
      </c>
      <c r="AW30" s="190" t="str">
        <f>IF(PORTEFEUILLE_SEBASTIEN[[#This Row],[MALI COMPTABLE]]&lt;&gt;0,1,"")</f>
        <v/>
      </c>
      <c r="AX30" s="188"/>
      <c r="AY30" s="188"/>
      <c r="AZ30" s="188"/>
      <c r="BA30" s="188"/>
      <c r="BB30" s="188"/>
      <c r="BC30" s="188"/>
      <c r="BD30" s="188"/>
      <c r="BE30" s="192"/>
      <c r="BF30" s="194"/>
      <c r="BG30" s="194"/>
      <c r="BH30" s="195"/>
      <c r="BI30" s="194"/>
    </row>
    <row r="31" spans="1:61" x14ac:dyDescent="0.25">
      <c r="A31" s="172"/>
      <c r="B31" s="170"/>
      <c r="C31" s="165"/>
      <c r="D31" s="171"/>
      <c r="E31" s="189"/>
      <c r="F31" s="188"/>
      <c r="G31" s="189"/>
      <c r="H31" s="189"/>
      <c r="I31" s="189"/>
      <c r="J31" s="189"/>
      <c r="K31" s="190" t="str">
        <f t="shared" si="0"/>
        <v/>
      </c>
      <c r="L31" s="190" t="str">
        <f t="shared" si="1"/>
        <v/>
      </c>
      <c r="M31" s="188"/>
      <c r="N31" s="188"/>
      <c r="O31" s="188"/>
      <c r="P31" s="188"/>
      <c r="Q31" s="188"/>
      <c r="R31" s="188"/>
      <c r="S31" s="213"/>
      <c r="T31" s="207"/>
      <c r="U31" s="219"/>
      <c r="V31" s="219"/>
      <c r="W31" s="219"/>
      <c r="X31" s="219"/>
      <c r="Y31" s="219"/>
      <c r="Z31" s="219"/>
      <c r="AA31" s="219"/>
      <c r="AB31" s="219"/>
      <c r="AC31" s="219"/>
      <c r="AD31" s="219"/>
      <c r="AE31" s="219"/>
      <c r="AF31" s="219"/>
      <c r="AG31" s="219"/>
      <c r="AH31" s="225">
        <f>SUM(PORTEFEUILLE_SEBASTIEN[[#This Row],[PCR COMPTABLE €]:[MONTANT
RESPONSABLE RELATION CLIENT €]])-PORTEFEUILLE_SEBASTIEN[[#This Row],[MONTANT TOTAL LETTRE DE MISION €]]</f>
        <v>0</v>
      </c>
      <c r="AI31" s="191"/>
      <c r="AJ31" s="188"/>
      <c r="AK31" s="188"/>
      <c r="AL31" s="188"/>
      <c r="AM31" s="188"/>
      <c r="AN31" s="188"/>
      <c r="AO31" s="188"/>
      <c r="AP31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Q31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R31" s="188" t="str">
        <f>IF(PORTEFEUILLE_SEBASTIEN[[#This Row],[BONI AAC]]&lt;&gt;0,1,"")</f>
        <v/>
      </c>
      <c r="AS31" s="188" t="str">
        <f>IF(PORTEFEUILLE_SEBASTIEN[[#This Row],[MALI AAC]]&lt;&gt;0,1,"")</f>
        <v/>
      </c>
      <c r="AT31" s="225">
        <f>IF(AN31&lt;&gt;"",IF((AN31*Paramètres!$H$4)-PORTEFEUILLE_SEBASTIEN[[#This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€]]-(DELPHINE!AN31*Paramètres!$H$4),0),0)</f>
        <v>0</v>
      </c>
      <c r="AU31" s="225">
        <f>IF(AN31&lt;&gt;"",IF(((AN31*Paramètres!$H$4)-PORTEFEUILLE_SEBASTIEN[[#This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€]])&gt;0,(AN31*Paramètres!$H$4)-PORTEFEUILLE_SEBASTIEN[[#This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V31" s="190" t="str">
        <f>IF(PORTEFEUILLE_SEBASTIEN[[#This Row],[BONI COMPTABLE]]&lt;&gt;0,1,"")</f>
        <v/>
      </c>
      <c r="AW31" s="190" t="str">
        <f>IF(PORTEFEUILLE_SEBASTIEN[[#This Row],[MALI COMPTABLE]]&lt;&gt;0,1,"")</f>
        <v/>
      </c>
      <c r="AX31" s="188"/>
      <c r="AY31" s="188"/>
      <c r="AZ31" s="188"/>
      <c r="BA31" s="188"/>
      <c r="BB31" s="196"/>
      <c r="BC31" s="196"/>
      <c r="BD31" s="196"/>
      <c r="BE31" s="192"/>
      <c r="BF31" s="194"/>
      <c r="BG31" s="194"/>
      <c r="BH31" s="195"/>
      <c r="BI31" s="194"/>
    </row>
    <row r="32" spans="1:61" x14ac:dyDescent="0.25">
      <c r="A32" s="172"/>
      <c r="B32" s="177"/>
      <c r="C32" s="165"/>
      <c r="D32" s="171"/>
      <c r="E32" s="189"/>
      <c r="F32" s="188"/>
      <c r="G32" s="189"/>
      <c r="H32" s="189"/>
      <c r="I32" s="189"/>
      <c r="J32" s="189"/>
      <c r="K32" s="190" t="str">
        <f t="shared" si="0"/>
        <v/>
      </c>
      <c r="L32" s="190" t="str">
        <f t="shared" si="1"/>
        <v/>
      </c>
      <c r="M32" s="188"/>
      <c r="N32" s="188"/>
      <c r="O32" s="188"/>
      <c r="P32" s="188"/>
      <c r="Q32" s="188"/>
      <c r="R32" s="188"/>
      <c r="S32" s="213"/>
      <c r="T32" s="207"/>
      <c r="U32" s="219"/>
      <c r="V32" s="219"/>
      <c r="W32" s="219"/>
      <c r="X32" s="219"/>
      <c r="Y32" s="219"/>
      <c r="Z32" s="219"/>
      <c r="AA32" s="219"/>
      <c r="AB32" s="219"/>
      <c r="AC32" s="219"/>
      <c r="AD32" s="219"/>
      <c r="AE32" s="219"/>
      <c r="AF32" s="219"/>
      <c r="AG32" s="219"/>
      <c r="AH32" s="225">
        <f>SUM(PORTEFEUILLE_SEBASTIEN[[#This Row],[PCR COMPTABLE €]:[MONTANT
RESPONSABLE RELATION CLIENT €]])-PORTEFEUILLE_SEBASTIEN[[#This Row],[MONTANT TOTAL LETTRE DE MISION €]]</f>
        <v>0</v>
      </c>
      <c r="AI32" s="191"/>
      <c r="AJ32" s="188"/>
      <c r="AK32" s="188"/>
      <c r="AL32" s="188"/>
      <c r="AM32" s="188"/>
      <c r="AN32" s="188"/>
      <c r="AO32" s="188"/>
      <c r="AP32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Q32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R32" s="188" t="str">
        <f>IF(PORTEFEUILLE_SEBASTIEN[[#This Row],[BONI AAC]]&lt;&gt;0,1,"")</f>
        <v/>
      </c>
      <c r="AS32" s="188" t="str">
        <f>IF(PORTEFEUILLE_SEBASTIEN[[#This Row],[MALI AAC]]&lt;&gt;0,1,"")</f>
        <v/>
      </c>
      <c r="AT32" s="225">
        <f>IF(AN32&lt;&gt;"",IF((AN32*Paramètres!$H$4)-PORTEFEUILLE_SEBASTIEN[[#This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€]]-(DELPHINE!AN32*Paramètres!$H$4),0),0)</f>
        <v>0</v>
      </c>
      <c r="AU32" s="225">
        <f>IF(AN32&lt;&gt;"",IF(((AN32*Paramètres!$H$4)-PORTEFEUILLE_SEBASTIEN[[#This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€]])&gt;0,(AN32*Paramètres!$H$4)-PORTEFEUILLE_SEBASTIEN[[#This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V32" s="190" t="str">
        <f>IF(PORTEFEUILLE_SEBASTIEN[[#This Row],[BONI COMPTABLE]]&lt;&gt;0,1,"")</f>
        <v/>
      </c>
      <c r="AW32" s="190" t="str">
        <f>IF(PORTEFEUILLE_SEBASTIEN[[#This Row],[MALI COMPTABLE]]&lt;&gt;0,1,"")</f>
        <v/>
      </c>
      <c r="AX32" s="188"/>
      <c r="AY32" s="188"/>
      <c r="AZ32" s="188"/>
      <c r="BA32" s="188"/>
      <c r="BB32" s="188"/>
      <c r="BC32" s="188"/>
      <c r="BD32" s="188"/>
      <c r="BE32" s="192"/>
      <c r="BF32" s="194"/>
      <c r="BG32" s="194"/>
      <c r="BH32" s="195"/>
      <c r="BI32" s="194"/>
    </row>
    <row r="33" spans="1:61" x14ac:dyDescent="0.25">
      <c r="A33" s="172"/>
      <c r="B33" s="177"/>
      <c r="C33" s="165"/>
      <c r="D33" s="171"/>
      <c r="E33" s="189"/>
      <c r="F33" s="188"/>
      <c r="G33" s="188"/>
      <c r="H33" s="189"/>
      <c r="I33" s="188"/>
      <c r="J33" s="189"/>
      <c r="K33" s="190" t="str">
        <f t="shared" si="0"/>
        <v/>
      </c>
      <c r="L33" s="190" t="str">
        <f t="shared" si="1"/>
        <v/>
      </c>
      <c r="M33" s="188"/>
      <c r="N33" s="188"/>
      <c r="O33" s="188"/>
      <c r="P33" s="188"/>
      <c r="Q33" s="188"/>
      <c r="R33" s="188"/>
      <c r="S33" s="214"/>
      <c r="T33" s="208"/>
      <c r="U33" s="220"/>
      <c r="V33" s="220"/>
      <c r="W33" s="220"/>
      <c r="X33" s="220"/>
      <c r="Y33" s="220"/>
      <c r="Z33" s="220"/>
      <c r="AA33" s="220"/>
      <c r="AB33" s="220"/>
      <c r="AC33" s="220"/>
      <c r="AD33" s="220"/>
      <c r="AE33" s="220"/>
      <c r="AF33" s="220"/>
      <c r="AG33" s="219"/>
      <c r="AH33" s="225">
        <f>SUM(PORTEFEUILLE_SEBASTIEN[[#This Row],[PCR COMPTABLE €]:[MONTANT
RESPONSABLE RELATION CLIENT €]])-PORTEFEUILLE_SEBASTIEN[[#This Row],[MONTANT TOTAL LETTRE DE MISION €]]</f>
        <v>0</v>
      </c>
      <c r="AI33" s="191"/>
      <c r="AJ33" s="188"/>
      <c r="AK33" s="188"/>
      <c r="AL33" s="196"/>
      <c r="AM33" s="196"/>
      <c r="AN33" s="196"/>
      <c r="AO33" s="196"/>
      <c r="AP33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Q33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R33" s="188" t="str">
        <f>IF(PORTEFEUILLE_SEBASTIEN[[#This Row],[BONI AAC]]&lt;&gt;0,1,"")</f>
        <v/>
      </c>
      <c r="AS33" s="188" t="str">
        <f>IF(PORTEFEUILLE_SEBASTIEN[[#This Row],[MALI AAC]]&lt;&gt;0,1,"")</f>
        <v/>
      </c>
      <c r="AT33" s="225">
        <f>IF(AN33&lt;&gt;"",IF((AN33*Paramètres!$H$4)-PORTEFEUILLE_SEBASTIEN[[#This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€]]-(DELPHINE!AN33*Paramètres!$H$4),0),0)</f>
        <v>0</v>
      </c>
      <c r="AU33" s="225">
        <f>IF(AN33&lt;&gt;"",IF(((AN33*Paramètres!$H$4)-PORTEFEUILLE_SEBASTIEN[[#This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€]])&gt;0,(AN33*Paramètres!$H$4)-PORTEFEUILLE_SEBASTIEN[[#This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V33" s="190" t="str">
        <f>IF(PORTEFEUILLE_SEBASTIEN[[#This Row],[BONI COMPTABLE]]&lt;&gt;0,1,"")</f>
        <v/>
      </c>
      <c r="AW33" s="190" t="str">
        <f>IF(PORTEFEUILLE_SEBASTIEN[[#This Row],[MALI COMPTABLE]]&lt;&gt;0,1,"")</f>
        <v/>
      </c>
      <c r="AX33" s="196"/>
      <c r="AY33" s="188"/>
      <c r="AZ33" s="188"/>
      <c r="BA33" s="188"/>
      <c r="BB33" s="196"/>
      <c r="BC33" s="196"/>
      <c r="BD33" s="196"/>
      <c r="BE33" s="192"/>
      <c r="BF33" s="194"/>
      <c r="BG33" s="194"/>
      <c r="BH33" s="195"/>
      <c r="BI33" s="194"/>
    </row>
    <row r="34" spans="1:61" x14ac:dyDescent="0.25">
      <c r="A34" s="172"/>
      <c r="B34" s="177"/>
      <c r="C34" s="165"/>
      <c r="D34" s="171"/>
      <c r="E34" s="189"/>
      <c r="F34" s="188"/>
      <c r="G34" s="188"/>
      <c r="H34" s="189"/>
      <c r="I34" s="189"/>
      <c r="J34" s="189"/>
      <c r="K34" s="190" t="str">
        <f t="shared" si="0"/>
        <v/>
      </c>
      <c r="L34" s="190" t="str">
        <f t="shared" si="1"/>
        <v/>
      </c>
      <c r="M34" s="188"/>
      <c r="N34" s="188"/>
      <c r="O34" s="188"/>
      <c r="P34" s="188"/>
      <c r="Q34" s="188"/>
      <c r="R34" s="188"/>
      <c r="S34" s="214"/>
      <c r="T34" s="208"/>
      <c r="U34" s="220"/>
      <c r="V34" s="220"/>
      <c r="W34" s="220"/>
      <c r="X34" s="220"/>
      <c r="Y34" s="220"/>
      <c r="Z34" s="220"/>
      <c r="AA34" s="220"/>
      <c r="AB34" s="220"/>
      <c r="AC34" s="220"/>
      <c r="AD34" s="220"/>
      <c r="AE34" s="220"/>
      <c r="AF34" s="220"/>
      <c r="AG34" s="219"/>
      <c r="AH34" s="225">
        <f>SUM(PORTEFEUILLE_SEBASTIEN[[#This Row],[PCR COMPTABLE €]:[MONTANT
RESPONSABLE RELATION CLIENT €]])-PORTEFEUILLE_SEBASTIEN[[#This Row],[MONTANT TOTAL LETTRE DE MISION €]]</f>
        <v>0</v>
      </c>
      <c r="AI34" s="191"/>
      <c r="AJ34" s="188"/>
      <c r="AK34" s="188"/>
      <c r="AL34" s="196"/>
      <c r="AM34" s="196"/>
      <c r="AN34" s="196"/>
      <c r="AO34" s="196"/>
      <c r="AP34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Q34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R34" s="188" t="str">
        <f>IF(PORTEFEUILLE_SEBASTIEN[[#This Row],[BONI AAC]]&lt;&gt;0,1,"")</f>
        <v/>
      </c>
      <c r="AS34" s="188" t="str">
        <f>IF(PORTEFEUILLE_SEBASTIEN[[#This Row],[MALI AAC]]&lt;&gt;0,1,"")</f>
        <v/>
      </c>
      <c r="AT34" s="225">
        <f>IF(AN34&lt;&gt;"",IF((AN34*Paramètres!$H$4)-PORTEFEUILLE_SEBASTIEN[[#This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€]]-(DELPHINE!AN34*Paramètres!$H$4),0),0)</f>
        <v>0</v>
      </c>
      <c r="AU34" s="225">
        <f>IF(AN34&lt;&gt;"",IF(((AN34*Paramètres!$H$4)-PORTEFEUILLE_SEBASTIEN[[#This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€]])&gt;0,(AN34*Paramètres!$H$4)-PORTEFEUILLE_SEBASTIEN[[#This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V34" s="190" t="str">
        <f>IF(PORTEFEUILLE_SEBASTIEN[[#This Row],[BONI COMPTABLE]]&lt;&gt;0,1,"")</f>
        <v/>
      </c>
      <c r="AW34" s="190" t="str">
        <f>IF(PORTEFEUILLE_SEBASTIEN[[#This Row],[MALI COMPTABLE]]&lt;&gt;0,1,"")</f>
        <v/>
      </c>
      <c r="AX34" s="196"/>
      <c r="AY34" s="188"/>
      <c r="AZ34" s="188"/>
      <c r="BA34" s="188"/>
      <c r="BB34" s="188"/>
      <c r="BC34" s="188"/>
      <c r="BD34" s="188"/>
      <c r="BE34" s="192"/>
      <c r="BF34" s="194"/>
      <c r="BG34" s="194"/>
      <c r="BH34" s="195"/>
      <c r="BI34" s="194"/>
    </row>
    <row r="35" spans="1:61" x14ac:dyDescent="0.25">
      <c r="A35" s="172"/>
      <c r="B35" s="177"/>
      <c r="C35" s="165"/>
      <c r="D35" s="171"/>
      <c r="E35" s="189"/>
      <c r="F35" s="188"/>
      <c r="G35" s="189"/>
      <c r="H35" s="189"/>
      <c r="I35" s="189"/>
      <c r="J35" s="189"/>
      <c r="K35" s="190" t="str">
        <f t="shared" si="0"/>
        <v/>
      </c>
      <c r="L35" s="190" t="str">
        <f t="shared" si="1"/>
        <v/>
      </c>
      <c r="M35" s="188"/>
      <c r="N35" s="188"/>
      <c r="O35" s="188"/>
      <c r="P35" s="188"/>
      <c r="Q35" s="188"/>
      <c r="R35" s="188"/>
      <c r="S35" s="213"/>
      <c r="T35" s="207"/>
      <c r="U35" s="219"/>
      <c r="V35" s="219"/>
      <c r="W35" s="219"/>
      <c r="X35" s="219"/>
      <c r="Y35" s="219"/>
      <c r="Z35" s="219"/>
      <c r="AA35" s="219"/>
      <c r="AB35" s="219"/>
      <c r="AC35" s="219"/>
      <c r="AD35" s="219"/>
      <c r="AE35" s="219"/>
      <c r="AF35" s="219"/>
      <c r="AG35" s="219"/>
      <c r="AH35" s="225">
        <f>SUM(PORTEFEUILLE_SEBASTIEN[[#This Row],[PCR COMPTABLE €]:[MONTANT
RESPONSABLE RELATION CLIENT €]])-PORTEFEUILLE_SEBASTIEN[[#This Row],[MONTANT TOTAL LETTRE DE MISION €]]</f>
        <v>0</v>
      </c>
      <c r="AI35" s="191"/>
      <c r="AJ35" s="188"/>
      <c r="AK35" s="188"/>
      <c r="AL35" s="188"/>
      <c r="AM35" s="188"/>
      <c r="AN35" s="188"/>
      <c r="AO35" s="188"/>
      <c r="AP35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Q35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R35" s="188" t="str">
        <f>IF(PORTEFEUILLE_SEBASTIEN[[#This Row],[BONI AAC]]&lt;&gt;0,1,"")</f>
        <v/>
      </c>
      <c r="AS35" s="188" t="str">
        <f>IF(PORTEFEUILLE_SEBASTIEN[[#This Row],[MALI AAC]]&lt;&gt;0,1,"")</f>
        <v/>
      </c>
      <c r="AT35" s="225">
        <f>IF(AN35&lt;&gt;"",IF((AN35*Paramètres!$H$4)-PORTEFEUILLE_SEBASTIEN[[#This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€]]-(DELPHINE!AN35*Paramètres!$H$4),0),0)</f>
        <v>0</v>
      </c>
      <c r="AU35" s="225">
        <f>IF(AN35&lt;&gt;"",IF(((AN35*Paramètres!$H$4)-PORTEFEUILLE_SEBASTIEN[[#This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€]])&gt;0,(AN35*Paramètres!$H$4)-PORTEFEUILLE_SEBASTIEN[[#This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V35" s="190" t="str">
        <f>IF(PORTEFEUILLE_SEBASTIEN[[#This Row],[BONI COMPTABLE]]&lt;&gt;0,1,"")</f>
        <v/>
      </c>
      <c r="AW35" s="190" t="str">
        <f>IF(PORTEFEUILLE_SEBASTIEN[[#This Row],[MALI COMPTABLE]]&lt;&gt;0,1,"")</f>
        <v/>
      </c>
      <c r="AX35" s="188"/>
      <c r="AY35" s="188"/>
      <c r="AZ35" s="188"/>
      <c r="BA35" s="188"/>
      <c r="BB35" s="188"/>
      <c r="BC35" s="188"/>
      <c r="BD35" s="188"/>
      <c r="BE35" s="192"/>
      <c r="BF35" s="194"/>
      <c r="BG35" s="194"/>
      <c r="BH35" s="195"/>
      <c r="BI35" s="194"/>
    </row>
    <row r="36" spans="1:61" x14ac:dyDescent="0.25">
      <c r="A36" s="172"/>
      <c r="B36" s="178"/>
      <c r="C36" s="165"/>
      <c r="D36" s="171"/>
      <c r="E36" s="189"/>
      <c r="F36" s="188"/>
      <c r="G36" s="189"/>
      <c r="H36" s="189"/>
      <c r="I36" s="189"/>
      <c r="J36" s="189"/>
      <c r="K36" s="190" t="str">
        <f t="shared" si="0"/>
        <v/>
      </c>
      <c r="L36" s="190" t="str">
        <f t="shared" si="1"/>
        <v/>
      </c>
      <c r="M36" s="188"/>
      <c r="N36" s="188"/>
      <c r="O36" s="188"/>
      <c r="P36" s="188"/>
      <c r="Q36" s="188"/>
      <c r="R36" s="188"/>
      <c r="S36" s="213"/>
      <c r="T36" s="207"/>
      <c r="U36" s="219"/>
      <c r="V36" s="219"/>
      <c r="W36" s="219"/>
      <c r="X36" s="219"/>
      <c r="Y36" s="219"/>
      <c r="Z36" s="219"/>
      <c r="AA36" s="219"/>
      <c r="AB36" s="219"/>
      <c r="AC36" s="219"/>
      <c r="AD36" s="219"/>
      <c r="AE36" s="219"/>
      <c r="AF36" s="219"/>
      <c r="AG36" s="219"/>
      <c r="AH36" s="225">
        <f>SUM(PORTEFEUILLE_SEBASTIEN[[#This Row],[PCR COMPTABLE €]:[MONTANT
RESPONSABLE RELATION CLIENT €]])-PORTEFEUILLE_SEBASTIEN[[#This Row],[MONTANT TOTAL LETTRE DE MISION €]]</f>
        <v>0</v>
      </c>
      <c r="AI36" s="191"/>
      <c r="AJ36" s="188"/>
      <c r="AK36" s="188"/>
      <c r="AL36" s="188"/>
      <c r="AM36" s="188"/>
      <c r="AN36" s="188"/>
      <c r="AO36" s="188"/>
      <c r="AP36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Q36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R36" s="188" t="str">
        <f>IF(PORTEFEUILLE_SEBASTIEN[[#This Row],[BONI AAC]]&lt;&gt;0,1,"")</f>
        <v/>
      </c>
      <c r="AS36" s="188" t="str">
        <f>IF(PORTEFEUILLE_SEBASTIEN[[#This Row],[MALI AAC]]&lt;&gt;0,1,"")</f>
        <v/>
      </c>
      <c r="AT36" s="225">
        <f>IF(AN36&lt;&gt;"",IF((AN36*Paramètres!$H$4)-PORTEFEUILLE_SEBASTIEN[[#This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€]]-(DELPHINE!AN36*Paramètres!$H$4),0),0)</f>
        <v>0</v>
      </c>
      <c r="AU36" s="225">
        <f>IF(AN36&lt;&gt;"",IF(((AN36*Paramètres!$H$4)-PORTEFEUILLE_SEBASTIEN[[#This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€]])&gt;0,(AN36*Paramètres!$H$4)-PORTEFEUILLE_SEBASTIEN[[#This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V36" s="190" t="str">
        <f>IF(PORTEFEUILLE_SEBASTIEN[[#This Row],[BONI COMPTABLE]]&lt;&gt;0,1,"")</f>
        <v/>
      </c>
      <c r="AW36" s="190" t="str">
        <f>IF(PORTEFEUILLE_SEBASTIEN[[#This Row],[MALI COMPTABLE]]&lt;&gt;0,1,"")</f>
        <v/>
      </c>
      <c r="AX36" s="188"/>
      <c r="AY36" s="188"/>
      <c r="AZ36" s="188"/>
      <c r="BA36" s="188"/>
      <c r="BB36" s="196"/>
      <c r="BC36" s="196"/>
      <c r="BD36" s="196"/>
      <c r="BE36" s="192"/>
      <c r="BF36" s="194"/>
      <c r="BG36" s="194"/>
      <c r="BH36" s="195"/>
      <c r="BI36" s="194"/>
    </row>
    <row r="37" spans="1:61" x14ac:dyDescent="0.25">
      <c r="A37" s="172"/>
      <c r="B37" s="178"/>
      <c r="C37" s="165"/>
      <c r="D37" s="171"/>
      <c r="E37" s="189"/>
      <c r="F37" s="188"/>
      <c r="G37" s="189"/>
      <c r="H37" s="189"/>
      <c r="I37" s="189"/>
      <c r="J37" s="189"/>
      <c r="K37" s="190" t="str">
        <f t="shared" si="0"/>
        <v/>
      </c>
      <c r="L37" s="190" t="str">
        <f t="shared" si="1"/>
        <v/>
      </c>
      <c r="M37" s="188"/>
      <c r="N37" s="188"/>
      <c r="O37" s="188"/>
      <c r="P37" s="188"/>
      <c r="Q37" s="188"/>
      <c r="R37" s="188"/>
      <c r="S37" s="213"/>
      <c r="T37" s="207"/>
      <c r="U37" s="219"/>
      <c r="V37" s="219"/>
      <c r="W37" s="219"/>
      <c r="X37" s="219"/>
      <c r="Y37" s="219"/>
      <c r="Z37" s="219"/>
      <c r="AA37" s="219"/>
      <c r="AB37" s="219"/>
      <c r="AC37" s="219"/>
      <c r="AD37" s="219"/>
      <c r="AE37" s="219"/>
      <c r="AF37" s="219"/>
      <c r="AG37" s="219"/>
      <c r="AH37" s="225">
        <f>SUM(PORTEFEUILLE_SEBASTIEN[[#This Row],[PCR COMPTABLE €]:[MONTANT
RESPONSABLE RELATION CLIENT €]])-PORTEFEUILLE_SEBASTIEN[[#This Row],[MONTANT TOTAL LETTRE DE MISION €]]</f>
        <v>0</v>
      </c>
      <c r="AI37" s="191"/>
      <c r="AJ37" s="188"/>
      <c r="AK37" s="188"/>
      <c r="AL37" s="188"/>
      <c r="AM37" s="188"/>
      <c r="AN37" s="188"/>
      <c r="AO37" s="188"/>
      <c r="AP37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Q37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R37" s="188" t="str">
        <f>IF(PORTEFEUILLE_SEBASTIEN[[#This Row],[BONI AAC]]&lt;&gt;0,1,"")</f>
        <v/>
      </c>
      <c r="AS37" s="188" t="str">
        <f>IF(PORTEFEUILLE_SEBASTIEN[[#This Row],[MALI AAC]]&lt;&gt;0,1,"")</f>
        <v/>
      </c>
      <c r="AT37" s="225">
        <f>IF(AN37&lt;&gt;"",IF((AN37*Paramètres!$H$4)-PORTEFEUILLE_SEBASTIEN[[#This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€]]-(DELPHINE!AN37*Paramètres!$H$4),0),0)</f>
        <v>0</v>
      </c>
      <c r="AU37" s="225">
        <f>IF(AN37&lt;&gt;"",IF(((AN37*Paramètres!$H$4)-PORTEFEUILLE_SEBASTIEN[[#This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€]])&gt;0,(AN37*Paramètres!$H$4)-PORTEFEUILLE_SEBASTIEN[[#This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V37" s="190" t="str">
        <f>IF(PORTEFEUILLE_SEBASTIEN[[#This Row],[BONI COMPTABLE]]&lt;&gt;0,1,"")</f>
        <v/>
      </c>
      <c r="AW37" s="190" t="str">
        <f>IF(PORTEFEUILLE_SEBASTIEN[[#This Row],[MALI COMPTABLE]]&lt;&gt;0,1,"")</f>
        <v/>
      </c>
      <c r="AX37" s="188"/>
      <c r="AY37" s="188"/>
      <c r="AZ37" s="188"/>
      <c r="BA37" s="188"/>
      <c r="BB37" s="196"/>
      <c r="BC37" s="196"/>
      <c r="BD37" s="196"/>
      <c r="BE37" s="192"/>
      <c r="BF37" s="194"/>
      <c r="BG37" s="194"/>
      <c r="BH37" s="195"/>
      <c r="BI37" s="194"/>
    </row>
    <row r="38" spans="1:61" x14ac:dyDescent="0.25">
      <c r="A38" s="172"/>
      <c r="B38" s="179"/>
      <c r="C38" s="165"/>
      <c r="D38" s="171"/>
      <c r="E38" s="189"/>
      <c r="F38" s="188"/>
      <c r="G38" s="188"/>
      <c r="H38" s="189"/>
      <c r="I38" s="189"/>
      <c r="J38" s="199"/>
      <c r="K38" s="190" t="str">
        <f t="shared" si="0"/>
        <v/>
      </c>
      <c r="L38" s="190" t="str">
        <f t="shared" si="1"/>
        <v/>
      </c>
      <c r="M38" s="188"/>
      <c r="N38" s="188"/>
      <c r="O38" s="188"/>
      <c r="P38" s="188"/>
      <c r="Q38" s="188"/>
      <c r="R38" s="188"/>
      <c r="S38" s="213"/>
      <c r="T38" s="207"/>
      <c r="U38" s="219"/>
      <c r="V38" s="219"/>
      <c r="W38" s="219"/>
      <c r="X38" s="219"/>
      <c r="Y38" s="219"/>
      <c r="Z38" s="219"/>
      <c r="AA38" s="219"/>
      <c r="AB38" s="219"/>
      <c r="AC38" s="219"/>
      <c r="AD38" s="219"/>
      <c r="AE38" s="219"/>
      <c r="AF38" s="219"/>
      <c r="AG38" s="219"/>
      <c r="AH38" s="225">
        <f>SUM(PORTEFEUILLE_SEBASTIEN[[#This Row],[PCR COMPTABLE €]:[MONTANT
RESPONSABLE RELATION CLIENT €]])-PORTEFEUILLE_SEBASTIEN[[#This Row],[MONTANT TOTAL LETTRE DE MISION €]]</f>
        <v>0</v>
      </c>
      <c r="AI38" s="191"/>
      <c r="AJ38" s="188"/>
      <c r="AK38" s="188"/>
      <c r="AL38" s="188"/>
      <c r="AM38" s="188"/>
      <c r="AN38" s="188"/>
      <c r="AO38" s="188"/>
      <c r="AP38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Q38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R38" s="188" t="str">
        <f>IF(PORTEFEUILLE_SEBASTIEN[[#This Row],[BONI AAC]]&lt;&gt;0,1,"")</f>
        <v/>
      </c>
      <c r="AS38" s="188" t="str">
        <f>IF(PORTEFEUILLE_SEBASTIEN[[#This Row],[MALI AAC]]&lt;&gt;0,1,"")</f>
        <v/>
      </c>
      <c r="AT38" s="225">
        <f>IF(AN38&lt;&gt;"",IF((AN38*Paramètres!$H$4)-PORTEFEUILLE_SEBASTIEN[[#This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€]]-(DELPHINE!AN38*Paramètres!$H$4),0),0)</f>
        <v>0</v>
      </c>
      <c r="AU38" s="225">
        <f>IF(AN38&lt;&gt;"",IF(((AN38*Paramètres!$H$4)-PORTEFEUILLE_SEBASTIEN[[#This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€]])&gt;0,(AN38*Paramètres!$H$4)-PORTEFEUILLE_SEBASTIEN[[#This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V38" s="190" t="str">
        <f>IF(PORTEFEUILLE_SEBASTIEN[[#This Row],[BONI COMPTABLE]]&lt;&gt;0,1,"")</f>
        <v/>
      </c>
      <c r="AW38" s="190" t="str">
        <f>IF(PORTEFEUILLE_SEBASTIEN[[#This Row],[MALI COMPTABLE]]&lt;&gt;0,1,"")</f>
        <v/>
      </c>
      <c r="AX38" s="188"/>
      <c r="AY38" s="188"/>
      <c r="AZ38" s="188"/>
      <c r="BA38" s="188"/>
      <c r="BB38" s="196"/>
      <c r="BC38" s="196"/>
      <c r="BD38" s="196"/>
      <c r="BE38" s="192"/>
      <c r="BF38" s="194"/>
      <c r="BG38" s="194"/>
      <c r="BH38" s="195"/>
      <c r="BI38" s="194"/>
    </row>
    <row r="39" spans="1:61" x14ac:dyDescent="0.25">
      <c r="A39" s="172"/>
      <c r="B39" s="180"/>
      <c r="C39" s="165"/>
      <c r="D39" s="171"/>
      <c r="E39" s="189"/>
      <c r="F39" s="188"/>
      <c r="G39" s="189"/>
      <c r="H39" s="189"/>
      <c r="I39" s="189"/>
      <c r="J39" s="189"/>
      <c r="K39" s="190" t="str">
        <f t="shared" si="0"/>
        <v/>
      </c>
      <c r="L39" s="190" t="str">
        <f t="shared" si="1"/>
        <v/>
      </c>
      <c r="M39" s="188"/>
      <c r="N39" s="188"/>
      <c r="O39" s="188"/>
      <c r="P39" s="188"/>
      <c r="Q39" s="188"/>
      <c r="R39" s="188"/>
      <c r="S39" s="213"/>
      <c r="T39" s="207"/>
      <c r="U39" s="219"/>
      <c r="V39" s="219"/>
      <c r="W39" s="219"/>
      <c r="X39" s="219"/>
      <c r="Y39" s="219"/>
      <c r="Z39" s="219"/>
      <c r="AA39" s="219"/>
      <c r="AB39" s="219"/>
      <c r="AC39" s="219"/>
      <c r="AD39" s="219"/>
      <c r="AE39" s="219"/>
      <c r="AF39" s="219"/>
      <c r="AG39" s="219"/>
      <c r="AH39" s="225">
        <f>SUM(PORTEFEUILLE_SEBASTIEN[[#This Row],[PCR COMPTABLE €]:[MONTANT
RESPONSABLE RELATION CLIENT €]])-PORTEFEUILLE_SEBASTIEN[[#This Row],[MONTANT TOTAL LETTRE DE MISION €]]</f>
        <v>0</v>
      </c>
      <c r="AI39" s="191"/>
      <c r="AJ39" s="188"/>
      <c r="AK39" s="188"/>
      <c r="AL39" s="188"/>
      <c r="AM39" s="188"/>
      <c r="AN39" s="188"/>
      <c r="AO39" s="188"/>
      <c r="AP39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Q39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R39" s="188" t="str">
        <f>IF(PORTEFEUILLE_SEBASTIEN[[#This Row],[BONI AAC]]&lt;&gt;0,1,"")</f>
        <v/>
      </c>
      <c r="AS39" s="188" t="str">
        <f>IF(PORTEFEUILLE_SEBASTIEN[[#This Row],[MALI AAC]]&lt;&gt;0,1,"")</f>
        <v/>
      </c>
      <c r="AT39" s="225">
        <f>IF(AN39&lt;&gt;"",IF((AN39*Paramètres!$H$4)-PORTEFEUILLE_SEBASTIEN[[#This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€]]-(DELPHINE!AN39*Paramètres!$H$4),0),0)</f>
        <v>0</v>
      </c>
      <c r="AU39" s="225">
        <f>IF(AN39&lt;&gt;"",IF(((AN39*Paramètres!$H$4)-PORTEFEUILLE_SEBASTIEN[[#This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€]])&gt;0,(AN39*Paramètres!$H$4)-PORTEFEUILLE_SEBASTIEN[[#This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V39" s="190" t="str">
        <f>IF(PORTEFEUILLE_SEBASTIEN[[#This Row],[BONI COMPTABLE]]&lt;&gt;0,1,"")</f>
        <v/>
      </c>
      <c r="AW39" s="190" t="str">
        <f>IF(PORTEFEUILLE_SEBASTIEN[[#This Row],[MALI COMPTABLE]]&lt;&gt;0,1,"")</f>
        <v/>
      </c>
      <c r="AX39" s="188"/>
      <c r="AY39" s="188"/>
      <c r="AZ39" s="188"/>
      <c r="BA39" s="188"/>
      <c r="BB39" s="188"/>
      <c r="BC39" s="188"/>
      <c r="BD39" s="188"/>
      <c r="BE39" s="192"/>
      <c r="BF39" s="194"/>
      <c r="BG39" s="194"/>
      <c r="BH39" s="195"/>
      <c r="BI39" s="194"/>
    </row>
    <row r="40" spans="1:61" x14ac:dyDescent="0.25">
      <c r="A40" s="172"/>
      <c r="B40" s="178"/>
      <c r="C40" s="165"/>
      <c r="D40" s="171"/>
      <c r="E40" s="189"/>
      <c r="F40" s="188"/>
      <c r="G40" s="189"/>
      <c r="H40" s="189"/>
      <c r="I40" s="189"/>
      <c r="J40" s="189"/>
      <c r="K40" s="190" t="str">
        <f t="shared" si="0"/>
        <v/>
      </c>
      <c r="L40" s="190" t="str">
        <f t="shared" si="1"/>
        <v/>
      </c>
      <c r="M40" s="188"/>
      <c r="N40" s="188"/>
      <c r="O40" s="188"/>
      <c r="P40" s="188"/>
      <c r="Q40" s="188"/>
      <c r="R40" s="188"/>
      <c r="S40" s="213"/>
      <c r="T40" s="207"/>
      <c r="U40" s="219"/>
      <c r="V40" s="219"/>
      <c r="W40" s="219"/>
      <c r="X40" s="219"/>
      <c r="Y40" s="219"/>
      <c r="Z40" s="219"/>
      <c r="AA40" s="219"/>
      <c r="AB40" s="219"/>
      <c r="AC40" s="219"/>
      <c r="AD40" s="219"/>
      <c r="AE40" s="219"/>
      <c r="AF40" s="219"/>
      <c r="AG40" s="219"/>
      <c r="AH40" s="225">
        <f>SUM(PORTEFEUILLE_SEBASTIEN[[#This Row],[PCR COMPTABLE €]:[MONTANT
RESPONSABLE RELATION CLIENT €]])-PORTEFEUILLE_SEBASTIEN[[#This Row],[MONTANT TOTAL LETTRE DE MISION €]]</f>
        <v>0</v>
      </c>
      <c r="AI40" s="191"/>
      <c r="AJ40" s="188"/>
      <c r="AK40" s="188"/>
      <c r="AL40" s="188"/>
      <c r="AM40" s="188"/>
      <c r="AN40" s="188"/>
      <c r="AO40" s="188"/>
      <c r="AP40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Q40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R40" s="188" t="str">
        <f>IF(PORTEFEUILLE_SEBASTIEN[[#This Row],[BONI AAC]]&lt;&gt;0,1,"")</f>
        <v/>
      </c>
      <c r="AS40" s="188" t="str">
        <f>IF(PORTEFEUILLE_SEBASTIEN[[#This Row],[MALI AAC]]&lt;&gt;0,1,"")</f>
        <v/>
      </c>
      <c r="AT40" s="225">
        <f>IF(AN40&lt;&gt;"",IF((AN40*Paramètres!$H$4)-PORTEFEUILLE_SEBASTIEN[[#This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€]]-(DELPHINE!AN40*Paramètres!$H$4),0),0)</f>
        <v>0</v>
      </c>
      <c r="AU40" s="225">
        <f>IF(AN40&lt;&gt;"",IF(((AN40*Paramètres!$H$4)-PORTEFEUILLE_SEBASTIEN[[#This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€]])&gt;0,(AN40*Paramètres!$H$4)-PORTEFEUILLE_SEBASTIEN[[#This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V40" s="190" t="str">
        <f>IF(PORTEFEUILLE_SEBASTIEN[[#This Row],[BONI COMPTABLE]]&lt;&gt;0,1,"")</f>
        <v/>
      </c>
      <c r="AW40" s="190" t="str">
        <f>IF(PORTEFEUILLE_SEBASTIEN[[#This Row],[MALI COMPTABLE]]&lt;&gt;0,1,"")</f>
        <v/>
      </c>
      <c r="AX40" s="188"/>
      <c r="AY40" s="188"/>
      <c r="AZ40" s="188"/>
      <c r="BA40" s="188"/>
      <c r="BB40" s="188"/>
      <c r="BC40" s="188"/>
      <c r="BD40" s="188"/>
      <c r="BE40" s="192"/>
      <c r="BF40" s="194"/>
      <c r="BG40" s="194"/>
      <c r="BH40" s="195"/>
      <c r="BI40" s="194"/>
    </row>
    <row r="41" spans="1:61" x14ac:dyDescent="0.25">
      <c r="A41" s="172"/>
      <c r="B41" s="178"/>
      <c r="C41" s="165"/>
      <c r="D41" s="171"/>
      <c r="E41" s="189"/>
      <c r="F41" s="188"/>
      <c r="G41" s="188"/>
      <c r="H41" s="189"/>
      <c r="I41" s="189"/>
      <c r="J41" s="189"/>
      <c r="K41" s="190" t="str">
        <f t="shared" si="0"/>
        <v/>
      </c>
      <c r="L41" s="190" t="str">
        <f t="shared" si="1"/>
        <v/>
      </c>
      <c r="M41" s="188"/>
      <c r="N41" s="188"/>
      <c r="O41" s="188"/>
      <c r="P41" s="188"/>
      <c r="Q41" s="188"/>
      <c r="R41" s="188"/>
      <c r="S41" s="214"/>
      <c r="T41" s="208"/>
      <c r="U41" s="220"/>
      <c r="V41" s="220"/>
      <c r="W41" s="220"/>
      <c r="X41" s="220"/>
      <c r="Y41" s="220"/>
      <c r="Z41" s="220"/>
      <c r="AA41" s="220"/>
      <c r="AB41" s="220"/>
      <c r="AC41" s="220"/>
      <c r="AD41" s="220"/>
      <c r="AE41" s="220"/>
      <c r="AF41" s="220"/>
      <c r="AG41" s="219"/>
      <c r="AH41" s="225">
        <f>SUM(PORTEFEUILLE_SEBASTIEN[[#This Row],[PCR COMPTABLE €]:[MONTANT
RESPONSABLE RELATION CLIENT €]])-PORTEFEUILLE_SEBASTIEN[[#This Row],[MONTANT TOTAL LETTRE DE MISION €]]</f>
        <v>0</v>
      </c>
      <c r="AI41" s="191"/>
      <c r="AJ41" s="188"/>
      <c r="AK41" s="188"/>
      <c r="AL41" s="196"/>
      <c r="AM41" s="196"/>
      <c r="AN41" s="196"/>
      <c r="AO41" s="196"/>
      <c r="AP41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Q41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R41" s="188" t="str">
        <f>IF(PORTEFEUILLE_SEBASTIEN[[#This Row],[BONI AAC]]&lt;&gt;0,1,"")</f>
        <v/>
      </c>
      <c r="AS41" s="188" t="str">
        <f>IF(PORTEFEUILLE_SEBASTIEN[[#This Row],[MALI AAC]]&lt;&gt;0,1,"")</f>
        <v/>
      </c>
      <c r="AT41" s="225">
        <f>IF(AN41&lt;&gt;"",IF((AN41*Paramètres!$H$4)-PORTEFEUILLE_SEBASTIEN[[#This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€]]-(DELPHINE!AN41*Paramètres!$H$4),0),0)</f>
        <v>0</v>
      </c>
      <c r="AU41" s="225">
        <f>IF(AN41&lt;&gt;"",IF(((AN41*Paramètres!$H$4)-PORTEFEUILLE_SEBASTIEN[[#This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€]])&gt;0,(AN41*Paramètres!$H$4)-PORTEFEUILLE_SEBASTIEN[[#This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V41" s="190" t="str">
        <f>IF(PORTEFEUILLE_SEBASTIEN[[#This Row],[BONI COMPTABLE]]&lt;&gt;0,1,"")</f>
        <v/>
      </c>
      <c r="AW41" s="190" t="str">
        <f>IF(PORTEFEUILLE_SEBASTIEN[[#This Row],[MALI COMPTABLE]]&lt;&gt;0,1,"")</f>
        <v/>
      </c>
      <c r="AX41" s="196"/>
      <c r="AY41" s="188"/>
      <c r="AZ41" s="188"/>
      <c r="BA41" s="188"/>
      <c r="BB41" s="188"/>
      <c r="BC41" s="188"/>
      <c r="BD41" s="188"/>
      <c r="BE41" s="192"/>
      <c r="BF41" s="194"/>
      <c r="BG41" s="194"/>
      <c r="BH41" s="195"/>
      <c r="BI41" s="194"/>
    </row>
    <row r="42" spans="1:61" x14ac:dyDescent="0.25">
      <c r="A42" s="172"/>
      <c r="B42" s="178"/>
      <c r="C42" s="165"/>
      <c r="D42" s="171"/>
      <c r="E42" s="189"/>
      <c r="F42" s="188"/>
      <c r="G42" s="188"/>
      <c r="H42" s="189"/>
      <c r="I42" s="188"/>
      <c r="J42" s="189"/>
      <c r="K42" s="190" t="str">
        <f t="shared" si="0"/>
        <v/>
      </c>
      <c r="L42" s="190" t="str">
        <f t="shared" si="1"/>
        <v/>
      </c>
      <c r="M42" s="188"/>
      <c r="N42" s="188"/>
      <c r="O42" s="188"/>
      <c r="P42" s="188"/>
      <c r="Q42" s="188"/>
      <c r="R42" s="188"/>
      <c r="S42" s="214"/>
      <c r="T42" s="208"/>
      <c r="U42" s="220"/>
      <c r="V42" s="220"/>
      <c r="W42" s="220"/>
      <c r="X42" s="220"/>
      <c r="Y42" s="220"/>
      <c r="Z42" s="220"/>
      <c r="AA42" s="220"/>
      <c r="AB42" s="220"/>
      <c r="AC42" s="220"/>
      <c r="AD42" s="220"/>
      <c r="AE42" s="220"/>
      <c r="AF42" s="220"/>
      <c r="AG42" s="219"/>
      <c r="AH42" s="225">
        <f>SUM(PORTEFEUILLE_SEBASTIEN[[#This Row],[PCR COMPTABLE €]:[MONTANT
RESPONSABLE RELATION CLIENT €]])-PORTEFEUILLE_SEBASTIEN[[#This Row],[MONTANT TOTAL LETTRE DE MISION €]]</f>
        <v>0</v>
      </c>
      <c r="AI42" s="191"/>
      <c r="AJ42" s="188"/>
      <c r="AK42" s="188"/>
      <c r="AL42" s="196"/>
      <c r="AM42" s="196"/>
      <c r="AN42" s="196"/>
      <c r="AO42" s="196"/>
      <c r="AP42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Q42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R42" s="188" t="str">
        <f>IF(PORTEFEUILLE_SEBASTIEN[[#This Row],[BONI AAC]]&lt;&gt;0,1,"")</f>
        <v/>
      </c>
      <c r="AS42" s="188" t="str">
        <f>IF(PORTEFEUILLE_SEBASTIEN[[#This Row],[MALI AAC]]&lt;&gt;0,1,"")</f>
        <v/>
      </c>
      <c r="AT42" s="225">
        <f>IF(AN42&lt;&gt;"",IF((AN42*Paramètres!$H$4)-PORTEFEUILLE_SEBASTIEN[[#This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€]]-(DELPHINE!AN42*Paramètres!$H$4),0),0)</f>
        <v>0</v>
      </c>
      <c r="AU42" s="225">
        <f>IF(AN42&lt;&gt;"",IF(((AN42*Paramètres!$H$4)-PORTEFEUILLE_SEBASTIEN[[#This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€]])&gt;0,(AN42*Paramètres!$H$4)-PORTEFEUILLE_SEBASTIEN[[#This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V42" s="190" t="str">
        <f>IF(PORTEFEUILLE_SEBASTIEN[[#This Row],[BONI COMPTABLE]]&lt;&gt;0,1,"")</f>
        <v/>
      </c>
      <c r="AW42" s="190" t="str">
        <f>IF(PORTEFEUILLE_SEBASTIEN[[#This Row],[MALI COMPTABLE]]&lt;&gt;0,1,"")</f>
        <v/>
      </c>
      <c r="AX42" s="196"/>
      <c r="AY42" s="188"/>
      <c r="AZ42" s="188"/>
      <c r="BA42" s="188"/>
      <c r="BB42" s="196"/>
      <c r="BC42" s="196"/>
      <c r="BD42" s="196"/>
      <c r="BE42" s="192"/>
      <c r="BF42" s="194"/>
      <c r="BG42" s="194"/>
      <c r="BH42" s="195"/>
      <c r="BI42" s="194"/>
    </row>
    <row r="43" spans="1:61" x14ac:dyDescent="0.25">
      <c r="A43" s="172"/>
      <c r="B43" s="178"/>
      <c r="C43" s="165"/>
      <c r="D43" s="171"/>
      <c r="E43" s="189"/>
      <c r="F43" s="188"/>
      <c r="G43" s="189"/>
      <c r="H43" s="189"/>
      <c r="I43" s="189"/>
      <c r="J43" s="189"/>
      <c r="K43" s="190" t="str">
        <f t="shared" si="0"/>
        <v/>
      </c>
      <c r="L43" s="190" t="str">
        <f t="shared" si="1"/>
        <v/>
      </c>
      <c r="M43" s="188"/>
      <c r="N43" s="188"/>
      <c r="O43" s="188"/>
      <c r="P43" s="188"/>
      <c r="Q43" s="188"/>
      <c r="R43" s="188"/>
      <c r="S43" s="213"/>
      <c r="T43" s="207"/>
      <c r="U43" s="219"/>
      <c r="V43" s="219"/>
      <c r="W43" s="219"/>
      <c r="X43" s="219"/>
      <c r="Y43" s="219"/>
      <c r="Z43" s="219"/>
      <c r="AA43" s="219"/>
      <c r="AB43" s="219"/>
      <c r="AC43" s="219"/>
      <c r="AD43" s="219"/>
      <c r="AE43" s="219"/>
      <c r="AF43" s="219"/>
      <c r="AG43" s="219"/>
      <c r="AH43" s="225">
        <f>SUM(PORTEFEUILLE_SEBASTIEN[[#This Row],[PCR COMPTABLE €]:[MONTANT
RESPONSABLE RELATION CLIENT €]])-PORTEFEUILLE_SEBASTIEN[[#This Row],[MONTANT TOTAL LETTRE DE MISION €]]</f>
        <v>0</v>
      </c>
      <c r="AI43" s="191"/>
      <c r="AJ43" s="188"/>
      <c r="AK43" s="188"/>
      <c r="AL43" s="188"/>
      <c r="AM43" s="188"/>
      <c r="AN43" s="188"/>
      <c r="AO43" s="188"/>
      <c r="AP43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Q43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R43" s="188" t="str">
        <f>IF(PORTEFEUILLE_SEBASTIEN[[#This Row],[BONI AAC]]&lt;&gt;0,1,"")</f>
        <v/>
      </c>
      <c r="AS43" s="188" t="str">
        <f>IF(PORTEFEUILLE_SEBASTIEN[[#This Row],[MALI AAC]]&lt;&gt;0,1,"")</f>
        <v/>
      </c>
      <c r="AT43" s="225">
        <f>IF(AN43&lt;&gt;"",IF((AN43*Paramètres!$H$4)-PORTEFEUILLE_SEBASTIEN[[#This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€]]-(DELPHINE!AN43*Paramètres!$H$4),0),0)</f>
        <v>0</v>
      </c>
      <c r="AU43" s="225">
        <f>IF(AN43&lt;&gt;"",IF(((AN43*Paramètres!$H$4)-PORTEFEUILLE_SEBASTIEN[[#This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€]])&gt;0,(AN43*Paramètres!$H$4)-PORTEFEUILLE_SEBASTIEN[[#This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V43" s="190" t="str">
        <f>IF(PORTEFEUILLE_SEBASTIEN[[#This Row],[BONI COMPTABLE]]&lt;&gt;0,1,"")</f>
        <v/>
      </c>
      <c r="AW43" s="190" t="str">
        <f>IF(PORTEFEUILLE_SEBASTIEN[[#This Row],[MALI COMPTABLE]]&lt;&gt;0,1,"")</f>
        <v/>
      </c>
      <c r="AX43" s="188"/>
      <c r="AY43" s="188"/>
      <c r="AZ43" s="188"/>
      <c r="BA43" s="188"/>
      <c r="BB43" s="196"/>
      <c r="BC43" s="196"/>
      <c r="BD43" s="196"/>
      <c r="BE43" s="192"/>
      <c r="BF43" s="194"/>
      <c r="BG43" s="194"/>
      <c r="BH43" s="195"/>
      <c r="BI43" s="194"/>
    </row>
    <row r="44" spans="1:61" s="241" customFormat="1" x14ac:dyDescent="0.25">
      <c r="A44" s="172"/>
      <c r="B44" s="181"/>
      <c r="C44" s="165"/>
      <c r="D44" s="165"/>
      <c r="E44" s="189"/>
      <c r="F44" s="188"/>
      <c r="G44" s="189"/>
      <c r="H44" s="189"/>
      <c r="I44" s="189"/>
      <c r="J44" s="199"/>
      <c r="K44" s="190" t="str">
        <f t="shared" si="0"/>
        <v/>
      </c>
      <c r="L44" s="190" t="str">
        <f t="shared" si="1"/>
        <v/>
      </c>
      <c r="M44" s="188"/>
      <c r="N44" s="188"/>
      <c r="O44" s="188"/>
      <c r="P44" s="188"/>
      <c r="Q44" s="188"/>
      <c r="R44" s="188"/>
      <c r="S44" s="213"/>
      <c r="T44" s="207"/>
      <c r="U44" s="219"/>
      <c r="V44" s="219"/>
      <c r="W44" s="219"/>
      <c r="X44" s="219"/>
      <c r="Y44" s="219"/>
      <c r="Z44" s="219"/>
      <c r="AA44" s="219"/>
      <c r="AB44" s="219"/>
      <c r="AC44" s="219"/>
      <c r="AD44" s="219"/>
      <c r="AE44" s="219"/>
      <c r="AF44" s="219"/>
      <c r="AG44" s="219"/>
      <c r="AH44" s="225">
        <f>SUM(PORTEFEUILLE_SEBASTIEN[[#This Row],[PCR COMPTABLE €]:[MONTANT
RESPONSABLE RELATION CLIENT €]])-PORTEFEUILLE_SEBASTIEN[[#This Row],[MONTANT TOTAL LETTRE DE MISION €]]</f>
        <v>0</v>
      </c>
      <c r="AI44" s="191"/>
      <c r="AJ44" s="188"/>
      <c r="AK44" s="188"/>
      <c r="AL44" s="188"/>
      <c r="AM44" s="188"/>
      <c r="AN44" s="188"/>
      <c r="AO44" s="188"/>
      <c r="AP44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Q44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R44" s="188" t="str">
        <f>IF(PORTEFEUILLE_SEBASTIEN[[#This Row],[BONI AAC]]&lt;&gt;0,1,"")</f>
        <v/>
      </c>
      <c r="AS44" s="188" t="str">
        <f>IF(PORTEFEUILLE_SEBASTIEN[[#This Row],[MALI AAC]]&lt;&gt;0,1,"")</f>
        <v/>
      </c>
      <c r="AT44" s="225">
        <f>IF(AN44&lt;&gt;"",IF((AN44*Paramètres!$H$4)-PORTEFEUILLE_SEBASTIEN[[#This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€]]-(DELPHINE!AN44*Paramètres!$H$4),0),0)</f>
        <v>0</v>
      </c>
      <c r="AU44" s="225">
        <f>IF(AN44&lt;&gt;"",IF(((AN44*Paramètres!$H$4)-PORTEFEUILLE_SEBASTIEN[[#This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€]])&gt;0,(AN44*Paramètres!$H$4)-PORTEFEUILLE_SEBASTIEN[[#This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V44" s="190" t="str">
        <f>IF(PORTEFEUILLE_SEBASTIEN[[#This Row],[BONI COMPTABLE]]&lt;&gt;0,1,"")</f>
        <v/>
      </c>
      <c r="AW44" s="190" t="str">
        <f>IF(PORTEFEUILLE_SEBASTIEN[[#This Row],[MALI COMPTABLE]]&lt;&gt;0,1,"")</f>
        <v/>
      </c>
      <c r="AX44" s="188"/>
      <c r="AY44" s="188"/>
      <c r="AZ44" s="188"/>
      <c r="BA44" s="188"/>
      <c r="BB44" s="196"/>
      <c r="BC44" s="196"/>
      <c r="BD44" s="196"/>
      <c r="BE44" s="192"/>
      <c r="BF44" s="194"/>
      <c r="BG44" s="194"/>
      <c r="BH44" s="195"/>
      <c r="BI44" s="194"/>
    </row>
    <row r="45" spans="1:61" x14ac:dyDescent="0.25">
      <c r="A45" s="172"/>
      <c r="B45" s="181"/>
      <c r="C45" s="165"/>
      <c r="D45" s="165"/>
      <c r="E45" s="189"/>
      <c r="F45" s="188"/>
      <c r="G45" s="189"/>
      <c r="H45" s="189"/>
      <c r="I45" s="189"/>
      <c r="J45" s="189"/>
      <c r="K45" s="190" t="str">
        <f t="shared" si="0"/>
        <v/>
      </c>
      <c r="L45" s="190" t="str">
        <f t="shared" si="1"/>
        <v/>
      </c>
      <c r="M45" s="188"/>
      <c r="N45" s="188"/>
      <c r="O45" s="188"/>
      <c r="P45" s="188"/>
      <c r="Q45" s="188"/>
      <c r="R45" s="188"/>
      <c r="S45" s="213"/>
      <c r="T45" s="207"/>
      <c r="U45" s="219"/>
      <c r="V45" s="219"/>
      <c r="W45" s="219"/>
      <c r="X45" s="219"/>
      <c r="Y45" s="219"/>
      <c r="Z45" s="219"/>
      <c r="AA45" s="219"/>
      <c r="AB45" s="219"/>
      <c r="AC45" s="219"/>
      <c r="AD45" s="219"/>
      <c r="AE45" s="219"/>
      <c r="AF45" s="219"/>
      <c r="AG45" s="219"/>
      <c r="AH45" s="225">
        <f>SUM(PORTEFEUILLE_SEBASTIEN[[#This Row],[PCR COMPTABLE €]:[MONTANT
RESPONSABLE RELATION CLIENT €]])-PORTEFEUILLE_SEBASTIEN[[#This Row],[MONTANT TOTAL LETTRE DE MISION €]]</f>
        <v>0</v>
      </c>
      <c r="AI45" s="191"/>
      <c r="AJ45" s="188"/>
      <c r="AK45" s="188"/>
      <c r="AL45" s="188"/>
      <c r="AM45" s="188"/>
      <c r="AN45" s="188"/>
      <c r="AO45" s="188"/>
      <c r="AP45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Q45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R45" s="188" t="str">
        <f>IF(PORTEFEUILLE_SEBASTIEN[[#This Row],[BONI AAC]]&lt;&gt;0,1,"")</f>
        <v/>
      </c>
      <c r="AS45" s="188" t="str">
        <f>IF(PORTEFEUILLE_SEBASTIEN[[#This Row],[MALI AAC]]&lt;&gt;0,1,"")</f>
        <v/>
      </c>
      <c r="AT45" s="225">
        <f>IF(AN45&lt;&gt;"",IF((AN45*Paramètres!$H$4)-PORTEFEUILLE_SEBASTIEN[[#This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€]]-(DELPHINE!AN45*Paramètres!$H$4),0),0)</f>
        <v>0</v>
      </c>
      <c r="AU45" s="225">
        <f>IF(AN45&lt;&gt;"",IF(((AN45*Paramètres!$H$4)-PORTEFEUILLE_SEBASTIEN[[#This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€]])&gt;0,(AN45*Paramètres!$H$4)-PORTEFEUILLE_SEBASTIEN[[#This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V45" s="190" t="str">
        <f>IF(PORTEFEUILLE_SEBASTIEN[[#This Row],[BONI COMPTABLE]]&lt;&gt;0,1,"")</f>
        <v/>
      </c>
      <c r="AW45" s="190" t="str">
        <f>IF(PORTEFEUILLE_SEBASTIEN[[#This Row],[MALI COMPTABLE]]&lt;&gt;0,1,"")</f>
        <v/>
      </c>
      <c r="AX45" s="188"/>
      <c r="AY45" s="188"/>
      <c r="AZ45" s="188"/>
      <c r="BA45" s="188"/>
      <c r="BB45" s="188"/>
      <c r="BC45" s="188"/>
      <c r="BD45" s="188"/>
      <c r="BE45" s="192"/>
      <c r="BF45" s="194"/>
      <c r="BG45" s="194"/>
      <c r="BH45" s="195"/>
      <c r="BI45" s="194"/>
    </row>
    <row r="46" spans="1:61" x14ac:dyDescent="0.25">
      <c r="A46" s="172"/>
      <c r="B46" s="181"/>
      <c r="C46" s="165"/>
      <c r="D46" s="171"/>
      <c r="E46" s="189"/>
      <c r="F46" s="188"/>
      <c r="G46" s="188"/>
      <c r="H46" s="189"/>
      <c r="I46" s="188"/>
      <c r="J46" s="189"/>
      <c r="K46" s="190" t="str">
        <f t="shared" si="0"/>
        <v/>
      </c>
      <c r="L46" s="190" t="str">
        <f t="shared" si="1"/>
        <v/>
      </c>
      <c r="M46" s="188"/>
      <c r="N46" s="188"/>
      <c r="O46" s="188"/>
      <c r="P46" s="188"/>
      <c r="Q46" s="188"/>
      <c r="R46" s="188"/>
      <c r="S46" s="214"/>
      <c r="T46" s="208"/>
      <c r="U46" s="220"/>
      <c r="V46" s="220"/>
      <c r="W46" s="220"/>
      <c r="X46" s="220"/>
      <c r="Y46" s="220"/>
      <c r="Z46" s="220"/>
      <c r="AA46" s="220"/>
      <c r="AB46" s="220"/>
      <c r="AC46" s="220"/>
      <c r="AD46" s="220"/>
      <c r="AE46" s="220"/>
      <c r="AF46" s="220"/>
      <c r="AG46" s="219"/>
      <c r="AH46" s="225">
        <f>SUM(PORTEFEUILLE_SEBASTIEN[[#This Row],[PCR COMPTABLE €]:[MONTANT
RESPONSABLE RELATION CLIENT €]])-PORTEFEUILLE_SEBASTIEN[[#This Row],[MONTANT TOTAL LETTRE DE MISION €]]</f>
        <v>0</v>
      </c>
      <c r="AI46" s="191"/>
      <c r="AJ46" s="188"/>
      <c r="AK46" s="188"/>
      <c r="AL46" s="196"/>
      <c r="AM46" s="196"/>
      <c r="AN46" s="196"/>
      <c r="AO46" s="196"/>
      <c r="AP46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Q46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R46" s="188" t="str">
        <f>IF(PORTEFEUILLE_SEBASTIEN[[#This Row],[BONI AAC]]&lt;&gt;0,1,"")</f>
        <v/>
      </c>
      <c r="AS46" s="188" t="str">
        <f>IF(PORTEFEUILLE_SEBASTIEN[[#This Row],[MALI AAC]]&lt;&gt;0,1,"")</f>
        <v/>
      </c>
      <c r="AT46" s="225">
        <f>IF(AN46&lt;&gt;"",IF((AN46*Paramètres!$H$4)-PORTEFEUILLE_SEBASTIEN[[#This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€]]-(DELPHINE!AN46*Paramètres!$H$4),0),0)</f>
        <v>0</v>
      </c>
      <c r="AU46" s="225">
        <f>IF(AN46&lt;&gt;"",IF(((AN46*Paramètres!$H$4)-PORTEFEUILLE_SEBASTIEN[[#This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€]])&gt;0,(AN46*Paramètres!$H$4)-PORTEFEUILLE_SEBASTIEN[[#This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V46" s="190" t="str">
        <f>IF(PORTEFEUILLE_SEBASTIEN[[#This Row],[BONI COMPTABLE]]&lt;&gt;0,1,"")</f>
        <v/>
      </c>
      <c r="AW46" s="190" t="str">
        <f>IF(PORTEFEUILLE_SEBASTIEN[[#This Row],[MALI COMPTABLE]]&lt;&gt;0,1,"")</f>
        <v/>
      </c>
      <c r="AX46" s="196"/>
      <c r="AY46" s="188"/>
      <c r="AZ46" s="188"/>
      <c r="BA46" s="188"/>
      <c r="BB46" s="188"/>
      <c r="BC46" s="188"/>
      <c r="BD46" s="188"/>
      <c r="BE46" s="192"/>
      <c r="BF46" s="194"/>
      <c r="BG46" s="194"/>
      <c r="BH46" s="195"/>
      <c r="BI46" s="194"/>
    </row>
    <row r="47" spans="1:61" x14ac:dyDescent="0.25">
      <c r="A47" s="172"/>
      <c r="B47" s="181"/>
      <c r="C47" s="165"/>
      <c r="D47" s="171"/>
      <c r="E47" s="189"/>
      <c r="F47" s="188"/>
      <c r="G47" s="189"/>
      <c r="H47" s="189"/>
      <c r="I47" s="189"/>
      <c r="J47" s="189"/>
      <c r="K47" s="190" t="str">
        <f t="shared" si="0"/>
        <v/>
      </c>
      <c r="L47" s="190" t="str">
        <f t="shared" si="1"/>
        <v/>
      </c>
      <c r="M47" s="188"/>
      <c r="N47" s="188"/>
      <c r="O47" s="188"/>
      <c r="P47" s="188"/>
      <c r="Q47" s="188"/>
      <c r="R47" s="188"/>
      <c r="S47" s="213"/>
      <c r="T47" s="207"/>
      <c r="U47" s="219"/>
      <c r="V47" s="219"/>
      <c r="W47" s="219"/>
      <c r="X47" s="219"/>
      <c r="Y47" s="219"/>
      <c r="Z47" s="219"/>
      <c r="AA47" s="219"/>
      <c r="AB47" s="219"/>
      <c r="AC47" s="219"/>
      <c r="AD47" s="219"/>
      <c r="AE47" s="219"/>
      <c r="AF47" s="219"/>
      <c r="AG47" s="219"/>
      <c r="AH47" s="225">
        <f>SUM(PORTEFEUILLE_SEBASTIEN[[#This Row],[PCR COMPTABLE €]:[MONTANT
RESPONSABLE RELATION CLIENT €]])-PORTEFEUILLE_SEBASTIEN[[#This Row],[MONTANT TOTAL LETTRE DE MISION €]]</f>
        <v>0</v>
      </c>
      <c r="AI47" s="191"/>
      <c r="AJ47" s="188"/>
      <c r="AK47" s="188"/>
      <c r="AL47" s="188"/>
      <c r="AM47" s="188"/>
      <c r="AN47" s="188"/>
      <c r="AO47" s="188"/>
      <c r="AP47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Q47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R47" s="188" t="str">
        <f>IF(PORTEFEUILLE_SEBASTIEN[[#This Row],[BONI AAC]]&lt;&gt;0,1,"")</f>
        <v/>
      </c>
      <c r="AS47" s="188" t="str">
        <f>IF(PORTEFEUILLE_SEBASTIEN[[#This Row],[MALI AAC]]&lt;&gt;0,1,"")</f>
        <v/>
      </c>
      <c r="AT47" s="225">
        <f>IF(AN47&lt;&gt;"",IF((AN47*Paramètres!$H$4)-PORTEFEUILLE_SEBASTIEN[[#This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€]]-(DELPHINE!AN47*Paramètres!$H$4),0),0)</f>
        <v>0</v>
      </c>
      <c r="AU47" s="225">
        <f>IF(AN47&lt;&gt;"",IF(((AN47*Paramètres!$H$4)-PORTEFEUILLE_SEBASTIEN[[#This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€]])&gt;0,(AN47*Paramètres!$H$4)-PORTEFEUILLE_SEBASTIEN[[#This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V47" s="190" t="str">
        <f>IF(PORTEFEUILLE_SEBASTIEN[[#This Row],[BONI COMPTABLE]]&lt;&gt;0,1,"")</f>
        <v/>
      </c>
      <c r="AW47" s="190" t="str">
        <f>IF(PORTEFEUILLE_SEBASTIEN[[#This Row],[MALI COMPTABLE]]&lt;&gt;0,1,"")</f>
        <v/>
      </c>
      <c r="AX47" s="188"/>
      <c r="AY47" s="188"/>
      <c r="AZ47" s="188"/>
      <c r="BA47" s="188"/>
      <c r="BB47" s="188"/>
      <c r="BC47" s="188"/>
      <c r="BD47" s="188"/>
      <c r="BE47" s="192"/>
      <c r="BF47" s="194"/>
      <c r="BG47" s="194"/>
      <c r="BH47" s="195"/>
      <c r="BI47" s="194"/>
    </row>
    <row r="48" spans="1:61" x14ac:dyDescent="0.25">
      <c r="A48" s="172"/>
      <c r="B48" s="180"/>
      <c r="C48" s="165"/>
      <c r="D48" s="171"/>
      <c r="E48" s="189"/>
      <c r="F48" s="188"/>
      <c r="G48" s="188"/>
      <c r="H48" s="189"/>
      <c r="I48" s="189"/>
      <c r="J48" s="189"/>
      <c r="K48" s="190" t="str">
        <f t="shared" si="0"/>
        <v/>
      </c>
      <c r="L48" s="190" t="str">
        <f t="shared" si="1"/>
        <v/>
      </c>
      <c r="M48" s="188"/>
      <c r="N48" s="188"/>
      <c r="O48" s="188"/>
      <c r="P48" s="188"/>
      <c r="Q48" s="188"/>
      <c r="R48" s="188"/>
      <c r="S48" s="214"/>
      <c r="T48" s="208"/>
      <c r="U48" s="220"/>
      <c r="V48" s="220"/>
      <c r="W48" s="220"/>
      <c r="X48" s="220"/>
      <c r="Y48" s="220"/>
      <c r="Z48" s="220"/>
      <c r="AA48" s="220"/>
      <c r="AB48" s="220"/>
      <c r="AC48" s="220"/>
      <c r="AD48" s="220"/>
      <c r="AE48" s="220"/>
      <c r="AF48" s="220"/>
      <c r="AG48" s="219"/>
      <c r="AH48" s="225">
        <f>SUM(PORTEFEUILLE_SEBASTIEN[[#This Row],[PCR COMPTABLE €]:[MONTANT
RESPONSABLE RELATION CLIENT €]])-PORTEFEUILLE_SEBASTIEN[[#This Row],[MONTANT TOTAL LETTRE DE MISION €]]</f>
        <v>0</v>
      </c>
      <c r="AI48" s="191"/>
      <c r="AJ48" s="188"/>
      <c r="AK48" s="188"/>
      <c r="AL48" s="196"/>
      <c r="AM48" s="196"/>
      <c r="AN48" s="196"/>
      <c r="AO48" s="196"/>
      <c r="AP48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Q48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R48" s="188" t="str">
        <f>IF(PORTEFEUILLE_SEBASTIEN[[#This Row],[BONI AAC]]&lt;&gt;0,1,"")</f>
        <v/>
      </c>
      <c r="AS48" s="188" t="str">
        <f>IF(PORTEFEUILLE_SEBASTIEN[[#This Row],[MALI AAC]]&lt;&gt;0,1,"")</f>
        <v/>
      </c>
      <c r="AT48" s="225">
        <f>IF(AN48&lt;&gt;"",IF((AN48*Paramètres!$H$4)-PORTEFEUILLE_SEBASTIEN[[#This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€]]-(DELPHINE!AN48*Paramètres!$H$4),0),0)</f>
        <v>0</v>
      </c>
      <c r="AU48" s="225">
        <f>IF(AN48&lt;&gt;"",IF(((AN48*Paramètres!$H$4)-PORTEFEUILLE_SEBASTIEN[[#This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€]])&gt;0,(AN48*Paramètres!$H$4)-PORTEFEUILLE_SEBASTIEN[[#This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V48" s="190" t="str">
        <f>IF(PORTEFEUILLE_SEBASTIEN[[#This Row],[BONI COMPTABLE]]&lt;&gt;0,1,"")</f>
        <v/>
      </c>
      <c r="AW48" s="190" t="str">
        <f>IF(PORTEFEUILLE_SEBASTIEN[[#This Row],[MALI COMPTABLE]]&lt;&gt;0,1,"")</f>
        <v/>
      </c>
      <c r="AX48" s="196"/>
      <c r="AY48" s="188"/>
      <c r="AZ48" s="188"/>
      <c r="BA48" s="188"/>
      <c r="BB48" s="188"/>
      <c r="BC48" s="188"/>
      <c r="BD48" s="188"/>
      <c r="BE48" s="192"/>
      <c r="BF48" s="194"/>
      <c r="BG48" s="194"/>
      <c r="BH48" s="195"/>
      <c r="BI48" s="194"/>
    </row>
    <row r="49" spans="1:61" x14ac:dyDescent="0.25">
      <c r="A49" s="172"/>
      <c r="B49" s="180"/>
      <c r="C49" s="165"/>
      <c r="D49" s="171"/>
      <c r="E49" s="189"/>
      <c r="F49" s="188"/>
      <c r="G49" s="189"/>
      <c r="H49" s="189"/>
      <c r="I49" s="189"/>
      <c r="J49" s="189"/>
      <c r="K49" s="190" t="str">
        <f t="shared" si="0"/>
        <v/>
      </c>
      <c r="L49" s="190" t="str">
        <f t="shared" si="1"/>
        <v/>
      </c>
      <c r="M49" s="188"/>
      <c r="N49" s="188"/>
      <c r="O49" s="188"/>
      <c r="P49" s="188"/>
      <c r="Q49" s="188"/>
      <c r="R49" s="188"/>
      <c r="S49" s="213"/>
      <c r="T49" s="207"/>
      <c r="U49" s="219"/>
      <c r="V49" s="219"/>
      <c r="W49" s="219"/>
      <c r="X49" s="219"/>
      <c r="Y49" s="219"/>
      <c r="Z49" s="219"/>
      <c r="AA49" s="219"/>
      <c r="AB49" s="219"/>
      <c r="AC49" s="219"/>
      <c r="AD49" s="219"/>
      <c r="AE49" s="219"/>
      <c r="AF49" s="219"/>
      <c r="AG49" s="219"/>
      <c r="AH49" s="225">
        <f>SUM(PORTEFEUILLE_SEBASTIEN[[#This Row],[PCR COMPTABLE €]:[MONTANT
RESPONSABLE RELATION CLIENT €]])-PORTEFEUILLE_SEBASTIEN[[#This Row],[MONTANT TOTAL LETTRE DE MISION €]]</f>
        <v>0</v>
      </c>
      <c r="AI49" s="191"/>
      <c r="AJ49" s="188"/>
      <c r="AK49" s="188"/>
      <c r="AL49" s="188"/>
      <c r="AM49" s="188"/>
      <c r="AN49" s="188"/>
      <c r="AO49" s="188"/>
      <c r="AP49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Q49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R49" s="188" t="str">
        <f>IF(PORTEFEUILLE_SEBASTIEN[[#This Row],[BONI AAC]]&lt;&gt;0,1,"")</f>
        <v/>
      </c>
      <c r="AS49" s="188" t="str">
        <f>IF(PORTEFEUILLE_SEBASTIEN[[#This Row],[MALI AAC]]&lt;&gt;0,1,"")</f>
        <v/>
      </c>
      <c r="AT49" s="225">
        <f>IF(AN49&lt;&gt;"",IF((AN49*Paramètres!$H$4)-PORTEFEUILLE_SEBASTIEN[[#This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€]]-(DELPHINE!AN49*Paramètres!$H$4),0),0)</f>
        <v>0</v>
      </c>
      <c r="AU49" s="225">
        <f>IF(AN49&lt;&gt;"",IF(((AN49*Paramètres!$H$4)-PORTEFEUILLE_SEBASTIEN[[#This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€]])&gt;0,(AN49*Paramètres!$H$4)-PORTEFEUILLE_SEBASTIEN[[#This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V49" s="190" t="str">
        <f>IF(PORTEFEUILLE_SEBASTIEN[[#This Row],[BONI COMPTABLE]]&lt;&gt;0,1,"")</f>
        <v/>
      </c>
      <c r="AW49" s="190" t="str">
        <f>IF(PORTEFEUILLE_SEBASTIEN[[#This Row],[MALI COMPTABLE]]&lt;&gt;0,1,"")</f>
        <v/>
      </c>
      <c r="AX49" s="188"/>
      <c r="AY49" s="188"/>
      <c r="AZ49" s="188"/>
      <c r="BA49" s="188"/>
      <c r="BB49" s="196"/>
      <c r="BC49" s="188"/>
      <c r="BD49" s="188"/>
      <c r="BE49" s="192"/>
      <c r="BF49" s="194"/>
      <c r="BG49" s="194"/>
      <c r="BH49" s="195"/>
      <c r="BI49" s="194"/>
    </row>
    <row r="50" spans="1:61" x14ac:dyDescent="0.25">
      <c r="A50" s="172"/>
      <c r="B50" s="170"/>
      <c r="C50" s="165"/>
      <c r="D50" s="171"/>
      <c r="E50" s="189"/>
      <c r="F50" s="188"/>
      <c r="G50" s="188"/>
      <c r="H50" s="189"/>
      <c r="I50" s="188"/>
      <c r="J50" s="188"/>
      <c r="K50" s="190" t="str">
        <f t="shared" si="0"/>
        <v/>
      </c>
      <c r="L50" s="190" t="str">
        <f t="shared" si="1"/>
        <v/>
      </c>
      <c r="M50" s="188"/>
      <c r="N50" s="188"/>
      <c r="O50" s="188"/>
      <c r="P50" s="188"/>
      <c r="Q50" s="188"/>
      <c r="R50" s="188"/>
      <c r="S50" s="214"/>
      <c r="T50" s="208"/>
      <c r="U50" s="220"/>
      <c r="V50" s="220"/>
      <c r="W50" s="220"/>
      <c r="X50" s="220"/>
      <c r="Y50" s="220"/>
      <c r="Z50" s="220"/>
      <c r="AA50" s="220"/>
      <c r="AB50" s="220"/>
      <c r="AC50" s="220"/>
      <c r="AD50" s="220"/>
      <c r="AE50" s="220"/>
      <c r="AF50" s="220"/>
      <c r="AG50" s="219"/>
      <c r="AH50" s="225">
        <f>SUM(PORTEFEUILLE_SEBASTIEN[[#This Row],[PCR COMPTABLE €]:[MONTANT
RESPONSABLE RELATION CLIENT €]])-PORTEFEUILLE_SEBASTIEN[[#This Row],[MONTANT TOTAL LETTRE DE MISION €]]</f>
        <v>0</v>
      </c>
      <c r="AI50" s="191"/>
      <c r="AJ50" s="188"/>
      <c r="AK50" s="188"/>
      <c r="AL50" s="196"/>
      <c r="AM50" s="196"/>
      <c r="AN50" s="196"/>
      <c r="AO50" s="196"/>
      <c r="AP50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Q50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R50" s="188" t="str">
        <f>IF(PORTEFEUILLE_SEBASTIEN[[#This Row],[BONI AAC]]&lt;&gt;0,1,"")</f>
        <v/>
      </c>
      <c r="AS50" s="188" t="str">
        <f>IF(PORTEFEUILLE_SEBASTIEN[[#This Row],[MALI AAC]]&lt;&gt;0,1,"")</f>
        <v/>
      </c>
      <c r="AT50" s="225">
        <f>IF(AN50&lt;&gt;"",IF((AN50*Paramètres!$H$4)-PORTEFEUILLE_SEBASTIEN[[#This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€]]-(DELPHINE!AN50*Paramètres!$H$4),0),0)</f>
        <v>0</v>
      </c>
      <c r="AU50" s="225">
        <f>IF(AN50&lt;&gt;"",IF(((AN50*Paramètres!$H$4)-PORTEFEUILLE_SEBASTIEN[[#This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€]])&gt;0,(AN50*Paramètres!$H$4)-PORTEFEUILLE_SEBASTIEN[[#This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V50" s="190" t="str">
        <f>IF(PORTEFEUILLE_SEBASTIEN[[#This Row],[BONI COMPTABLE]]&lt;&gt;0,1,"")</f>
        <v/>
      </c>
      <c r="AW50" s="190" t="str">
        <f>IF(PORTEFEUILLE_SEBASTIEN[[#This Row],[MALI COMPTABLE]]&lt;&gt;0,1,"")</f>
        <v/>
      </c>
      <c r="AX50" s="196"/>
      <c r="AY50" s="188"/>
      <c r="AZ50" s="188"/>
      <c r="BA50" s="188"/>
      <c r="BB50" s="196"/>
      <c r="BC50" s="196"/>
      <c r="BD50" s="196"/>
      <c r="BE50" s="192"/>
      <c r="BF50" s="194"/>
      <c r="BG50" s="194"/>
      <c r="BH50" s="195"/>
      <c r="BI50" s="194"/>
    </row>
    <row r="51" spans="1:61" x14ac:dyDescent="0.25">
      <c r="A51" s="172"/>
      <c r="B51" s="170"/>
      <c r="C51" s="165"/>
      <c r="D51" s="171"/>
      <c r="E51" s="189"/>
      <c r="F51" s="188"/>
      <c r="G51" s="188"/>
      <c r="H51" s="189"/>
      <c r="I51" s="188"/>
      <c r="J51" s="189"/>
      <c r="K51" s="190" t="str">
        <f t="shared" si="0"/>
        <v/>
      </c>
      <c r="L51" s="190" t="str">
        <f t="shared" si="1"/>
        <v/>
      </c>
      <c r="M51" s="188"/>
      <c r="N51" s="188"/>
      <c r="O51" s="188"/>
      <c r="P51" s="188"/>
      <c r="Q51" s="188"/>
      <c r="R51" s="188"/>
      <c r="S51" s="214"/>
      <c r="T51" s="208"/>
      <c r="U51" s="220"/>
      <c r="V51" s="220"/>
      <c r="W51" s="220"/>
      <c r="X51" s="220"/>
      <c r="Y51" s="220"/>
      <c r="Z51" s="220"/>
      <c r="AA51" s="220"/>
      <c r="AB51" s="220"/>
      <c r="AC51" s="220"/>
      <c r="AD51" s="220"/>
      <c r="AE51" s="220"/>
      <c r="AF51" s="220"/>
      <c r="AG51" s="219"/>
      <c r="AH51" s="225">
        <f>SUM(PORTEFEUILLE_SEBASTIEN[[#This Row],[PCR COMPTABLE €]:[MONTANT
RESPONSABLE RELATION CLIENT €]])-PORTEFEUILLE_SEBASTIEN[[#This Row],[MONTANT TOTAL LETTRE DE MISION €]]</f>
        <v>0</v>
      </c>
      <c r="AI51" s="191"/>
      <c r="AJ51" s="188"/>
      <c r="AK51" s="188"/>
      <c r="AL51" s="196"/>
      <c r="AM51" s="196"/>
      <c r="AN51" s="196"/>
      <c r="AO51" s="196"/>
      <c r="AP51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Q51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R51" s="188" t="str">
        <f>IF(PORTEFEUILLE_SEBASTIEN[[#This Row],[BONI AAC]]&lt;&gt;0,1,"")</f>
        <v/>
      </c>
      <c r="AS51" s="188" t="str">
        <f>IF(PORTEFEUILLE_SEBASTIEN[[#This Row],[MALI AAC]]&lt;&gt;0,1,"")</f>
        <v/>
      </c>
      <c r="AT51" s="225">
        <f>IF(AN51&lt;&gt;"",IF((AN51*Paramètres!$H$4)-PORTEFEUILLE_SEBASTIEN[[#This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€]]-(DELPHINE!AN51*Paramètres!$H$4),0),0)</f>
        <v>0</v>
      </c>
      <c r="AU51" s="225">
        <f>IF(AN51&lt;&gt;"",IF(((AN51*Paramètres!$H$4)-PORTEFEUILLE_SEBASTIEN[[#This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€]])&gt;0,(AN51*Paramètres!$H$4)-PORTEFEUILLE_SEBASTIEN[[#This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V51" s="190" t="str">
        <f>IF(PORTEFEUILLE_SEBASTIEN[[#This Row],[BONI COMPTABLE]]&lt;&gt;0,1,"")</f>
        <v/>
      </c>
      <c r="AW51" s="190" t="str">
        <f>IF(PORTEFEUILLE_SEBASTIEN[[#This Row],[MALI COMPTABLE]]&lt;&gt;0,1,"")</f>
        <v/>
      </c>
      <c r="AX51" s="196"/>
      <c r="AY51" s="188"/>
      <c r="AZ51" s="188"/>
      <c r="BA51" s="188"/>
      <c r="BB51" s="196"/>
      <c r="BC51" s="196"/>
      <c r="BD51" s="196"/>
      <c r="BE51" s="192"/>
      <c r="BF51" s="194"/>
      <c r="BG51" s="194"/>
      <c r="BH51" s="195"/>
      <c r="BI51" s="194"/>
    </row>
    <row r="52" spans="1:61" x14ac:dyDescent="0.25">
      <c r="A52" s="172"/>
      <c r="B52" s="170"/>
      <c r="C52" s="165"/>
      <c r="D52" s="171"/>
      <c r="E52" s="189"/>
      <c r="F52" s="188"/>
      <c r="G52" s="188"/>
      <c r="H52" s="189"/>
      <c r="I52" s="188"/>
      <c r="J52" s="189"/>
      <c r="K52" s="190" t="str">
        <f t="shared" si="0"/>
        <v/>
      </c>
      <c r="L52" s="190" t="str">
        <f t="shared" si="1"/>
        <v/>
      </c>
      <c r="M52" s="188"/>
      <c r="N52" s="188"/>
      <c r="O52" s="188"/>
      <c r="P52" s="188"/>
      <c r="Q52" s="188"/>
      <c r="R52" s="188"/>
      <c r="S52" s="214"/>
      <c r="T52" s="208"/>
      <c r="U52" s="220"/>
      <c r="V52" s="220"/>
      <c r="W52" s="220"/>
      <c r="X52" s="220"/>
      <c r="Y52" s="220"/>
      <c r="Z52" s="220"/>
      <c r="AA52" s="220"/>
      <c r="AB52" s="220"/>
      <c r="AC52" s="220"/>
      <c r="AD52" s="220"/>
      <c r="AE52" s="220"/>
      <c r="AF52" s="220"/>
      <c r="AG52" s="219"/>
      <c r="AH52" s="225">
        <f>SUM(PORTEFEUILLE_SEBASTIEN[[#This Row],[PCR COMPTABLE €]:[MONTANT
RESPONSABLE RELATION CLIENT €]])-PORTEFEUILLE_SEBASTIEN[[#This Row],[MONTANT TOTAL LETTRE DE MISION €]]</f>
        <v>0</v>
      </c>
      <c r="AI52" s="191"/>
      <c r="AJ52" s="188"/>
      <c r="AK52" s="188"/>
      <c r="AL52" s="196"/>
      <c r="AM52" s="196"/>
      <c r="AN52" s="196"/>
      <c r="AO52" s="196"/>
      <c r="AP52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Q52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R52" s="188" t="str">
        <f>IF(PORTEFEUILLE_SEBASTIEN[[#This Row],[BONI AAC]]&lt;&gt;0,1,"")</f>
        <v/>
      </c>
      <c r="AS52" s="188" t="str">
        <f>IF(PORTEFEUILLE_SEBASTIEN[[#This Row],[MALI AAC]]&lt;&gt;0,1,"")</f>
        <v/>
      </c>
      <c r="AT52" s="225">
        <f>IF(AN52&lt;&gt;"",IF((AN52*Paramètres!$H$4)-PORTEFEUILLE_SEBASTIEN[[#This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€]]-(DELPHINE!AN52*Paramètres!$H$4),0),0)</f>
        <v>0</v>
      </c>
      <c r="AU52" s="225">
        <f>IF(AN52&lt;&gt;"",IF(((AN52*Paramètres!$H$4)-PORTEFEUILLE_SEBASTIEN[[#This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€]])&gt;0,(AN52*Paramètres!$H$4)-PORTEFEUILLE_SEBASTIEN[[#This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V52" s="190" t="str">
        <f>IF(PORTEFEUILLE_SEBASTIEN[[#This Row],[BONI COMPTABLE]]&lt;&gt;0,1,"")</f>
        <v/>
      </c>
      <c r="AW52" s="190" t="str">
        <f>IF(PORTEFEUILLE_SEBASTIEN[[#This Row],[MALI COMPTABLE]]&lt;&gt;0,1,"")</f>
        <v/>
      </c>
      <c r="AX52" s="196"/>
      <c r="AY52" s="188"/>
      <c r="AZ52" s="188"/>
      <c r="BA52" s="188"/>
      <c r="BB52" s="196"/>
      <c r="BC52" s="196"/>
      <c r="BD52" s="196"/>
      <c r="BE52" s="192"/>
      <c r="BF52" s="194"/>
      <c r="BG52" s="194"/>
      <c r="BH52" s="195"/>
      <c r="BI52" s="194"/>
    </row>
    <row r="53" spans="1:61" x14ac:dyDescent="0.25">
      <c r="A53" s="172"/>
      <c r="B53" s="182"/>
      <c r="C53" s="183"/>
      <c r="D53" s="184"/>
      <c r="E53" s="200"/>
      <c r="F53" s="201"/>
      <c r="G53" s="201"/>
      <c r="H53" s="189"/>
      <c r="I53" s="201"/>
      <c r="J53" s="201"/>
      <c r="K53" s="190" t="str">
        <f t="shared" si="0"/>
        <v/>
      </c>
      <c r="L53" s="190" t="str">
        <f t="shared" si="1"/>
        <v/>
      </c>
      <c r="M53" s="188"/>
      <c r="N53" s="188"/>
      <c r="O53" s="188"/>
      <c r="P53" s="188"/>
      <c r="Q53" s="188"/>
      <c r="R53" s="188"/>
      <c r="S53" s="216"/>
      <c r="T53" s="210"/>
      <c r="U53" s="222"/>
      <c r="V53" s="222"/>
      <c r="W53" s="222"/>
      <c r="X53" s="222"/>
      <c r="Y53" s="222"/>
      <c r="Z53" s="222"/>
      <c r="AA53" s="222"/>
      <c r="AB53" s="222"/>
      <c r="AC53" s="222"/>
      <c r="AD53" s="222"/>
      <c r="AE53" s="222"/>
      <c r="AF53" s="222"/>
      <c r="AG53" s="219"/>
      <c r="AH53" s="225">
        <f>SUM(PORTEFEUILLE_SEBASTIEN[[#This Row],[PCR COMPTABLE €]:[MONTANT
RESPONSABLE RELATION CLIENT €]])-PORTEFEUILLE_SEBASTIEN[[#This Row],[MONTANT TOTAL LETTRE DE MISION €]]</f>
        <v>0</v>
      </c>
      <c r="AI53" s="191"/>
      <c r="AJ53" s="188"/>
      <c r="AK53" s="201"/>
      <c r="AL53" s="202"/>
      <c r="AM53" s="202"/>
      <c r="AN53" s="202"/>
      <c r="AO53" s="202"/>
      <c r="AP53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Q53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R53" s="188" t="str">
        <f>IF(PORTEFEUILLE_SEBASTIEN[[#This Row],[BONI AAC]]&lt;&gt;0,1,"")</f>
        <v/>
      </c>
      <c r="AS53" s="188" t="str">
        <f>IF(PORTEFEUILLE_SEBASTIEN[[#This Row],[MALI AAC]]&lt;&gt;0,1,"")</f>
        <v/>
      </c>
      <c r="AT53" s="225">
        <f>IF(AN53&lt;&gt;"",IF((AN53*Paramètres!$H$4)-PORTEFEUILLE_SEBASTIEN[[#This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€]]-(DELPHINE!AN53*Paramètres!$H$4),0),0)</f>
        <v>0</v>
      </c>
      <c r="AU53" s="225">
        <f>IF(AN53&lt;&gt;"",IF(((AN53*Paramètres!$H$4)-PORTEFEUILLE_SEBASTIEN[[#This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€]])&gt;0,(AN53*Paramètres!$H$4)-PORTEFEUILLE_SEBASTIEN[[#This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V53" s="190" t="str">
        <f>IF(PORTEFEUILLE_SEBASTIEN[[#This Row],[BONI COMPTABLE]]&lt;&gt;0,1,"")</f>
        <v/>
      </c>
      <c r="AW53" s="190" t="str">
        <f>IF(PORTEFEUILLE_SEBASTIEN[[#This Row],[MALI COMPTABLE]]&lt;&gt;0,1,"")</f>
        <v/>
      </c>
      <c r="AX53" s="202"/>
      <c r="AY53" s="188"/>
      <c r="AZ53" s="188"/>
      <c r="BA53" s="188"/>
      <c r="BB53" s="202"/>
      <c r="BC53" s="202"/>
      <c r="BD53" s="202"/>
      <c r="BE53" s="192"/>
      <c r="BF53" s="194"/>
      <c r="BG53" s="194"/>
      <c r="BH53" s="195"/>
      <c r="BI53" s="194"/>
    </row>
    <row r="54" spans="1:61" x14ac:dyDescent="0.25">
      <c r="A54" s="172"/>
      <c r="B54" s="185"/>
      <c r="C54" s="172"/>
      <c r="D54" s="172"/>
      <c r="E54" s="203"/>
      <c r="F54" s="194"/>
      <c r="G54" s="194"/>
      <c r="H54" s="189"/>
      <c r="I54" s="194"/>
      <c r="J54" s="194"/>
      <c r="K54" s="190" t="str">
        <f t="shared" si="0"/>
        <v/>
      </c>
      <c r="L54" s="190" t="str">
        <f t="shared" si="1"/>
        <v/>
      </c>
      <c r="M54" s="188"/>
      <c r="N54" s="188"/>
      <c r="O54" s="188"/>
      <c r="P54" s="188"/>
      <c r="Q54" s="188"/>
      <c r="R54" s="188"/>
      <c r="S54" s="217"/>
      <c r="T54" s="211"/>
      <c r="U54" s="223"/>
      <c r="V54" s="223"/>
      <c r="W54" s="223"/>
      <c r="X54" s="223"/>
      <c r="Y54" s="223"/>
      <c r="Z54" s="223"/>
      <c r="AA54" s="223"/>
      <c r="AB54" s="223"/>
      <c r="AC54" s="223"/>
      <c r="AD54" s="223"/>
      <c r="AE54" s="223"/>
      <c r="AF54" s="223"/>
      <c r="AG54" s="219"/>
      <c r="AH54" s="225">
        <f>SUM(PORTEFEUILLE_SEBASTIEN[[#This Row],[PCR COMPTABLE €]:[MONTANT
RESPONSABLE RELATION CLIENT €]])-PORTEFEUILLE_SEBASTIEN[[#This Row],[MONTANT TOTAL LETTRE DE MISION €]]</f>
        <v>0</v>
      </c>
      <c r="AI54" s="191"/>
      <c r="AJ54" s="188"/>
      <c r="AK54" s="188"/>
      <c r="AL54" s="194"/>
      <c r="AM54" s="194"/>
      <c r="AN54" s="194"/>
      <c r="AO54" s="194"/>
      <c r="AP54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Q54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R54" s="188" t="str">
        <f>IF(PORTEFEUILLE_SEBASTIEN[[#This Row],[BONI AAC]]&lt;&gt;0,1,"")</f>
        <v/>
      </c>
      <c r="AS54" s="188" t="str">
        <f>IF(PORTEFEUILLE_SEBASTIEN[[#This Row],[MALI AAC]]&lt;&gt;0,1,"")</f>
        <v/>
      </c>
      <c r="AT54" s="225">
        <f>IF(AN54&lt;&gt;"",IF((AN54*Paramètres!$H$4)-PORTEFEUILLE_SEBASTIEN[[#This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€]]-(DELPHINE!AN54*Paramètres!$H$4),0),0)</f>
        <v>0</v>
      </c>
      <c r="AU54" s="225">
        <f>IF(AN54&lt;&gt;"",IF(((AN54*Paramètres!$H$4)-PORTEFEUILLE_SEBASTIEN[[#This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€]])&gt;0,(AN54*Paramètres!$H$4)-PORTEFEUILLE_SEBASTIEN[[#This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V54" s="190" t="str">
        <f>IF(PORTEFEUILLE_SEBASTIEN[[#This Row],[BONI COMPTABLE]]&lt;&gt;0,1,"")</f>
        <v/>
      </c>
      <c r="AW54" s="190" t="str">
        <f>IF(PORTEFEUILLE_SEBASTIEN[[#This Row],[MALI COMPTABLE]]&lt;&gt;0,1,"")</f>
        <v/>
      </c>
      <c r="AX54" s="194"/>
      <c r="AY54" s="188"/>
      <c r="AZ54" s="188"/>
      <c r="BA54" s="188"/>
      <c r="BB54" s="194"/>
      <c r="BC54" s="194"/>
      <c r="BD54" s="194"/>
      <c r="BE54" s="192"/>
      <c r="BF54" s="194"/>
      <c r="BG54" s="194"/>
      <c r="BH54" s="195"/>
      <c r="BI54" s="194"/>
    </row>
    <row r="55" spans="1:61" x14ac:dyDescent="0.25">
      <c r="A55" s="172"/>
      <c r="B55" s="185"/>
      <c r="C55" s="172"/>
      <c r="D55" s="172"/>
      <c r="E55" s="203"/>
      <c r="F55" s="194"/>
      <c r="G55" s="194"/>
      <c r="H55" s="189"/>
      <c r="I55" s="194"/>
      <c r="J55" s="194"/>
      <c r="K55" s="190" t="str">
        <f t="shared" si="0"/>
        <v/>
      </c>
      <c r="L55" s="190" t="str">
        <f t="shared" si="1"/>
        <v/>
      </c>
      <c r="M55" s="188"/>
      <c r="N55" s="188"/>
      <c r="O55" s="188"/>
      <c r="P55" s="188"/>
      <c r="Q55" s="188"/>
      <c r="R55" s="188"/>
      <c r="S55" s="217"/>
      <c r="T55" s="211"/>
      <c r="U55" s="223"/>
      <c r="V55" s="223"/>
      <c r="W55" s="223"/>
      <c r="X55" s="223"/>
      <c r="Y55" s="223"/>
      <c r="Z55" s="223"/>
      <c r="AA55" s="223"/>
      <c r="AB55" s="223"/>
      <c r="AC55" s="223"/>
      <c r="AD55" s="223"/>
      <c r="AE55" s="223"/>
      <c r="AF55" s="223"/>
      <c r="AG55" s="219"/>
      <c r="AH55" s="225">
        <f>SUM(PORTEFEUILLE_SEBASTIEN[[#This Row],[PCR COMPTABLE €]:[MONTANT
RESPONSABLE RELATION CLIENT €]])-PORTEFEUILLE_SEBASTIEN[[#This Row],[MONTANT TOTAL LETTRE DE MISION €]]</f>
        <v>0</v>
      </c>
      <c r="AI55" s="191"/>
      <c r="AJ55" s="188"/>
      <c r="AK55" s="188"/>
      <c r="AL55" s="194"/>
      <c r="AM55" s="194"/>
      <c r="AN55" s="194"/>
      <c r="AO55" s="194"/>
      <c r="AP55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Q55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R55" s="188" t="str">
        <f>IF(PORTEFEUILLE_SEBASTIEN[[#This Row],[BONI AAC]]&lt;&gt;0,1,"")</f>
        <v/>
      </c>
      <c r="AS55" s="188" t="str">
        <f>IF(PORTEFEUILLE_SEBASTIEN[[#This Row],[MALI AAC]]&lt;&gt;0,1,"")</f>
        <v/>
      </c>
      <c r="AT55" s="225">
        <f>IF(AN55&lt;&gt;"",IF((AN55*Paramètres!$H$4)-PORTEFEUILLE_SEBASTIEN[[#This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€]]-(DELPHINE!AN55*Paramètres!$H$4),0),0)</f>
        <v>0</v>
      </c>
      <c r="AU55" s="225">
        <f>IF(AN55&lt;&gt;"",IF(((AN55*Paramètres!$H$4)-PORTEFEUILLE_SEBASTIEN[[#This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€]])&gt;0,(AN55*Paramètres!$H$4)-PORTEFEUILLE_SEBASTIEN[[#This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V55" s="190" t="str">
        <f>IF(PORTEFEUILLE_SEBASTIEN[[#This Row],[BONI COMPTABLE]]&lt;&gt;0,1,"")</f>
        <v/>
      </c>
      <c r="AW55" s="190" t="str">
        <f>IF(PORTEFEUILLE_SEBASTIEN[[#This Row],[MALI COMPTABLE]]&lt;&gt;0,1,"")</f>
        <v/>
      </c>
      <c r="AX55" s="194"/>
      <c r="AY55" s="188"/>
      <c r="AZ55" s="188"/>
      <c r="BA55" s="188"/>
      <c r="BB55" s="194"/>
      <c r="BC55" s="194"/>
      <c r="BD55" s="194"/>
      <c r="BE55" s="192"/>
      <c r="BF55" s="194"/>
      <c r="BG55" s="194"/>
      <c r="BH55" s="195"/>
      <c r="BI55" s="194"/>
    </row>
    <row r="56" spans="1:61" x14ac:dyDescent="0.25">
      <c r="A56" s="172"/>
      <c r="B56" s="185"/>
      <c r="C56" s="172"/>
      <c r="D56" s="172"/>
      <c r="E56" s="203"/>
      <c r="F56" s="194"/>
      <c r="G56" s="194"/>
      <c r="H56" s="189"/>
      <c r="I56" s="194"/>
      <c r="J56" s="194"/>
      <c r="K56" s="190" t="str">
        <f t="shared" si="0"/>
        <v/>
      </c>
      <c r="L56" s="190" t="str">
        <f t="shared" si="1"/>
        <v/>
      </c>
      <c r="M56" s="188"/>
      <c r="N56" s="188"/>
      <c r="O56" s="188"/>
      <c r="P56" s="188"/>
      <c r="Q56" s="188"/>
      <c r="R56" s="188"/>
      <c r="S56" s="217"/>
      <c r="T56" s="211"/>
      <c r="U56" s="223"/>
      <c r="V56" s="223"/>
      <c r="W56" s="223"/>
      <c r="X56" s="223"/>
      <c r="Y56" s="223"/>
      <c r="Z56" s="223"/>
      <c r="AA56" s="223"/>
      <c r="AB56" s="223"/>
      <c r="AC56" s="223"/>
      <c r="AD56" s="223"/>
      <c r="AE56" s="223"/>
      <c r="AF56" s="223"/>
      <c r="AG56" s="219"/>
      <c r="AH56" s="225">
        <f>SUM(PORTEFEUILLE_SEBASTIEN[[#This Row],[PCR COMPTABLE €]:[MONTANT
RESPONSABLE RELATION CLIENT €]])-PORTEFEUILLE_SEBASTIEN[[#This Row],[MONTANT TOTAL LETTRE DE MISION €]]</f>
        <v>0</v>
      </c>
      <c r="AI56" s="191"/>
      <c r="AJ56" s="188"/>
      <c r="AK56" s="188"/>
      <c r="AL56" s="194"/>
      <c r="AM56" s="194"/>
      <c r="AN56" s="194"/>
      <c r="AO56" s="194"/>
      <c r="AP56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Q56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R56" s="188" t="str">
        <f>IF(PORTEFEUILLE_SEBASTIEN[[#This Row],[BONI AAC]]&lt;&gt;0,1,"")</f>
        <v/>
      </c>
      <c r="AS56" s="188" t="str">
        <f>IF(PORTEFEUILLE_SEBASTIEN[[#This Row],[MALI AAC]]&lt;&gt;0,1,"")</f>
        <v/>
      </c>
      <c r="AT56" s="225">
        <f>IF(AN56&lt;&gt;"",IF((AN56*Paramètres!$H$4)-PORTEFEUILLE_SEBASTIEN[[#This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€]]-(DELPHINE!AN56*Paramètres!$H$4),0),0)</f>
        <v>0</v>
      </c>
      <c r="AU56" s="225">
        <f>IF(AN56&lt;&gt;"",IF(((AN56*Paramètres!$H$4)-PORTEFEUILLE_SEBASTIEN[[#This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€]])&gt;0,(AN56*Paramètres!$H$4)-PORTEFEUILLE_SEBASTIEN[[#This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V56" s="190" t="str">
        <f>IF(PORTEFEUILLE_SEBASTIEN[[#This Row],[BONI COMPTABLE]]&lt;&gt;0,1,"")</f>
        <v/>
      </c>
      <c r="AW56" s="190" t="str">
        <f>IF(PORTEFEUILLE_SEBASTIEN[[#This Row],[MALI COMPTABLE]]&lt;&gt;0,1,"")</f>
        <v/>
      </c>
      <c r="AX56" s="194"/>
      <c r="AY56" s="188"/>
      <c r="AZ56" s="188"/>
      <c r="BA56" s="188"/>
      <c r="BB56" s="194"/>
      <c r="BC56" s="194"/>
      <c r="BD56" s="194"/>
      <c r="BE56" s="192"/>
      <c r="BF56" s="194"/>
      <c r="BG56" s="194"/>
      <c r="BH56" s="195"/>
      <c r="BI56" s="194"/>
    </row>
    <row r="57" spans="1:61" x14ac:dyDescent="0.25">
      <c r="A57" s="172"/>
      <c r="B57" s="185"/>
      <c r="C57" s="172"/>
      <c r="D57" s="172"/>
      <c r="E57" s="203"/>
      <c r="F57" s="194"/>
      <c r="G57" s="194"/>
      <c r="H57" s="189"/>
      <c r="I57" s="194"/>
      <c r="J57" s="194"/>
      <c r="K57" s="190" t="str">
        <f t="shared" si="0"/>
        <v/>
      </c>
      <c r="L57" s="190" t="str">
        <f t="shared" si="1"/>
        <v/>
      </c>
      <c r="M57" s="188"/>
      <c r="N57" s="188"/>
      <c r="O57" s="188"/>
      <c r="P57" s="188"/>
      <c r="Q57" s="188"/>
      <c r="R57" s="188"/>
      <c r="S57" s="217"/>
      <c r="T57" s="211"/>
      <c r="U57" s="223"/>
      <c r="V57" s="223"/>
      <c r="W57" s="223"/>
      <c r="X57" s="223"/>
      <c r="Y57" s="223"/>
      <c r="Z57" s="223"/>
      <c r="AA57" s="223"/>
      <c r="AB57" s="223"/>
      <c r="AC57" s="223"/>
      <c r="AD57" s="223"/>
      <c r="AE57" s="223"/>
      <c r="AF57" s="223"/>
      <c r="AG57" s="219"/>
      <c r="AH57" s="225">
        <f>SUM(PORTEFEUILLE_SEBASTIEN[[#This Row],[PCR COMPTABLE €]:[MONTANT
RESPONSABLE RELATION CLIENT €]])-PORTEFEUILLE_SEBASTIEN[[#This Row],[MONTANT TOTAL LETTRE DE MISION €]]</f>
        <v>0</v>
      </c>
      <c r="AI57" s="191"/>
      <c r="AJ57" s="188"/>
      <c r="AK57" s="188"/>
      <c r="AL57" s="194"/>
      <c r="AM57" s="194"/>
      <c r="AN57" s="194"/>
      <c r="AO57" s="194"/>
      <c r="AP57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Q57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R57" s="188" t="str">
        <f>IF(PORTEFEUILLE_SEBASTIEN[[#This Row],[BONI AAC]]&lt;&gt;0,1,"")</f>
        <v/>
      </c>
      <c r="AS57" s="188" t="str">
        <f>IF(PORTEFEUILLE_SEBASTIEN[[#This Row],[MALI AAC]]&lt;&gt;0,1,"")</f>
        <v/>
      </c>
      <c r="AT57" s="225">
        <f>IF(AN57&lt;&gt;"",IF((AN57*Paramètres!$H$4)-PORTEFEUILLE_SEBASTIEN[[#This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€]]-(DELPHINE!AN57*Paramètres!$H$4),0),0)</f>
        <v>0</v>
      </c>
      <c r="AU57" s="225">
        <f>IF(AN57&lt;&gt;"",IF(((AN57*Paramètres!$H$4)-PORTEFEUILLE_SEBASTIEN[[#This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€]])&gt;0,(AN57*Paramètres!$H$4)-PORTEFEUILLE_SEBASTIEN[[#This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V57" s="190" t="str">
        <f>IF(PORTEFEUILLE_SEBASTIEN[[#This Row],[BONI COMPTABLE]]&lt;&gt;0,1,"")</f>
        <v/>
      </c>
      <c r="AW57" s="190" t="str">
        <f>IF(PORTEFEUILLE_SEBASTIEN[[#This Row],[MALI COMPTABLE]]&lt;&gt;0,1,"")</f>
        <v/>
      </c>
      <c r="AX57" s="194"/>
      <c r="AY57" s="188"/>
      <c r="AZ57" s="188"/>
      <c r="BA57" s="188"/>
      <c r="BB57" s="194"/>
      <c r="BC57" s="194"/>
      <c r="BD57" s="194"/>
      <c r="BE57" s="192"/>
      <c r="BF57" s="194"/>
      <c r="BG57" s="194"/>
      <c r="BH57" s="195"/>
      <c r="BI57" s="194"/>
    </row>
    <row r="58" spans="1:61" x14ac:dyDescent="0.25">
      <c r="A58" s="172"/>
      <c r="B58" s="179"/>
      <c r="C58" s="176"/>
      <c r="D58" s="172"/>
      <c r="E58" s="203"/>
      <c r="F58" s="194"/>
      <c r="G58" s="194"/>
      <c r="H58" s="189"/>
      <c r="I58" s="194"/>
      <c r="J58" s="194"/>
      <c r="K58" s="190" t="str">
        <f t="shared" si="0"/>
        <v/>
      </c>
      <c r="L58" s="190" t="str">
        <f t="shared" si="1"/>
        <v/>
      </c>
      <c r="M58" s="188"/>
      <c r="N58" s="188"/>
      <c r="O58" s="188"/>
      <c r="P58" s="188"/>
      <c r="Q58" s="188"/>
      <c r="R58" s="188"/>
      <c r="S58" s="217"/>
      <c r="T58" s="211"/>
      <c r="U58" s="223"/>
      <c r="V58" s="223"/>
      <c r="W58" s="223"/>
      <c r="X58" s="223"/>
      <c r="Y58" s="223"/>
      <c r="Z58" s="223"/>
      <c r="AA58" s="223"/>
      <c r="AB58" s="223"/>
      <c r="AC58" s="223"/>
      <c r="AD58" s="223"/>
      <c r="AE58" s="223"/>
      <c r="AF58" s="223"/>
      <c r="AG58" s="219"/>
      <c r="AH58" s="225">
        <f>SUM(PORTEFEUILLE_SEBASTIEN[[#This Row],[PCR COMPTABLE €]:[MONTANT
RESPONSABLE RELATION CLIENT €]])-PORTEFEUILLE_SEBASTIEN[[#This Row],[MONTANT TOTAL LETTRE DE MISION €]]</f>
        <v>0</v>
      </c>
      <c r="AI58" s="191"/>
      <c r="AJ58" s="188"/>
      <c r="AK58" s="188"/>
      <c r="AL58" s="194"/>
      <c r="AM58" s="194"/>
      <c r="AN58" s="194"/>
      <c r="AO58" s="194"/>
      <c r="AP58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Q58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R58" s="188" t="str">
        <f>IF(PORTEFEUILLE_SEBASTIEN[[#This Row],[BONI AAC]]&lt;&gt;0,1,"")</f>
        <v/>
      </c>
      <c r="AS58" s="188" t="str">
        <f>IF(PORTEFEUILLE_SEBASTIEN[[#This Row],[MALI AAC]]&lt;&gt;0,1,"")</f>
        <v/>
      </c>
      <c r="AT58" s="225">
        <f>IF(AN58&lt;&gt;"",IF((AN58*Paramètres!$H$4)-PORTEFEUILLE_SEBASTIEN[[#This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€]]-(DELPHINE!AN58*Paramètres!$H$4),0),0)</f>
        <v>0</v>
      </c>
      <c r="AU58" s="225">
        <f>IF(AN58&lt;&gt;"",IF(((AN58*Paramètres!$H$4)-PORTEFEUILLE_SEBASTIEN[[#This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€]])&gt;0,(AN58*Paramètres!$H$4)-PORTEFEUILLE_SEBASTIEN[[#This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V58" s="190" t="str">
        <f>IF(PORTEFEUILLE_SEBASTIEN[[#This Row],[BONI COMPTABLE]]&lt;&gt;0,1,"")</f>
        <v/>
      </c>
      <c r="AW58" s="190" t="str">
        <f>IF(PORTEFEUILLE_SEBASTIEN[[#This Row],[MALI COMPTABLE]]&lt;&gt;0,1,"")</f>
        <v/>
      </c>
      <c r="AX58" s="194"/>
      <c r="AY58" s="188"/>
      <c r="AZ58" s="188"/>
      <c r="BA58" s="188"/>
      <c r="BB58" s="194"/>
      <c r="BC58" s="194"/>
      <c r="BD58" s="194"/>
      <c r="BE58" s="192"/>
      <c r="BF58" s="194"/>
      <c r="BG58" s="194"/>
      <c r="BH58" s="195"/>
      <c r="BI58" s="194"/>
    </row>
    <row r="59" spans="1:61" x14ac:dyDescent="0.25">
      <c r="A59" s="172"/>
      <c r="B59" s="179"/>
      <c r="C59" s="176"/>
      <c r="D59" s="172"/>
      <c r="E59" s="203"/>
      <c r="F59" s="194"/>
      <c r="G59" s="194"/>
      <c r="H59" s="189"/>
      <c r="I59" s="194"/>
      <c r="J59" s="194"/>
      <c r="K59" s="190" t="str">
        <f t="shared" si="0"/>
        <v/>
      </c>
      <c r="L59" s="190" t="str">
        <f t="shared" si="1"/>
        <v/>
      </c>
      <c r="M59" s="188"/>
      <c r="N59" s="188"/>
      <c r="O59" s="188"/>
      <c r="P59" s="188"/>
      <c r="Q59" s="188"/>
      <c r="R59" s="188"/>
      <c r="S59" s="217"/>
      <c r="T59" s="211"/>
      <c r="U59" s="223"/>
      <c r="V59" s="223"/>
      <c r="W59" s="223"/>
      <c r="X59" s="223"/>
      <c r="Y59" s="223"/>
      <c r="Z59" s="223"/>
      <c r="AA59" s="223"/>
      <c r="AB59" s="223"/>
      <c r="AC59" s="223"/>
      <c r="AD59" s="223"/>
      <c r="AE59" s="223"/>
      <c r="AF59" s="223"/>
      <c r="AG59" s="219"/>
      <c r="AH59" s="225">
        <f>SUM(PORTEFEUILLE_SEBASTIEN[[#This Row],[PCR COMPTABLE €]:[MONTANT
RESPONSABLE RELATION CLIENT €]])-PORTEFEUILLE_SEBASTIEN[[#This Row],[MONTANT TOTAL LETTRE DE MISION €]]</f>
        <v>0</v>
      </c>
      <c r="AI59" s="191"/>
      <c r="AJ59" s="188"/>
      <c r="AK59" s="188"/>
      <c r="AL59" s="194"/>
      <c r="AM59" s="194"/>
      <c r="AN59" s="194"/>
      <c r="AO59" s="194"/>
      <c r="AP59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Q59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R59" s="188" t="str">
        <f>IF(PORTEFEUILLE_SEBASTIEN[[#This Row],[BONI AAC]]&lt;&gt;0,1,"")</f>
        <v/>
      </c>
      <c r="AS59" s="188" t="str">
        <f>IF(PORTEFEUILLE_SEBASTIEN[[#This Row],[MALI AAC]]&lt;&gt;0,1,"")</f>
        <v/>
      </c>
      <c r="AT59" s="225">
        <f>IF(AN59&lt;&gt;"",IF((AN59*Paramètres!$H$4)-PORTEFEUILLE_SEBASTIEN[[#This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€]]-(DELPHINE!AN59*Paramètres!$H$4),0),0)</f>
        <v>0</v>
      </c>
      <c r="AU59" s="225">
        <f>IF(AN59&lt;&gt;"",IF(((AN59*Paramètres!$H$4)-PORTEFEUILLE_SEBASTIEN[[#This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€]])&gt;0,(AN59*Paramètres!$H$4)-PORTEFEUILLE_SEBASTIEN[[#This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V59" s="190" t="str">
        <f>IF(PORTEFEUILLE_SEBASTIEN[[#This Row],[BONI COMPTABLE]]&lt;&gt;0,1,"")</f>
        <v/>
      </c>
      <c r="AW59" s="190" t="str">
        <f>IF(PORTEFEUILLE_SEBASTIEN[[#This Row],[MALI COMPTABLE]]&lt;&gt;0,1,"")</f>
        <v/>
      </c>
      <c r="AX59" s="194"/>
      <c r="AY59" s="188"/>
      <c r="AZ59" s="188"/>
      <c r="BA59" s="188"/>
      <c r="BB59" s="194"/>
      <c r="BC59" s="194"/>
      <c r="BD59" s="194"/>
      <c r="BE59" s="192"/>
      <c r="BF59" s="194"/>
      <c r="BG59" s="194"/>
      <c r="BH59" s="195"/>
      <c r="BI59" s="194"/>
    </row>
    <row r="60" spans="1:61" x14ac:dyDescent="0.25">
      <c r="A60" s="186"/>
      <c r="B60" s="187"/>
      <c r="C60" s="186"/>
      <c r="D60" s="186"/>
      <c r="E60" s="204"/>
      <c r="F60" s="205"/>
      <c r="G60" s="205"/>
      <c r="H60" s="189"/>
      <c r="I60" s="205"/>
      <c r="J60" s="205"/>
      <c r="K60" s="190" t="str">
        <f t="shared" si="0"/>
        <v/>
      </c>
      <c r="L60" s="190" t="str">
        <f t="shared" si="1"/>
        <v/>
      </c>
      <c r="M60" s="188"/>
      <c r="N60" s="188"/>
      <c r="O60" s="188"/>
      <c r="P60" s="188"/>
      <c r="Q60" s="188"/>
      <c r="R60" s="188"/>
      <c r="S60" s="218"/>
      <c r="T60" s="212"/>
      <c r="U60" s="224"/>
      <c r="V60" s="224"/>
      <c r="W60" s="224"/>
      <c r="X60" s="224"/>
      <c r="Y60" s="224"/>
      <c r="Z60" s="224"/>
      <c r="AA60" s="224"/>
      <c r="AB60" s="224"/>
      <c r="AC60" s="224"/>
      <c r="AD60" s="224"/>
      <c r="AE60" s="224"/>
      <c r="AF60" s="224"/>
      <c r="AG60" s="219"/>
      <c r="AH60" s="225">
        <f>SUM(PORTEFEUILLE_SEBASTIEN[[#This Row],[PCR COMPTABLE €]:[MONTANT
RESPONSABLE RELATION CLIENT €]])-PORTEFEUILLE_SEBASTIEN[[#This Row],[MONTANT TOTAL LETTRE DE MISION €]]</f>
        <v>0</v>
      </c>
      <c r="AI60" s="191"/>
      <c r="AJ60" s="188"/>
      <c r="AK60" s="201"/>
      <c r="AL60" s="205"/>
      <c r="AM60" s="205"/>
      <c r="AN60" s="205"/>
      <c r="AO60" s="205"/>
      <c r="AP60" s="225">
        <f>IF(PORTEFEUILLE_SEBASTIEN[[#This Row],[TPS PASSE 
AAC H]]&lt;&gt;"",IF((PORTEFEUILLE_SEBASTIEN[[#This Row],[TPS PASSE 
AAC H]]*Paramètres!$I$4)&lt;(PORTEFEUILLE_SEBASTIEN[[#This Row],[SAISIE PAR UNE AAC €]]+PORTEFEUILLE_SEBASTIEN[[#This Row],[DECLARATION TVA AAC €]]),PORTEFEUILLE_SEBASTIEN[[#This Row],[SAISIE PAR UNE AAC €]]+PORTEFEUILLE_SEBASTIEN[[#This Row],[DECLARATION TVA AAC €]]-(PORTEFEUILLE_SEBASTIEN[[#This Row],[TPS PASSE 
AAC H]]*Paramètres!$I$4),0),0)</f>
        <v>0</v>
      </c>
      <c r="AQ60" s="225">
        <f>IF(PORTEFEUILLE_SEBASTIEN[[#This Row],[TPS PASSE 
AAC H]]&lt;&gt;"",IF((Paramètres!$I$4*PORTEFEUILLE_SEBASTIEN[[#This Row],[TPS PASSE 
AAC H]])&gt;(PORTEFEUILLE_SEBASTIEN[[#This Row],[SAISIE PAR UNE AAC €]]+PORTEFEUILLE_SEBASTIEN[[#This Row],[DECLARATION TVA AAC €]]),(PORTEFEUILLE_SEBASTIEN[[#This Row],[TPS PASSE 
AAC H]]*Paramètres!$I$4)-(PORTEFEUILLE_SEBASTIEN[[#This Row],[SAISIE PAR UNE AAC €]]+PORTEFEUILLE_SEBASTIEN[[#This Row],[DECLARATION TVA AAC €]]),0),0)</f>
        <v>0</v>
      </c>
      <c r="AR60" s="188" t="str">
        <f>IF(PORTEFEUILLE_SEBASTIEN[[#This Row],[BONI AAC]]&lt;&gt;0,1,"")</f>
        <v/>
      </c>
      <c r="AS60" s="188" t="str">
        <f>IF(PORTEFEUILLE_SEBASTIEN[[#This Row],[MALI AAC]]&lt;&gt;0,1,"")</f>
        <v/>
      </c>
      <c r="AT60" s="225">
        <f>IF(AN60&lt;&gt;"",IF((AN60*Paramètres!$H$4)-PORTEFEUILLE_SEBASTIEN[[#This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€]]&lt;0,PORTEFEUILLE_SEBASTIEN[[#This Row],[PCR COMPTABLE €]]+PORTEFEUILLE_SEBASTIEN[[#This Row],[RA FAIT PAR LE
COMPTABLE €]]+PORTEFEUILLE_SEBASTIEN[[#This Row],[AGOA COMPTABLE €]]+PORTEFEUILLE_SEBASTIEN[[#This Row],[SAISIE PAR LE COMPTABLE €]]+PORTEFEUILLE_SEBASTIEN[[#This Row],[TRAVAUX 
DE REVISION €]]+PORTEFEUILLE_SEBASTIEN[[#This Row],[DECLARATION TVA COMPTABLE €]]+PORTEFEUILLE_SEBASTIEN[[#This Row],[MONTANT
RESPONSABLE RELATION CLIENT €]]-(DELPHINE!AN60*Paramètres!$H$4),0),0)</f>
        <v>0</v>
      </c>
      <c r="AU60" s="225">
        <f>IF(AN60&lt;&gt;"",IF(((AN60*Paramètres!$H$4)-PORTEFEUILLE_SEBASTIEN[[#This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€]])&gt;0,(AN60*Paramètres!$H$4)-PORTEFEUILLE_SEBASTIEN[[#This Row],[PCR COMPTABLE €]]-PORTEFEUILLE_SEBASTIEN[[#This Row],[RA FAIT PAR LE
COMPTABLE €]]-PORTEFEUILLE_SEBASTIEN[[#This Row],[AGOA COMPTABLE €]]-PORTEFEUILLE_SEBASTIEN[[#This Row],[SAISIE PAR LE COMPTABLE €]]-PORTEFEUILLE_SEBASTIEN[[#This Row],[TRAVAUX 
DE REVISION €]]-PORTEFEUILLE_SEBASTIEN[[#This Row],[DECLARATION TVA COMPTABLE €]]-PORTEFEUILLE_SEBASTIEN[[#This Row],[MONTANT
RESPONSABLE RELATION CLIENT €]],0),0)</f>
        <v>0</v>
      </c>
      <c r="AV60" s="190" t="str">
        <f>IF(PORTEFEUILLE_SEBASTIEN[[#This Row],[BONI COMPTABLE]]&lt;&gt;0,1,"")</f>
        <v/>
      </c>
      <c r="AW60" s="190" t="str">
        <f>IF(PORTEFEUILLE_SEBASTIEN[[#This Row],[MALI COMPTABLE]]&lt;&gt;0,1,"")</f>
        <v/>
      </c>
      <c r="AX60" s="205"/>
      <c r="AY60" s="188"/>
      <c r="AZ60" s="188"/>
      <c r="BA60" s="188"/>
      <c r="BB60" s="205"/>
      <c r="BC60" s="205"/>
      <c r="BD60" s="205"/>
      <c r="BE60" s="192"/>
      <c r="BF60" s="205"/>
      <c r="BG60" s="205"/>
      <c r="BH60" s="206"/>
      <c r="BI60" s="205"/>
    </row>
    <row r="63" spans="1:61" x14ac:dyDescent="0.25">
      <c r="B63" s="89" t="s">
        <v>120</v>
      </c>
    </row>
    <row r="65" spans="2:50" x14ac:dyDescent="0.25">
      <c r="B65" s="274" t="s">
        <v>120</v>
      </c>
      <c r="C65" s="122"/>
      <c r="D65" s="122"/>
      <c r="E65" s="125" t="s">
        <v>112</v>
      </c>
      <c r="F65" s="121" t="s">
        <v>115</v>
      </c>
      <c r="G65" s="126" t="s">
        <v>118</v>
      </c>
      <c r="H65" s="127" t="s">
        <v>116</v>
      </c>
      <c r="I65" s="127" t="s">
        <v>136</v>
      </c>
      <c r="J65" s="128" t="s">
        <v>125</v>
      </c>
      <c r="K65" s="128" t="s">
        <v>110</v>
      </c>
      <c r="L65" s="128" t="s">
        <v>119</v>
      </c>
      <c r="M65" s="128" t="s">
        <v>126</v>
      </c>
      <c r="N65" s="128" t="s">
        <v>127</v>
      </c>
      <c r="O65" s="128" t="s">
        <v>128</v>
      </c>
      <c r="P65" s="128" t="s">
        <v>129</v>
      </c>
      <c r="Q65" s="128" t="s">
        <v>130</v>
      </c>
      <c r="R65" s="128" t="s">
        <v>137</v>
      </c>
      <c r="S65" s="128"/>
      <c r="T65" s="121"/>
      <c r="U65" s="164"/>
      <c r="V65" s="164"/>
      <c r="W65" s="164"/>
      <c r="X65" s="164"/>
      <c r="Y65" s="164"/>
      <c r="Z65" s="164"/>
      <c r="AA65" s="164"/>
      <c r="AB65" s="164"/>
      <c r="AC65" s="164"/>
      <c r="AE65" s="164"/>
      <c r="AF65" s="164"/>
      <c r="AG65" s="164"/>
      <c r="AH65" s="164"/>
      <c r="AI65" s="164"/>
      <c r="AJ65" s="164"/>
      <c r="AK65" s="164"/>
      <c r="AL65" s="164"/>
      <c r="AM65" s="164"/>
      <c r="AN65" s="164"/>
      <c r="AO65" s="164"/>
      <c r="AP65" s="164"/>
      <c r="AQ65" s="164"/>
      <c r="AR65" s="164"/>
      <c r="AS65" s="164"/>
      <c r="AT65" s="164"/>
      <c r="AU65" s="164"/>
      <c r="AV65" s="164"/>
      <c r="AW65" s="164"/>
      <c r="AX65" s="164"/>
    </row>
    <row r="66" spans="2:50" x14ac:dyDescent="0.25">
      <c r="B66" s="275"/>
      <c r="C66" s="120" t="s">
        <v>109</v>
      </c>
      <c r="D66" s="122">
        <f>COUNTIF($D$3:$D$60,"ACS")</f>
        <v>3</v>
      </c>
      <c r="E66" s="129">
        <f>+COUNTIF($F$3:$F$60,"SARL")</f>
        <v>1</v>
      </c>
      <c r="F66" s="121">
        <f>+COUNTIF($F$3:$F$60,"EURL")</f>
        <v>1</v>
      </c>
      <c r="G66" s="124">
        <f>COUNTIFS($F$3:$F$60,"SAS",$D$3:$D$60,"ACS")</f>
        <v>0</v>
      </c>
      <c r="H66" s="122">
        <f>COUNTIFS($F$3:$F$60,"INDIVIDUEL",$D$3:$D$60,"ACS")</f>
        <v>0</v>
      </c>
      <c r="I66" s="122">
        <f>COUNTIF($F$3:$F$60,"ASSOCIATION")</f>
        <v>0</v>
      </c>
      <c r="J66" s="122"/>
      <c r="K66" s="122">
        <f>COUNTIF($F$3:$F$60,"SNC")</f>
        <v>0</v>
      </c>
      <c r="L66" s="122">
        <f>+COUNTIF($F$3:$F$60,"SCI")</f>
        <v>0</v>
      </c>
      <c r="M66" s="130"/>
      <c r="N66" s="131"/>
      <c r="O66" s="132"/>
      <c r="P66" s="122">
        <f>+COUNTIF($F$3:$F$60,"GROUPEMENT")</f>
        <v>0</v>
      </c>
      <c r="Q66" s="121">
        <f>COUNTIF($F$3:$F$60,"EIRL")</f>
        <v>1</v>
      </c>
      <c r="R66" s="121">
        <f>COUNTIF($F$3:$F$60,"AUTRE")</f>
        <v>0</v>
      </c>
      <c r="S66" s="121"/>
      <c r="T66" s="122">
        <f>+SUM(E66:P66)</f>
        <v>2</v>
      </c>
      <c r="U66" s="164"/>
      <c r="V66" s="164"/>
      <c r="W66" s="164"/>
      <c r="X66" s="164"/>
      <c r="Y66" s="164"/>
      <c r="Z66" s="164"/>
      <c r="AA66" s="164"/>
      <c r="AB66" s="164"/>
      <c r="AC66" s="164"/>
      <c r="AE66" s="164"/>
      <c r="AF66" s="164"/>
      <c r="AG66" s="164"/>
      <c r="AH66" s="164"/>
      <c r="AI66" s="164"/>
      <c r="AJ66" s="164"/>
      <c r="AK66" s="164"/>
      <c r="AL66" s="164"/>
      <c r="AM66" s="164"/>
      <c r="AN66" s="164"/>
      <c r="AO66" s="164"/>
      <c r="AP66" s="164"/>
      <c r="AQ66" s="164"/>
      <c r="AR66" s="164"/>
      <c r="AS66" s="164"/>
      <c r="AT66" s="164"/>
      <c r="AU66" s="164"/>
      <c r="AV66" s="164"/>
      <c r="AW66" s="164"/>
      <c r="AX66" s="164"/>
    </row>
    <row r="67" spans="2:50" x14ac:dyDescent="0.25">
      <c r="B67" s="275"/>
      <c r="C67" s="120" t="s">
        <v>121</v>
      </c>
      <c r="D67" s="122">
        <f>COUNTIF($D$3:$D$60,"BNC")</f>
        <v>0</v>
      </c>
      <c r="E67" s="133"/>
      <c r="F67" s="121"/>
      <c r="G67" s="134"/>
      <c r="H67" s="135"/>
      <c r="I67" s="132"/>
      <c r="J67" s="122">
        <f>+COUNTIF($F$3:$F$60,"PROFESSION LIBERALE")</f>
        <v>0</v>
      </c>
      <c r="K67" s="122"/>
      <c r="L67" s="122"/>
      <c r="M67" s="122"/>
      <c r="N67" s="122"/>
      <c r="O67" s="122"/>
      <c r="P67" s="122"/>
      <c r="Q67" s="121"/>
      <c r="R67" s="121"/>
      <c r="S67" s="121"/>
      <c r="T67" s="122">
        <f>+SUM(E67:P67)</f>
        <v>0</v>
      </c>
      <c r="U67" s="164"/>
      <c r="V67" s="164"/>
      <c r="W67" s="164"/>
      <c r="X67" s="164"/>
      <c r="Y67" s="164"/>
      <c r="Z67" s="164"/>
      <c r="AA67" s="164"/>
      <c r="AB67" s="164"/>
      <c r="AC67" s="164"/>
      <c r="AE67" s="164"/>
      <c r="AF67" s="164"/>
      <c r="AG67" s="164"/>
      <c r="AH67" s="164"/>
      <c r="AI67" s="164"/>
      <c r="AJ67" s="164"/>
      <c r="AK67" s="164"/>
      <c r="AL67" s="164"/>
      <c r="AM67" s="164"/>
      <c r="AN67" s="164"/>
      <c r="AO67" s="164"/>
      <c r="AP67" s="164"/>
      <c r="AQ67" s="164"/>
      <c r="AR67" s="164"/>
      <c r="AS67" s="164"/>
      <c r="AT67" s="164"/>
      <c r="AU67" s="164"/>
      <c r="AV67" s="164"/>
      <c r="AW67" s="164"/>
      <c r="AX67" s="164"/>
    </row>
    <row r="68" spans="2:50" x14ac:dyDescent="0.25">
      <c r="B68" s="276"/>
      <c r="C68" s="122" t="s">
        <v>122</v>
      </c>
      <c r="D68" s="122">
        <f>COUNTIF($D$3:$D$60,"AGRI")</f>
        <v>0</v>
      </c>
      <c r="E68" s="129"/>
      <c r="F68" s="121"/>
      <c r="G68" s="124">
        <f>COUNTIFS($F$3:$F$60,"SAS",$D$3:$D$60,"AGRI")</f>
        <v>0</v>
      </c>
      <c r="H68" s="122">
        <f>COUNTIFS($F$3:$F$60,"INDIVIDUEL",$D$3:$D$60,"AGRI")</f>
        <v>0</v>
      </c>
      <c r="I68" s="122"/>
      <c r="J68" s="122"/>
      <c r="K68" s="122"/>
      <c r="L68" s="122"/>
      <c r="M68" s="122">
        <f>COUNTIF($F$5:$F$62,"EARL")</f>
        <v>0</v>
      </c>
      <c r="N68" s="122">
        <f>COUNTIF($F$5:$F$62,"ETA")</f>
        <v>0</v>
      </c>
      <c r="O68" s="122">
        <f>COUNTIF($F$5:$F$62,"SCEA")</f>
        <v>0</v>
      </c>
      <c r="P68" s="122"/>
      <c r="Q68" s="121"/>
      <c r="R68" s="121"/>
      <c r="S68" s="121"/>
      <c r="T68" s="122">
        <f>+SUM(E68:P68)</f>
        <v>0</v>
      </c>
      <c r="U68" s="164"/>
      <c r="V68" s="164"/>
      <c r="W68" s="164"/>
      <c r="X68" s="164"/>
      <c r="Y68" s="164"/>
      <c r="Z68" s="164"/>
      <c r="AA68" s="164"/>
      <c r="AB68" s="164"/>
      <c r="AC68" s="164"/>
      <c r="AE68" s="164"/>
      <c r="AF68" s="164"/>
      <c r="AG68" s="164"/>
      <c r="AH68" s="164"/>
      <c r="AI68" s="164"/>
      <c r="AJ68" s="164"/>
      <c r="AK68" s="164"/>
      <c r="AL68" s="164"/>
      <c r="AM68" s="164"/>
      <c r="AN68" s="164"/>
      <c r="AO68" s="164"/>
      <c r="AP68" s="164"/>
      <c r="AQ68" s="164"/>
      <c r="AR68" s="164"/>
      <c r="AS68" s="164"/>
      <c r="AT68" s="164"/>
      <c r="AU68" s="164"/>
      <c r="AV68" s="164"/>
      <c r="AW68" s="164"/>
      <c r="AX68" s="164"/>
    </row>
    <row r="69" spans="2:50" x14ac:dyDescent="0.25">
      <c r="B69" s="277" t="s">
        <v>123</v>
      </c>
      <c r="C69" s="277"/>
      <c r="D69" s="122">
        <f>+SUM(D66:D68)</f>
        <v>3</v>
      </c>
      <c r="E69" s="129">
        <f>+SUM(E66:E68)</f>
        <v>1</v>
      </c>
      <c r="F69" s="129">
        <f t="shared" ref="F69:R69" si="2">+SUM(F66:F68)</f>
        <v>1</v>
      </c>
      <c r="G69" s="129">
        <f t="shared" si="2"/>
        <v>0</v>
      </c>
      <c r="H69" s="129">
        <f t="shared" si="2"/>
        <v>0</v>
      </c>
      <c r="I69" s="129">
        <f t="shared" si="2"/>
        <v>0</v>
      </c>
      <c r="J69" s="129">
        <f t="shared" si="2"/>
        <v>0</v>
      </c>
      <c r="K69" s="129">
        <f t="shared" si="2"/>
        <v>0</v>
      </c>
      <c r="L69" s="129">
        <f t="shared" si="2"/>
        <v>0</v>
      </c>
      <c r="M69" s="129">
        <f t="shared" si="2"/>
        <v>0</v>
      </c>
      <c r="N69" s="129">
        <f t="shared" si="2"/>
        <v>0</v>
      </c>
      <c r="O69" s="129">
        <f t="shared" si="2"/>
        <v>0</v>
      </c>
      <c r="P69" s="129">
        <f t="shared" si="2"/>
        <v>0</v>
      </c>
      <c r="Q69" s="129">
        <f t="shared" si="2"/>
        <v>1</v>
      </c>
      <c r="R69" s="129">
        <f t="shared" si="2"/>
        <v>0</v>
      </c>
      <c r="S69" s="129"/>
      <c r="T69" s="122">
        <f>+SUM(T66:T68)</f>
        <v>2</v>
      </c>
      <c r="U69" s="164"/>
      <c r="V69" s="164"/>
      <c r="W69" s="164"/>
      <c r="X69" s="164"/>
      <c r="Y69" s="164"/>
      <c r="Z69" s="164"/>
      <c r="AA69" s="164"/>
      <c r="AB69" s="164"/>
      <c r="AC69" s="164"/>
      <c r="AE69" s="164"/>
      <c r="AF69" s="164"/>
      <c r="AG69" s="164"/>
      <c r="AH69" s="164"/>
      <c r="AI69" s="164"/>
      <c r="AJ69" s="164"/>
      <c r="AK69" s="164"/>
      <c r="AL69" s="164"/>
      <c r="AM69" s="164"/>
      <c r="AN69" s="164"/>
      <c r="AO69" s="164"/>
      <c r="AP69" s="164"/>
      <c r="AQ69" s="164"/>
      <c r="AR69" s="164"/>
      <c r="AS69" s="164"/>
      <c r="AT69" s="164"/>
      <c r="AU69" s="164"/>
      <c r="AV69" s="164"/>
      <c r="AW69" s="164"/>
      <c r="AX69" s="164"/>
    </row>
    <row r="70" spans="2:50" x14ac:dyDescent="0.25">
      <c r="B70" s="90"/>
      <c r="C70" s="90"/>
      <c r="D70" s="90"/>
      <c r="E70" s="90"/>
      <c r="G70" s="90"/>
      <c r="H70" s="90"/>
      <c r="I70" s="90"/>
      <c r="J70" s="90"/>
      <c r="K70" s="90"/>
      <c r="L70" s="90"/>
      <c r="M70" s="90"/>
      <c r="N70" s="90"/>
      <c r="O70" s="90"/>
      <c r="P70" s="90"/>
      <c r="T70" s="90"/>
      <c r="U70" s="164"/>
      <c r="V70" s="164"/>
      <c r="W70" s="164"/>
      <c r="X70" s="164"/>
      <c r="Y70" s="164"/>
      <c r="Z70" s="164"/>
      <c r="AA70" s="164"/>
      <c r="AB70" s="164"/>
      <c r="AC70" s="164"/>
      <c r="AE70" s="164"/>
      <c r="AF70" s="164"/>
      <c r="AG70" s="164"/>
      <c r="AH70" s="164"/>
      <c r="AI70" s="164"/>
      <c r="AJ70" s="164"/>
      <c r="AK70" s="164"/>
      <c r="AL70" s="164"/>
      <c r="AM70" s="164"/>
      <c r="AN70" s="164"/>
      <c r="AO70" s="164"/>
      <c r="AP70" s="164"/>
      <c r="AQ70" s="164"/>
      <c r="AR70" s="164"/>
      <c r="AS70" s="164"/>
      <c r="AT70" s="164"/>
      <c r="AU70" s="164"/>
      <c r="AV70" s="164"/>
      <c r="AW70" s="164"/>
      <c r="AX70" s="164"/>
    </row>
    <row r="71" spans="2:50" x14ac:dyDescent="0.25">
      <c r="B71" s="278">
        <v>44196</v>
      </c>
      <c r="C71" s="122"/>
      <c r="D71" s="122"/>
      <c r="E71" s="125" t="str">
        <f t="shared" ref="E71:R71" si="3">E65</f>
        <v>SARL</v>
      </c>
      <c r="F71" s="122" t="str">
        <f t="shared" si="3"/>
        <v>EURL</v>
      </c>
      <c r="G71" s="126" t="str">
        <f t="shared" si="3"/>
        <v>SAS</v>
      </c>
      <c r="H71" s="127" t="str">
        <f t="shared" si="3"/>
        <v>INDIVIDUEL</v>
      </c>
      <c r="I71" s="127" t="str">
        <f t="shared" si="3"/>
        <v>ASSOCIATION</v>
      </c>
      <c r="J71" s="128" t="str">
        <f t="shared" si="3"/>
        <v>PROFESSION LIBERALE</v>
      </c>
      <c r="K71" s="128" t="str">
        <f t="shared" si="3"/>
        <v>SNC</v>
      </c>
      <c r="L71" s="128" t="str">
        <f t="shared" si="3"/>
        <v>SCI</v>
      </c>
      <c r="M71" s="128" t="str">
        <f t="shared" si="3"/>
        <v>EARL</v>
      </c>
      <c r="N71" s="128" t="str">
        <f t="shared" si="3"/>
        <v>ETA</v>
      </c>
      <c r="O71" s="128" t="str">
        <f t="shared" si="3"/>
        <v>SCEA</v>
      </c>
      <c r="P71" s="128" t="str">
        <f t="shared" si="3"/>
        <v>GROUPEMENT</v>
      </c>
      <c r="Q71" s="122" t="str">
        <f t="shared" si="3"/>
        <v>EIRL</v>
      </c>
      <c r="R71" s="122" t="str">
        <f t="shared" si="3"/>
        <v>AUTRES</v>
      </c>
      <c r="S71" s="122"/>
      <c r="T71" s="128" t="s">
        <v>86</v>
      </c>
      <c r="U71" s="164"/>
      <c r="V71" s="164"/>
      <c r="W71" s="164"/>
      <c r="X71" s="164"/>
      <c r="Y71" s="164"/>
      <c r="Z71" s="164"/>
      <c r="AA71" s="164"/>
      <c r="AB71" s="164"/>
      <c r="AC71" s="164"/>
      <c r="AE71" s="164"/>
      <c r="AF71" s="164"/>
      <c r="AG71" s="164"/>
      <c r="AH71" s="164"/>
      <c r="AI71" s="164"/>
      <c r="AJ71" s="164"/>
      <c r="AK71" s="164"/>
      <c r="AL71" s="164"/>
      <c r="AM71" s="164"/>
      <c r="AN71" s="164"/>
      <c r="AO71" s="164"/>
      <c r="AP71" s="164"/>
      <c r="AQ71" s="164"/>
      <c r="AR71" s="164"/>
      <c r="AS71" s="164"/>
      <c r="AT71" s="164"/>
      <c r="AU71" s="164"/>
      <c r="AV71" s="164"/>
      <c r="AW71" s="164"/>
      <c r="AX71" s="164"/>
    </row>
    <row r="72" spans="2:50" x14ac:dyDescent="0.25">
      <c r="B72" s="275"/>
      <c r="C72" s="120" t="s">
        <v>109</v>
      </c>
      <c r="D72" s="122">
        <f>COUNTIFS($E$3:$E$60,DATE(Paramètres!A4,Paramètres!D15,Paramètres!C15),$D$3:$D$60,"ACS")</f>
        <v>3</v>
      </c>
      <c r="E72" s="129">
        <f>COUNTIFS($E$3:$E$60,DATE(Paramètres!A4,Paramètres!D15,Paramètres!C15),$F$3:$F$60,"SARL")</f>
        <v>1</v>
      </c>
      <c r="F72" s="122">
        <f>+COUNTIFS($E$3:$E$60,DATE(Paramètres!A4,Paramètres!D15,Paramètres!C15),$F$3:$F$60,"EURL")</f>
        <v>1</v>
      </c>
      <c r="G72" s="124">
        <f>COUNTIFS($E$3:$E$60,DATE(Paramètres!A4,Paramètres!D15,Paramètres!C15),$F$3:$F$60,"SAS",$D$3:$D$60,"ACS")</f>
        <v>0</v>
      </c>
      <c r="H72" s="122">
        <f>COUNTIFS($E$3:$E$60,DATE(Paramètres!A4,Paramètres!D15,Paramètres!C15),$F$3:$F$60,"INDIVIDUEL",$D$3:$D$60,"ACS")</f>
        <v>0</v>
      </c>
      <c r="I72" s="122">
        <f>+COUNTIFS($E$3:$E$60,DATE(Paramètres!A4,Paramètres!D15,Paramètres!C15),$F$3:$F$60,"ASSOCIATION")</f>
        <v>0</v>
      </c>
      <c r="J72" s="122"/>
      <c r="K72" s="122">
        <f>COUNTIFS($E$3:$E$60,DATE(Paramètres!A4,Paramètres!D15,Paramètres!C15),$F$3:$F$60,"SNC")</f>
        <v>0</v>
      </c>
      <c r="L72" s="122">
        <f>COUNTIFS($E$3:$E$60,DATE(Paramètres!A4,Paramètres!D15,Paramètres!C15),$F$3:$F$60,"SCI")</f>
        <v>0</v>
      </c>
      <c r="M72" s="130"/>
      <c r="N72" s="131"/>
      <c r="O72" s="132"/>
      <c r="P72" s="122">
        <f>COUNTIFS($E$3:$E$60,DATE(Paramètres!A4,Paramètres!D15,Paramètres!C15),$F$3:$F$60,"GROUPEMENT")</f>
        <v>0</v>
      </c>
      <c r="Q72" s="122">
        <f>+COUNTIFS($E$3:$E$60,DATE(Paramètres!A4,Paramètres!D15,Paramètres!C15),$F$3:$F$60,"EIRL")</f>
        <v>1</v>
      </c>
      <c r="R72" s="122">
        <f>+COUNTIFS($E$3:$E$60,DATE(Paramètres!B4,Paramètres!E15,Paramètres!D15),$F$3:$F$60,"AUTRES")</f>
        <v>0</v>
      </c>
      <c r="S72" s="122"/>
      <c r="T72" s="122">
        <f>+SUM(E72:P72)</f>
        <v>2</v>
      </c>
      <c r="U72" s="164"/>
      <c r="V72" s="164"/>
      <c r="W72" s="164"/>
      <c r="X72" s="164"/>
      <c r="Y72" s="164"/>
      <c r="Z72" s="164"/>
      <c r="AA72" s="164"/>
      <c r="AB72" s="164"/>
      <c r="AC72" s="164"/>
      <c r="AE72" s="164"/>
      <c r="AF72" s="164"/>
      <c r="AG72" s="164"/>
      <c r="AH72" s="164"/>
      <c r="AI72" s="164"/>
      <c r="AJ72" s="164"/>
      <c r="AK72" s="164"/>
      <c r="AL72" s="164"/>
      <c r="AM72" s="164"/>
      <c r="AN72" s="164"/>
      <c r="AO72" s="164"/>
      <c r="AP72" s="164"/>
      <c r="AQ72" s="164"/>
      <c r="AR72" s="164"/>
      <c r="AS72" s="164"/>
      <c r="AT72" s="164"/>
      <c r="AU72" s="164"/>
      <c r="AV72" s="164"/>
      <c r="AW72" s="164"/>
      <c r="AX72" s="164"/>
    </row>
    <row r="73" spans="2:50" x14ac:dyDescent="0.25">
      <c r="B73" s="275"/>
      <c r="C73" s="120" t="s">
        <v>121</v>
      </c>
      <c r="D73" s="122">
        <f>COUNTIFS($E$3:$E$60,DATE(Paramètres!A4,Paramètres!D15,Paramètres!C15),$D$3:$D$60,"BNC")</f>
        <v>0</v>
      </c>
      <c r="E73" s="133"/>
      <c r="F73" s="122"/>
      <c r="G73" s="134"/>
      <c r="H73" s="135"/>
      <c r="I73" s="132"/>
      <c r="J73" s="122">
        <f>COUNTIFS($E$3:$E$60,DATE(Paramètres!A4,Paramètres!D15,Paramètres!C15),$D$3:$D$60,"BNC")</f>
        <v>0</v>
      </c>
      <c r="K73" s="130"/>
      <c r="L73" s="131"/>
      <c r="M73" s="131"/>
      <c r="N73" s="131"/>
      <c r="O73" s="131"/>
      <c r="P73" s="132"/>
      <c r="Q73" s="122"/>
      <c r="R73" s="122"/>
      <c r="S73" s="122"/>
      <c r="T73" s="122">
        <f>+SUM(E73:P73)</f>
        <v>0</v>
      </c>
      <c r="U73" s="164"/>
      <c r="V73" s="164"/>
      <c r="W73" s="164"/>
      <c r="X73" s="164"/>
      <c r="Y73" s="164"/>
      <c r="Z73" s="164"/>
      <c r="AA73" s="164"/>
      <c r="AB73" s="164"/>
      <c r="AC73" s="164"/>
      <c r="AE73" s="164"/>
      <c r="AF73" s="164"/>
      <c r="AG73" s="164"/>
      <c r="AH73" s="164"/>
      <c r="AI73" s="164"/>
      <c r="AJ73" s="164"/>
      <c r="AK73" s="164"/>
      <c r="AL73" s="164"/>
      <c r="AM73" s="164"/>
      <c r="AN73" s="164"/>
      <c r="AO73" s="164"/>
      <c r="AP73" s="164"/>
      <c r="AQ73" s="164"/>
      <c r="AR73" s="164"/>
      <c r="AS73" s="164"/>
      <c r="AT73" s="164"/>
      <c r="AU73" s="164"/>
      <c r="AV73" s="164"/>
      <c r="AW73" s="164"/>
      <c r="AX73" s="164"/>
    </row>
    <row r="74" spans="2:50" x14ac:dyDescent="0.25">
      <c r="B74" s="276"/>
      <c r="C74" s="122" t="s">
        <v>122</v>
      </c>
      <c r="D74" s="122">
        <f>COUNTIFS($E$3:$E$60,DATE(Paramètres!A4,Paramètres!D15,Paramètres!C15),$D$3:$D$60,"AGRI")</f>
        <v>0</v>
      </c>
      <c r="E74" s="133"/>
      <c r="F74" s="122"/>
      <c r="G74" s="134">
        <f>COUNTIFS($E$3:$E$60,DATE(Paramètres!A4,Paramètres!D15,Paramètres!C15),$F$3:$F$60,"SAS",$D$3:$D$60,"AGRI")</f>
        <v>0</v>
      </c>
      <c r="H74" s="122">
        <f>COUNTIFS($E$3:$E$60,DATE(Paramètres!A4,Paramètres!D15,Paramètres!C15),$F$3:$F$60,"INDIVIDUEL",$D$3:$D$60,"AGRI")</f>
        <v>0</v>
      </c>
      <c r="I74" s="136"/>
      <c r="J74" s="131"/>
      <c r="K74" s="131"/>
      <c r="L74" s="132"/>
      <c r="M74" s="122">
        <f>COUNTIFS($E$3:$E$60,DATE(Paramètres!A4,Paramètres!D15,Paramètres!C15),$F$3:$F$60,"EARL")</f>
        <v>0</v>
      </c>
      <c r="N74" s="122">
        <f>COUNTIFS($E$3:$E$60,DATE(Paramètres!A4,Paramètres!D15,Paramètres!C15),$F$3:$F$60,"ETA")</f>
        <v>0</v>
      </c>
      <c r="O74" s="122">
        <f>COUNTIFS($E$3:$E$60,DATE(Paramètres!A4,Paramètres!D15,Paramètres!C15),$F$3:$F$60,"SCEA")</f>
        <v>0</v>
      </c>
      <c r="P74" s="122"/>
      <c r="Q74" s="122"/>
      <c r="R74" s="122"/>
      <c r="S74" s="122"/>
      <c r="T74" s="122">
        <f>+SUM(E74:P74)</f>
        <v>0</v>
      </c>
      <c r="U74" s="164"/>
      <c r="V74" s="164"/>
      <c r="W74" s="164"/>
      <c r="X74" s="164"/>
      <c r="Y74" s="164"/>
      <c r="Z74" s="164"/>
      <c r="AA74" s="164"/>
      <c r="AB74" s="164"/>
      <c r="AC74" s="164"/>
      <c r="AE74" s="164"/>
      <c r="AF74" s="164"/>
      <c r="AG74" s="164"/>
      <c r="AH74" s="164"/>
      <c r="AI74" s="164"/>
      <c r="AJ74" s="164"/>
      <c r="AK74" s="164"/>
      <c r="AL74" s="164"/>
      <c r="AM74" s="164"/>
      <c r="AN74" s="164"/>
      <c r="AO74" s="164"/>
      <c r="AP74" s="164"/>
      <c r="AQ74" s="164"/>
      <c r="AR74" s="164"/>
      <c r="AS74" s="164"/>
      <c r="AT74" s="164"/>
      <c r="AU74" s="164"/>
      <c r="AV74" s="164"/>
      <c r="AW74" s="164"/>
      <c r="AX74" s="164"/>
    </row>
    <row r="75" spans="2:50" x14ac:dyDescent="0.25">
      <c r="B75" s="277" t="s">
        <v>123</v>
      </c>
      <c r="C75" s="277"/>
      <c r="D75" s="122">
        <f>+SUM(D72:D74)</f>
        <v>3</v>
      </c>
      <c r="E75" s="129">
        <f>+SUM(E72:E74)</f>
        <v>1</v>
      </c>
      <c r="F75" s="129">
        <f>+SUM(F72:F74)</f>
        <v>1</v>
      </c>
      <c r="G75" s="124">
        <f>+SUM(G72:G74)</f>
        <v>0</v>
      </c>
      <c r="H75" s="122">
        <f>+SUM(H72:H74)</f>
        <v>0</v>
      </c>
      <c r="I75" s="122">
        <f t="shared" ref="I75:R75" si="4">+SUM(I72:I74)</f>
        <v>0</v>
      </c>
      <c r="J75" s="122">
        <f t="shared" si="4"/>
        <v>0</v>
      </c>
      <c r="K75" s="122">
        <f t="shared" si="4"/>
        <v>0</v>
      </c>
      <c r="L75" s="122">
        <f t="shared" si="4"/>
        <v>0</v>
      </c>
      <c r="M75" s="122">
        <f t="shared" si="4"/>
        <v>0</v>
      </c>
      <c r="N75" s="122">
        <f t="shared" si="4"/>
        <v>0</v>
      </c>
      <c r="O75" s="122">
        <f t="shared" si="4"/>
        <v>0</v>
      </c>
      <c r="P75" s="122">
        <f t="shared" si="4"/>
        <v>0</v>
      </c>
      <c r="Q75" s="122">
        <f t="shared" si="4"/>
        <v>1</v>
      </c>
      <c r="R75" s="122">
        <f t="shared" si="4"/>
        <v>0</v>
      </c>
      <c r="S75" s="122"/>
      <c r="T75" s="122">
        <f>+SUM(E75:R75)</f>
        <v>3</v>
      </c>
      <c r="U75" s="164"/>
      <c r="V75" s="164"/>
      <c r="W75" s="164"/>
      <c r="X75" s="164"/>
      <c r="Y75" s="164"/>
      <c r="Z75" s="164"/>
      <c r="AA75" s="164"/>
      <c r="AB75" s="164"/>
      <c r="AC75" s="164"/>
      <c r="AE75" s="164"/>
      <c r="AF75" s="164"/>
      <c r="AG75" s="164"/>
      <c r="AH75" s="164"/>
      <c r="AI75" s="164"/>
      <c r="AJ75" s="164"/>
      <c r="AK75" s="164"/>
      <c r="AL75" s="164"/>
      <c r="AM75" s="164"/>
      <c r="AN75" s="164"/>
      <c r="AO75" s="164"/>
      <c r="AP75" s="164"/>
      <c r="AQ75" s="164"/>
      <c r="AR75" s="164"/>
      <c r="AS75" s="164"/>
      <c r="AT75" s="164"/>
      <c r="AU75" s="164"/>
      <c r="AV75" s="164"/>
      <c r="AW75" s="164"/>
      <c r="AX75" s="164"/>
    </row>
    <row r="76" spans="2:50" x14ac:dyDescent="0.25">
      <c r="B76" s="90"/>
      <c r="C76" s="90"/>
      <c r="D76" s="90"/>
      <c r="E76" s="90"/>
      <c r="G76" s="90"/>
      <c r="H76" s="90"/>
      <c r="I76" s="90"/>
      <c r="J76" s="90"/>
      <c r="K76" s="90"/>
      <c r="L76" s="90"/>
      <c r="M76" s="90"/>
      <c r="N76" s="90"/>
      <c r="O76" s="90"/>
      <c r="P76" s="90"/>
      <c r="T76" s="90"/>
      <c r="U76" s="164"/>
      <c r="V76" s="164"/>
      <c r="W76" s="164"/>
      <c r="X76" s="164"/>
      <c r="Y76" s="164"/>
      <c r="Z76" s="164"/>
      <c r="AA76" s="164"/>
      <c r="AB76" s="164"/>
      <c r="AC76" s="164"/>
      <c r="AE76" s="164"/>
      <c r="AF76" s="164"/>
      <c r="AG76" s="164"/>
      <c r="AH76" s="164"/>
      <c r="AI76" s="164"/>
      <c r="AJ76" s="164"/>
      <c r="AK76" s="164"/>
      <c r="AL76" s="164"/>
      <c r="AM76" s="164"/>
      <c r="AN76" s="164"/>
      <c r="AO76" s="164"/>
      <c r="AP76" s="164"/>
      <c r="AQ76" s="164"/>
      <c r="AR76" s="164"/>
      <c r="AS76" s="164"/>
      <c r="AT76" s="164"/>
      <c r="AU76" s="164"/>
      <c r="AV76" s="164"/>
      <c r="AW76" s="164"/>
      <c r="AX76" s="164"/>
    </row>
    <row r="77" spans="2:50" x14ac:dyDescent="0.25">
      <c r="B77" s="278" t="s">
        <v>40</v>
      </c>
      <c r="C77" s="122"/>
      <c r="D77" s="122"/>
      <c r="E77" s="125" t="s">
        <v>112</v>
      </c>
      <c r="F77" s="121" t="s">
        <v>115</v>
      </c>
      <c r="G77" s="126" t="s">
        <v>118</v>
      </c>
      <c r="H77" s="127" t="s">
        <v>116</v>
      </c>
      <c r="I77" s="127" t="s">
        <v>124</v>
      </c>
      <c r="J77" s="128" t="s">
        <v>125</v>
      </c>
      <c r="K77" s="128" t="s">
        <v>110</v>
      </c>
      <c r="L77" s="128" t="s">
        <v>119</v>
      </c>
      <c r="M77" s="128" t="s">
        <v>126</v>
      </c>
      <c r="N77" s="128" t="s">
        <v>127</v>
      </c>
      <c r="O77" s="128" t="s">
        <v>128</v>
      </c>
      <c r="P77" s="128" t="s">
        <v>129</v>
      </c>
      <c r="Q77" s="128" t="s">
        <v>130</v>
      </c>
      <c r="R77" s="128" t="s">
        <v>131</v>
      </c>
      <c r="S77" s="128"/>
      <c r="T77" s="128" t="s">
        <v>86</v>
      </c>
      <c r="U77" s="164"/>
      <c r="V77" s="164"/>
      <c r="W77" s="164"/>
      <c r="X77" s="164"/>
      <c r="Y77" s="164"/>
      <c r="Z77" s="164"/>
      <c r="AA77" s="164"/>
      <c r="AB77" s="164"/>
      <c r="AC77" s="164"/>
      <c r="AE77" s="164"/>
      <c r="AF77" s="164"/>
      <c r="AG77" s="164"/>
      <c r="AH77" s="164"/>
      <c r="AI77" s="164"/>
      <c r="AJ77" s="164"/>
      <c r="AK77" s="164"/>
      <c r="AL77" s="164"/>
      <c r="AM77" s="164"/>
      <c r="AN77" s="164"/>
      <c r="AO77" s="164"/>
      <c r="AP77" s="164"/>
      <c r="AQ77" s="164"/>
      <c r="AR77" s="164"/>
      <c r="AS77" s="164"/>
      <c r="AT77" s="164"/>
      <c r="AU77" s="164"/>
      <c r="AV77" s="164"/>
      <c r="AW77" s="164"/>
      <c r="AX77" s="164"/>
    </row>
    <row r="78" spans="2:50" x14ac:dyDescent="0.25">
      <c r="B78" s="275"/>
      <c r="C78" s="120" t="s">
        <v>109</v>
      </c>
      <c r="D78" s="122">
        <f>+D66-D72</f>
        <v>0</v>
      </c>
      <c r="E78" s="122">
        <f>+E66-E72</f>
        <v>0</v>
      </c>
      <c r="F78" s="122">
        <f t="shared" ref="F78:R78" si="5">+F66-F72</f>
        <v>0</v>
      </c>
      <c r="G78" s="122">
        <f t="shared" si="5"/>
        <v>0</v>
      </c>
      <c r="H78" s="122">
        <f t="shared" si="5"/>
        <v>0</v>
      </c>
      <c r="I78" s="122">
        <f t="shared" si="5"/>
        <v>0</v>
      </c>
      <c r="J78" s="122">
        <f t="shared" si="5"/>
        <v>0</v>
      </c>
      <c r="K78" s="122">
        <f t="shared" si="5"/>
        <v>0</v>
      </c>
      <c r="L78" s="122">
        <f t="shared" si="5"/>
        <v>0</v>
      </c>
      <c r="M78" s="122">
        <f t="shared" si="5"/>
        <v>0</v>
      </c>
      <c r="N78" s="122">
        <f t="shared" si="5"/>
        <v>0</v>
      </c>
      <c r="O78" s="122">
        <f t="shared" si="5"/>
        <v>0</v>
      </c>
      <c r="P78" s="122">
        <f t="shared" si="5"/>
        <v>0</v>
      </c>
      <c r="Q78" s="122">
        <f t="shared" si="5"/>
        <v>0</v>
      </c>
      <c r="R78" s="122">
        <f t="shared" si="5"/>
        <v>0</v>
      </c>
      <c r="S78" s="122"/>
      <c r="T78" s="122">
        <f>+SUM(E78:P78)</f>
        <v>0</v>
      </c>
      <c r="U78" s="164"/>
      <c r="V78" s="164"/>
      <c r="W78" s="164"/>
      <c r="X78" s="164"/>
      <c r="Y78" s="164"/>
      <c r="Z78" s="164"/>
      <c r="AA78" s="164"/>
      <c r="AB78" s="164"/>
      <c r="AC78" s="164"/>
      <c r="AE78" s="164"/>
      <c r="AF78" s="164"/>
      <c r="AG78" s="164"/>
      <c r="AH78" s="164"/>
      <c r="AI78" s="164"/>
      <c r="AJ78" s="164"/>
      <c r="AK78" s="164"/>
      <c r="AL78" s="164"/>
      <c r="AM78" s="164"/>
      <c r="AN78" s="164"/>
      <c r="AO78" s="164"/>
      <c r="AP78" s="164"/>
      <c r="AQ78" s="164"/>
      <c r="AR78" s="164"/>
      <c r="AS78" s="164"/>
      <c r="AT78" s="164"/>
      <c r="AU78" s="164"/>
      <c r="AV78" s="164"/>
      <c r="AW78" s="164"/>
      <c r="AX78" s="164"/>
    </row>
    <row r="79" spans="2:50" x14ac:dyDescent="0.25">
      <c r="B79" s="275"/>
      <c r="C79" s="120" t="s">
        <v>121</v>
      </c>
      <c r="D79" s="122">
        <f>+D67-D73</f>
        <v>0</v>
      </c>
      <c r="E79" s="122">
        <f t="shared" ref="E79:R81" si="6">+E67-E73</f>
        <v>0</v>
      </c>
      <c r="F79" s="122">
        <f t="shared" si="6"/>
        <v>0</v>
      </c>
      <c r="G79" s="122">
        <f t="shared" si="6"/>
        <v>0</v>
      </c>
      <c r="H79" s="122">
        <f t="shared" si="6"/>
        <v>0</v>
      </c>
      <c r="I79" s="122">
        <f t="shared" si="6"/>
        <v>0</v>
      </c>
      <c r="J79" s="122">
        <f t="shared" si="6"/>
        <v>0</v>
      </c>
      <c r="K79" s="122">
        <f t="shared" si="6"/>
        <v>0</v>
      </c>
      <c r="L79" s="122">
        <f t="shared" si="6"/>
        <v>0</v>
      </c>
      <c r="M79" s="122">
        <f t="shared" si="6"/>
        <v>0</v>
      </c>
      <c r="N79" s="122">
        <f t="shared" si="6"/>
        <v>0</v>
      </c>
      <c r="O79" s="122">
        <f t="shared" si="6"/>
        <v>0</v>
      </c>
      <c r="P79" s="122">
        <f t="shared" si="6"/>
        <v>0</v>
      </c>
      <c r="Q79" s="122">
        <f t="shared" si="6"/>
        <v>0</v>
      </c>
      <c r="R79" s="122">
        <f t="shared" si="6"/>
        <v>0</v>
      </c>
      <c r="S79" s="122"/>
      <c r="T79" s="122">
        <f>+SUM(E79:P79)</f>
        <v>0</v>
      </c>
      <c r="U79" s="164"/>
      <c r="V79" s="164"/>
      <c r="W79" s="164"/>
      <c r="X79" s="164"/>
      <c r="Y79" s="164"/>
      <c r="Z79" s="164"/>
      <c r="AA79" s="164"/>
      <c r="AB79" s="164"/>
      <c r="AC79" s="164"/>
      <c r="AE79" s="164"/>
      <c r="AF79" s="164"/>
      <c r="AG79" s="164"/>
      <c r="AH79" s="164"/>
      <c r="AI79" s="164"/>
      <c r="AJ79" s="164"/>
      <c r="AK79" s="164"/>
      <c r="AL79" s="164"/>
      <c r="AM79" s="164"/>
      <c r="AN79" s="164"/>
      <c r="AO79" s="164"/>
      <c r="AP79" s="164"/>
      <c r="AQ79" s="164"/>
      <c r="AR79" s="164"/>
      <c r="AS79" s="164"/>
      <c r="AT79" s="164"/>
      <c r="AU79" s="164"/>
      <c r="AV79" s="164"/>
      <c r="AW79" s="164"/>
      <c r="AX79" s="164"/>
    </row>
    <row r="80" spans="2:50" x14ac:dyDescent="0.25">
      <c r="B80" s="276"/>
      <c r="C80" s="122" t="s">
        <v>122</v>
      </c>
      <c r="D80" s="122">
        <f>+D68-D74</f>
        <v>0</v>
      </c>
      <c r="E80" s="122">
        <f t="shared" si="6"/>
        <v>0</v>
      </c>
      <c r="F80" s="122">
        <f t="shared" si="6"/>
        <v>0</v>
      </c>
      <c r="G80" s="122">
        <f t="shared" si="6"/>
        <v>0</v>
      </c>
      <c r="H80" s="122">
        <f t="shared" si="6"/>
        <v>0</v>
      </c>
      <c r="I80" s="122">
        <f t="shared" si="6"/>
        <v>0</v>
      </c>
      <c r="J80" s="122">
        <f t="shared" si="6"/>
        <v>0</v>
      </c>
      <c r="K80" s="122">
        <f t="shared" si="6"/>
        <v>0</v>
      </c>
      <c r="L80" s="122">
        <f t="shared" si="6"/>
        <v>0</v>
      </c>
      <c r="M80" s="122">
        <f t="shared" si="6"/>
        <v>0</v>
      </c>
      <c r="N80" s="122">
        <f t="shared" si="6"/>
        <v>0</v>
      </c>
      <c r="O80" s="122">
        <f t="shared" si="6"/>
        <v>0</v>
      </c>
      <c r="P80" s="122">
        <f t="shared" si="6"/>
        <v>0</v>
      </c>
      <c r="Q80" s="122">
        <f t="shared" si="6"/>
        <v>0</v>
      </c>
      <c r="R80" s="122">
        <f t="shared" si="6"/>
        <v>0</v>
      </c>
      <c r="S80" s="122"/>
      <c r="T80" s="122">
        <f>+SUM(E80:P80)</f>
        <v>0</v>
      </c>
      <c r="U80" s="164"/>
      <c r="V80" s="164"/>
      <c r="W80" s="164"/>
      <c r="X80" s="164"/>
      <c r="Y80" s="164"/>
      <c r="Z80" s="164"/>
      <c r="AA80" s="164"/>
      <c r="AB80" s="164"/>
      <c r="AC80" s="164"/>
      <c r="AE80" s="164"/>
      <c r="AF80" s="164"/>
      <c r="AG80" s="164"/>
      <c r="AH80" s="164"/>
      <c r="AI80" s="164"/>
      <c r="AJ80" s="164"/>
      <c r="AK80" s="164"/>
      <c r="AL80" s="164"/>
      <c r="AM80" s="164"/>
      <c r="AN80" s="164"/>
      <c r="AO80" s="164"/>
      <c r="AP80" s="164"/>
      <c r="AQ80" s="164"/>
      <c r="AR80" s="164"/>
      <c r="AS80" s="164"/>
      <c r="AT80" s="164"/>
      <c r="AU80" s="164"/>
      <c r="AV80" s="164"/>
      <c r="AW80" s="164"/>
      <c r="AX80" s="164"/>
    </row>
    <row r="81" spans="2:50" x14ac:dyDescent="0.25">
      <c r="B81" s="277" t="s">
        <v>123</v>
      </c>
      <c r="C81" s="277"/>
      <c r="D81" s="122">
        <f>+D69-D75</f>
        <v>0</v>
      </c>
      <c r="E81" s="122">
        <f t="shared" si="6"/>
        <v>0</v>
      </c>
      <c r="F81" s="122">
        <f t="shared" si="6"/>
        <v>0</v>
      </c>
      <c r="G81" s="122">
        <f t="shared" si="6"/>
        <v>0</v>
      </c>
      <c r="H81" s="122">
        <f t="shared" si="6"/>
        <v>0</v>
      </c>
      <c r="I81" s="122">
        <f t="shared" si="6"/>
        <v>0</v>
      </c>
      <c r="J81" s="122">
        <f t="shared" si="6"/>
        <v>0</v>
      </c>
      <c r="K81" s="122">
        <f t="shared" si="6"/>
        <v>0</v>
      </c>
      <c r="L81" s="122">
        <f t="shared" si="6"/>
        <v>0</v>
      </c>
      <c r="M81" s="122">
        <f t="shared" si="6"/>
        <v>0</v>
      </c>
      <c r="N81" s="122">
        <f t="shared" si="6"/>
        <v>0</v>
      </c>
      <c r="O81" s="122">
        <f t="shared" si="6"/>
        <v>0</v>
      </c>
      <c r="P81" s="122">
        <f t="shared" si="6"/>
        <v>0</v>
      </c>
      <c r="Q81" s="122">
        <f t="shared" si="6"/>
        <v>0</v>
      </c>
      <c r="R81" s="122">
        <f t="shared" si="6"/>
        <v>0</v>
      </c>
      <c r="S81" s="122"/>
      <c r="T81" s="122">
        <f>+SUM(T78:T80)</f>
        <v>0</v>
      </c>
      <c r="U81" s="164"/>
      <c r="V81" s="164"/>
      <c r="W81" s="164"/>
      <c r="X81" s="164"/>
      <c r="Y81" s="164"/>
      <c r="Z81" s="164"/>
      <c r="AA81" s="164"/>
      <c r="AB81" s="164"/>
      <c r="AC81" s="164"/>
      <c r="AE81" s="164"/>
      <c r="AF81" s="164"/>
      <c r="AG81" s="164"/>
      <c r="AH81" s="164"/>
      <c r="AI81" s="164"/>
      <c r="AJ81" s="164"/>
      <c r="AK81" s="164"/>
      <c r="AL81" s="164"/>
      <c r="AM81" s="164"/>
      <c r="AN81" s="164"/>
      <c r="AO81" s="164"/>
      <c r="AP81" s="164"/>
      <c r="AQ81" s="164"/>
      <c r="AR81" s="164"/>
      <c r="AS81" s="164"/>
      <c r="AT81" s="164"/>
      <c r="AU81" s="164"/>
      <c r="AV81" s="164"/>
      <c r="AW81" s="164"/>
      <c r="AX81" s="164"/>
    </row>
    <row r="82" spans="2:50" x14ac:dyDescent="0.25">
      <c r="U82" s="164"/>
      <c r="V82" s="164"/>
      <c r="W82" s="164"/>
      <c r="X82" s="164"/>
      <c r="Y82" s="164"/>
      <c r="Z82" s="164"/>
      <c r="AA82" s="164"/>
      <c r="AB82" s="164"/>
      <c r="AC82" s="164"/>
      <c r="AE82" s="164"/>
      <c r="AF82" s="164"/>
      <c r="AG82" s="164"/>
      <c r="AH82" s="164"/>
      <c r="AI82" s="164"/>
      <c r="AJ82" s="164"/>
      <c r="AK82" s="164"/>
      <c r="AL82" s="164"/>
      <c r="AM82" s="164"/>
      <c r="AN82" s="164"/>
      <c r="AO82" s="164"/>
      <c r="AP82" s="164"/>
      <c r="AQ82" s="164"/>
      <c r="AR82" s="164"/>
      <c r="AS82" s="164"/>
      <c r="AT82" s="164"/>
      <c r="AU82" s="164"/>
      <c r="AV82" s="164"/>
      <c r="AW82" s="164"/>
      <c r="AX82" s="164"/>
    </row>
    <row r="83" spans="2:50" x14ac:dyDescent="0.25">
      <c r="B83" s="137" t="s">
        <v>132</v>
      </c>
      <c r="C83" s="137"/>
      <c r="D83" s="137"/>
      <c r="E83" s="137"/>
      <c r="F83" s="137"/>
      <c r="G83" s="137"/>
      <c r="H83" s="137"/>
      <c r="I83" s="137"/>
      <c r="J83" s="137"/>
      <c r="K83" s="137"/>
      <c r="L83" s="137"/>
      <c r="M83" s="137"/>
      <c r="N83" s="137"/>
      <c r="O83" s="137"/>
      <c r="P83" s="137"/>
      <c r="Q83" s="137"/>
      <c r="R83" s="138"/>
      <c r="S83" s="139"/>
      <c r="T83" s="137"/>
      <c r="U83" s="164"/>
      <c r="V83" s="164"/>
      <c r="W83" s="164"/>
      <c r="X83" s="164"/>
      <c r="Y83" s="164"/>
      <c r="Z83" s="164"/>
      <c r="AA83" s="164"/>
      <c r="AB83" s="164"/>
      <c r="AC83" s="164"/>
      <c r="AE83" s="164"/>
      <c r="AF83" s="164"/>
      <c r="AG83" s="164"/>
      <c r="AH83" s="164"/>
      <c r="AI83" s="164"/>
      <c r="AJ83" s="164"/>
      <c r="AK83" s="164"/>
      <c r="AL83" s="164"/>
      <c r="AM83" s="164"/>
      <c r="AN83" s="164"/>
      <c r="AO83" s="164"/>
      <c r="AP83" s="164"/>
      <c r="AQ83" s="164"/>
      <c r="AR83" s="164"/>
      <c r="AS83" s="164"/>
      <c r="AT83" s="164"/>
      <c r="AU83" s="164"/>
      <c r="AV83" s="164"/>
      <c r="AW83" s="164"/>
      <c r="AX83" s="164"/>
    </row>
    <row r="84" spans="2:50" x14ac:dyDescent="0.25">
      <c r="B84" s="279" t="s">
        <v>120</v>
      </c>
      <c r="C84" s="138"/>
      <c r="D84" s="138"/>
      <c r="E84" s="140" t="str">
        <f t="shared" ref="E84:R84" si="7">E65</f>
        <v>SARL</v>
      </c>
      <c r="F84" s="138" t="str">
        <f t="shared" si="7"/>
        <v>EURL</v>
      </c>
      <c r="G84" s="141" t="str">
        <f t="shared" si="7"/>
        <v>SAS</v>
      </c>
      <c r="H84" s="142" t="str">
        <f t="shared" si="7"/>
        <v>INDIVIDUEL</v>
      </c>
      <c r="I84" s="142" t="str">
        <f t="shared" si="7"/>
        <v>ASSOCIATION</v>
      </c>
      <c r="J84" s="240" t="str">
        <f t="shared" si="7"/>
        <v>PROFESSION LIBERALE</v>
      </c>
      <c r="K84" s="240" t="str">
        <f t="shared" si="7"/>
        <v>SNC</v>
      </c>
      <c r="L84" s="240" t="str">
        <f t="shared" si="7"/>
        <v>SCI</v>
      </c>
      <c r="M84" s="240" t="str">
        <f t="shared" si="7"/>
        <v>EARL</v>
      </c>
      <c r="N84" s="240" t="str">
        <f t="shared" si="7"/>
        <v>ETA</v>
      </c>
      <c r="O84" s="240" t="str">
        <f t="shared" si="7"/>
        <v>SCEA</v>
      </c>
      <c r="P84" s="240" t="str">
        <f t="shared" si="7"/>
        <v>GROUPEMENT</v>
      </c>
      <c r="Q84" s="240" t="str">
        <f t="shared" si="7"/>
        <v>EIRL</v>
      </c>
      <c r="R84" s="240" t="str">
        <f t="shared" si="7"/>
        <v>AUTRES</v>
      </c>
      <c r="S84" s="144"/>
      <c r="T84" s="145" t="s">
        <v>86</v>
      </c>
      <c r="U84" s="164"/>
      <c r="V84" s="164"/>
      <c r="W84" s="164"/>
      <c r="X84" s="164"/>
      <c r="Y84" s="164"/>
      <c r="Z84" s="164"/>
      <c r="AA84" s="164"/>
      <c r="AB84" s="164"/>
      <c r="AC84" s="164"/>
      <c r="AE84" s="164"/>
      <c r="AF84" s="164"/>
      <c r="AG84" s="164"/>
      <c r="AH84" s="164"/>
      <c r="AI84" s="164"/>
      <c r="AJ84" s="164"/>
      <c r="AK84" s="164"/>
      <c r="AL84" s="164"/>
      <c r="AM84" s="164"/>
      <c r="AN84" s="164"/>
      <c r="AO84" s="164"/>
      <c r="AP84" s="164"/>
      <c r="AQ84" s="164"/>
      <c r="AR84" s="164"/>
      <c r="AS84" s="164"/>
      <c r="AT84" s="164"/>
      <c r="AU84" s="164"/>
      <c r="AV84" s="164"/>
      <c r="AW84" s="164"/>
      <c r="AX84" s="164"/>
    </row>
    <row r="85" spans="2:50" x14ac:dyDescent="0.25">
      <c r="B85" s="280"/>
      <c r="C85" s="146" t="s">
        <v>109</v>
      </c>
      <c r="D85" s="138">
        <f>COUNTIFS($I$3:$I$60,"&lt;&gt;",$D$3:$D$60,"ACS")</f>
        <v>2</v>
      </c>
      <c r="E85" s="147">
        <f>+COUNTIFS($I$3:$I$60,"&lt;&gt;",$F$3:$F$60,"SARL")</f>
        <v>1</v>
      </c>
      <c r="F85" s="138">
        <f>+COUNTIFS($I3:$I60,"&lt;&gt;",$F$3:$F$60,"EURL")</f>
        <v>1</v>
      </c>
      <c r="G85" s="148">
        <f>COUNTIFS($I$3:$I$60,"&lt;&gt;",$F$3:$F$60,"SAS",$D$3:$D$60,"ACS")</f>
        <v>0</v>
      </c>
      <c r="H85" s="138">
        <f>COUNTIFS($I$3:$I$60,"&lt;&gt;",$F$3:$F$60,"INDIVIDUEL",$D$3:$D$60,"ACS")</f>
        <v>0</v>
      </c>
      <c r="I85" s="138">
        <f>COUNTIFS($I$3:$I$60,"&lt;&gt;",$F$3:$F$60,"ASSOCIATION")</f>
        <v>0</v>
      </c>
      <c r="J85" s="138"/>
      <c r="K85" s="138">
        <f>COUNTIFS($I$3:$I$60,"&lt;&gt;",$F$3:$F$60,"SNC")</f>
        <v>0</v>
      </c>
      <c r="L85" s="138">
        <f>COUNTIFS($I$3:$I$60,"&lt;&gt;",$F$3:$F$60,"SCI")</f>
        <v>0</v>
      </c>
      <c r="M85" s="149"/>
      <c r="N85" s="150"/>
      <c r="O85" s="151"/>
      <c r="P85" s="138">
        <f>COUNTIFS($I$3:$I$60,"&lt;&gt;",$F$3:$F$60,"GROUPEMENT")</f>
        <v>0</v>
      </c>
      <c r="Q85" s="152">
        <f>COUNTIFS($I$3:$I$60,"&lt;&gt;",$F$3:$F$60,"EIRL")</f>
        <v>0</v>
      </c>
      <c r="R85" s="138">
        <f>COUNTIFS($I$3:$I$60,"&lt;&gt;",$F$3:$F$60,"AUTRES")</f>
        <v>0</v>
      </c>
      <c r="S85" s="148"/>
      <c r="T85" s="148">
        <f>+SUM(E85:P85)</f>
        <v>2</v>
      </c>
      <c r="U85" s="164"/>
      <c r="V85" s="164"/>
      <c r="W85" s="164"/>
      <c r="X85" s="164"/>
      <c r="Y85" s="164"/>
      <c r="Z85" s="164"/>
      <c r="AA85" s="164"/>
      <c r="AB85" s="164"/>
      <c r="AC85" s="164"/>
      <c r="AE85" s="164"/>
      <c r="AF85" s="164"/>
      <c r="AG85" s="164"/>
      <c r="AH85" s="164"/>
      <c r="AI85" s="164"/>
      <c r="AJ85" s="164"/>
      <c r="AK85" s="164"/>
      <c r="AL85" s="164"/>
      <c r="AM85" s="164"/>
      <c r="AN85" s="164"/>
      <c r="AO85" s="164"/>
      <c r="AP85" s="164"/>
      <c r="AQ85" s="164"/>
      <c r="AR85" s="164"/>
      <c r="AS85" s="164"/>
      <c r="AT85" s="164"/>
      <c r="AU85" s="164"/>
      <c r="AV85" s="164"/>
      <c r="AW85" s="164"/>
      <c r="AX85" s="164"/>
    </row>
    <row r="86" spans="2:50" x14ac:dyDescent="0.25">
      <c r="B86" s="280"/>
      <c r="C86" s="146" t="s">
        <v>121</v>
      </c>
      <c r="D86" s="138">
        <f>COUNTIFS($I$3:$I$60,"&lt;&gt;",$D$3:$D$60,"BNC")</f>
        <v>0</v>
      </c>
      <c r="E86" s="153"/>
      <c r="F86" s="138"/>
      <c r="G86" s="154"/>
      <c r="H86" s="155"/>
      <c r="I86" s="151"/>
      <c r="J86" s="138">
        <f>COUNTIFS($I$3:$I$60,"&lt;&gt;",$D$3:$D$60,"BNC")</f>
        <v>0</v>
      </c>
      <c r="K86" s="138"/>
      <c r="L86" s="138"/>
      <c r="M86" s="138"/>
      <c r="N86" s="138"/>
      <c r="O86" s="138"/>
      <c r="P86" s="138"/>
      <c r="Q86" s="152"/>
      <c r="R86" s="138"/>
      <c r="S86" s="148"/>
      <c r="T86" s="148">
        <f>+SUM(E86:P86)</f>
        <v>0</v>
      </c>
      <c r="U86" s="164"/>
      <c r="V86" s="164"/>
      <c r="W86" s="164"/>
      <c r="X86" s="164"/>
      <c r="Y86" s="164"/>
      <c r="Z86" s="164"/>
      <c r="AA86" s="164"/>
      <c r="AB86" s="164"/>
      <c r="AC86" s="164"/>
      <c r="AE86" s="164"/>
      <c r="AF86" s="164"/>
      <c r="AG86" s="164"/>
      <c r="AH86" s="164"/>
      <c r="AI86" s="164"/>
      <c r="AJ86" s="164"/>
      <c r="AK86" s="164"/>
      <c r="AL86" s="164"/>
      <c r="AM86" s="164"/>
      <c r="AN86" s="164"/>
      <c r="AO86" s="164"/>
      <c r="AP86" s="164"/>
      <c r="AQ86" s="164"/>
      <c r="AR86" s="164"/>
      <c r="AS86" s="164"/>
      <c r="AT86" s="164"/>
      <c r="AU86" s="164"/>
      <c r="AV86" s="164"/>
      <c r="AW86" s="164"/>
      <c r="AX86" s="164"/>
    </row>
    <row r="87" spans="2:50" x14ac:dyDescent="0.25">
      <c r="B87" s="280"/>
      <c r="C87" s="138" t="s">
        <v>122</v>
      </c>
      <c r="D87" s="138">
        <f>COUNTIFS($I$3:$I$60,"&lt;&gt;",$D$3:$D$60,"AGRI")</f>
        <v>0</v>
      </c>
      <c r="E87" s="152"/>
      <c r="F87" s="138"/>
      <c r="G87" s="148">
        <f>COUNTIFS($I$3:$I$60,"&lt;&gt;",$F$3:$F$60,"SAS",$D$3:$D$60,"AGRI")</f>
        <v>0</v>
      </c>
      <c r="H87" s="138">
        <f>COUNTIFS($F$3:$F$60,"INDIVIDUEL",$D$3:$D$60,"AGRI",$I3:$I$60,"&lt;&gt;")</f>
        <v>0</v>
      </c>
      <c r="I87" s="138"/>
      <c r="J87" s="138"/>
      <c r="K87" s="138"/>
      <c r="L87" s="138"/>
      <c r="M87" s="138">
        <f>COUNTIFS($I$3:$I$60,"&lt;&gt;",$F$5:$F$62,"EARL")</f>
        <v>0</v>
      </c>
      <c r="N87" s="138">
        <f>COUNTIFS($I$3:$I$60,"&lt;&gt;",$F$5:$F$62,"ETA")</f>
        <v>0</v>
      </c>
      <c r="O87" s="138">
        <f>COUNTIFS($I$3:$I$60,"&lt;&gt;",$F$5:$F$62,"SCEA")</f>
        <v>0</v>
      </c>
      <c r="P87" s="138"/>
      <c r="Q87" s="152"/>
      <c r="R87" s="138"/>
      <c r="S87" s="148"/>
      <c r="T87" s="148">
        <f>+SUM(E87:P87)</f>
        <v>0</v>
      </c>
      <c r="U87" s="164"/>
      <c r="V87" s="164"/>
      <c r="W87" s="164"/>
      <c r="X87" s="164"/>
      <c r="Y87" s="164"/>
      <c r="Z87" s="164"/>
      <c r="AA87" s="164"/>
      <c r="AB87" s="164"/>
      <c r="AC87" s="164"/>
      <c r="AE87" s="164"/>
      <c r="AF87" s="164"/>
      <c r="AG87" s="164"/>
      <c r="AH87" s="164"/>
      <c r="AI87" s="164"/>
      <c r="AJ87" s="164"/>
      <c r="AK87" s="164"/>
      <c r="AL87" s="164"/>
      <c r="AM87" s="164"/>
      <c r="AN87" s="164"/>
      <c r="AO87" s="164"/>
      <c r="AP87" s="164"/>
      <c r="AQ87" s="164"/>
      <c r="AR87" s="164"/>
      <c r="AS87" s="164"/>
      <c r="AT87" s="164"/>
      <c r="AU87" s="164"/>
      <c r="AV87" s="164"/>
      <c r="AW87" s="164"/>
      <c r="AX87" s="164"/>
    </row>
    <row r="88" spans="2:50" x14ac:dyDescent="0.25">
      <c r="B88" s="280" t="s">
        <v>123</v>
      </c>
      <c r="C88" s="280"/>
      <c r="D88" s="138">
        <f t="shared" ref="D88:R88" si="8">+SUM(D85:D87)</f>
        <v>2</v>
      </c>
      <c r="E88" s="152">
        <f t="shared" si="8"/>
        <v>1</v>
      </c>
      <c r="F88" s="152">
        <f t="shared" si="8"/>
        <v>1</v>
      </c>
      <c r="G88" s="152">
        <f t="shared" si="8"/>
        <v>0</v>
      </c>
      <c r="H88" s="152">
        <f t="shared" si="8"/>
        <v>0</v>
      </c>
      <c r="I88" s="152">
        <f t="shared" si="8"/>
        <v>0</v>
      </c>
      <c r="J88" s="152">
        <f t="shared" si="8"/>
        <v>0</v>
      </c>
      <c r="K88" s="152">
        <f t="shared" si="8"/>
        <v>0</v>
      </c>
      <c r="L88" s="152">
        <f t="shared" si="8"/>
        <v>0</v>
      </c>
      <c r="M88" s="152">
        <f t="shared" si="8"/>
        <v>0</v>
      </c>
      <c r="N88" s="152">
        <f t="shared" si="8"/>
        <v>0</v>
      </c>
      <c r="O88" s="152">
        <f t="shared" si="8"/>
        <v>0</v>
      </c>
      <c r="P88" s="152">
        <f t="shared" si="8"/>
        <v>0</v>
      </c>
      <c r="Q88" s="152">
        <f t="shared" si="8"/>
        <v>0</v>
      </c>
      <c r="R88" s="152">
        <f t="shared" si="8"/>
        <v>0</v>
      </c>
      <c r="S88" s="156"/>
      <c r="T88" s="148">
        <f>+SUM(T85:T87)</f>
        <v>2</v>
      </c>
      <c r="U88" s="164"/>
      <c r="V88" s="164"/>
      <c r="W88" s="164"/>
      <c r="X88" s="164"/>
      <c r="Y88" s="164"/>
      <c r="Z88" s="164"/>
      <c r="AA88" s="164"/>
      <c r="AB88" s="164"/>
      <c r="AC88" s="164"/>
      <c r="AE88" s="164"/>
      <c r="AF88" s="164"/>
      <c r="AG88" s="164"/>
      <c r="AH88" s="164"/>
      <c r="AI88" s="164"/>
      <c r="AJ88" s="164"/>
      <c r="AK88" s="164"/>
      <c r="AL88" s="164"/>
      <c r="AM88" s="164"/>
      <c r="AN88" s="164"/>
      <c r="AO88" s="164"/>
      <c r="AP88" s="164"/>
      <c r="AQ88" s="164"/>
      <c r="AR88" s="164"/>
      <c r="AS88" s="164"/>
      <c r="AT88" s="164"/>
      <c r="AU88" s="164"/>
      <c r="AV88" s="164"/>
      <c r="AW88" s="164"/>
      <c r="AX88" s="164"/>
    </row>
    <row r="89" spans="2:50" x14ac:dyDescent="0.25">
      <c r="B89" s="137"/>
      <c r="C89" s="137"/>
      <c r="D89" s="137"/>
      <c r="E89" s="137"/>
      <c r="F89" s="137"/>
      <c r="G89" s="137"/>
      <c r="H89" s="137"/>
      <c r="I89" s="137"/>
      <c r="J89" s="137"/>
      <c r="K89" s="137"/>
      <c r="L89" s="137"/>
      <c r="M89" s="137"/>
      <c r="N89" s="137"/>
      <c r="O89" s="137"/>
      <c r="P89" s="137"/>
      <c r="Q89" s="137"/>
      <c r="R89" s="137"/>
      <c r="S89" s="137"/>
      <c r="T89" s="137"/>
      <c r="U89" s="164"/>
      <c r="V89" s="164"/>
      <c r="W89" s="164"/>
      <c r="X89" s="164"/>
      <c r="Y89" s="164"/>
      <c r="Z89" s="164"/>
      <c r="AA89" s="164"/>
      <c r="AB89" s="164"/>
      <c r="AC89" s="164"/>
      <c r="AE89" s="164"/>
      <c r="AF89" s="164"/>
      <c r="AG89" s="164"/>
      <c r="AH89" s="164"/>
      <c r="AI89" s="164"/>
      <c r="AJ89" s="164"/>
      <c r="AK89" s="164"/>
      <c r="AL89" s="164"/>
      <c r="AM89" s="164"/>
      <c r="AN89" s="164"/>
      <c r="AO89" s="164"/>
      <c r="AP89" s="164"/>
      <c r="AQ89" s="164"/>
      <c r="AR89" s="164"/>
      <c r="AS89" s="164"/>
      <c r="AT89" s="164"/>
      <c r="AU89" s="164"/>
      <c r="AV89" s="164"/>
      <c r="AW89" s="164"/>
      <c r="AX89" s="164"/>
    </row>
    <row r="90" spans="2:50" x14ac:dyDescent="0.25">
      <c r="B90" s="281">
        <v>44196</v>
      </c>
      <c r="C90" s="138"/>
      <c r="D90" s="138"/>
      <c r="E90" s="140" t="str">
        <f t="shared" ref="E90:R90" si="9">E65</f>
        <v>SARL</v>
      </c>
      <c r="F90" s="138" t="str">
        <f t="shared" si="9"/>
        <v>EURL</v>
      </c>
      <c r="G90" s="141" t="str">
        <f t="shared" si="9"/>
        <v>SAS</v>
      </c>
      <c r="H90" s="142" t="str">
        <f t="shared" si="9"/>
        <v>INDIVIDUEL</v>
      </c>
      <c r="I90" s="142" t="str">
        <f t="shared" si="9"/>
        <v>ASSOCIATION</v>
      </c>
      <c r="J90" s="240" t="str">
        <f t="shared" si="9"/>
        <v>PROFESSION LIBERALE</v>
      </c>
      <c r="K90" s="240" t="str">
        <f t="shared" si="9"/>
        <v>SNC</v>
      </c>
      <c r="L90" s="240" t="str">
        <f t="shared" si="9"/>
        <v>SCI</v>
      </c>
      <c r="M90" s="240" t="str">
        <f t="shared" si="9"/>
        <v>EARL</v>
      </c>
      <c r="N90" s="240" t="str">
        <f t="shared" si="9"/>
        <v>ETA</v>
      </c>
      <c r="O90" s="240" t="str">
        <f t="shared" si="9"/>
        <v>SCEA</v>
      </c>
      <c r="P90" s="240" t="str">
        <f t="shared" si="9"/>
        <v>GROUPEMENT</v>
      </c>
      <c r="Q90" s="138" t="str">
        <f t="shared" si="9"/>
        <v>EIRL</v>
      </c>
      <c r="R90" s="138" t="str">
        <f t="shared" si="9"/>
        <v>AUTRES</v>
      </c>
      <c r="S90" s="138"/>
      <c r="T90" s="240" t="s">
        <v>86</v>
      </c>
      <c r="U90" s="164"/>
      <c r="V90" s="164"/>
      <c r="W90" s="164"/>
      <c r="X90" s="164"/>
      <c r="Y90" s="164"/>
      <c r="Z90" s="164"/>
      <c r="AA90" s="164"/>
      <c r="AB90" s="164"/>
      <c r="AC90" s="164"/>
      <c r="AE90" s="164"/>
      <c r="AF90" s="164"/>
      <c r="AG90" s="164"/>
      <c r="AH90" s="164"/>
      <c r="AI90" s="164"/>
      <c r="AJ90" s="164"/>
      <c r="AK90" s="164"/>
      <c r="AL90" s="164"/>
      <c r="AM90" s="164"/>
      <c r="AN90" s="164"/>
      <c r="AO90" s="164"/>
      <c r="AP90" s="164"/>
      <c r="AQ90" s="164"/>
      <c r="AR90" s="164"/>
      <c r="AS90" s="164"/>
      <c r="AT90" s="164"/>
      <c r="AU90" s="164"/>
      <c r="AV90" s="164"/>
      <c r="AW90" s="164"/>
      <c r="AX90" s="164"/>
    </row>
    <row r="91" spans="2:50" x14ac:dyDescent="0.25">
      <c r="B91" s="280"/>
      <c r="C91" s="146" t="s">
        <v>109</v>
      </c>
      <c r="D91" s="138">
        <f>COUNTIFS($I$3:$I$60,"&lt;&gt;",$E$3:$E$60,DATE(Paramètres!A4,Paramètres!D15,Paramètres!C15),$D$3:$D$60,"ACS")</f>
        <v>2</v>
      </c>
      <c r="E91" s="147">
        <f>COUNTIFS($I$3:$I$60,"&lt;&gt;",$E$3:$E$60,DATE(Paramètres!A4,Paramètres!D15,Paramètres!C15),$F$3:$F$60,"SARL")</f>
        <v>1</v>
      </c>
      <c r="F91" s="138">
        <f>+COUNTIFS($I$3:$I$60,"&lt;&gt;",$E$3:$E$60,DATE(Paramètres!A4,Paramètres!D15,Paramètres!C15),$F$3:$F$60,"EURL")</f>
        <v>1</v>
      </c>
      <c r="G91" s="148">
        <f>COUNTIFS($I$3:$I$60,"&lt;&gt;",$E$3:$E$60,DATE(Paramètres!A4,Paramètres!D15,Paramètres!C15),$F$3:$F$60,"SAS",$D$3:$D$60,"ACS")</f>
        <v>0</v>
      </c>
      <c r="H91" s="138">
        <f>COUNTIFS($I$3:$I$60,"&lt;&gt;",$E$3:$E$60,DATE(Paramètres!A4,Paramètres!D15,Paramètres!C15),$F$3:$F$60,"INDIVIDUEL",$D$3:$D$60,"ACS")</f>
        <v>0</v>
      </c>
      <c r="I91" s="138">
        <f>+COUNTIFS($I$3:$I$60,"&lt;&gt;",$E$3:$E$60,DATE(Paramètres!A4,Paramètres!D15,Paramètres!C15),$F$3:$F$60,"ASSOCIATION")</f>
        <v>0</v>
      </c>
      <c r="J91" s="138"/>
      <c r="K91" s="138">
        <f>COUNTIFS($I$3:$I$60,"&lt;&gt;",$E$3:$E$60,DATE(Paramètres!A4,Paramètres!D15,Paramètres!C15),$F$3:$F$60,"SNC")</f>
        <v>0</v>
      </c>
      <c r="L91" s="138">
        <f>COUNTIFS($I$3:$I$60,"&lt;&gt;",$E$3:$E$60,DATE(Paramètres!A4,Paramètres!D15,Paramètres!C15),$F$3:$F$60,"SCI")</f>
        <v>0</v>
      </c>
      <c r="M91" s="149"/>
      <c r="N91" s="150"/>
      <c r="O91" s="151"/>
      <c r="P91" s="138">
        <f>COUNTIFS($I$3:$I$60,"&lt;&gt;",$E$3:$E$60,DATE(Paramètres!A4,Paramètres!D15,Paramètres!C15),$F$3:$F$60,"GROUPEMENT")</f>
        <v>0</v>
      </c>
      <c r="Q91" s="138">
        <f>COUNTIFS($I$3:$I$60,"&lt;&gt;",$E$3:$E$60,DATE(Paramètres!A4,Paramètres!D15,Paramètres!C15),$F$3:$F$60,"EIRL")</f>
        <v>0</v>
      </c>
      <c r="R91" s="138">
        <f>COUNTIFS($I$3:$I$60,"&lt;&gt;",$E$3:$E$60,DATE(Paramètres!A4,Paramètres!D15,Paramètres!C15),$F$3:$F$60,"AUTRES")</f>
        <v>0</v>
      </c>
      <c r="S91" s="138"/>
      <c r="T91" s="138">
        <f>+SUM(E91:P91)</f>
        <v>2</v>
      </c>
      <c r="U91" s="164"/>
      <c r="V91" s="164"/>
      <c r="W91" s="164"/>
      <c r="X91" s="164"/>
      <c r="Y91" s="164"/>
      <c r="Z91" s="164"/>
      <c r="AA91" s="164"/>
      <c r="AB91" s="164"/>
      <c r="AC91" s="164"/>
      <c r="AE91" s="164"/>
      <c r="AF91" s="164"/>
      <c r="AG91" s="164"/>
      <c r="AH91" s="164"/>
      <c r="AI91" s="164"/>
      <c r="AJ91" s="164"/>
      <c r="AK91" s="164"/>
      <c r="AL91" s="164"/>
      <c r="AM91" s="164"/>
      <c r="AN91" s="164"/>
      <c r="AO91" s="164"/>
      <c r="AP91" s="164"/>
      <c r="AQ91" s="164"/>
      <c r="AR91" s="164"/>
      <c r="AS91" s="164"/>
      <c r="AT91" s="164"/>
      <c r="AU91" s="164"/>
      <c r="AV91" s="164"/>
      <c r="AW91" s="164"/>
      <c r="AX91" s="164"/>
    </row>
    <row r="92" spans="2:50" x14ac:dyDescent="0.25">
      <c r="B92" s="280"/>
      <c r="C92" s="146" t="s">
        <v>121</v>
      </c>
      <c r="D92" s="138">
        <f>COUNTIFS($I$3:$I$60,"&lt;&gt;",$E$3:$E$60,DATE(Paramètres!A4,Paramètres!D15,Paramètres!C15),$D$3:$D$60,"BNC")</f>
        <v>0</v>
      </c>
      <c r="E92" s="153"/>
      <c r="F92" s="138"/>
      <c r="G92" s="154"/>
      <c r="H92" s="155"/>
      <c r="I92" s="151"/>
      <c r="J92" s="138">
        <f>COUNTIFS($I$3:$I$60,"&lt;&gt;",$E$3:$E$60,DATE(Paramètres!A4,Paramètres!D15,Paramètres!C15),$D$3:$D$60,"BNC")</f>
        <v>0</v>
      </c>
      <c r="K92" s="149"/>
      <c r="L92" s="150"/>
      <c r="M92" s="150"/>
      <c r="N92" s="150"/>
      <c r="O92" s="150"/>
      <c r="P92" s="151"/>
      <c r="Q92" s="138"/>
      <c r="R92" s="138"/>
      <c r="S92" s="138"/>
      <c r="T92" s="138">
        <f>+SUM(E92:P92)</f>
        <v>0</v>
      </c>
      <c r="U92" s="164"/>
      <c r="V92" s="164"/>
      <c r="W92" s="164"/>
      <c r="X92" s="164"/>
      <c r="Y92" s="164"/>
      <c r="Z92" s="164"/>
      <c r="AA92" s="164"/>
      <c r="AB92" s="164"/>
      <c r="AC92" s="164"/>
      <c r="AE92" s="164"/>
      <c r="AF92" s="164"/>
      <c r="AG92" s="164"/>
      <c r="AH92" s="164"/>
      <c r="AI92" s="164"/>
      <c r="AJ92" s="164"/>
      <c r="AK92" s="164"/>
      <c r="AL92" s="164"/>
      <c r="AM92" s="164"/>
      <c r="AN92" s="164"/>
      <c r="AO92" s="164"/>
      <c r="AP92" s="164"/>
      <c r="AQ92" s="164"/>
      <c r="AR92" s="164"/>
      <c r="AS92" s="164"/>
      <c r="AT92" s="164"/>
      <c r="AU92" s="164"/>
      <c r="AV92" s="164"/>
      <c r="AW92" s="164"/>
      <c r="AX92" s="164"/>
    </row>
    <row r="93" spans="2:50" x14ac:dyDescent="0.25">
      <c r="B93" s="280"/>
      <c r="C93" s="138" t="s">
        <v>122</v>
      </c>
      <c r="D93" s="138">
        <f>COUNTIFS($I$3:$I$60,"&lt;&gt;",$E$3:$E$60,DATE(Paramètres!A4,Paramètres!D15,Paramètres!C15),$D$3:$D$60,"AGRI")</f>
        <v>0</v>
      </c>
      <c r="E93" s="153"/>
      <c r="F93" s="138"/>
      <c r="G93" s="154">
        <f>COUNTIFS($I$3:$I$60,"&lt;&gt;",$E$3:$E$60,DATE(Paramètres!A4,Paramètres!D15,Paramètres!C15),$F$3:$F$60,"SAS",$D$3:$D$60,"AGRI")</f>
        <v>0</v>
      </c>
      <c r="H93" s="138">
        <f>COUNTIFS($I$3:$I$60,"&lt;&gt;",$E$3:$E$60,DATE(Paramètres!A4,Paramètres!D15,Paramètres!C15),$F$3:$F$60,"INDIVIDUEL",$D$3:$D$60,"AGRI")</f>
        <v>0</v>
      </c>
      <c r="I93" s="152"/>
      <c r="J93" s="149"/>
      <c r="K93" s="150"/>
      <c r="L93" s="151"/>
      <c r="M93" s="138">
        <f>COUNTIFS($I$3:$I$60,"&lt;&gt;",$AZ$3:$AZ$60,"X",$E$3:$E$60,DATE(Paramètres!A4,Paramètres!D15,Paramètres!C15),$F$3:$F$60,"EARL")</f>
        <v>0</v>
      </c>
      <c r="N93" s="138">
        <f>COUNTIFS($I$3:$I$60,"&lt;&gt;",$E$3:$E$60,DATE(Paramètres!A4,Paramètres!D15,Paramètres!C15),$F$3:$F$60,"ETA")</f>
        <v>0</v>
      </c>
      <c r="O93" s="138">
        <f>COUNTIFS($I$3:$I$60,"&lt;&gt;",$E$3:$E$60,DATE(Paramètres!A4,Paramètres!D15,Paramètres!C15),$F$3:$F$60,"SCEA")</f>
        <v>0</v>
      </c>
      <c r="P93" s="138"/>
      <c r="Q93" s="138"/>
      <c r="R93" s="138"/>
      <c r="S93" s="138"/>
      <c r="T93" s="138">
        <f>+SUM(E93:P93)</f>
        <v>0</v>
      </c>
      <c r="U93" s="164"/>
      <c r="V93" s="164"/>
      <c r="W93" s="164"/>
      <c r="X93" s="164"/>
      <c r="Y93" s="164"/>
      <c r="Z93" s="164"/>
      <c r="AA93" s="164"/>
      <c r="AB93" s="164"/>
      <c r="AC93" s="164"/>
      <c r="AE93" s="164"/>
      <c r="AF93" s="164"/>
      <c r="AG93" s="164"/>
      <c r="AH93" s="164"/>
      <c r="AI93" s="164"/>
      <c r="AJ93" s="164"/>
      <c r="AK93" s="164"/>
      <c r="AL93" s="164"/>
      <c r="AM93" s="164"/>
      <c r="AN93" s="164"/>
      <c r="AO93" s="164"/>
      <c r="AP93" s="164"/>
      <c r="AQ93" s="164"/>
      <c r="AR93" s="164"/>
      <c r="AS93" s="164"/>
      <c r="AT93" s="164"/>
      <c r="AU93" s="164"/>
      <c r="AV93" s="164"/>
      <c r="AW93" s="164"/>
      <c r="AX93" s="164"/>
    </row>
    <row r="94" spans="2:50" x14ac:dyDescent="0.25">
      <c r="B94" s="280" t="s">
        <v>123</v>
      </c>
      <c r="C94" s="280"/>
      <c r="D94" s="138">
        <f t="shared" ref="D94:R94" si="10">+SUM(D91:D93)</f>
        <v>2</v>
      </c>
      <c r="E94" s="152">
        <f t="shared" si="10"/>
        <v>1</v>
      </c>
      <c r="F94" s="152">
        <f t="shared" si="10"/>
        <v>1</v>
      </c>
      <c r="G94" s="152">
        <f t="shared" si="10"/>
        <v>0</v>
      </c>
      <c r="H94" s="152">
        <f t="shared" si="10"/>
        <v>0</v>
      </c>
      <c r="I94" s="152">
        <f t="shared" si="10"/>
        <v>0</v>
      </c>
      <c r="J94" s="152">
        <f t="shared" si="10"/>
        <v>0</v>
      </c>
      <c r="K94" s="152">
        <f t="shared" si="10"/>
        <v>0</v>
      </c>
      <c r="L94" s="152">
        <f t="shared" si="10"/>
        <v>0</v>
      </c>
      <c r="M94" s="152">
        <f t="shared" si="10"/>
        <v>0</v>
      </c>
      <c r="N94" s="152">
        <f t="shared" si="10"/>
        <v>0</v>
      </c>
      <c r="O94" s="152">
        <f t="shared" si="10"/>
        <v>0</v>
      </c>
      <c r="P94" s="152">
        <f t="shared" si="10"/>
        <v>0</v>
      </c>
      <c r="Q94" s="152">
        <f t="shared" si="10"/>
        <v>0</v>
      </c>
      <c r="R94" s="152">
        <f t="shared" si="10"/>
        <v>0</v>
      </c>
      <c r="S94" s="152"/>
      <c r="T94" s="138">
        <f>+SUM(T91:T93)</f>
        <v>2</v>
      </c>
      <c r="U94" s="164"/>
      <c r="V94" s="164"/>
      <c r="W94" s="164"/>
      <c r="X94" s="164"/>
      <c r="Y94" s="164"/>
      <c r="Z94" s="164"/>
      <c r="AA94" s="164"/>
      <c r="AB94" s="164"/>
      <c r="AC94" s="164"/>
      <c r="AE94" s="164"/>
      <c r="AF94" s="164"/>
      <c r="AG94" s="164"/>
      <c r="AH94" s="164"/>
      <c r="AI94" s="164"/>
      <c r="AJ94" s="164"/>
      <c r="AK94" s="164"/>
      <c r="AL94" s="164"/>
      <c r="AM94" s="164"/>
      <c r="AN94" s="164"/>
      <c r="AO94" s="164"/>
      <c r="AP94" s="164"/>
      <c r="AQ94" s="164"/>
      <c r="AR94" s="164"/>
      <c r="AS94" s="164"/>
      <c r="AT94" s="164"/>
      <c r="AU94" s="164"/>
      <c r="AV94" s="164"/>
      <c r="AW94" s="164"/>
      <c r="AX94" s="164"/>
    </row>
    <row r="95" spans="2:50" x14ac:dyDescent="0.25">
      <c r="B95" s="137"/>
      <c r="C95" s="137"/>
      <c r="D95" s="137"/>
      <c r="E95" s="137"/>
      <c r="F95" s="137"/>
      <c r="G95" s="137"/>
      <c r="H95" s="137"/>
      <c r="I95" s="137"/>
      <c r="J95" s="137"/>
      <c r="K95" s="137"/>
      <c r="L95" s="137"/>
      <c r="M95" s="137"/>
      <c r="N95" s="137"/>
      <c r="O95" s="137"/>
      <c r="P95" s="137"/>
      <c r="Q95" s="137"/>
      <c r="R95" s="137"/>
      <c r="S95" s="137"/>
      <c r="T95" s="137"/>
      <c r="U95" s="164"/>
      <c r="V95" s="164"/>
      <c r="W95" s="164"/>
      <c r="X95" s="164"/>
      <c r="Y95" s="164"/>
      <c r="Z95" s="164"/>
      <c r="AA95" s="164"/>
      <c r="AB95" s="164"/>
      <c r="AC95" s="164"/>
      <c r="AE95" s="164"/>
      <c r="AF95" s="164"/>
      <c r="AG95" s="164"/>
      <c r="AH95" s="164"/>
      <c r="AI95" s="164"/>
      <c r="AJ95" s="164"/>
      <c r="AK95" s="164"/>
      <c r="AL95" s="164"/>
      <c r="AM95" s="164"/>
      <c r="AN95" s="164"/>
      <c r="AO95" s="164"/>
      <c r="AP95" s="164"/>
      <c r="AQ95" s="164"/>
      <c r="AR95" s="164"/>
      <c r="AS95" s="164"/>
      <c r="AT95" s="164"/>
      <c r="AU95" s="164"/>
      <c r="AV95" s="164"/>
      <c r="AW95" s="164"/>
      <c r="AX95" s="164"/>
    </row>
    <row r="96" spans="2:50" x14ac:dyDescent="0.25">
      <c r="B96" s="280" t="s">
        <v>40</v>
      </c>
      <c r="C96" s="138"/>
      <c r="D96" s="138"/>
      <c r="E96" s="140" t="str">
        <f t="shared" ref="E96:R96" si="11">E65</f>
        <v>SARL</v>
      </c>
      <c r="F96" s="138" t="str">
        <f t="shared" si="11"/>
        <v>EURL</v>
      </c>
      <c r="G96" s="141" t="str">
        <f t="shared" si="11"/>
        <v>SAS</v>
      </c>
      <c r="H96" s="142" t="str">
        <f t="shared" si="11"/>
        <v>INDIVIDUEL</v>
      </c>
      <c r="I96" s="142" t="str">
        <f t="shared" si="11"/>
        <v>ASSOCIATION</v>
      </c>
      <c r="J96" s="240" t="str">
        <f t="shared" si="11"/>
        <v>PROFESSION LIBERALE</v>
      </c>
      <c r="K96" s="240" t="str">
        <f t="shared" si="11"/>
        <v>SNC</v>
      </c>
      <c r="L96" s="240" t="str">
        <f t="shared" si="11"/>
        <v>SCI</v>
      </c>
      <c r="M96" s="240" t="str">
        <f t="shared" si="11"/>
        <v>EARL</v>
      </c>
      <c r="N96" s="240" t="str">
        <f t="shared" si="11"/>
        <v>ETA</v>
      </c>
      <c r="O96" s="240" t="str">
        <f t="shared" si="11"/>
        <v>SCEA</v>
      </c>
      <c r="P96" s="240" t="str">
        <f t="shared" si="11"/>
        <v>GROUPEMENT</v>
      </c>
      <c r="Q96" s="138" t="str">
        <f t="shared" si="11"/>
        <v>EIRL</v>
      </c>
      <c r="R96" s="138" t="str">
        <f t="shared" si="11"/>
        <v>AUTRES</v>
      </c>
      <c r="S96" s="138"/>
      <c r="T96" s="240" t="s">
        <v>86</v>
      </c>
      <c r="U96" s="164"/>
      <c r="V96" s="164"/>
      <c r="W96" s="164"/>
      <c r="X96" s="164"/>
      <c r="Y96" s="164"/>
      <c r="Z96" s="164"/>
      <c r="AA96" s="164"/>
      <c r="AB96" s="164"/>
      <c r="AC96" s="164"/>
      <c r="AE96" s="164"/>
      <c r="AF96" s="164"/>
      <c r="AG96" s="164"/>
      <c r="AH96" s="164"/>
      <c r="AI96" s="164"/>
      <c r="AJ96" s="164"/>
      <c r="AK96" s="164"/>
      <c r="AL96" s="164"/>
      <c r="AM96" s="164"/>
      <c r="AN96" s="164"/>
      <c r="AO96" s="164"/>
      <c r="AP96" s="164"/>
      <c r="AQ96" s="164"/>
      <c r="AR96" s="164"/>
      <c r="AS96" s="164"/>
      <c r="AT96" s="164"/>
      <c r="AU96" s="164"/>
      <c r="AV96" s="164"/>
      <c r="AW96" s="164"/>
      <c r="AX96" s="164"/>
    </row>
    <row r="97" spans="2:50" x14ac:dyDescent="0.25">
      <c r="B97" s="280"/>
      <c r="C97" s="146" t="s">
        <v>109</v>
      </c>
      <c r="D97" s="138">
        <f>+D85-D91</f>
        <v>0</v>
      </c>
      <c r="E97" s="152">
        <f>+E85-E91</f>
        <v>0</v>
      </c>
      <c r="F97" s="152">
        <f t="shared" ref="F97:R97" si="12">+F85-F91</f>
        <v>0</v>
      </c>
      <c r="G97" s="152">
        <f t="shared" si="12"/>
        <v>0</v>
      </c>
      <c r="H97" s="152">
        <f t="shared" si="12"/>
        <v>0</v>
      </c>
      <c r="I97" s="152">
        <f t="shared" si="12"/>
        <v>0</v>
      </c>
      <c r="J97" s="152">
        <f t="shared" si="12"/>
        <v>0</v>
      </c>
      <c r="K97" s="152">
        <f t="shared" si="12"/>
        <v>0</v>
      </c>
      <c r="L97" s="152">
        <f t="shared" si="12"/>
        <v>0</v>
      </c>
      <c r="M97" s="152">
        <f t="shared" si="12"/>
        <v>0</v>
      </c>
      <c r="N97" s="152">
        <f t="shared" si="12"/>
        <v>0</v>
      </c>
      <c r="O97" s="152">
        <f t="shared" si="12"/>
        <v>0</v>
      </c>
      <c r="P97" s="152">
        <f t="shared" si="12"/>
        <v>0</v>
      </c>
      <c r="Q97" s="152">
        <f t="shared" si="12"/>
        <v>0</v>
      </c>
      <c r="R97" s="152">
        <f t="shared" si="12"/>
        <v>0</v>
      </c>
      <c r="S97" s="152"/>
      <c r="T97" s="138">
        <f>+SUM(E97:P97)</f>
        <v>0</v>
      </c>
      <c r="U97" s="164"/>
      <c r="V97" s="164"/>
      <c r="W97" s="164"/>
      <c r="X97" s="164"/>
      <c r="Y97" s="164"/>
      <c r="Z97" s="164"/>
      <c r="AA97" s="164"/>
      <c r="AB97" s="164"/>
      <c r="AC97" s="164"/>
      <c r="AE97" s="164"/>
      <c r="AF97" s="164"/>
      <c r="AG97" s="164"/>
      <c r="AH97" s="164"/>
      <c r="AI97" s="164"/>
      <c r="AJ97" s="164"/>
      <c r="AK97" s="164"/>
      <c r="AL97" s="164"/>
      <c r="AM97" s="164"/>
      <c r="AN97" s="164"/>
      <c r="AO97" s="164"/>
      <c r="AP97" s="164"/>
      <c r="AQ97" s="164"/>
      <c r="AR97" s="164"/>
      <c r="AS97" s="164"/>
      <c r="AT97" s="164"/>
      <c r="AU97" s="164"/>
      <c r="AV97" s="164"/>
      <c r="AW97" s="164"/>
      <c r="AX97" s="164"/>
    </row>
    <row r="98" spans="2:50" x14ac:dyDescent="0.25">
      <c r="B98" s="280"/>
      <c r="C98" s="146" t="s">
        <v>121</v>
      </c>
      <c r="D98" s="138">
        <f>+D86-D92</f>
        <v>0</v>
      </c>
      <c r="E98" s="138">
        <f t="shared" ref="E98:R100" si="13">+E86-E92</f>
        <v>0</v>
      </c>
      <c r="F98" s="138">
        <f t="shared" si="13"/>
        <v>0</v>
      </c>
      <c r="G98" s="138">
        <f t="shared" si="13"/>
        <v>0</v>
      </c>
      <c r="H98" s="138">
        <f t="shared" si="13"/>
        <v>0</v>
      </c>
      <c r="I98" s="138">
        <f t="shared" si="13"/>
        <v>0</v>
      </c>
      <c r="J98" s="138">
        <f t="shared" si="13"/>
        <v>0</v>
      </c>
      <c r="K98" s="138">
        <f t="shared" si="13"/>
        <v>0</v>
      </c>
      <c r="L98" s="138">
        <f t="shared" si="13"/>
        <v>0</v>
      </c>
      <c r="M98" s="138">
        <f t="shared" si="13"/>
        <v>0</v>
      </c>
      <c r="N98" s="138">
        <f t="shared" si="13"/>
        <v>0</v>
      </c>
      <c r="O98" s="138">
        <f t="shared" si="13"/>
        <v>0</v>
      </c>
      <c r="P98" s="138">
        <f t="shared" si="13"/>
        <v>0</v>
      </c>
      <c r="Q98" s="138">
        <f t="shared" si="13"/>
        <v>0</v>
      </c>
      <c r="R98" s="138">
        <f t="shared" si="13"/>
        <v>0</v>
      </c>
      <c r="S98" s="138"/>
      <c r="T98" s="138">
        <f>+SUM(E98:P98)</f>
        <v>0</v>
      </c>
      <c r="U98" s="164"/>
      <c r="V98" s="164"/>
      <c r="W98" s="164"/>
      <c r="X98" s="164"/>
      <c r="Y98" s="164"/>
      <c r="Z98" s="164"/>
      <c r="AA98" s="164"/>
      <c r="AB98" s="164"/>
      <c r="AC98" s="164"/>
      <c r="AE98" s="164"/>
      <c r="AF98" s="164"/>
      <c r="AG98" s="164"/>
      <c r="AH98" s="164"/>
      <c r="AI98" s="164"/>
      <c r="AJ98" s="164"/>
      <c r="AK98" s="164"/>
      <c r="AL98" s="164"/>
      <c r="AM98" s="164"/>
      <c r="AN98" s="164"/>
      <c r="AO98" s="164"/>
      <c r="AP98" s="164"/>
      <c r="AQ98" s="164"/>
      <c r="AR98" s="164"/>
      <c r="AS98" s="164"/>
      <c r="AT98" s="164"/>
      <c r="AU98" s="164"/>
      <c r="AV98" s="164"/>
      <c r="AW98" s="164"/>
      <c r="AX98" s="164"/>
    </row>
    <row r="99" spans="2:50" x14ac:dyDescent="0.25">
      <c r="B99" s="280"/>
      <c r="C99" s="138" t="s">
        <v>122</v>
      </c>
      <c r="D99" s="138">
        <f>+D87-D93</f>
        <v>0</v>
      </c>
      <c r="E99" s="138">
        <f t="shared" si="13"/>
        <v>0</v>
      </c>
      <c r="F99" s="138">
        <f t="shared" si="13"/>
        <v>0</v>
      </c>
      <c r="G99" s="138">
        <f t="shared" si="13"/>
        <v>0</v>
      </c>
      <c r="H99" s="138">
        <f t="shared" si="13"/>
        <v>0</v>
      </c>
      <c r="I99" s="138">
        <f t="shared" si="13"/>
        <v>0</v>
      </c>
      <c r="J99" s="138">
        <f t="shared" si="13"/>
        <v>0</v>
      </c>
      <c r="K99" s="138">
        <f t="shared" si="13"/>
        <v>0</v>
      </c>
      <c r="L99" s="138">
        <f t="shared" si="13"/>
        <v>0</v>
      </c>
      <c r="M99" s="138">
        <f t="shared" si="13"/>
        <v>0</v>
      </c>
      <c r="N99" s="138">
        <f t="shared" si="13"/>
        <v>0</v>
      </c>
      <c r="O99" s="138">
        <f t="shared" si="13"/>
        <v>0</v>
      </c>
      <c r="P99" s="138">
        <f t="shared" si="13"/>
        <v>0</v>
      </c>
      <c r="Q99" s="138">
        <f t="shared" si="13"/>
        <v>0</v>
      </c>
      <c r="R99" s="138">
        <f t="shared" si="13"/>
        <v>0</v>
      </c>
      <c r="S99" s="138"/>
      <c r="T99" s="138">
        <f>+SUM(E99:P99)</f>
        <v>0</v>
      </c>
      <c r="U99" s="164"/>
      <c r="V99" s="164"/>
      <c r="W99" s="164"/>
      <c r="X99" s="164"/>
      <c r="Y99" s="164"/>
      <c r="Z99" s="164"/>
      <c r="AA99" s="164"/>
      <c r="AB99" s="164"/>
      <c r="AC99" s="164"/>
      <c r="AE99" s="164"/>
      <c r="AF99" s="164"/>
      <c r="AG99" s="164"/>
      <c r="AH99" s="164"/>
      <c r="AI99" s="164"/>
      <c r="AJ99" s="164"/>
      <c r="AK99" s="164"/>
      <c r="AL99" s="164"/>
      <c r="AM99" s="164"/>
      <c r="AN99" s="164"/>
      <c r="AO99" s="164"/>
      <c r="AP99" s="164"/>
      <c r="AQ99" s="164"/>
      <c r="AR99" s="164"/>
      <c r="AS99" s="164"/>
      <c r="AT99" s="164"/>
      <c r="AU99" s="164"/>
      <c r="AV99" s="164"/>
      <c r="AW99" s="164"/>
      <c r="AX99" s="164"/>
    </row>
    <row r="100" spans="2:50" x14ac:dyDescent="0.25">
      <c r="B100" s="280" t="s">
        <v>123</v>
      </c>
      <c r="C100" s="280"/>
      <c r="D100" s="138">
        <f>+D88-D94</f>
        <v>0</v>
      </c>
      <c r="E100" s="138">
        <f t="shared" si="13"/>
        <v>0</v>
      </c>
      <c r="F100" s="138">
        <f t="shared" si="13"/>
        <v>0</v>
      </c>
      <c r="G100" s="138">
        <f t="shared" si="13"/>
        <v>0</v>
      </c>
      <c r="H100" s="138">
        <f t="shared" si="13"/>
        <v>0</v>
      </c>
      <c r="I100" s="138">
        <f t="shared" si="13"/>
        <v>0</v>
      </c>
      <c r="J100" s="138">
        <f t="shared" si="13"/>
        <v>0</v>
      </c>
      <c r="K100" s="138">
        <f t="shared" si="13"/>
        <v>0</v>
      </c>
      <c r="L100" s="138">
        <f t="shared" si="13"/>
        <v>0</v>
      </c>
      <c r="M100" s="138">
        <f t="shared" si="13"/>
        <v>0</v>
      </c>
      <c r="N100" s="138">
        <f t="shared" si="13"/>
        <v>0</v>
      </c>
      <c r="O100" s="138">
        <f t="shared" si="13"/>
        <v>0</v>
      </c>
      <c r="P100" s="138">
        <f t="shared" si="13"/>
        <v>0</v>
      </c>
      <c r="Q100" s="138">
        <f t="shared" si="13"/>
        <v>0</v>
      </c>
      <c r="R100" s="138">
        <f t="shared" si="13"/>
        <v>0</v>
      </c>
      <c r="S100" s="138"/>
      <c r="T100" s="138">
        <f>+SUM(T97:T99)</f>
        <v>0</v>
      </c>
      <c r="U100" s="164"/>
      <c r="V100" s="164"/>
      <c r="W100" s="164"/>
      <c r="X100" s="164"/>
      <c r="Y100" s="164"/>
      <c r="Z100" s="164"/>
      <c r="AA100" s="164"/>
      <c r="AB100" s="164"/>
      <c r="AC100" s="164"/>
      <c r="AE100" s="164"/>
      <c r="AF100" s="164"/>
      <c r="AG100" s="164"/>
      <c r="AH100" s="164"/>
      <c r="AI100" s="164"/>
      <c r="AJ100" s="164"/>
      <c r="AK100" s="164"/>
      <c r="AL100" s="164"/>
      <c r="AM100" s="164"/>
      <c r="AN100" s="164"/>
      <c r="AO100" s="164"/>
      <c r="AP100" s="164"/>
      <c r="AQ100" s="164"/>
      <c r="AR100" s="164"/>
      <c r="AS100" s="164"/>
      <c r="AT100" s="164"/>
      <c r="AU100" s="164"/>
      <c r="AV100" s="164"/>
      <c r="AW100" s="164"/>
      <c r="AX100" s="164"/>
    </row>
    <row r="101" spans="2:50" x14ac:dyDescent="0.25">
      <c r="U101" s="164"/>
      <c r="V101" s="164"/>
      <c r="W101" s="164"/>
      <c r="X101" s="164"/>
      <c r="Y101" s="164"/>
      <c r="Z101" s="164"/>
      <c r="AA101" s="164"/>
      <c r="AB101" s="164"/>
      <c r="AC101" s="164"/>
      <c r="AE101" s="164"/>
      <c r="AF101" s="164"/>
      <c r="AG101" s="164"/>
      <c r="AH101" s="164"/>
      <c r="AI101" s="164"/>
      <c r="AJ101" s="164"/>
      <c r="AK101" s="164"/>
      <c r="AL101" s="164"/>
      <c r="AM101" s="164"/>
      <c r="AN101" s="164"/>
      <c r="AO101" s="164"/>
      <c r="AP101" s="164"/>
      <c r="AQ101" s="164"/>
      <c r="AR101" s="164"/>
      <c r="AS101" s="164"/>
      <c r="AT101" s="164"/>
      <c r="AU101" s="164"/>
      <c r="AV101" s="164"/>
      <c r="AW101" s="164"/>
      <c r="AX101" s="164"/>
    </row>
    <row r="102" spans="2:50" x14ac:dyDescent="0.25">
      <c r="B102" s="89" t="s">
        <v>133</v>
      </c>
      <c r="U102" s="164"/>
      <c r="V102" s="164"/>
      <c r="W102" s="164"/>
      <c r="X102" s="164"/>
      <c r="Y102" s="164"/>
      <c r="Z102" s="164"/>
      <c r="AA102" s="164"/>
      <c r="AB102" s="164"/>
      <c r="AC102" s="164"/>
      <c r="AE102" s="164"/>
      <c r="AF102" s="164"/>
      <c r="AG102" s="164"/>
      <c r="AH102" s="164"/>
      <c r="AI102" s="164"/>
      <c r="AJ102" s="164"/>
      <c r="AK102" s="164"/>
      <c r="AL102" s="164"/>
      <c r="AM102" s="164"/>
      <c r="AN102" s="164"/>
      <c r="AO102" s="164"/>
      <c r="AP102" s="164"/>
      <c r="AQ102" s="164"/>
      <c r="AR102" s="164"/>
      <c r="AS102" s="164"/>
      <c r="AT102" s="164"/>
      <c r="AU102" s="164"/>
      <c r="AV102" s="164"/>
      <c r="AW102" s="164"/>
      <c r="AX102" s="164"/>
    </row>
    <row r="103" spans="2:50" x14ac:dyDescent="0.25">
      <c r="U103" s="164"/>
      <c r="V103" s="164"/>
      <c r="W103" s="164"/>
      <c r="X103" s="164"/>
      <c r="Y103" s="164"/>
      <c r="Z103" s="164"/>
      <c r="AA103" s="164"/>
      <c r="AB103" s="164"/>
      <c r="AC103" s="164"/>
      <c r="AE103" s="164"/>
      <c r="AF103" s="164"/>
      <c r="AG103" s="164"/>
      <c r="AH103" s="164"/>
      <c r="AI103" s="164"/>
      <c r="AJ103" s="164"/>
      <c r="AK103" s="164"/>
      <c r="AL103" s="164"/>
      <c r="AM103" s="164"/>
      <c r="AN103" s="164"/>
      <c r="AO103" s="164"/>
      <c r="AP103" s="164"/>
      <c r="AQ103" s="164"/>
      <c r="AR103" s="164"/>
      <c r="AS103" s="164"/>
      <c r="AT103" s="164"/>
      <c r="AU103" s="164"/>
      <c r="AV103" s="164"/>
      <c r="AW103" s="164"/>
      <c r="AX103" s="164"/>
    </row>
    <row r="104" spans="2:50" x14ac:dyDescent="0.25">
      <c r="B104" s="274" t="s">
        <v>120</v>
      </c>
      <c r="C104" s="122"/>
      <c r="D104" s="122"/>
      <c r="E104" s="157" t="str">
        <f t="shared" ref="E104:R104" si="14">E65</f>
        <v>SARL</v>
      </c>
      <c r="F104" s="121" t="str">
        <f t="shared" si="14"/>
        <v>EURL</v>
      </c>
      <c r="G104" s="158" t="str">
        <f t="shared" si="14"/>
        <v>SAS</v>
      </c>
      <c r="H104" s="158" t="str">
        <f t="shared" si="14"/>
        <v>INDIVIDUEL</v>
      </c>
      <c r="I104" s="158" t="str">
        <f t="shared" si="14"/>
        <v>ASSOCIATION</v>
      </c>
      <c r="J104" s="157" t="str">
        <f t="shared" si="14"/>
        <v>PROFESSION LIBERALE</v>
      </c>
      <c r="K104" s="157" t="str">
        <f t="shared" si="14"/>
        <v>SNC</v>
      </c>
      <c r="L104" s="157" t="str">
        <f t="shared" si="14"/>
        <v>SCI</v>
      </c>
      <c r="M104" s="157" t="str">
        <f t="shared" si="14"/>
        <v>EARL</v>
      </c>
      <c r="N104" s="157" t="str">
        <f t="shared" si="14"/>
        <v>ETA</v>
      </c>
      <c r="O104" s="157" t="str">
        <f t="shared" si="14"/>
        <v>SCEA</v>
      </c>
      <c r="P104" s="157" t="str">
        <f t="shared" si="14"/>
        <v>GROUPEMENT</v>
      </c>
      <c r="Q104" s="121" t="str">
        <f t="shared" si="14"/>
        <v>EIRL</v>
      </c>
      <c r="R104" s="121" t="str">
        <f t="shared" si="14"/>
        <v>AUTRES</v>
      </c>
      <c r="S104" s="121"/>
      <c r="T104" s="157" t="s">
        <v>86</v>
      </c>
      <c r="U104" s="164"/>
      <c r="V104" s="164"/>
      <c r="W104" s="164"/>
      <c r="X104" s="164"/>
      <c r="Y104" s="164"/>
      <c r="Z104" s="164"/>
      <c r="AA104" s="164"/>
      <c r="AB104" s="164"/>
      <c r="AC104" s="164"/>
      <c r="AE104" s="164"/>
      <c r="AF104" s="164"/>
      <c r="AG104" s="164"/>
      <c r="AH104" s="164"/>
      <c r="AI104" s="164"/>
      <c r="AJ104" s="164"/>
      <c r="AK104" s="164"/>
      <c r="AL104" s="164"/>
      <c r="AM104" s="164"/>
      <c r="AN104" s="164"/>
      <c r="AO104" s="164"/>
      <c r="AP104" s="164"/>
      <c r="AQ104" s="164"/>
      <c r="AR104" s="164"/>
      <c r="AS104" s="164"/>
      <c r="AT104" s="164"/>
      <c r="AU104" s="164"/>
      <c r="AV104" s="164"/>
      <c r="AW104" s="164"/>
      <c r="AX104" s="164"/>
    </row>
    <row r="105" spans="2:50" x14ac:dyDescent="0.25">
      <c r="B105" s="275"/>
      <c r="C105" s="120" t="s">
        <v>109</v>
      </c>
      <c r="D105" s="122">
        <f>+D66-D85</f>
        <v>1</v>
      </c>
      <c r="E105" s="122">
        <f t="shared" ref="E105:R107" si="15">+E66-E85</f>
        <v>0</v>
      </c>
      <c r="F105" s="122">
        <f t="shared" si="15"/>
        <v>0</v>
      </c>
      <c r="G105" s="122">
        <f t="shared" si="15"/>
        <v>0</v>
      </c>
      <c r="H105" s="122">
        <f t="shared" si="15"/>
        <v>0</v>
      </c>
      <c r="I105" s="122">
        <f t="shared" si="15"/>
        <v>0</v>
      </c>
      <c r="J105" s="122">
        <f t="shared" si="15"/>
        <v>0</v>
      </c>
      <c r="K105" s="122">
        <f t="shared" si="15"/>
        <v>0</v>
      </c>
      <c r="L105" s="122">
        <f t="shared" si="15"/>
        <v>0</v>
      </c>
      <c r="M105" s="122">
        <f t="shared" si="15"/>
        <v>0</v>
      </c>
      <c r="N105" s="122">
        <f t="shared" si="15"/>
        <v>0</v>
      </c>
      <c r="O105" s="122">
        <f t="shared" si="15"/>
        <v>0</v>
      </c>
      <c r="P105" s="122">
        <f t="shared" si="15"/>
        <v>0</v>
      </c>
      <c r="Q105" s="122">
        <f t="shared" si="15"/>
        <v>1</v>
      </c>
      <c r="R105" s="122">
        <f t="shared" si="15"/>
        <v>0</v>
      </c>
      <c r="S105" s="122"/>
      <c r="T105" s="122">
        <f>+SUM(E105:P105)</f>
        <v>0</v>
      </c>
      <c r="U105" s="164"/>
      <c r="V105" s="164"/>
      <c r="W105" s="164"/>
      <c r="X105" s="164"/>
      <c r="Y105" s="164"/>
      <c r="Z105" s="164"/>
      <c r="AA105" s="164"/>
      <c r="AB105" s="164"/>
      <c r="AC105" s="164"/>
      <c r="AE105" s="164"/>
      <c r="AF105" s="164"/>
      <c r="AG105" s="164"/>
      <c r="AH105" s="164"/>
      <c r="AI105" s="164"/>
      <c r="AJ105" s="164"/>
      <c r="AK105" s="164"/>
      <c r="AL105" s="164"/>
      <c r="AM105" s="164"/>
      <c r="AN105" s="164"/>
      <c r="AO105" s="164"/>
      <c r="AP105" s="164"/>
      <c r="AQ105" s="164"/>
      <c r="AR105" s="164"/>
      <c r="AS105" s="164"/>
      <c r="AT105" s="164"/>
      <c r="AU105" s="164"/>
      <c r="AV105" s="164"/>
      <c r="AW105" s="164"/>
      <c r="AX105" s="164"/>
    </row>
    <row r="106" spans="2:50" x14ac:dyDescent="0.25">
      <c r="B106" s="275"/>
      <c r="C106" s="120" t="s">
        <v>121</v>
      </c>
      <c r="D106" s="122">
        <f>+D67-D86</f>
        <v>0</v>
      </c>
      <c r="E106" s="122">
        <f t="shared" si="15"/>
        <v>0</v>
      </c>
      <c r="F106" s="122">
        <f t="shared" si="15"/>
        <v>0</v>
      </c>
      <c r="G106" s="122">
        <f t="shared" si="15"/>
        <v>0</v>
      </c>
      <c r="H106" s="122">
        <f t="shared" si="15"/>
        <v>0</v>
      </c>
      <c r="I106" s="122">
        <f t="shared" si="15"/>
        <v>0</v>
      </c>
      <c r="J106" s="122">
        <f t="shared" si="15"/>
        <v>0</v>
      </c>
      <c r="K106" s="122">
        <f t="shared" si="15"/>
        <v>0</v>
      </c>
      <c r="L106" s="122">
        <f t="shared" si="15"/>
        <v>0</v>
      </c>
      <c r="M106" s="122">
        <f t="shared" si="15"/>
        <v>0</v>
      </c>
      <c r="N106" s="122">
        <f t="shared" si="15"/>
        <v>0</v>
      </c>
      <c r="O106" s="122">
        <f t="shared" si="15"/>
        <v>0</v>
      </c>
      <c r="P106" s="122">
        <f t="shared" si="15"/>
        <v>0</v>
      </c>
      <c r="Q106" s="122">
        <f t="shared" si="15"/>
        <v>0</v>
      </c>
      <c r="R106" s="122">
        <f t="shared" si="15"/>
        <v>0</v>
      </c>
      <c r="S106" s="122"/>
      <c r="T106" s="122">
        <f>+SUM(E106:P106)</f>
        <v>0</v>
      </c>
      <c r="U106" s="164"/>
      <c r="V106" s="164"/>
      <c r="W106" s="164"/>
      <c r="X106" s="164"/>
      <c r="Y106" s="164"/>
      <c r="Z106" s="164"/>
      <c r="AA106" s="164"/>
      <c r="AB106" s="164"/>
      <c r="AC106" s="164"/>
      <c r="AE106" s="164"/>
      <c r="AF106" s="164"/>
      <c r="AG106" s="164"/>
      <c r="AH106" s="164"/>
      <c r="AI106" s="164"/>
      <c r="AJ106" s="164"/>
      <c r="AK106" s="164"/>
      <c r="AL106" s="164"/>
      <c r="AM106" s="164"/>
      <c r="AN106" s="164"/>
      <c r="AO106" s="164"/>
      <c r="AP106" s="164"/>
      <c r="AQ106" s="164"/>
      <c r="AR106" s="164"/>
      <c r="AS106" s="164"/>
      <c r="AT106" s="164"/>
      <c r="AU106" s="164"/>
      <c r="AV106" s="164"/>
      <c r="AW106" s="164"/>
      <c r="AX106" s="164"/>
    </row>
    <row r="107" spans="2:50" x14ac:dyDescent="0.25">
      <c r="B107" s="276"/>
      <c r="C107" s="122" t="s">
        <v>122</v>
      </c>
      <c r="D107" s="122">
        <f>+D68-D87</f>
        <v>0</v>
      </c>
      <c r="E107" s="122">
        <f t="shared" si="15"/>
        <v>0</v>
      </c>
      <c r="F107" s="122">
        <f t="shared" si="15"/>
        <v>0</v>
      </c>
      <c r="G107" s="122">
        <f t="shared" si="15"/>
        <v>0</v>
      </c>
      <c r="H107" s="122">
        <f t="shared" si="15"/>
        <v>0</v>
      </c>
      <c r="I107" s="122">
        <f t="shared" si="15"/>
        <v>0</v>
      </c>
      <c r="J107" s="122">
        <f t="shared" si="15"/>
        <v>0</v>
      </c>
      <c r="K107" s="122">
        <f t="shared" si="15"/>
        <v>0</v>
      </c>
      <c r="L107" s="122">
        <f t="shared" si="15"/>
        <v>0</v>
      </c>
      <c r="M107" s="122">
        <f t="shared" si="15"/>
        <v>0</v>
      </c>
      <c r="N107" s="122">
        <f t="shared" si="15"/>
        <v>0</v>
      </c>
      <c r="O107" s="122">
        <f t="shared" si="15"/>
        <v>0</v>
      </c>
      <c r="P107" s="122">
        <f t="shared" si="15"/>
        <v>0</v>
      </c>
      <c r="Q107" s="122">
        <f t="shared" si="15"/>
        <v>0</v>
      </c>
      <c r="R107" s="122">
        <f t="shared" si="15"/>
        <v>0</v>
      </c>
      <c r="S107" s="122"/>
      <c r="T107" s="122">
        <f>+SUM(E107:P107)</f>
        <v>0</v>
      </c>
      <c r="U107" s="164"/>
      <c r="V107" s="164"/>
      <c r="W107" s="164"/>
      <c r="X107" s="164"/>
      <c r="Y107" s="164"/>
      <c r="Z107" s="164"/>
      <c r="AA107" s="164"/>
      <c r="AB107" s="164"/>
      <c r="AC107" s="164"/>
      <c r="AE107" s="164"/>
      <c r="AF107" s="164"/>
      <c r="AG107" s="164"/>
      <c r="AH107" s="164"/>
      <c r="AI107" s="164"/>
      <c r="AJ107" s="164"/>
      <c r="AK107" s="164"/>
      <c r="AL107" s="164"/>
      <c r="AM107" s="164"/>
      <c r="AN107" s="164"/>
      <c r="AO107" s="164"/>
      <c r="AP107" s="164"/>
      <c r="AQ107" s="164"/>
      <c r="AR107" s="164"/>
      <c r="AS107" s="164"/>
      <c r="AT107" s="164"/>
      <c r="AU107" s="164"/>
      <c r="AV107" s="164"/>
      <c r="AW107" s="164"/>
      <c r="AX107" s="164"/>
    </row>
    <row r="108" spans="2:50" x14ac:dyDescent="0.25">
      <c r="B108" s="277" t="s">
        <v>123</v>
      </c>
      <c r="C108" s="277"/>
      <c r="D108" s="122">
        <f t="shared" ref="D108:R108" si="16">+SUM(D105:D107)</f>
        <v>1</v>
      </c>
      <c r="E108" s="122">
        <f t="shared" si="16"/>
        <v>0</v>
      </c>
      <c r="F108" s="122">
        <f t="shared" si="16"/>
        <v>0</v>
      </c>
      <c r="G108" s="122">
        <f t="shared" si="16"/>
        <v>0</v>
      </c>
      <c r="H108" s="122">
        <f t="shared" si="16"/>
        <v>0</v>
      </c>
      <c r="I108" s="122">
        <f t="shared" si="16"/>
        <v>0</v>
      </c>
      <c r="J108" s="122">
        <f t="shared" si="16"/>
        <v>0</v>
      </c>
      <c r="K108" s="122">
        <f t="shared" si="16"/>
        <v>0</v>
      </c>
      <c r="L108" s="122">
        <f t="shared" si="16"/>
        <v>0</v>
      </c>
      <c r="M108" s="122">
        <f t="shared" si="16"/>
        <v>0</v>
      </c>
      <c r="N108" s="122">
        <f t="shared" si="16"/>
        <v>0</v>
      </c>
      <c r="O108" s="122">
        <f t="shared" si="16"/>
        <v>0</v>
      </c>
      <c r="P108" s="122">
        <f t="shared" si="16"/>
        <v>0</v>
      </c>
      <c r="Q108" s="122">
        <f t="shared" si="16"/>
        <v>1</v>
      </c>
      <c r="R108" s="122">
        <f t="shared" si="16"/>
        <v>0</v>
      </c>
      <c r="S108" s="122"/>
      <c r="T108" s="122">
        <f>+SUM(T105:T107)</f>
        <v>0</v>
      </c>
      <c r="U108" s="164"/>
      <c r="V108" s="164"/>
      <c r="W108" s="164"/>
      <c r="X108" s="164"/>
      <c r="Y108" s="164"/>
      <c r="Z108" s="164"/>
      <c r="AA108" s="164"/>
      <c r="AB108" s="164"/>
      <c r="AC108" s="164"/>
      <c r="AE108" s="164"/>
      <c r="AF108" s="164"/>
      <c r="AG108" s="164"/>
      <c r="AH108" s="164"/>
      <c r="AI108" s="164"/>
      <c r="AJ108" s="164"/>
      <c r="AK108" s="164"/>
      <c r="AL108" s="164"/>
      <c r="AM108" s="164"/>
      <c r="AN108" s="164"/>
      <c r="AO108" s="164"/>
      <c r="AP108" s="164"/>
      <c r="AQ108" s="164"/>
      <c r="AR108" s="164"/>
      <c r="AS108" s="164"/>
      <c r="AT108" s="164"/>
      <c r="AU108" s="164"/>
      <c r="AV108" s="164"/>
      <c r="AW108" s="164"/>
      <c r="AX108" s="164"/>
    </row>
    <row r="109" spans="2:50" x14ac:dyDescent="0.25">
      <c r="B109" s="90"/>
      <c r="C109" s="90"/>
      <c r="D109" s="90"/>
      <c r="E109" s="90"/>
      <c r="G109" s="90"/>
      <c r="H109" s="90"/>
      <c r="I109" s="90"/>
      <c r="J109" s="90"/>
      <c r="K109" s="90"/>
      <c r="L109" s="90"/>
      <c r="M109" s="90"/>
      <c r="N109" s="90"/>
      <c r="O109" s="90"/>
      <c r="P109" s="90"/>
      <c r="T109" s="90"/>
      <c r="U109" s="164"/>
      <c r="V109" s="164"/>
      <c r="W109" s="164"/>
      <c r="X109" s="164"/>
      <c r="Y109" s="164"/>
      <c r="Z109" s="164"/>
      <c r="AA109" s="164"/>
      <c r="AB109" s="164"/>
      <c r="AC109" s="164"/>
      <c r="AE109" s="164"/>
      <c r="AF109" s="164"/>
      <c r="AG109" s="164"/>
      <c r="AH109" s="164"/>
      <c r="AI109" s="164"/>
      <c r="AJ109" s="164"/>
      <c r="AK109" s="164"/>
      <c r="AL109" s="164"/>
      <c r="AM109" s="164"/>
      <c r="AN109" s="164"/>
      <c r="AO109" s="164"/>
      <c r="AP109" s="164"/>
      <c r="AQ109" s="164"/>
      <c r="AR109" s="164"/>
      <c r="AS109" s="164"/>
      <c r="AT109" s="164"/>
      <c r="AU109" s="164"/>
      <c r="AV109" s="164"/>
      <c r="AW109" s="164"/>
      <c r="AX109" s="164"/>
    </row>
    <row r="110" spans="2:50" x14ac:dyDescent="0.25">
      <c r="B110" s="278">
        <v>44196</v>
      </c>
      <c r="C110" s="122"/>
      <c r="D110" s="122"/>
      <c r="E110" s="128" t="str">
        <f t="shared" ref="E110:R110" si="17">E65</f>
        <v>SARL</v>
      </c>
      <c r="F110" s="121" t="str">
        <f t="shared" si="17"/>
        <v>EURL</v>
      </c>
      <c r="G110" s="127" t="str">
        <f t="shared" si="17"/>
        <v>SAS</v>
      </c>
      <c r="H110" s="127" t="str">
        <f t="shared" si="17"/>
        <v>INDIVIDUEL</v>
      </c>
      <c r="I110" s="127" t="str">
        <f t="shared" si="17"/>
        <v>ASSOCIATION</v>
      </c>
      <c r="J110" s="128" t="str">
        <f t="shared" si="17"/>
        <v>PROFESSION LIBERALE</v>
      </c>
      <c r="K110" s="128" t="str">
        <f t="shared" si="17"/>
        <v>SNC</v>
      </c>
      <c r="L110" s="128" t="str">
        <f t="shared" si="17"/>
        <v>SCI</v>
      </c>
      <c r="M110" s="128" t="str">
        <f t="shared" si="17"/>
        <v>EARL</v>
      </c>
      <c r="N110" s="128" t="str">
        <f t="shared" si="17"/>
        <v>ETA</v>
      </c>
      <c r="O110" s="128" t="str">
        <f t="shared" si="17"/>
        <v>SCEA</v>
      </c>
      <c r="P110" s="128" t="str">
        <f t="shared" si="17"/>
        <v>GROUPEMENT</v>
      </c>
      <c r="Q110" s="128" t="str">
        <f t="shared" si="17"/>
        <v>EIRL</v>
      </c>
      <c r="R110" s="121" t="str">
        <f t="shared" si="17"/>
        <v>AUTRES</v>
      </c>
      <c r="S110" s="121"/>
      <c r="T110" s="128" t="s">
        <v>86</v>
      </c>
      <c r="U110" s="164"/>
      <c r="V110" s="164"/>
      <c r="W110" s="164"/>
      <c r="X110" s="164"/>
      <c r="Y110" s="164"/>
      <c r="Z110" s="164"/>
      <c r="AA110" s="164"/>
      <c r="AB110" s="164"/>
      <c r="AC110" s="164"/>
      <c r="AE110" s="164"/>
      <c r="AF110" s="164"/>
      <c r="AG110" s="164"/>
      <c r="AH110" s="164"/>
      <c r="AI110" s="164"/>
      <c r="AJ110" s="164"/>
      <c r="AK110" s="164"/>
      <c r="AL110" s="164"/>
      <c r="AM110" s="164"/>
      <c r="AN110" s="164"/>
      <c r="AO110" s="164"/>
      <c r="AP110" s="164"/>
      <c r="AQ110" s="164"/>
      <c r="AR110" s="164"/>
      <c r="AS110" s="164"/>
      <c r="AT110" s="164"/>
      <c r="AU110" s="164"/>
      <c r="AV110" s="164"/>
      <c r="AW110" s="164"/>
      <c r="AX110" s="164"/>
    </row>
    <row r="111" spans="2:50" x14ac:dyDescent="0.25">
      <c r="B111" s="275"/>
      <c r="C111" s="120" t="s">
        <v>109</v>
      </c>
      <c r="D111" s="122">
        <f>+D72-D91</f>
        <v>1</v>
      </c>
      <c r="E111" s="122">
        <f t="shared" ref="E111:R113" si="18">+E72-E91</f>
        <v>0</v>
      </c>
      <c r="F111" s="122">
        <f t="shared" si="18"/>
        <v>0</v>
      </c>
      <c r="G111" s="122">
        <f t="shared" si="18"/>
        <v>0</v>
      </c>
      <c r="H111" s="122">
        <f t="shared" si="18"/>
        <v>0</v>
      </c>
      <c r="I111" s="122">
        <f t="shared" si="18"/>
        <v>0</v>
      </c>
      <c r="J111" s="122">
        <f t="shared" si="18"/>
        <v>0</v>
      </c>
      <c r="K111" s="122">
        <f t="shared" si="18"/>
        <v>0</v>
      </c>
      <c r="L111" s="122">
        <f t="shared" si="18"/>
        <v>0</v>
      </c>
      <c r="M111" s="122">
        <f t="shared" si="18"/>
        <v>0</v>
      </c>
      <c r="N111" s="122">
        <f t="shared" si="18"/>
        <v>0</v>
      </c>
      <c r="O111" s="122">
        <f t="shared" si="18"/>
        <v>0</v>
      </c>
      <c r="P111" s="122">
        <f t="shared" si="18"/>
        <v>0</v>
      </c>
      <c r="Q111" s="122">
        <f t="shared" si="18"/>
        <v>1</v>
      </c>
      <c r="R111" s="122">
        <f t="shared" si="18"/>
        <v>0</v>
      </c>
      <c r="S111" s="122"/>
      <c r="T111" s="122">
        <f>+SUM(E111:P111)</f>
        <v>0</v>
      </c>
      <c r="U111" s="164"/>
      <c r="V111" s="164"/>
      <c r="W111" s="164"/>
      <c r="X111" s="164"/>
      <c r="Y111" s="164"/>
      <c r="Z111" s="164"/>
      <c r="AA111" s="164"/>
      <c r="AB111" s="164"/>
      <c r="AC111" s="164"/>
      <c r="AE111" s="164"/>
      <c r="AF111" s="164"/>
      <c r="AG111" s="164"/>
      <c r="AH111" s="164"/>
      <c r="AI111" s="164"/>
      <c r="AJ111" s="164"/>
      <c r="AK111" s="164"/>
      <c r="AL111" s="164"/>
      <c r="AM111" s="164"/>
      <c r="AN111" s="164"/>
      <c r="AO111" s="164"/>
      <c r="AP111" s="164"/>
      <c r="AQ111" s="164"/>
      <c r="AR111" s="164"/>
      <c r="AS111" s="164"/>
      <c r="AT111" s="164"/>
      <c r="AU111" s="164"/>
      <c r="AV111" s="164"/>
      <c r="AW111" s="164"/>
      <c r="AX111" s="164"/>
    </row>
    <row r="112" spans="2:50" x14ac:dyDescent="0.25">
      <c r="B112" s="275"/>
      <c r="C112" s="120" t="s">
        <v>121</v>
      </c>
      <c r="D112" s="122">
        <f>+D73-D92</f>
        <v>0</v>
      </c>
      <c r="E112" s="122">
        <f t="shared" si="18"/>
        <v>0</v>
      </c>
      <c r="F112" s="122">
        <f t="shared" si="18"/>
        <v>0</v>
      </c>
      <c r="G112" s="122">
        <f t="shared" si="18"/>
        <v>0</v>
      </c>
      <c r="H112" s="122">
        <f t="shared" si="18"/>
        <v>0</v>
      </c>
      <c r="I112" s="122">
        <f t="shared" si="18"/>
        <v>0</v>
      </c>
      <c r="J112" s="122">
        <f t="shared" si="18"/>
        <v>0</v>
      </c>
      <c r="K112" s="122">
        <f t="shared" si="18"/>
        <v>0</v>
      </c>
      <c r="L112" s="122">
        <f t="shared" si="18"/>
        <v>0</v>
      </c>
      <c r="M112" s="122">
        <f t="shared" si="18"/>
        <v>0</v>
      </c>
      <c r="N112" s="122">
        <f t="shared" si="18"/>
        <v>0</v>
      </c>
      <c r="O112" s="122">
        <f t="shared" si="18"/>
        <v>0</v>
      </c>
      <c r="P112" s="122">
        <f t="shared" si="18"/>
        <v>0</v>
      </c>
      <c r="Q112" s="122">
        <f t="shared" si="18"/>
        <v>0</v>
      </c>
      <c r="R112" s="122">
        <f t="shared" si="18"/>
        <v>0</v>
      </c>
      <c r="S112" s="122"/>
      <c r="T112" s="122">
        <f>+SUM(E112:P112)</f>
        <v>0</v>
      </c>
      <c r="U112" s="164"/>
      <c r="V112" s="164"/>
      <c r="W112" s="164"/>
      <c r="X112" s="164"/>
      <c r="Y112" s="164"/>
      <c r="Z112" s="164"/>
      <c r="AA112" s="164"/>
      <c r="AB112" s="164"/>
      <c r="AC112" s="164"/>
      <c r="AE112" s="164"/>
      <c r="AF112" s="164"/>
      <c r="AG112" s="164"/>
      <c r="AH112" s="164"/>
      <c r="AI112" s="164"/>
      <c r="AJ112" s="164"/>
      <c r="AK112" s="164"/>
      <c r="AL112" s="164"/>
      <c r="AM112" s="164"/>
      <c r="AN112" s="164"/>
      <c r="AO112" s="164"/>
      <c r="AP112" s="164"/>
      <c r="AQ112" s="164"/>
      <c r="AR112" s="164"/>
      <c r="AS112" s="164"/>
      <c r="AT112" s="164"/>
      <c r="AU112" s="164"/>
      <c r="AV112" s="164"/>
      <c r="AW112" s="164"/>
      <c r="AX112" s="164"/>
    </row>
    <row r="113" spans="2:50" x14ac:dyDescent="0.25">
      <c r="B113" s="276"/>
      <c r="C113" s="122" t="s">
        <v>122</v>
      </c>
      <c r="D113" s="122">
        <f>+D74-D93</f>
        <v>0</v>
      </c>
      <c r="E113" s="122">
        <f t="shared" si="18"/>
        <v>0</v>
      </c>
      <c r="F113" s="122">
        <f t="shared" si="18"/>
        <v>0</v>
      </c>
      <c r="G113" s="122">
        <f t="shared" si="18"/>
        <v>0</v>
      </c>
      <c r="H113" s="122">
        <f t="shared" si="18"/>
        <v>0</v>
      </c>
      <c r="I113" s="122">
        <f t="shared" si="18"/>
        <v>0</v>
      </c>
      <c r="J113" s="122">
        <f t="shared" si="18"/>
        <v>0</v>
      </c>
      <c r="K113" s="122">
        <f t="shared" si="18"/>
        <v>0</v>
      </c>
      <c r="L113" s="122">
        <f t="shared" si="18"/>
        <v>0</v>
      </c>
      <c r="M113" s="122">
        <f t="shared" si="18"/>
        <v>0</v>
      </c>
      <c r="N113" s="122">
        <f t="shared" si="18"/>
        <v>0</v>
      </c>
      <c r="O113" s="122">
        <f t="shared" si="18"/>
        <v>0</v>
      </c>
      <c r="P113" s="122">
        <f t="shared" si="18"/>
        <v>0</v>
      </c>
      <c r="Q113" s="122">
        <f t="shared" si="18"/>
        <v>0</v>
      </c>
      <c r="R113" s="122">
        <f t="shared" si="18"/>
        <v>0</v>
      </c>
      <c r="S113" s="122"/>
      <c r="T113" s="122">
        <f>+SUM(E113:P113)</f>
        <v>0</v>
      </c>
      <c r="U113" s="164"/>
      <c r="V113" s="164"/>
      <c r="W113" s="164"/>
      <c r="X113" s="164"/>
      <c r="Y113" s="164"/>
      <c r="Z113" s="164"/>
      <c r="AA113" s="164"/>
      <c r="AB113" s="164"/>
      <c r="AC113" s="164"/>
      <c r="AE113" s="164"/>
      <c r="AF113" s="164"/>
      <c r="AG113" s="164"/>
      <c r="AH113" s="164"/>
      <c r="AI113" s="164"/>
      <c r="AJ113" s="164"/>
      <c r="AK113" s="164"/>
      <c r="AL113" s="164"/>
      <c r="AM113" s="164"/>
      <c r="AN113" s="164"/>
      <c r="AO113" s="164"/>
      <c r="AP113" s="164"/>
      <c r="AQ113" s="164"/>
      <c r="AR113" s="164"/>
      <c r="AS113" s="164"/>
      <c r="AT113" s="164"/>
      <c r="AU113" s="164"/>
      <c r="AV113" s="164"/>
      <c r="AW113" s="164"/>
      <c r="AX113" s="164"/>
    </row>
    <row r="114" spans="2:50" x14ac:dyDescent="0.25">
      <c r="B114" s="277" t="s">
        <v>123</v>
      </c>
      <c r="C114" s="277"/>
      <c r="D114" s="122">
        <f t="shared" ref="D114:R114" si="19">+SUM(D111:D113)</f>
        <v>1</v>
      </c>
      <c r="E114" s="122">
        <f t="shared" si="19"/>
        <v>0</v>
      </c>
      <c r="F114" s="122">
        <f t="shared" si="19"/>
        <v>0</v>
      </c>
      <c r="G114" s="122">
        <f t="shared" si="19"/>
        <v>0</v>
      </c>
      <c r="H114" s="122">
        <f t="shared" si="19"/>
        <v>0</v>
      </c>
      <c r="I114" s="122">
        <f t="shared" si="19"/>
        <v>0</v>
      </c>
      <c r="J114" s="122">
        <f t="shared" si="19"/>
        <v>0</v>
      </c>
      <c r="K114" s="122">
        <f t="shared" si="19"/>
        <v>0</v>
      </c>
      <c r="L114" s="122">
        <f t="shared" si="19"/>
        <v>0</v>
      </c>
      <c r="M114" s="122">
        <f t="shared" si="19"/>
        <v>0</v>
      </c>
      <c r="N114" s="122">
        <f t="shared" si="19"/>
        <v>0</v>
      </c>
      <c r="O114" s="122">
        <f t="shared" si="19"/>
        <v>0</v>
      </c>
      <c r="P114" s="122">
        <f t="shared" si="19"/>
        <v>0</v>
      </c>
      <c r="Q114" s="122">
        <f t="shared" si="19"/>
        <v>1</v>
      </c>
      <c r="R114" s="122">
        <f t="shared" si="19"/>
        <v>0</v>
      </c>
      <c r="S114" s="122"/>
      <c r="T114" s="122">
        <f>+SUM(T111:T113)</f>
        <v>0</v>
      </c>
      <c r="U114" s="164"/>
      <c r="V114" s="164"/>
      <c r="W114" s="164"/>
      <c r="X114" s="164"/>
      <c r="Y114" s="164"/>
      <c r="Z114" s="164"/>
      <c r="AA114" s="164"/>
      <c r="AB114" s="164"/>
      <c r="AC114" s="164"/>
      <c r="AE114" s="164"/>
      <c r="AF114" s="164"/>
      <c r="AG114" s="164"/>
      <c r="AH114" s="164"/>
      <c r="AI114" s="164"/>
      <c r="AJ114" s="164"/>
      <c r="AK114" s="164"/>
      <c r="AL114" s="164"/>
      <c r="AM114" s="164"/>
      <c r="AN114" s="164"/>
      <c r="AO114" s="164"/>
      <c r="AP114" s="164"/>
      <c r="AQ114" s="164"/>
      <c r="AR114" s="164"/>
      <c r="AS114" s="164"/>
      <c r="AT114" s="164"/>
      <c r="AU114" s="164"/>
      <c r="AV114" s="164"/>
      <c r="AW114" s="164"/>
      <c r="AX114" s="164"/>
    </row>
    <row r="115" spans="2:50" x14ac:dyDescent="0.25">
      <c r="B115" s="90"/>
      <c r="C115" s="90"/>
      <c r="D115" s="90"/>
      <c r="E115" s="90"/>
      <c r="G115" s="90"/>
      <c r="H115" s="90"/>
      <c r="I115" s="90"/>
      <c r="J115" s="90"/>
      <c r="K115" s="90"/>
      <c r="L115" s="90"/>
      <c r="M115" s="90"/>
      <c r="N115" s="90"/>
      <c r="O115" s="90"/>
      <c r="P115" s="90"/>
      <c r="T115" s="90"/>
      <c r="U115" s="164"/>
      <c r="V115" s="164"/>
      <c r="W115" s="164"/>
      <c r="X115" s="164"/>
      <c r="Y115" s="164"/>
      <c r="Z115" s="164"/>
      <c r="AA115" s="164"/>
      <c r="AB115" s="164"/>
      <c r="AC115" s="164"/>
      <c r="AE115" s="164"/>
      <c r="AF115" s="164"/>
      <c r="AG115" s="164"/>
      <c r="AH115" s="164"/>
      <c r="AI115" s="164"/>
      <c r="AJ115" s="164"/>
      <c r="AK115" s="164"/>
      <c r="AL115" s="164"/>
      <c r="AM115" s="164"/>
      <c r="AN115" s="164"/>
      <c r="AO115" s="164"/>
      <c r="AP115" s="164"/>
      <c r="AQ115" s="164"/>
      <c r="AR115" s="164"/>
      <c r="AS115" s="164"/>
      <c r="AT115" s="164"/>
      <c r="AU115" s="164"/>
      <c r="AV115" s="164"/>
      <c r="AW115" s="164"/>
      <c r="AX115" s="164"/>
    </row>
    <row r="116" spans="2:50" x14ac:dyDescent="0.25">
      <c r="B116" s="278" t="s">
        <v>40</v>
      </c>
      <c r="C116" s="122"/>
      <c r="D116" s="122"/>
      <c r="E116" s="125" t="str">
        <f t="shared" ref="E116:R116" si="20">E65</f>
        <v>SARL</v>
      </c>
      <c r="F116" s="121" t="str">
        <f t="shared" si="20"/>
        <v>EURL</v>
      </c>
      <c r="G116" s="126" t="str">
        <f t="shared" si="20"/>
        <v>SAS</v>
      </c>
      <c r="H116" s="127" t="str">
        <f t="shared" si="20"/>
        <v>INDIVIDUEL</v>
      </c>
      <c r="I116" s="127" t="str">
        <f t="shared" si="20"/>
        <v>ASSOCIATION</v>
      </c>
      <c r="J116" s="128" t="str">
        <f t="shared" si="20"/>
        <v>PROFESSION LIBERALE</v>
      </c>
      <c r="K116" s="128" t="str">
        <f t="shared" si="20"/>
        <v>SNC</v>
      </c>
      <c r="L116" s="128" t="str">
        <f t="shared" si="20"/>
        <v>SCI</v>
      </c>
      <c r="M116" s="128" t="str">
        <f t="shared" si="20"/>
        <v>EARL</v>
      </c>
      <c r="N116" s="128" t="str">
        <f t="shared" si="20"/>
        <v>ETA</v>
      </c>
      <c r="O116" s="128" t="str">
        <f t="shared" si="20"/>
        <v>SCEA</v>
      </c>
      <c r="P116" s="128" t="str">
        <f t="shared" si="20"/>
        <v>GROUPEMENT</v>
      </c>
      <c r="Q116" s="128" t="str">
        <f t="shared" si="20"/>
        <v>EIRL</v>
      </c>
      <c r="R116" s="121" t="str">
        <f t="shared" si="20"/>
        <v>AUTRES</v>
      </c>
      <c r="S116" s="121"/>
      <c r="T116" s="128" t="s">
        <v>86</v>
      </c>
      <c r="U116" s="164"/>
      <c r="V116" s="164"/>
      <c r="W116" s="164"/>
      <c r="X116" s="164"/>
      <c r="Y116" s="164"/>
      <c r="Z116" s="164"/>
      <c r="AA116" s="164"/>
      <c r="AB116" s="164"/>
      <c r="AC116" s="164"/>
      <c r="AE116" s="164"/>
      <c r="AF116" s="164"/>
      <c r="AG116" s="164"/>
      <c r="AH116" s="164"/>
      <c r="AI116" s="164"/>
      <c r="AJ116" s="164"/>
      <c r="AK116" s="164"/>
      <c r="AL116" s="164"/>
      <c r="AM116" s="164"/>
      <c r="AN116" s="164"/>
      <c r="AO116" s="164"/>
      <c r="AP116" s="164"/>
      <c r="AQ116" s="164"/>
      <c r="AR116" s="164"/>
      <c r="AS116" s="164"/>
      <c r="AT116" s="164"/>
      <c r="AU116" s="164"/>
      <c r="AV116" s="164"/>
      <c r="AW116" s="164"/>
      <c r="AX116" s="164"/>
    </row>
    <row r="117" spans="2:50" x14ac:dyDescent="0.25">
      <c r="B117" s="275"/>
      <c r="C117" s="120" t="s">
        <v>109</v>
      </c>
      <c r="D117" s="122">
        <f>+D105-D111</f>
        <v>0</v>
      </c>
      <c r="E117" s="122">
        <f t="shared" ref="E117:R120" si="21">+E105-E111</f>
        <v>0</v>
      </c>
      <c r="F117" s="122">
        <f t="shared" si="21"/>
        <v>0</v>
      </c>
      <c r="G117" s="122">
        <f t="shared" si="21"/>
        <v>0</v>
      </c>
      <c r="H117" s="122">
        <f t="shared" si="21"/>
        <v>0</v>
      </c>
      <c r="I117" s="122">
        <f t="shared" si="21"/>
        <v>0</v>
      </c>
      <c r="J117" s="122">
        <f t="shared" si="21"/>
        <v>0</v>
      </c>
      <c r="K117" s="122">
        <f t="shared" si="21"/>
        <v>0</v>
      </c>
      <c r="L117" s="122">
        <f t="shared" si="21"/>
        <v>0</v>
      </c>
      <c r="M117" s="122">
        <f t="shared" si="21"/>
        <v>0</v>
      </c>
      <c r="N117" s="122">
        <f t="shared" si="21"/>
        <v>0</v>
      </c>
      <c r="O117" s="122">
        <f t="shared" si="21"/>
        <v>0</v>
      </c>
      <c r="P117" s="122">
        <f t="shared" si="21"/>
        <v>0</v>
      </c>
      <c r="Q117" s="122">
        <f t="shared" si="21"/>
        <v>0</v>
      </c>
      <c r="R117" s="122">
        <f t="shared" si="21"/>
        <v>0</v>
      </c>
      <c r="S117" s="122"/>
      <c r="T117" s="122">
        <f>+SUM(E117:P117)</f>
        <v>0</v>
      </c>
      <c r="U117" s="164"/>
      <c r="V117" s="164"/>
      <c r="W117" s="164"/>
      <c r="X117" s="164"/>
      <c r="Y117" s="164"/>
      <c r="Z117" s="164"/>
      <c r="AA117" s="164"/>
      <c r="AB117" s="164"/>
      <c r="AC117" s="164"/>
      <c r="AE117" s="164"/>
      <c r="AF117" s="164"/>
      <c r="AG117" s="164"/>
      <c r="AH117" s="164"/>
      <c r="AI117" s="164"/>
      <c r="AJ117" s="164"/>
      <c r="AK117" s="164"/>
      <c r="AL117" s="164"/>
      <c r="AM117" s="164"/>
      <c r="AN117" s="164"/>
      <c r="AO117" s="164"/>
      <c r="AP117" s="164"/>
      <c r="AQ117" s="164"/>
      <c r="AR117" s="164"/>
      <c r="AS117" s="164"/>
      <c r="AT117" s="164"/>
      <c r="AU117" s="164"/>
      <c r="AV117" s="164"/>
      <c r="AW117" s="164"/>
      <c r="AX117" s="164"/>
    </row>
    <row r="118" spans="2:50" x14ac:dyDescent="0.25">
      <c r="B118" s="275"/>
      <c r="C118" s="120" t="s">
        <v>121</v>
      </c>
      <c r="D118" s="122">
        <f>+D106-D112</f>
        <v>0</v>
      </c>
      <c r="E118" s="122">
        <f t="shared" si="21"/>
        <v>0</v>
      </c>
      <c r="F118" s="122">
        <f t="shared" si="21"/>
        <v>0</v>
      </c>
      <c r="G118" s="122">
        <f t="shared" si="21"/>
        <v>0</v>
      </c>
      <c r="H118" s="122">
        <f t="shared" si="21"/>
        <v>0</v>
      </c>
      <c r="I118" s="122">
        <f t="shared" si="21"/>
        <v>0</v>
      </c>
      <c r="J118" s="122">
        <f t="shared" si="21"/>
        <v>0</v>
      </c>
      <c r="K118" s="122">
        <f t="shared" si="21"/>
        <v>0</v>
      </c>
      <c r="L118" s="122">
        <f t="shared" si="21"/>
        <v>0</v>
      </c>
      <c r="M118" s="122">
        <f t="shared" si="21"/>
        <v>0</v>
      </c>
      <c r="N118" s="122">
        <f t="shared" si="21"/>
        <v>0</v>
      </c>
      <c r="O118" s="122">
        <f t="shared" si="21"/>
        <v>0</v>
      </c>
      <c r="P118" s="122">
        <f t="shared" si="21"/>
        <v>0</v>
      </c>
      <c r="Q118" s="122">
        <f t="shared" si="21"/>
        <v>0</v>
      </c>
      <c r="R118" s="122">
        <f t="shared" si="21"/>
        <v>0</v>
      </c>
      <c r="S118" s="122"/>
      <c r="T118" s="122">
        <f>+SUM(E118:P118)</f>
        <v>0</v>
      </c>
      <c r="U118" s="164"/>
      <c r="V118" s="164"/>
      <c r="W118" s="164"/>
      <c r="X118" s="164"/>
      <c r="Y118" s="164"/>
      <c r="Z118" s="164"/>
      <c r="AA118" s="164"/>
      <c r="AB118" s="164"/>
      <c r="AC118" s="164"/>
      <c r="AE118" s="164"/>
      <c r="AF118" s="164"/>
      <c r="AG118" s="164"/>
      <c r="AH118" s="164"/>
      <c r="AI118" s="164"/>
      <c r="AJ118" s="164"/>
      <c r="AK118" s="164"/>
      <c r="AL118" s="164"/>
      <c r="AM118" s="164"/>
      <c r="AN118" s="164"/>
      <c r="AO118" s="164"/>
      <c r="AP118" s="164"/>
      <c r="AQ118" s="164"/>
      <c r="AR118" s="164"/>
      <c r="AS118" s="164"/>
      <c r="AT118" s="164"/>
      <c r="AU118" s="164"/>
      <c r="AV118" s="164"/>
      <c r="AW118" s="164"/>
      <c r="AX118" s="164"/>
    </row>
    <row r="119" spans="2:50" x14ac:dyDescent="0.25">
      <c r="B119" s="276"/>
      <c r="C119" s="122" t="s">
        <v>122</v>
      </c>
      <c r="D119" s="122">
        <f>+D107-D113</f>
        <v>0</v>
      </c>
      <c r="E119" s="122">
        <f t="shared" si="21"/>
        <v>0</v>
      </c>
      <c r="F119" s="122">
        <f t="shared" si="21"/>
        <v>0</v>
      </c>
      <c r="G119" s="122">
        <f t="shared" si="21"/>
        <v>0</v>
      </c>
      <c r="H119" s="122">
        <f t="shared" si="21"/>
        <v>0</v>
      </c>
      <c r="I119" s="122">
        <f t="shared" si="21"/>
        <v>0</v>
      </c>
      <c r="J119" s="122">
        <f t="shared" si="21"/>
        <v>0</v>
      </c>
      <c r="K119" s="122">
        <f t="shared" si="21"/>
        <v>0</v>
      </c>
      <c r="L119" s="122">
        <f t="shared" si="21"/>
        <v>0</v>
      </c>
      <c r="M119" s="122">
        <f t="shared" si="21"/>
        <v>0</v>
      </c>
      <c r="N119" s="122">
        <f t="shared" si="21"/>
        <v>0</v>
      </c>
      <c r="O119" s="122">
        <f t="shared" si="21"/>
        <v>0</v>
      </c>
      <c r="P119" s="122">
        <f t="shared" si="21"/>
        <v>0</v>
      </c>
      <c r="Q119" s="122">
        <f t="shared" si="21"/>
        <v>0</v>
      </c>
      <c r="R119" s="122">
        <f t="shared" si="21"/>
        <v>0</v>
      </c>
      <c r="S119" s="122"/>
      <c r="T119" s="122">
        <f>+SUM(E119:P119)</f>
        <v>0</v>
      </c>
      <c r="U119" s="164"/>
      <c r="V119" s="164"/>
      <c r="W119" s="164"/>
      <c r="X119" s="164"/>
      <c r="Y119" s="164"/>
      <c r="Z119" s="164"/>
      <c r="AA119" s="164"/>
      <c r="AB119" s="164"/>
      <c r="AC119" s="164"/>
      <c r="AE119" s="164"/>
      <c r="AF119" s="164"/>
      <c r="AG119" s="164"/>
      <c r="AH119" s="164"/>
      <c r="AI119" s="164"/>
      <c r="AJ119" s="164"/>
      <c r="AK119" s="164"/>
      <c r="AL119" s="164"/>
      <c r="AM119" s="164"/>
      <c r="AN119" s="164"/>
      <c r="AO119" s="164"/>
      <c r="AP119" s="164"/>
      <c r="AQ119" s="164"/>
      <c r="AR119" s="164"/>
      <c r="AS119" s="164"/>
      <c r="AT119" s="164"/>
      <c r="AU119" s="164"/>
      <c r="AV119" s="164"/>
      <c r="AW119" s="164"/>
      <c r="AX119" s="164"/>
    </row>
    <row r="120" spans="2:50" x14ac:dyDescent="0.25">
      <c r="B120" s="277" t="s">
        <v>123</v>
      </c>
      <c r="C120" s="277"/>
      <c r="D120" s="122">
        <f>+D108-D114</f>
        <v>0</v>
      </c>
      <c r="E120" s="122">
        <f t="shared" si="21"/>
        <v>0</v>
      </c>
      <c r="F120" s="122">
        <f t="shared" si="21"/>
        <v>0</v>
      </c>
      <c r="G120" s="122">
        <f t="shared" si="21"/>
        <v>0</v>
      </c>
      <c r="H120" s="122">
        <f t="shared" si="21"/>
        <v>0</v>
      </c>
      <c r="I120" s="122">
        <f t="shared" si="21"/>
        <v>0</v>
      </c>
      <c r="J120" s="122">
        <f t="shared" si="21"/>
        <v>0</v>
      </c>
      <c r="K120" s="122">
        <f t="shared" si="21"/>
        <v>0</v>
      </c>
      <c r="L120" s="122">
        <f t="shared" si="21"/>
        <v>0</v>
      </c>
      <c r="M120" s="122">
        <f t="shared" si="21"/>
        <v>0</v>
      </c>
      <c r="N120" s="122">
        <f t="shared" si="21"/>
        <v>0</v>
      </c>
      <c r="O120" s="122">
        <f t="shared" si="21"/>
        <v>0</v>
      </c>
      <c r="P120" s="122">
        <f t="shared" si="21"/>
        <v>0</v>
      </c>
      <c r="Q120" s="122">
        <f t="shared" si="21"/>
        <v>0</v>
      </c>
      <c r="R120" s="122">
        <f t="shared" si="21"/>
        <v>0</v>
      </c>
      <c r="S120" s="122"/>
      <c r="T120" s="122">
        <f>+SUM(T117:T119)</f>
        <v>0</v>
      </c>
      <c r="U120" s="164"/>
      <c r="V120" s="164"/>
      <c r="W120" s="164"/>
      <c r="X120" s="164"/>
      <c r="Y120" s="164"/>
      <c r="Z120" s="164"/>
      <c r="AA120" s="164"/>
      <c r="AB120" s="164"/>
      <c r="AC120" s="164"/>
      <c r="AE120" s="164"/>
      <c r="AF120" s="164"/>
      <c r="AG120" s="164"/>
      <c r="AH120" s="164"/>
      <c r="AI120" s="164"/>
      <c r="AJ120" s="164"/>
      <c r="AK120" s="164"/>
      <c r="AL120" s="164"/>
      <c r="AM120" s="164"/>
      <c r="AN120" s="164"/>
      <c r="AO120" s="164"/>
      <c r="AP120" s="164"/>
      <c r="AQ120" s="164"/>
      <c r="AR120" s="164"/>
      <c r="AS120" s="164"/>
      <c r="AT120" s="164"/>
      <c r="AU120" s="164"/>
      <c r="AV120" s="164"/>
      <c r="AW120" s="164"/>
      <c r="AX120" s="164"/>
    </row>
    <row r="121" spans="2:50" x14ac:dyDescent="0.25">
      <c r="U121" s="164"/>
      <c r="V121" s="164"/>
      <c r="W121" s="164"/>
      <c r="X121" s="164"/>
      <c r="Y121" s="164"/>
      <c r="Z121" s="164"/>
      <c r="AA121" s="164"/>
      <c r="AB121" s="164"/>
      <c r="AC121" s="164"/>
      <c r="AE121" s="164"/>
      <c r="AF121" s="164"/>
      <c r="AG121" s="164"/>
      <c r="AH121" s="164"/>
      <c r="AI121" s="164"/>
      <c r="AJ121" s="164"/>
      <c r="AK121" s="164"/>
      <c r="AL121" s="164"/>
      <c r="AM121" s="164"/>
      <c r="AN121" s="164"/>
      <c r="AO121" s="164"/>
      <c r="AP121" s="164"/>
      <c r="AQ121" s="164"/>
      <c r="AR121" s="164"/>
      <c r="AS121" s="164"/>
      <c r="AT121" s="164"/>
      <c r="AU121" s="164"/>
      <c r="AV121" s="164"/>
      <c r="AW121" s="164"/>
      <c r="AX121" s="164"/>
    </row>
    <row r="122" spans="2:50" x14ac:dyDescent="0.25">
      <c r="U122" s="164"/>
      <c r="V122" s="164"/>
      <c r="W122" s="164"/>
      <c r="X122" s="164"/>
      <c r="Y122" s="164"/>
      <c r="Z122" s="164"/>
      <c r="AA122" s="164"/>
      <c r="AB122" s="164"/>
      <c r="AC122" s="164"/>
      <c r="AE122" s="164"/>
      <c r="AF122" s="164"/>
      <c r="AG122" s="164"/>
      <c r="AH122" s="164"/>
      <c r="AI122" s="164"/>
      <c r="AJ122" s="164"/>
      <c r="AK122" s="164"/>
      <c r="AL122" s="164"/>
      <c r="AM122" s="164"/>
      <c r="AN122" s="164"/>
      <c r="AO122" s="164"/>
      <c r="AP122" s="164"/>
      <c r="AQ122" s="164"/>
      <c r="AR122" s="164"/>
      <c r="AS122" s="164"/>
      <c r="AT122" s="164"/>
      <c r="AU122" s="164"/>
      <c r="AV122" s="164"/>
      <c r="AW122" s="164"/>
      <c r="AX122" s="164"/>
    </row>
    <row r="123" spans="2:50" x14ac:dyDescent="0.25">
      <c r="U123" s="164"/>
      <c r="V123" s="164"/>
      <c r="W123" s="164"/>
      <c r="X123" s="164"/>
      <c r="Y123" s="164"/>
      <c r="Z123" s="164"/>
      <c r="AA123" s="164"/>
      <c r="AB123" s="164"/>
      <c r="AC123" s="164"/>
      <c r="AE123" s="164"/>
      <c r="AF123" s="164"/>
      <c r="AG123" s="164"/>
      <c r="AH123" s="164"/>
      <c r="AI123" s="164"/>
      <c r="AJ123" s="164"/>
      <c r="AK123" s="164"/>
      <c r="AL123" s="164"/>
      <c r="AM123" s="164"/>
      <c r="AN123" s="164"/>
      <c r="AO123" s="164"/>
      <c r="AP123" s="164"/>
      <c r="AQ123" s="164"/>
      <c r="AR123" s="164"/>
      <c r="AS123" s="164"/>
      <c r="AT123" s="164"/>
      <c r="AU123" s="164"/>
      <c r="AV123" s="164"/>
      <c r="AW123" s="164"/>
      <c r="AX123" s="164"/>
    </row>
    <row r="124" spans="2:50" x14ac:dyDescent="0.25">
      <c r="U124" s="164"/>
      <c r="V124" s="164"/>
      <c r="W124" s="164"/>
      <c r="X124" s="164"/>
      <c r="Y124" s="164"/>
      <c r="Z124" s="164"/>
      <c r="AA124" s="164"/>
      <c r="AB124" s="164"/>
      <c r="AC124" s="164"/>
      <c r="AE124" s="164"/>
      <c r="AF124" s="164"/>
      <c r="AG124" s="164"/>
      <c r="AH124" s="164"/>
      <c r="AI124" s="164"/>
      <c r="AJ124" s="164"/>
      <c r="AK124" s="164"/>
      <c r="AL124" s="164"/>
      <c r="AM124" s="164"/>
      <c r="AN124" s="164"/>
      <c r="AO124" s="164"/>
      <c r="AP124" s="164"/>
      <c r="AQ124" s="164"/>
      <c r="AR124" s="164"/>
      <c r="AS124" s="164"/>
      <c r="AT124" s="164"/>
      <c r="AU124" s="164"/>
      <c r="AV124" s="164"/>
      <c r="AW124" s="164"/>
      <c r="AX124" s="164"/>
    </row>
    <row r="125" spans="2:50" x14ac:dyDescent="0.25">
      <c r="U125" s="164"/>
      <c r="V125" s="164"/>
      <c r="W125" s="164"/>
      <c r="X125" s="164"/>
      <c r="Y125" s="164"/>
      <c r="Z125" s="164"/>
      <c r="AA125" s="164"/>
      <c r="AB125" s="164"/>
      <c r="AC125" s="164"/>
      <c r="AE125" s="164"/>
      <c r="AF125" s="164"/>
      <c r="AG125" s="164"/>
      <c r="AH125" s="164"/>
      <c r="AI125" s="164"/>
      <c r="AJ125" s="164"/>
      <c r="AK125" s="164"/>
      <c r="AL125" s="164"/>
      <c r="AM125" s="164"/>
      <c r="AN125" s="164"/>
      <c r="AO125" s="164"/>
      <c r="AP125" s="164"/>
      <c r="AQ125" s="164"/>
      <c r="AR125" s="164"/>
      <c r="AS125" s="164"/>
      <c r="AT125" s="164"/>
      <c r="AU125" s="164"/>
      <c r="AV125" s="164"/>
      <c r="AW125" s="164"/>
      <c r="AX125" s="164"/>
    </row>
    <row r="126" spans="2:50" x14ac:dyDescent="0.25">
      <c r="U126" s="164"/>
      <c r="V126" s="164"/>
      <c r="W126" s="164"/>
      <c r="X126" s="164"/>
      <c r="Y126" s="164"/>
      <c r="Z126" s="164"/>
      <c r="AA126" s="164"/>
      <c r="AB126" s="164"/>
      <c r="AC126" s="164"/>
      <c r="AE126" s="164"/>
      <c r="AF126" s="164"/>
      <c r="AG126" s="164"/>
      <c r="AH126" s="164"/>
      <c r="AI126" s="164"/>
      <c r="AJ126" s="164"/>
      <c r="AK126" s="164"/>
      <c r="AL126" s="164"/>
      <c r="AM126" s="164"/>
      <c r="AN126" s="164"/>
      <c r="AO126" s="164"/>
      <c r="AP126" s="164"/>
      <c r="AQ126" s="164"/>
      <c r="AR126" s="164"/>
      <c r="AS126" s="164"/>
      <c r="AT126" s="164"/>
      <c r="AU126" s="164"/>
      <c r="AV126" s="164"/>
      <c r="AW126" s="164"/>
      <c r="AX126" s="164"/>
    </row>
    <row r="127" spans="2:50" x14ac:dyDescent="0.25">
      <c r="U127" s="164"/>
      <c r="V127" s="164"/>
      <c r="W127" s="164"/>
      <c r="X127" s="164"/>
      <c r="Y127" s="164"/>
      <c r="Z127" s="164"/>
      <c r="AA127" s="164"/>
      <c r="AB127" s="164"/>
      <c r="AC127" s="164"/>
      <c r="AE127" s="164"/>
      <c r="AF127" s="164"/>
      <c r="AG127" s="164"/>
      <c r="AH127" s="164"/>
      <c r="AI127" s="164"/>
      <c r="AJ127" s="164"/>
      <c r="AK127" s="164"/>
      <c r="AL127" s="164"/>
      <c r="AM127" s="164"/>
      <c r="AN127" s="164"/>
      <c r="AO127" s="164"/>
      <c r="AP127" s="164"/>
      <c r="AQ127" s="164"/>
      <c r="AR127" s="164"/>
      <c r="AS127" s="164"/>
      <c r="AT127" s="164"/>
      <c r="AU127" s="164"/>
      <c r="AV127" s="164"/>
      <c r="AW127" s="164"/>
      <c r="AX127" s="164"/>
    </row>
    <row r="128" spans="2:50" x14ac:dyDescent="0.25">
      <c r="U128" s="164"/>
      <c r="V128" s="164"/>
      <c r="W128" s="164"/>
      <c r="X128" s="164"/>
      <c r="Y128" s="164"/>
      <c r="Z128" s="164"/>
      <c r="AA128" s="164"/>
      <c r="AB128" s="164"/>
      <c r="AC128" s="164"/>
      <c r="AE128" s="164"/>
      <c r="AF128" s="164"/>
      <c r="AG128" s="164"/>
      <c r="AH128" s="164"/>
      <c r="AI128" s="164"/>
      <c r="AJ128" s="164"/>
      <c r="AK128" s="164"/>
      <c r="AL128" s="164"/>
      <c r="AM128" s="164"/>
      <c r="AN128" s="164"/>
      <c r="AO128" s="164"/>
      <c r="AP128" s="164"/>
      <c r="AQ128" s="164"/>
      <c r="AR128" s="164"/>
      <c r="AS128" s="164"/>
      <c r="AT128" s="164"/>
      <c r="AU128" s="164"/>
      <c r="AV128" s="164"/>
      <c r="AW128" s="164"/>
      <c r="AX128" s="164"/>
    </row>
    <row r="129" spans="21:50" x14ac:dyDescent="0.25">
      <c r="U129" s="164"/>
      <c r="V129" s="164"/>
      <c r="W129" s="164"/>
      <c r="X129" s="164"/>
      <c r="Y129" s="164"/>
      <c r="Z129" s="164"/>
      <c r="AA129" s="164"/>
      <c r="AB129" s="164"/>
      <c r="AC129" s="164"/>
      <c r="AE129" s="164"/>
      <c r="AF129" s="164"/>
      <c r="AG129" s="164"/>
      <c r="AH129" s="164"/>
      <c r="AI129" s="164"/>
      <c r="AJ129" s="164"/>
      <c r="AK129" s="164"/>
      <c r="AL129" s="164"/>
      <c r="AM129" s="164"/>
      <c r="AN129" s="164"/>
      <c r="AO129" s="164"/>
      <c r="AP129" s="164"/>
      <c r="AQ129" s="164"/>
      <c r="AR129" s="164"/>
      <c r="AS129" s="164"/>
      <c r="AT129" s="164"/>
      <c r="AU129" s="164"/>
      <c r="AV129" s="164"/>
      <c r="AW129" s="164"/>
      <c r="AX129" s="164"/>
    </row>
    <row r="130" spans="21:50" x14ac:dyDescent="0.25">
      <c r="U130" s="164"/>
      <c r="V130" s="164"/>
      <c r="W130" s="164"/>
      <c r="X130" s="164"/>
      <c r="Y130" s="164"/>
      <c r="Z130" s="164"/>
      <c r="AA130" s="164"/>
      <c r="AB130" s="164"/>
      <c r="AC130" s="164"/>
      <c r="AE130" s="164"/>
      <c r="AF130" s="164"/>
      <c r="AG130" s="164"/>
      <c r="AH130" s="164"/>
      <c r="AI130" s="164"/>
      <c r="AJ130" s="164"/>
      <c r="AK130" s="164"/>
      <c r="AL130" s="164"/>
      <c r="AM130" s="164"/>
      <c r="AN130" s="164"/>
      <c r="AO130" s="164"/>
      <c r="AP130" s="164"/>
      <c r="AQ130" s="164"/>
      <c r="AR130" s="164"/>
      <c r="AS130" s="164"/>
      <c r="AT130" s="164"/>
      <c r="AU130" s="164"/>
      <c r="AV130" s="164"/>
      <c r="AW130" s="164"/>
      <c r="AX130" s="164"/>
    </row>
    <row r="131" spans="21:50" x14ac:dyDescent="0.25">
      <c r="U131" s="164"/>
      <c r="V131" s="164"/>
      <c r="W131" s="164"/>
      <c r="X131" s="164"/>
      <c r="Y131" s="164"/>
      <c r="Z131" s="164"/>
      <c r="AA131" s="164"/>
      <c r="AB131" s="164"/>
      <c r="AC131" s="164"/>
      <c r="AE131" s="164"/>
      <c r="AF131" s="164"/>
      <c r="AG131" s="164"/>
      <c r="AH131" s="164"/>
      <c r="AI131" s="164"/>
      <c r="AJ131" s="164"/>
      <c r="AK131" s="164"/>
      <c r="AL131" s="164"/>
      <c r="AM131" s="164"/>
      <c r="AN131" s="164"/>
      <c r="AO131" s="164"/>
      <c r="AP131" s="164"/>
      <c r="AQ131" s="164"/>
      <c r="AR131" s="164"/>
      <c r="AS131" s="164"/>
      <c r="AT131" s="164"/>
      <c r="AU131" s="164"/>
      <c r="AV131" s="164"/>
      <c r="AW131" s="164"/>
      <c r="AX131" s="164"/>
    </row>
    <row r="132" spans="21:50" x14ac:dyDescent="0.25">
      <c r="U132" s="164"/>
      <c r="V132" s="164"/>
      <c r="W132" s="164"/>
      <c r="X132" s="164"/>
      <c r="Y132" s="164"/>
      <c r="Z132" s="164"/>
      <c r="AA132" s="164"/>
      <c r="AB132" s="164"/>
      <c r="AC132" s="164"/>
      <c r="AE132" s="164"/>
      <c r="AF132" s="164"/>
      <c r="AG132" s="164"/>
      <c r="AH132" s="164"/>
      <c r="AI132" s="164"/>
      <c r="AJ132" s="164"/>
      <c r="AK132" s="164"/>
      <c r="AL132" s="164"/>
      <c r="AM132" s="164"/>
      <c r="AN132" s="164"/>
      <c r="AO132" s="164"/>
      <c r="AP132" s="164"/>
      <c r="AQ132" s="164"/>
      <c r="AR132" s="164"/>
      <c r="AS132" s="164"/>
      <c r="AT132" s="164"/>
      <c r="AU132" s="164"/>
      <c r="AV132" s="164"/>
      <c r="AW132" s="164"/>
      <c r="AX132" s="164"/>
    </row>
    <row r="133" spans="21:50" x14ac:dyDescent="0.25">
      <c r="U133" s="164"/>
      <c r="V133" s="164"/>
      <c r="W133" s="164"/>
      <c r="X133" s="164"/>
      <c r="Y133" s="164"/>
      <c r="Z133" s="164"/>
      <c r="AA133" s="164"/>
      <c r="AB133" s="164"/>
      <c r="AC133" s="164"/>
      <c r="AE133" s="164"/>
      <c r="AF133" s="164"/>
      <c r="AG133" s="164"/>
      <c r="AH133" s="164"/>
      <c r="AI133" s="164"/>
      <c r="AJ133" s="164"/>
      <c r="AK133" s="164"/>
      <c r="AL133" s="164"/>
      <c r="AM133" s="164"/>
      <c r="AN133" s="164"/>
      <c r="AO133" s="164"/>
      <c r="AP133" s="164"/>
      <c r="AQ133" s="164"/>
      <c r="AR133" s="164"/>
      <c r="AS133" s="164"/>
      <c r="AT133" s="164"/>
      <c r="AU133" s="164"/>
      <c r="AV133" s="164"/>
      <c r="AW133" s="164"/>
      <c r="AX133" s="164"/>
    </row>
    <row r="134" spans="21:50" x14ac:dyDescent="0.25">
      <c r="U134" s="164"/>
      <c r="V134" s="164"/>
      <c r="W134" s="164"/>
      <c r="X134" s="164"/>
      <c r="Y134" s="164"/>
      <c r="Z134" s="164"/>
      <c r="AA134" s="164"/>
      <c r="AB134" s="164"/>
      <c r="AC134" s="164"/>
      <c r="AE134" s="164"/>
      <c r="AF134" s="164"/>
      <c r="AG134" s="164"/>
      <c r="AH134" s="164"/>
      <c r="AI134" s="164"/>
      <c r="AJ134" s="164"/>
      <c r="AK134" s="164"/>
      <c r="AL134" s="164"/>
      <c r="AM134" s="164"/>
      <c r="AN134" s="164"/>
      <c r="AO134" s="164"/>
      <c r="AP134" s="164"/>
      <c r="AQ134" s="164"/>
      <c r="AR134" s="164"/>
      <c r="AS134" s="164"/>
      <c r="AT134" s="164"/>
      <c r="AU134" s="164"/>
      <c r="AV134" s="164"/>
      <c r="AW134" s="164"/>
      <c r="AX134" s="164"/>
    </row>
    <row r="135" spans="21:50" x14ac:dyDescent="0.25">
      <c r="U135" s="164"/>
      <c r="V135" s="164"/>
      <c r="W135" s="164"/>
      <c r="X135" s="164"/>
      <c r="Y135" s="164"/>
      <c r="Z135" s="164"/>
      <c r="AA135" s="164"/>
      <c r="AB135" s="164"/>
      <c r="AC135" s="164"/>
      <c r="AE135" s="164"/>
      <c r="AF135" s="164"/>
      <c r="AG135" s="164"/>
      <c r="AH135" s="164"/>
      <c r="AI135" s="164"/>
      <c r="AJ135" s="164"/>
      <c r="AK135" s="164"/>
      <c r="AL135" s="164"/>
      <c r="AM135" s="164"/>
      <c r="AN135" s="164"/>
      <c r="AO135" s="164"/>
      <c r="AP135" s="164"/>
      <c r="AQ135" s="164"/>
      <c r="AR135" s="164"/>
      <c r="AS135" s="164"/>
      <c r="AT135" s="164"/>
      <c r="AU135" s="164"/>
      <c r="AV135" s="164"/>
      <c r="AW135" s="164"/>
      <c r="AX135" s="164"/>
    </row>
    <row r="136" spans="21:50" x14ac:dyDescent="0.25">
      <c r="U136" s="164"/>
      <c r="V136" s="164"/>
      <c r="W136" s="164"/>
      <c r="X136" s="164"/>
      <c r="Y136" s="164"/>
      <c r="Z136" s="164"/>
      <c r="AA136" s="164"/>
      <c r="AB136" s="164"/>
      <c r="AC136" s="164"/>
      <c r="AE136" s="164"/>
      <c r="AF136" s="164"/>
      <c r="AG136" s="164"/>
      <c r="AH136" s="164"/>
      <c r="AI136" s="164"/>
      <c r="AJ136" s="164"/>
      <c r="AK136" s="164"/>
      <c r="AL136" s="164"/>
      <c r="AM136" s="164"/>
      <c r="AN136" s="164"/>
      <c r="AO136" s="164"/>
      <c r="AP136" s="164"/>
      <c r="AQ136" s="164"/>
      <c r="AR136" s="164"/>
      <c r="AS136" s="164"/>
      <c r="AT136" s="164"/>
      <c r="AU136" s="164"/>
      <c r="AV136" s="164"/>
      <c r="AW136" s="164"/>
      <c r="AX136" s="164"/>
    </row>
    <row r="137" spans="21:50" x14ac:dyDescent="0.25">
      <c r="U137" s="164"/>
      <c r="V137" s="164"/>
      <c r="W137" s="164"/>
      <c r="X137" s="164"/>
      <c r="Y137" s="164"/>
      <c r="Z137" s="164"/>
      <c r="AA137" s="164"/>
      <c r="AB137" s="164"/>
      <c r="AC137" s="164"/>
      <c r="AE137" s="164"/>
      <c r="AF137" s="164"/>
      <c r="AG137" s="164"/>
      <c r="AH137" s="164"/>
      <c r="AI137" s="164"/>
      <c r="AJ137" s="164"/>
      <c r="AK137" s="164"/>
      <c r="AL137" s="164"/>
      <c r="AM137" s="164"/>
      <c r="AN137" s="164"/>
      <c r="AO137" s="164"/>
      <c r="AP137" s="164"/>
      <c r="AQ137" s="164"/>
      <c r="AR137" s="164"/>
      <c r="AS137" s="164"/>
      <c r="AT137" s="164"/>
      <c r="AU137" s="164"/>
      <c r="AV137" s="164"/>
      <c r="AW137" s="164"/>
      <c r="AX137" s="164"/>
    </row>
    <row r="138" spans="21:50" x14ac:dyDescent="0.25">
      <c r="U138" s="164"/>
      <c r="V138" s="164"/>
      <c r="W138" s="164"/>
      <c r="X138" s="164"/>
      <c r="Y138" s="164"/>
      <c r="Z138" s="164"/>
      <c r="AA138" s="164"/>
      <c r="AB138" s="164"/>
      <c r="AC138" s="164"/>
      <c r="AE138" s="164"/>
      <c r="AF138" s="164"/>
      <c r="AG138" s="164"/>
      <c r="AH138" s="164"/>
      <c r="AI138" s="164"/>
      <c r="AJ138" s="164"/>
      <c r="AK138" s="164"/>
      <c r="AL138" s="164"/>
      <c r="AM138" s="164"/>
      <c r="AN138" s="164"/>
      <c r="AO138" s="164"/>
      <c r="AP138" s="164"/>
      <c r="AQ138" s="164"/>
      <c r="AR138" s="164"/>
      <c r="AS138" s="164"/>
      <c r="AT138" s="164"/>
      <c r="AU138" s="164"/>
      <c r="AV138" s="164"/>
      <c r="AW138" s="164"/>
      <c r="AX138" s="164"/>
    </row>
    <row r="139" spans="21:50" x14ac:dyDescent="0.25">
      <c r="U139" s="164"/>
      <c r="V139" s="164"/>
      <c r="W139" s="164"/>
      <c r="X139" s="164"/>
      <c r="Y139" s="164"/>
      <c r="Z139" s="164"/>
      <c r="AA139" s="164"/>
      <c r="AB139" s="164"/>
      <c r="AC139" s="164"/>
      <c r="AE139" s="164"/>
      <c r="AF139" s="164"/>
      <c r="AG139" s="164"/>
      <c r="AH139" s="164"/>
      <c r="AI139" s="164"/>
      <c r="AJ139" s="164"/>
      <c r="AK139" s="164"/>
      <c r="AL139" s="164"/>
      <c r="AM139" s="164"/>
      <c r="AN139" s="164"/>
      <c r="AO139" s="164"/>
      <c r="AP139" s="164"/>
      <c r="AQ139" s="164"/>
      <c r="AR139" s="164"/>
      <c r="AS139" s="164"/>
      <c r="AT139" s="164"/>
      <c r="AU139" s="164"/>
      <c r="AV139" s="164"/>
      <c r="AW139" s="164"/>
      <c r="AX139" s="164"/>
    </row>
    <row r="140" spans="21:50" x14ac:dyDescent="0.25">
      <c r="U140" s="164"/>
      <c r="V140" s="164"/>
      <c r="W140" s="164"/>
      <c r="X140" s="164"/>
      <c r="Y140" s="164"/>
      <c r="Z140" s="164"/>
      <c r="AA140" s="164"/>
      <c r="AB140" s="164"/>
      <c r="AC140" s="164"/>
      <c r="AE140" s="164"/>
      <c r="AF140" s="164"/>
      <c r="AG140" s="164"/>
      <c r="AH140" s="164"/>
      <c r="AI140" s="164"/>
      <c r="AJ140" s="164"/>
      <c r="AK140" s="164"/>
      <c r="AL140" s="164"/>
      <c r="AM140" s="164"/>
      <c r="AN140" s="164"/>
      <c r="AO140" s="164"/>
      <c r="AP140" s="164"/>
      <c r="AQ140" s="164"/>
      <c r="AR140" s="164"/>
      <c r="AS140" s="164"/>
      <c r="AT140" s="164"/>
      <c r="AU140" s="164"/>
      <c r="AV140" s="164"/>
      <c r="AW140" s="164"/>
      <c r="AX140" s="164"/>
    </row>
    <row r="141" spans="21:50" x14ac:dyDescent="0.25">
      <c r="U141" s="164"/>
      <c r="V141" s="164"/>
      <c r="W141" s="164"/>
      <c r="X141" s="164"/>
      <c r="Y141" s="164"/>
      <c r="Z141" s="164"/>
      <c r="AA141" s="164"/>
      <c r="AB141" s="164"/>
      <c r="AC141" s="164"/>
      <c r="AE141" s="164"/>
      <c r="AF141" s="164"/>
      <c r="AG141" s="164"/>
      <c r="AH141" s="164"/>
      <c r="AI141" s="164"/>
      <c r="AJ141" s="164"/>
      <c r="AK141" s="164"/>
      <c r="AL141" s="164"/>
      <c r="AM141" s="164"/>
      <c r="AN141" s="164"/>
      <c r="AO141" s="164"/>
      <c r="AP141" s="164"/>
      <c r="AQ141" s="164"/>
      <c r="AR141" s="164"/>
      <c r="AS141" s="164"/>
      <c r="AT141" s="164"/>
      <c r="AU141" s="164"/>
      <c r="AV141" s="164"/>
      <c r="AW141" s="164"/>
      <c r="AX141" s="164"/>
    </row>
    <row r="142" spans="21:50" x14ac:dyDescent="0.25">
      <c r="U142" s="164"/>
      <c r="V142" s="164"/>
      <c r="W142" s="164"/>
      <c r="X142" s="164"/>
      <c r="Y142" s="164"/>
      <c r="Z142" s="164"/>
      <c r="AA142" s="164"/>
      <c r="AB142" s="164"/>
      <c r="AC142" s="164"/>
      <c r="AE142" s="164"/>
      <c r="AF142" s="164"/>
      <c r="AG142" s="164"/>
      <c r="AH142" s="164"/>
      <c r="AI142" s="164"/>
      <c r="AJ142" s="164"/>
      <c r="AK142" s="164"/>
      <c r="AL142" s="164"/>
      <c r="AM142" s="164"/>
      <c r="AN142" s="164"/>
      <c r="AO142" s="164"/>
      <c r="AP142" s="164"/>
      <c r="AQ142" s="164"/>
      <c r="AR142" s="164"/>
      <c r="AS142" s="164"/>
      <c r="AT142" s="164"/>
      <c r="AU142" s="164"/>
      <c r="AV142" s="164"/>
      <c r="AW142" s="164"/>
      <c r="AX142" s="164"/>
    </row>
    <row r="143" spans="21:50" x14ac:dyDescent="0.25">
      <c r="U143" s="164"/>
      <c r="V143" s="164"/>
      <c r="W143" s="164"/>
      <c r="X143" s="164"/>
      <c r="Y143" s="164"/>
      <c r="Z143" s="164"/>
      <c r="AA143" s="164"/>
      <c r="AB143" s="164"/>
      <c r="AC143" s="164"/>
      <c r="AE143" s="164"/>
      <c r="AF143" s="164"/>
      <c r="AG143" s="164"/>
      <c r="AH143" s="164"/>
      <c r="AI143" s="164"/>
      <c r="AJ143" s="164"/>
      <c r="AK143" s="164"/>
      <c r="AL143" s="164"/>
      <c r="AM143" s="164"/>
      <c r="AN143" s="164"/>
      <c r="AO143" s="164"/>
      <c r="AP143" s="164"/>
      <c r="AQ143" s="164"/>
      <c r="AR143" s="164"/>
      <c r="AS143" s="164"/>
      <c r="AT143" s="164"/>
      <c r="AU143" s="164"/>
      <c r="AV143" s="164"/>
      <c r="AW143" s="164"/>
      <c r="AX143" s="164"/>
    </row>
    <row r="144" spans="21:50" x14ac:dyDescent="0.25">
      <c r="U144" s="164"/>
      <c r="V144" s="164"/>
      <c r="W144" s="164"/>
      <c r="X144" s="164"/>
      <c r="Y144" s="164"/>
      <c r="Z144" s="164"/>
      <c r="AA144" s="164"/>
      <c r="AB144" s="164"/>
      <c r="AC144" s="164"/>
      <c r="AE144" s="164"/>
      <c r="AF144" s="164"/>
      <c r="AG144" s="164"/>
      <c r="AH144" s="164"/>
      <c r="AI144" s="164"/>
      <c r="AJ144" s="164"/>
      <c r="AK144" s="164"/>
      <c r="AL144" s="164"/>
      <c r="AM144" s="164"/>
      <c r="AN144" s="164"/>
      <c r="AO144" s="164"/>
      <c r="AP144" s="164"/>
      <c r="AQ144" s="164"/>
      <c r="AR144" s="164"/>
      <c r="AS144" s="164"/>
      <c r="AT144" s="164"/>
      <c r="AU144" s="164"/>
      <c r="AV144" s="164"/>
      <c r="AW144" s="164"/>
      <c r="AX144" s="164"/>
    </row>
    <row r="145" spans="21:50" x14ac:dyDescent="0.25">
      <c r="U145" s="164"/>
      <c r="V145" s="164"/>
      <c r="W145" s="164"/>
      <c r="X145" s="164"/>
      <c r="Y145" s="164"/>
      <c r="Z145" s="164"/>
      <c r="AA145" s="164"/>
      <c r="AB145" s="164"/>
      <c r="AC145" s="164"/>
      <c r="AE145" s="164"/>
      <c r="AF145" s="164"/>
      <c r="AG145" s="164"/>
      <c r="AH145" s="164"/>
      <c r="AI145" s="164"/>
      <c r="AJ145" s="164"/>
      <c r="AK145" s="164"/>
      <c r="AL145" s="164"/>
      <c r="AM145" s="164"/>
      <c r="AN145" s="164"/>
      <c r="AO145" s="164"/>
      <c r="AP145" s="164"/>
      <c r="AQ145" s="164"/>
      <c r="AR145" s="164"/>
      <c r="AS145" s="164"/>
      <c r="AT145" s="164"/>
      <c r="AU145" s="164"/>
      <c r="AV145" s="164"/>
      <c r="AW145" s="164"/>
      <c r="AX145" s="164"/>
    </row>
    <row r="146" spans="21:50" x14ac:dyDescent="0.25">
      <c r="U146" s="164"/>
      <c r="V146" s="164"/>
      <c r="W146" s="164"/>
      <c r="X146" s="164"/>
      <c r="Y146" s="164"/>
      <c r="Z146" s="164"/>
      <c r="AA146" s="164"/>
      <c r="AB146" s="164"/>
      <c r="AC146" s="164"/>
      <c r="AE146" s="164"/>
      <c r="AF146" s="164"/>
      <c r="AG146" s="164"/>
      <c r="AH146" s="164"/>
      <c r="AI146" s="164"/>
      <c r="AJ146" s="164"/>
      <c r="AK146" s="164"/>
      <c r="AL146" s="164"/>
      <c r="AM146" s="164"/>
      <c r="AN146" s="164"/>
      <c r="AO146" s="164"/>
      <c r="AP146" s="164"/>
      <c r="AQ146" s="164"/>
      <c r="AR146" s="164"/>
      <c r="AS146" s="164"/>
      <c r="AT146" s="164"/>
      <c r="AU146" s="164"/>
      <c r="AV146" s="164"/>
      <c r="AW146" s="164"/>
      <c r="AX146" s="164"/>
    </row>
    <row r="147" spans="21:50" x14ac:dyDescent="0.25">
      <c r="U147" s="164"/>
      <c r="V147" s="164"/>
      <c r="W147" s="164"/>
      <c r="X147" s="164"/>
      <c r="Y147" s="164"/>
      <c r="Z147" s="164"/>
      <c r="AA147" s="164"/>
      <c r="AB147" s="164"/>
      <c r="AC147" s="164"/>
      <c r="AE147" s="164"/>
      <c r="AF147" s="164"/>
      <c r="AG147" s="164"/>
      <c r="AH147" s="164"/>
      <c r="AI147" s="164"/>
      <c r="AJ147" s="164"/>
      <c r="AK147" s="164"/>
      <c r="AL147" s="164"/>
      <c r="AM147" s="164"/>
      <c r="AN147" s="164"/>
      <c r="AO147" s="164"/>
      <c r="AP147" s="164"/>
      <c r="AQ147" s="164"/>
      <c r="AR147" s="164"/>
      <c r="AS147" s="164"/>
      <c r="AT147" s="164"/>
      <c r="AU147" s="164"/>
      <c r="AV147" s="164"/>
      <c r="AW147" s="164"/>
      <c r="AX147" s="164"/>
    </row>
    <row r="148" spans="21:50" x14ac:dyDescent="0.25">
      <c r="U148" s="164"/>
      <c r="V148" s="164"/>
      <c r="W148" s="164"/>
      <c r="X148" s="164"/>
      <c r="Y148" s="164"/>
      <c r="Z148" s="164"/>
      <c r="AA148" s="164"/>
      <c r="AB148" s="164"/>
      <c r="AC148" s="164"/>
      <c r="AE148" s="164"/>
      <c r="AF148" s="164"/>
      <c r="AG148" s="164"/>
      <c r="AH148" s="164"/>
      <c r="AI148" s="164"/>
      <c r="AJ148" s="164"/>
      <c r="AK148" s="164"/>
      <c r="AL148" s="164"/>
      <c r="AM148" s="164"/>
      <c r="AN148" s="164"/>
      <c r="AO148" s="164"/>
      <c r="AP148" s="164"/>
      <c r="AQ148" s="164"/>
      <c r="AR148" s="164"/>
      <c r="AS148" s="164"/>
      <c r="AT148" s="164"/>
      <c r="AU148" s="164"/>
      <c r="AV148" s="164"/>
      <c r="AW148" s="164"/>
      <c r="AX148" s="164"/>
    </row>
    <row r="149" spans="21:50" x14ac:dyDescent="0.25">
      <c r="U149" s="164"/>
      <c r="V149" s="164"/>
      <c r="W149" s="164"/>
      <c r="X149" s="164"/>
      <c r="Y149" s="164"/>
      <c r="Z149" s="164"/>
      <c r="AA149" s="164"/>
      <c r="AB149" s="164"/>
      <c r="AC149" s="164"/>
      <c r="AE149" s="164"/>
      <c r="AF149" s="164"/>
      <c r="AG149" s="164"/>
      <c r="AH149" s="164"/>
      <c r="AI149" s="164"/>
      <c r="AJ149" s="164"/>
      <c r="AK149" s="164"/>
      <c r="AL149" s="164"/>
      <c r="AM149" s="164"/>
      <c r="AN149" s="164"/>
      <c r="AO149" s="164"/>
      <c r="AP149" s="164"/>
      <c r="AQ149" s="164"/>
      <c r="AR149" s="164"/>
      <c r="AS149" s="164"/>
      <c r="AT149" s="164"/>
      <c r="AU149" s="164"/>
      <c r="AV149" s="164"/>
      <c r="AW149" s="164"/>
      <c r="AX149" s="164"/>
    </row>
    <row r="150" spans="21:50" x14ac:dyDescent="0.25">
      <c r="U150" s="164"/>
      <c r="V150" s="164"/>
      <c r="W150" s="164"/>
      <c r="X150" s="164"/>
      <c r="Y150" s="164"/>
      <c r="Z150" s="164"/>
      <c r="AA150" s="164"/>
      <c r="AB150" s="164"/>
      <c r="AC150" s="164"/>
      <c r="AE150" s="164"/>
      <c r="AF150" s="164"/>
      <c r="AG150" s="164"/>
      <c r="AH150" s="164"/>
      <c r="AI150" s="164"/>
      <c r="AJ150" s="164"/>
      <c r="AK150" s="164"/>
      <c r="AL150" s="164"/>
      <c r="AM150" s="164"/>
      <c r="AN150" s="164"/>
      <c r="AO150" s="164"/>
      <c r="AP150" s="164"/>
      <c r="AQ150" s="164"/>
      <c r="AR150" s="164"/>
      <c r="AS150" s="164"/>
      <c r="AT150" s="164"/>
      <c r="AU150" s="164"/>
      <c r="AV150" s="164"/>
      <c r="AW150" s="164"/>
      <c r="AX150" s="164"/>
    </row>
    <row r="151" spans="21:50" x14ac:dyDescent="0.25">
      <c r="U151" s="164"/>
      <c r="V151" s="164"/>
      <c r="W151" s="164"/>
      <c r="X151" s="164"/>
      <c r="Y151" s="164"/>
      <c r="Z151" s="164"/>
      <c r="AA151" s="164"/>
      <c r="AB151" s="164"/>
      <c r="AC151" s="164"/>
      <c r="AE151" s="164"/>
      <c r="AF151" s="164"/>
      <c r="AG151" s="164"/>
      <c r="AH151" s="164"/>
      <c r="AI151" s="164"/>
      <c r="AJ151" s="164"/>
      <c r="AK151" s="164"/>
      <c r="AL151" s="164"/>
      <c r="AM151" s="164"/>
      <c r="AN151" s="164"/>
      <c r="AO151" s="164"/>
      <c r="AP151" s="164"/>
      <c r="AQ151" s="164"/>
      <c r="AR151" s="164"/>
      <c r="AS151" s="164"/>
      <c r="AT151" s="164"/>
      <c r="AU151" s="164"/>
      <c r="AV151" s="164"/>
      <c r="AW151" s="164"/>
      <c r="AX151" s="164"/>
    </row>
    <row r="152" spans="21:50" x14ac:dyDescent="0.25">
      <c r="U152" s="164"/>
      <c r="V152" s="164"/>
      <c r="W152" s="164"/>
      <c r="X152" s="164"/>
      <c r="Y152" s="164"/>
      <c r="Z152" s="164"/>
      <c r="AA152" s="164"/>
      <c r="AB152" s="164"/>
      <c r="AC152" s="164"/>
      <c r="AE152" s="164"/>
      <c r="AF152" s="164"/>
      <c r="AG152" s="164"/>
      <c r="AH152" s="164"/>
      <c r="AI152" s="164"/>
      <c r="AJ152" s="164"/>
      <c r="AK152" s="164"/>
      <c r="AL152" s="164"/>
      <c r="AM152" s="164"/>
      <c r="AN152" s="164"/>
      <c r="AO152" s="164"/>
      <c r="AP152" s="164"/>
      <c r="AQ152" s="164"/>
      <c r="AR152" s="164"/>
      <c r="AS152" s="164"/>
      <c r="AT152" s="164"/>
      <c r="AU152" s="164"/>
      <c r="AV152" s="164"/>
      <c r="AW152" s="164"/>
      <c r="AX152" s="164"/>
    </row>
    <row r="153" spans="21:50" x14ac:dyDescent="0.25">
      <c r="U153" s="164"/>
      <c r="V153" s="164"/>
      <c r="W153" s="164"/>
      <c r="X153" s="164"/>
      <c r="Y153" s="164"/>
      <c r="Z153" s="164"/>
      <c r="AA153" s="164"/>
      <c r="AB153" s="164"/>
      <c r="AC153" s="164"/>
      <c r="AE153" s="164"/>
      <c r="AF153" s="164"/>
      <c r="AG153" s="164"/>
      <c r="AH153" s="164"/>
      <c r="AI153" s="164"/>
      <c r="AJ153" s="164"/>
      <c r="AK153" s="164"/>
      <c r="AL153" s="164"/>
      <c r="AM153" s="164"/>
      <c r="AN153" s="164"/>
      <c r="AO153" s="164"/>
      <c r="AP153" s="164"/>
      <c r="AQ153" s="164"/>
      <c r="AR153" s="164"/>
      <c r="AS153" s="164"/>
      <c r="AT153" s="164"/>
      <c r="AU153" s="164"/>
      <c r="AV153" s="164"/>
      <c r="AW153" s="164"/>
      <c r="AX153" s="164"/>
    </row>
    <row r="154" spans="21:50" x14ac:dyDescent="0.25">
      <c r="U154" s="164"/>
      <c r="V154" s="164"/>
      <c r="W154" s="164"/>
      <c r="X154" s="164"/>
      <c r="Y154" s="164"/>
      <c r="Z154" s="164"/>
      <c r="AA154" s="164"/>
      <c r="AB154" s="164"/>
      <c r="AC154" s="164"/>
      <c r="AE154" s="164"/>
      <c r="AF154" s="164"/>
      <c r="AG154" s="164"/>
      <c r="AH154" s="164"/>
      <c r="AI154" s="164"/>
      <c r="AJ154" s="164"/>
      <c r="AK154" s="164"/>
      <c r="AL154" s="164"/>
      <c r="AM154" s="164"/>
      <c r="AN154" s="164"/>
      <c r="AO154" s="164"/>
      <c r="AP154" s="164"/>
      <c r="AQ154" s="164"/>
      <c r="AR154" s="164"/>
      <c r="AS154" s="164"/>
      <c r="AT154" s="164"/>
      <c r="AU154" s="164"/>
      <c r="AV154" s="164"/>
      <c r="AW154" s="164"/>
      <c r="AX154" s="164"/>
    </row>
    <row r="155" spans="21:50" x14ac:dyDescent="0.25">
      <c r="U155" s="164"/>
      <c r="V155" s="164"/>
      <c r="W155" s="164"/>
      <c r="X155" s="164"/>
      <c r="Y155" s="164"/>
      <c r="Z155" s="164"/>
      <c r="AA155" s="164"/>
      <c r="AB155" s="164"/>
      <c r="AC155" s="164"/>
      <c r="AE155" s="164"/>
      <c r="AF155" s="164"/>
      <c r="AG155" s="164"/>
      <c r="AH155" s="164"/>
      <c r="AI155" s="164"/>
      <c r="AJ155" s="164"/>
      <c r="AK155" s="164"/>
      <c r="AL155" s="164"/>
      <c r="AM155" s="164"/>
      <c r="AN155" s="164"/>
      <c r="AO155" s="164"/>
      <c r="AP155" s="164"/>
      <c r="AQ155" s="164"/>
      <c r="AR155" s="164"/>
      <c r="AS155" s="164"/>
      <c r="AT155" s="164"/>
      <c r="AU155" s="164"/>
      <c r="AV155" s="164"/>
      <c r="AW155" s="164"/>
      <c r="AX155" s="164"/>
    </row>
    <row r="156" spans="21:50" x14ac:dyDescent="0.25">
      <c r="U156" s="164"/>
      <c r="V156" s="164"/>
      <c r="W156" s="164"/>
      <c r="X156" s="164"/>
      <c r="Y156" s="164"/>
      <c r="Z156" s="164"/>
      <c r="AA156" s="164"/>
      <c r="AB156" s="164"/>
      <c r="AC156" s="164"/>
      <c r="AE156" s="164"/>
      <c r="AF156" s="164"/>
      <c r="AG156" s="164"/>
      <c r="AH156" s="164"/>
      <c r="AI156" s="164"/>
      <c r="AJ156" s="164"/>
      <c r="AK156" s="164"/>
      <c r="AL156" s="164"/>
      <c r="AM156" s="164"/>
      <c r="AN156" s="164"/>
      <c r="AO156" s="164"/>
      <c r="AP156" s="164"/>
      <c r="AQ156" s="164"/>
      <c r="AR156" s="164"/>
      <c r="AS156" s="164"/>
      <c r="AT156" s="164"/>
      <c r="AU156" s="164"/>
      <c r="AV156" s="164"/>
      <c r="AW156" s="164"/>
      <c r="AX156" s="164"/>
    </row>
    <row r="157" spans="21:50" x14ac:dyDescent="0.25">
      <c r="U157" s="164"/>
      <c r="V157" s="164"/>
      <c r="W157" s="164"/>
      <c r="X157" s="164"/>
      <c r="Y157" s="164"/>
      <c r="Z157" s="164"/>
      <c r="AA157" s="164"/>
      <c r="AB157" s="164"/>
      <c r="AC157" s="164"/>
      <c r="AE157" s="164"/>
      <c r="AF157" s="164"/>
      <c r="AG157" s="164"/>
      <c r="AH157" s="164"/>
      <c r="AI157" s="164"/>
      <c r="AJ157" s="164"/>
      <c r="AK157" s="164"/>
      <c r="AL157" s="164"/>
      <c r="AM157" s="164"/>
      <c r="AN157" s="164"/>
      <c r="AO157" s="164"/>
      <c r="AP157" s="164"/>
      <c r="AQ157" s="164"/>
      <c r="AR157" s="164"/>
      <c r="AS157" s="164"/>
      <c r="AT157" s="164"/>
      <c r="AU157" s="164"/>
      <c r="AV157" s="164"/>
      <c r="AW157" s="164"/>
      <c r="AX157" s="164"/>
    </row>
    <row r="158" spans="21:50" x14ac:dyDescent="0.25">
      <c r="U158" s="164"/>
      <c r="V158" s="164"/>
      <c r="W158" s="164"/>
      <c r="X158" s="164"/>
      <c r="Y158" s="164"/>
      <c r="Z158" s="164"/>
      <c r="AA158" s="164"/>
      <c r="AB158" s="164"/>
      <c r="AC158" s="164"/>
      <c r="AE158" s="164"/>
      <c r="AF158" s="164"/>
      <c r="AG158" s="164"/>
      <c r="AH158" s="164"/>
      <c r="AI158" s="164"/>
      <c r="AJ158" s="164"/>
      <c r="AK158" s="164"/>
      <c r="AL158" s="164"/>
      <c r="AM158" s="164"/>
      <c r="AN158" s="164"/>
      <c r="AO158" s="164"/>
      <c r="AP158" s="164"/>
      <c r="AQ158" s="164"/>
      <c r="AR158" s="164"/>
      <c r="AS158" s="164"/>
      <c r="AT158" s="164"/>
      <c r="AU158" s="164"/>
      <c r="AV158" s="164"/>
      <c r="AW158" s="164"/>
      <c r="AX158" s="164"/>
    </row>
    <row r="159" spans="21:50" x14ac:dyDescent="0.25">
      <c r="U159" s="164"/>
      <c r="V159" s="164"/>
      <c r="W159" s="164"/>
      <c r="X159" s="164"/>
      <c r="Y159" s="164"/>
      <c r="Z159" s="164"/>
      <c r="AA159" s="164"/>
      <c r="AB159" s="164"/>
      <c r="AC159" s="164"/>
      <c r="AE159" s="164"/>
      <c r="AF159" s="164"/>
      <c r="AG159" s="164"/>
      <c r="AH159" s="164"/>
      <c r="AI159" s="164"/>
      <c r="AJ159" s="164"/>
      <c r="AK159" s="164"/>
      <c r="AL159" s="164"/>
      <c r="AM159" s="164"/>
      <c r="AN159" s="164"/>
      <c r="AO159" s="164"/>
      <c r="AP159" s="164"/>
      <c r="AQ159" s="164"/>
      <c r="AR159" s="164"/>
      <c r="AS159" s="164"/>
      <c r="AT159" s="164"/>
      <c r="AU159" s="164"/>
      <c r="AV159" s="164"/>
      <c r="AW159" s="164"/>
      <c r="AX159" s="164"/>
    </row>
    <row r="160" spans="21:50" x14ac:dyDescent="0.25">
      <c r="U160" s="164"/>
      <c r="V160" s="164"/>
      <c r="W160" s="164"/>
      <c r="X160" s="164"/>
      <c r="Y160" s="164"/>
      <c r="Z160" s="164"/>
      <c r="AA160" s="164"/>
      <c r="AB160" s="164"/>
      <c r="AC160" s="164"/>
      <c r="AE160" s="164"/>
      <c r="AF160" s="164"/>
      <c r="AG160" s="164"/>
      <c r="AH160" s="164"/>
      <c r="AI160" s="164"/>
      <c r="AJ160" s="164"/>
      <c r="AK160" s="164"/>
      <c r="AL160" s="164"/>
      <c r="AM160" s="164"/>
      <c r="AN160" s="164"/>
      <c r="AO160" s="164"/>
      <c r="AP160" s="164"/>
      <c r="AQ160" s="164"/>
      <c r="AR160" s="164"/>
      <c r="AS160" s="164"/>
      <c r="AT160" s="164"/>
      <c r="AU160" s="164"/>
      <c r="AV160" s="164"/>
      <c r="AW160" s="164"/>
      <c r="AX160" s="164"/>
    </row>
    <row r="161" spans="21:50" x14ac:dyDescent="0.25">
      <c r="U161" s="164"/>
      <c r="V161" s="164"/>
      <c r="W161" s="164"/>
      <c r="X161" s="164"/>
      <c r="Y161" s="164"/>
      <c r="Z161" s="164"/>
      <c r="AA161" s="164"/>
      <c r="AB161" s="164"/>
      <c r="AC161" s="164"/>
      <c r="AE161" s="164"/>
      <c r="AF161" s="164"/>
      <c r="AG161" s="164"/>
      <c r="AH161" s="164"/>
      <c r="AI161" s="164"/>
      <c r="AJ161" s="164"/>
      <c r="AK161" s="164"/>
      <c r="AL161" s="164"/>
      <c r="AM161" s="164"/>
      <c r="AN161" s="164"/>
      <c r="AO161" s="164"/>
      <c r="AP161" s="164"/>
      <c r="AQ161" s="164"/>
      <c r="AR161" s="164"/>
      <c r="AS161" s="164"/>
      <c r="AT161" s="164"/>
      <c r="AU161" s="164"/>
      <c r="AV161" s="164"/>
      <c r="AW161" s="164"/>
      <c r="AX161" s="164"/>
    </row>
    <row r="162" spans="21:50" x14ac:dyDescent="0.25">
      <c r="U162" s="164"/>
      <c r="V162" s="164"/>
      <c r="W162" s="164"/>
      <c r="X162" s="164"/>
      <c r="Y162" s="164"/>
      <c r="Z162" s="164"/>
      <c r="AA162" s="164"/>
      <c r="AB162" s="164"/>
      <c r="AC162" s="164"/>
      <c r="AE162" s="164"/>
      <c r="AF162" s="164"/>
      <c r="AG162" s="164"/>
      <c r="AH162" s="164"/>
      <c r="AI162" s="164"/>
      <c r="AJ162" s="164"/>
      <c r="AK162" s="164"/>
      <c r="AL162" s="164"/>
      <c r="AM162" s="164"/>
      <c r="AN162" s="164"/>
      <c r="AO162" s="164"/>
      <c r="AP162" s="164"/>
      <c r="AQ162" s="164"/>
      <c r="AR162" s="164"/>
      <c r="AS162" s="164"/>
      <c r="AT162" s="164"/>
      <c r="AU162" s="164"/>
      <c r="AV162" s="164"/>
      <c r="AW162" s="164"/>
      <c r="AX162" s="164"/>
    </row>
    <row r="163" spans="21:50" x14ac:dyDescent="0.25">
      <c r="U163" s="164"/>
      <c r="V163" s="164"/>
      <c r="W163" s="164"/>
      <c r="X163" s="164"/>
      <c r="Y163" s="164"/>
      <c r="Z163" s="164"/>
      <c r="AA163" s="164"/>
      <c r="AB163" s="164"/>
      <c r="AC163" s="164"/>
      <c r="AE163" s="164"/>
      <c r="AF163" s="164"/>
      <c r="AG163" s="164"/>
      <c r="AH163" s="164"/>
      <c r="AI163" s="164"/>
      <c r="AJ163" s="164"/>
      <c r="AK163" s="164"/>
      <c r="AL163" s="164"/>
      <c r="AM163" s="164"/>
      <c r="AN163" s="164"/>
      <c r="AO163" s="164"/>
      <c r="AP163" s="164"/>
      <c r="AQ163" s="164"/>
      <c r="AR163" s="164"/>
      <c r="AS163" s="164"/>
      <c r="AT163" s="164"/>
      <c r="AU163" s="164"/>
      <c r="AV163" s="164"/>
      <c r="AW163" s="164"/>
      <c r="AX163" s="164"/>
    </row>
    <row r="164" spans="21:50" x14ac:dyDescent="0.25">
      <c r="U164" s="164"/>
      <c r="V164" s="164"/>
      <c r="W164" s="164"/>
      <c r="X164" s="164"/>
      <c r="Y164" s="164"/>
      <c r="Z164" s="164"/>
      <c r="AA164" s="164"/>
      <c r="AB164" s="164"/>
      <c r="AC164" s="164"/>
      <c r="AE164" s="164"/>
      <c r="AF164" s="164"/>
      <c r="AG164" s="164"/>
      <c r="AH164" s="164"/>
      <c r="AI164" s="164"/>
      <c r="AJ164" s="164"/>
      <c r="AK164" s="164"/>
      <c r="AL164" s="164"/>
      <c r="AM164" s="164"/>
      <c r="AN164" s="164"/>
      <c r="AO164" s="164"/>
      <c r="AP164" s="164"/>
      <c r="AQ164" s="164"/>
      <c r="AR164" s="164"/>
      <c r="AS164" s="164"/>
      <c r="AT164" s="164"/>
      <c r="AU164" s="164"/>
      <c r="AV164" s="164"/>
      <c r="AW164" s="164"/>
      <c r="AX164" s="164"/>
    </row>
    <row r="165" spans="21:50" x14ac:dyDescent="0.25">
      <c r="U165" s="164"/>
      <c r="V165" s="164"/>
      <c r="W165" s="164"/>
      <c r="X165" s="164"/>
      <c r="Y165" s="164"/>
      <c r="Z165" s="164"/>
      <c r="AA165" s="164"/>
      <c r="AB165" s="164"/>
      <c r="AC165" s="164"/>
      <c r="AE165" s="164"/>
      <c r="AF165" s="164"/>
      <c r="AG165" s="164"/>
      <c r="AH165" s="164"/>
      <c r="AI165" s="164"/>
      <c r="AJ165" s="164"/>
      <c r="AK165" s="164"/>
      <c r="AL165" s="164"/>
      <c r="AM165" s="164"/>
      <c r="AN165" s="164"/>
      <c r="AO165" s="164"/>
      <c r="AP165" s="164"/>
      <c r="AQ165" s="164"/>
      <c r="AR165" s="164"/>
      <c r="AS165" s="164"/>
      <c r="AT165" s="164"/>
      <c r="AU165" s="164"/>
      <c r="AV165" s="164"/>
      <c r="AW165" s="164"/>
      <c r="AX165" s="164"/>
    </row>
    <row r="166" spans="21:50" x14ac:dyDescent="0.25">
      <c r="U166" s="164"/>
      <c r="V166" s="164"/>
      <c r="W166" s="164"/>
      <c r="X166" s="164"/>
      <c r="Y166" s="164"/>
      <c r="Z166" s="164"/>
      <c r="AA166" s="164"/>
      <c r="AB166" s="164"/>
      <c r="AC166" s="164"/>
      <c r="AE166" s="164"/>
      <c r="AF166" s="164"/>
      <c r="AG166" s="164"/>
      <c r="AH166" s="164"/>
      <c r="AI166" s="164"/>
      <c r="AJ166" s="164"/>
      <c r="AK166" s="164"/>
      <c r="AL166" s="164"/>
      <c r="AM166" s="164"/>
      <c r="AN166" s="164"/>
      <c r="AO166" s="164"/>
      <c r="AP166" s="164"/>
      <c r="AQ166" s="164"/>
      <c r="AR166" s="164"/>
      <c r="AS166" s="164"/>
      <c r="AT166" s="164"/>
      <c r="AU166" s="164"/>
      <c r="AV166" s="164"/>
      <c r="AW166" s="164"/>
      <c r="AX166" s="164"/>
    </row>
    <row r="167" spans="21:50" x14ac:dyDescent="0.25">
      <c r="U167" s="164"/>
      <c r="V167" s="164"/>
      <c r="W167" s="164"/>
      <c r="X167" s="164"/>
      <c r="Y167" s="164"/>
      <c r="Z167" s="164"/>
      <c r="AA167" s="164"/>
      <c r="AB167" s="164"/>
      <c r="AC167" s="164"/>
      <c r="AE167" s="164"/>
      <c r="AF167" s="164"/>
      <c r="AG167" s="164"/>
      <c r="AH167" s="164"/>
      <c r="AI167" s="164"/>
      <c r="AJ167" s="164"/>
      <c r="AK167" s="164"/>
      <c r="AL167" s="164"/>
      <c r="AM167" s="164"/>
      <c r="AN167" s="164"/>
      <c r="AO167" s="164"/>
      <c r="AP167" s="164"/>
      <c r="AQ167" s="164"/>
      <c r="AR167" s="164"/>
      <c r="AS167" s="164"/>
      <c r="AT167" s="164"/>
      <c r="AU167" s="164"/>
      <c r="AV167" s="164"/>
      <c r="AW167" s="164"/>
      <c r="AX167" s="164"/>
    </row>
    <row r="168" spans="21:50" x14ac:dyDescent="0.25">
      <c r="U168" s="164"/>
      <c r="V168" s="164"/>
      <c r="W168" s="164"/>
      <c r="X168" s="164"/>
      <c r="Y168" s="164"/>
      <c r="Z168" s="164"/>
      <c r="AA168" s="164"/>
      <c r="AB168" s="164"/>
      <c r="AC168" s="164"/>
      <c r="AE168" s="164"/>
      <c r="AF168" s="164"/>
      <c r="AG168" s="164"/>
      <c r="AH168" s="164"/>
      <c r="AI168" s="164"/>
      <c r="AJ168" s="164"/>
      <c r="AK168" s="164"/>
      <c r="AL168" s="164"/>
      <c r="AM168" s="164"/>
      <c r="AN168" s="164"/>
      <c r="AO168" s="164"/>
      <c r="AP168" s="164"/>
      <c r="AQ168" s="164"/>
      <c r="AR168" s="164"/>
      <c r="AS168" s="164"/>
      <c r="AT168" s="164"/>
      <c r="AU168" s="164"/>
      <c r="AV168" s="164"/>
      <c r="AW168" s="164"/>
      <c r="AX168" s="164"/>
    </row>
    <row r="169" spans="21:50" x14ac:dyDescent="0.25">
      <c r="U169" s="164"/>
      <c r="V169" s="164"/>
      <c r="W169" s="164"/>
      <c r="X169" s="164"/>
      <c r="Y169" s="164"/>
      <c r="Z169" s="164"/>
      <c r="AA169" s="164"/>
      <c r="AB169" s="164"/>
      <c r="AC169" s="164"/>
      <c r="AE169" s="164"/>
      <c r="AF169" s="164"/>
      <c r="AG169" s="164"/>
      <c r="AH169" s="164"/>
      <c r="AI169" s="164"/>
      <c r="AJ169" s="164"/>
      <c r="AK169" s="164"/>
      <c r="AL169" s="164"/>
      <c r="AM169" s="164"/>
      <c r="AN169" s="164"/>
      <c r="AO169" s="164"/>
      <c r="AP169" s="164"/>
      <c r="AQ169" s="164"/>
      <c r="AR169" s="164"/>
      <c r="AS169" s="164"/>
      <c r="AT169" s="164"/>
      <c r="AU169" s="164"/>
      <c r="AV169" s="164"/>
      <c r="AW169" s="164"/>
      <c r="AX169" s="164"/>
    </row>
    <row r="170" spans="21:50" x14ac:dyDescent="0.25">
      <c r="U170" s="164"/>
      <c r="V170" s="164"/>
      <c r="W170" s="164"/>
      <c r="X170" s="164"/>
      <c r="Y170" s="164"/>
      <c r="Z170" s="164"/>
      <c r="AA170" s="164"/>
      <c r="AB170" s="164"/>
      <c r="AC170" s="164"/>
      <c r="AE170" s="164"/>
      <c r="AF170" s="164"/>
      <c r="AG170" s="164"/>
      <c r="AH170" s="164"/>
      <c r="AI170" s="164"/>
      <c r="AJ170" s="164"/>
      <c r="AK170" s="164"/>
      <c r="AL170" s="164"/>
      <c r="AM170" s="164"/>
      <c r="AN170" s="164"/>
      <c r="AO170" s="164"/>
      <c r="AP170" s="164"/>
      <c r="AQ170" s="164"/>
      <c r="AR170" s="164"/>
      <c r="AS170" s="164"/>
      <c r="AT170" s="164"/>
      <c r="AU170" s="164"/>
      <c r="AV170" s="164"/>
      <c r="AW170" s="164"/>
      <c r="AX170" s="164"/>
    </row>
    <row r="171" spans="21:50" x14ac:dyDescent="0.25">
      <c r="U171" s="164"/>
      <c r="V171" s="164"/>
      <c r="W171" s="164"/>
      <c r="X171" s="164"/>
      <c r="Y171" s="164"/>
      <c r="Z171" s="164"/>
      <c r="AA171" s="164"/>
      <c r="AB171" s="164"/>
      <c r="AC171" s="164"/>
      <c r="AE171" s="164"/>
      <c r="AF171" s="164"/>
      <c r="AG171" s="164"/>
      <c r="AH171" s="164"/>
      <c r="AI171" s="164"/>
      <c r="AJ171" s="164"/>
      <c r="AK171" s="164"/>
      <c r="AL171" s="164"/>
      <c r="AM171" s="164"/>
      <c r="AN171" s="164"/>
      <c r="AO171" s="164"/>
      <c r="AP171" s="164"/>
      <c r="AQ171" s="164"/>
      <c r="AR171" s="164"/>
      <c r="AS171" s="164"/>
      <c r="AT171" s="164"/>
      <c r="AU171" s="164"/>
      <c r="AV171" s="164"/>
      <c r="AW171" s="164"/>
      <c r="AX171" s="164"/>
    </row>
    <row r="172" spans="21:50" x14ac:dyDescent="0.25">
      <c r="U172" s="164"/>
      <c r="V172" s="164"/>
      <c r="W172" s="164"/>
      <c r="X172" s="164"/>
      <c r="Y172" s="164"/>
      <c r="Z172" s="164"/>
      <c r="AA172" s="164"/>
      <c r="AB172" s="164"/>
      <c r="AC172" s="164"/>
      <c r="AE172" s="164"/>
      <c r="AF172" s="164"/>
      <c r="AG172" s="164"/>
      <c r="AH172" s="164"/>
      <c r="AI172" s="164"/>
      <c r="AJ172" s="164"/>
      <c r="AK172" s="164"/>
      <c r="AL172" s="164"/>
      <c r="AM172" s="164"/>
      <c r="AN172" s="164"/>
      <c r="AO172" s="164"/>
      <c r="AP172" s="164"/>
      <c r="AQ172" s="164"/>
      <c r="AR172" s="164"/>
      <c r="AS172" s="164"/>
      <c r="AT172" s="164"/>
      <c r="AU172" s="164"/>
      <c r="AV172" s="164"/>
      <c r="AW172" s="164"/>
      <c r="AX172" s="164"/>
    </row>
    <row r="173" spans="21:50" x14ac:dyDescent="0.25">
      <c r="U173" s="164"/>
      <c r="V173" s="164"/>
      <c r="W173" s="164"/>
      <c r="X173" s="164"/>
      <c r="Y173" s="164"/>
      <c r="Z173" s="164"/>
      <c r="AA173" s="164"/>
      <c r="AB173" s="164"/>
      <c r="AC173" s="164"/>
      <c r="AE173" s="164"/>
      <c r="AF173" s="164"/>
      <c r="AG173" s="164"/>
      <c r="AH173" s="164"/>
      <c r="AI173" s="164"/>
      <c r="AJ173" s="164"/>
      <c r="AK173" s="164"/>
      <c r="AL173" s="164"/>
      <c r="AM173" s="164"/>
      <c r="AN173" s="164"/>
      <c r="AO173" s="164"/>
      <c r="AP173" s="164"/>
      <c r="AQ173" s="164"/>
      <c r="AR173" s="164"/>
      <c r="AS173" s="164"/>
      <c r="AT173" s="164"/>
      <c r="AU173" s="164"/>
      <c r="AV173" s="164"/>
      <c r="AW173" s="164"/>
      <c r="AX173" s="164"/>
    </row>
    <row r="174" spans="21:50" x14ac:dyDescent="0.25">
      <c r="U174" s="164"/>
      <c r="V174" s="164"/>
      <c r="W174" s="164"/>
      <c r="X174" s="164"/>
      <c r="Y174" s="164"/>
      <c r="Z174" s="164"/>
      <c r="AA174" s="164"/>
      <c r="AB174" s="164"/>
      <c r="AC174" s="164"/>
      <c r="AE174" s="164"/>
      <c r="AF174" s="164"/>
      <c r="AG174" s="164"/>
      <c r="AH174" s="164"/>
      <c r="AI174" s="164"/>
      <c r="AJ174" s="164"/>
      <c r="AK174" s="164"/>
      <c r="AL174" s="164"/>
      <c r="AM174" s="164"/>
      <c r="AN174" s="164"/>
      <c r="AO174" s="164"/>
      <c r="AP174" s="164"/>
      <c r="AQ174" s="164"/>
      <c r="AR174" s="164"/>
      <c r="AS174" s="164"/>
      <c r="AT174" s="164"/>
      <c r="AU174" s="164"/>
      <c r="AV174" s="164"/>
      <c r="AW174" s="164"/>
      <c r="AX174" s="164"/>
    </row>
    <row r="175" spans="21:50" x14ac:dyDescent="0.25">
      <c r="U175" s="164"/>
      <c r="V175" s="164"/>
      <c r="W175" s="164"/>
      <c r="X175" s="164"/>
      <c r="Y175" s="164"/>
      <c r="Z175" s="164"/>
      <c r="AA175" s="164"/>
      <c r="AB175" s="164"/>
      <c r="AC175" s="164"/>
      <c r="AE175" s="164"/>
      <c r="AF175" s="164"/>
      <c r="AG175" s="164"/>
      <c r="AH175" s="164"/>
      <c r="AI175" s="164"/>
      <c r="AJ175" s="164"/>
      <c r="AK175" s="164"/>
      <c r="AL175" s="164"/>
      <c r="AM175" s="164"/>
      <c r="AN175" s="164"/>
      <c r="AO175" s="164"/>
      <c r="AP175" s="164"/>
      <c r="AQ175" s="164"/>
      <c r="AR175" s="164"/>
      <c r="AS175" s="164"/>
      <c r="AT175" s="164"/>
      <c r="AU175" s="164"/>
      <c r="AV175" s="164"/>
      <c r="AW175" s="164"/>
      <c r="AX175" s="164"/>
    </row>
    <row r="176" spans="21:50" x14ac:dyDescent="0.25">
      <c r="U176" s="164"/>
      <c r="V176" s="164"/>
      <c r="W176" s="164"/>
      <c r="X176" s="164"/>
      <c r="Y176" s="164"/>
      <c r="Z176" s="164"/>
      <c r="AA176" s="164"/>
      <c r="AB176" s="164"/>
      <c r="AC176" s="164"/>
      <c r="AE176" s="164"/>
      <c r="AF176" s="164"/>
      <c r="AG176" s="164"/>
      <c r="AH176" s="164"/>
      <c r="AI176" s="164"/>
      <c r="AJ176" s="164"/>
      <c r="AK176" s="164"/>
      <c r="AL176" s="164"/>
      <c r="AM176" s="164"/>
      <c r="AN176" s="164"/>
      <c r="AO176" s="164"/>
      <c r="AP176" s="164"/>
      <c r="AQ176" s="164"/>
      <c r="AR176" s="164"/>
      <c r="AS176" s="164"/>
      <c r="AT176" s="164"/>
      <c r="AU176" s="164"/>
      <c r="AV176" s="164"/>
      <c r="AW176" s="164"/>
      <c r="AX176" s="164"/>
    </row>
    <row r="177" spans="21:50" x14ac:dyDescent="0.25">
      <c r="U177" s="164"/>
      <c r="V177" s="164"/>
      <c r="W177" s="164"/>
      <c r="X177" s="164"/>
      <c r="Y177" s="164"/>
      <c r="Z177" s="164"/>
      <c r="AA177" s="164"/>
      <c r="AB177" s="164"/>
      <c r="AC177" s="164"/>
      <c r="AE177" s="164"/>
      <c r="AF177" s="164"/>
      <c r="AG177" s="164"/>
      <c r="AH177" s="164"/>
      <c r="AI177" s="164"/>
      <c r="AJ177" s="164"/>
      <c r="AK177" s="164"/>
      <c r="AL177" s="164"/>
      <c r="AM177" s="164"/>
      <c r="AN177" s="164"/>
      <c r="AO177" s="164"/>
      <c r="AP177" s="164"/>
      <c r="AQ177" s="164"/>
      <c r="AR177" s="164"/>
      <c r="AS177" s="164"/>
      <c r="AT177" s="164"/>
      <c r="AU177" s="164"/>
      <c r="AV177" s="164"/>
      <c r="AW177" s="164"/>
      <c r="AX177" s="164"/>
    </row>
    <row r="178" spans="21:50" x14ac:dyDescent="0.25">
      <c r="U178" s="164"/>
      <c r="V178" s="164"/>
      <c r="W178" s="164"/>
      <c r="X178" s="164"/>
      <c r="Y178" s="164"/>
      <c r="Z178" s="164"/>
      <c r="AA178" s="164"/>
      <c r="AB178" s="164"/>
      <c r="AC178" s="164"/>
      <c r="AE178" s="164"/>
      <c r="AF178" s="164"/>
      <c r="AG178" s="164"/>
      <c r="AH178" s="164"/>
      <c r="AI178" s="164"/>
      <c r="AJ178" s="164"/>
      <c r="AK178" s="164"/>
      <c r="AL178" s="164"/>
      <c r="AM178" s="164"/>
      <c r="AN178" s="164"/>
      <c r="AO178" s="164"/>
      <c r="AP178" s="164"/>
      <c r="AQ178" s="164"/>
      <c r="AR178" s="164"/>
      <c r="AS178" s="164"/>
      <c r="AT178" s="164"/>
      <c r="AU178" s="164"/>
      <c r="AV178" s="164"/>
      <c r="AW178" s="164"/>
      <c r="AX178" s="164"/>
    </row>
    <row r="179" spans="21:50" x14ac:dyDescent="0.25">
      <c r="U179" s="164"/>
      <c r="V179" s="164"/>
      <c r="W179" s="164"/>
      <c r="X179" s="164"/>
      <c r="Y179" s="164"/>
      <c r="Z179" s="164"/>
      <c r="AA179" s="164"/>
      <c r="AB179" s="164"/>
      <c r="AC179" s="164"/>
      <c r="AE179" s="164"/>
      <c r="AF179" s="164"/>
      <c r="AG179" s="164"/>
      <c r="AH179" s="164"/>
      <c r="AI179" s="164"/>
      <c r="AJ179" s="164"/>
      <c r="AK179" s="164"/>
      <c r="AL179" s="164"/>
      <c r="AM179" s="164"/>
      <c r="AN179" s="164"/>
      <c r="AO179" s="164"/>
      <c r="AP179" s="164"/>
      <c r="AQ179" s="164"/>
      <c r="AR179" s="164"/>
      <c r="AS179" s="164"/>
      <c r="AT179" s="164"/>
      <c r="AU179" s="164"/>
      <c r="AV179" s="164"/>
      <c r="AW179" s="164"/>
      <c r="AX179" s="164"/>
    </row>
    <row r="180" spans="21:50" x14ac:dyDescent="0.25">
      <c r="U180" s="164"/>
      <c r="V180" s="164"/>
      <c r="W180" s="164"/>
      <c r="X180" s="164"/>
      <c r="Y180" s="164"/>
      <c r="Z180" s="164"/>
      <c r="AA180" s="164"/>
      <c r="AB180" s="164"/>
      <c r="AC180" s="164"/>
      <c r="AE180" s="164"/>
      <c r="AF180" s="164"/>
      <c r="AG180" s="164"/>
      <c r="AH180" s="164"/>
      <c r="AI180" s="164"/>
      <c r="AJ180" s="164"/>
      <c r="AK180" s="164"/>
      <c r="AL180" s="164"/>
      <c r="AM180" s="164"/>
      <c r="AN180" s="164"/>
      <c r="AO180" s="164"/>
      <c r="AP180" s="164"/>
      <c r="AQ180" s="164"/>
      <c r="AR180" s="164"/>
      <c r="AS180" s="164"/>
      <c r="AT180" s="164"/>
      <c r="AU180" s="164"/>
      <c r="AV180" s="164"/>
      <c r="AW180" s="164"/>
      <c r="AX180" s="164"/>
    </row>
    <row r="181" spans="21:50" x14ac:dyDescent="0.25">
      <c r="U181" s="164"/>
      <c r="V181" s="164"/>
      <c r="W181" s="164"/>
      <c r="X181" s="164"/>
      <c r="Y181" s="164"/>
      <c r="Z181" s="164"/>
      <c r="AA181" s="164"/>
      <c r="AB181" s="164"/>
      <c r="AC181" s="164"/>
      <c r="AE181" s="164"/>
      <c r="AF181" s="164"/>
      <c r="AG181" s="164"/>
      <c r="AH181" s="164"/>
      <c r="AI181" s="164"/>
      <c r="AJ181" s="164"/>
      <c r="AK181" s="164"/>
      <c r="AL181" s="164"/>
      <c r="AM181" s="164"/>
      <c r="AN181" s="164"/>
      <c r="AO181" s="164"/>
      <c r="AP181" s="164"/>
      <c r="AQ181" s="164"/>
      <c r="AR181" s="164"/>
      <c r="AS181" s="164"/>
      <c r="AT181" s="164"/>
      <c r="AU181" s="164"/>
      <c r="AV181" s="164"/>
      <c r="AW181" s="164"/>
      <c r="AX181" s="164"/>
    </row>
    <row r="182" spans="21:50" x14ac:dyDescent="0.25">
      <c r="U182" s="164"/>
      <c r="V182" s="164"/>
      <c r="W182" s="164"/>
      <c r="X182" s="164"/>
      <c r="Y182" s="164"/>
      <c r="Z182" s="164"/>
      <c r="AA182" s="164"/>
      <c r="AB182" s="164"/>
      <c r="AC182" s="164"/>
      <c r="AE182" s="164"/>
      <c r="AF182" s="164"/>
      <c r="AG182" s="164"/>
      <c r="AH182" s="164"/>
      <c r="AI182" s="164"/>
      <c r="AJ182" s="164"/>
      <c r="AK182" s="164"/>
      <c r="AL182" s="164"/>
      <c r="AM182" s="164"/>
      <c r="AN182" s="164"/>
      <c r="AO182" s="164"/>
      <c r="AP182" s="164"/>
      <c r="AQ182" s="164"/>
      <c r="AR182" s="164"/>
      <c r="AS182" s="164"/>
      <c r="AT182" s="164"/>
      <c r="AU182" s="164"/>
      <c r="AV182" s="164"/>
      <c r="AW182" s="164"/>
      <c r="AX182" s="164"/>
    </row>
    <row r="183" spans="21:50" x14ac:dyDescent="0.25">
      <c r="U183" s="164"/>
      <c r="V183" s="164"/>
      <c r="W183" s="164"/>
      <c r="X183" s="164"/>
      <c r="Y183" s="164"/>
      <c r="Z183" s="164"/>
      <c r="AA183" s="164"/>
      <c r="AB183" s="164"/>
      <c r="AC183" s="164"/>
      <c r="AE183" s="164"/>
      <c r="AF183" s="164"/>
      <c r="AG183" s="164"/>
      <c r="AH183" s="164"/>
      <c r="AI183" s="164"/>
      <c r="AJ183" s="164"/>
      <c r="AK183" s="164"/>
      <c r="AL183" s="164"/>
      <c r="AM183" s="164"/>
      <c r="AN183" s="164"/>
      <c r="AO183" s="164"/>
      <c r="AP183" s="164"/>
      <c r="AQ183" s="164"/>
      <c r="AR183" s="164"/>
      <c r="AS183" s="164"/>
      <c r="AT183" s="164"/>
      <c r="AU183" s="164"/>
      <c r="AV183" s="164"/>
      <c r="AW183" s="164"/>
      <c r="AX183" s="164"/>
    </row>
  </sheetData>
  <sheetProtection formatColumns="0" deleteColumns="0" deleteRows="0" selectLockedCells="1"/>
  <mergeCells count="18">
    <mergeCell ref="B81:C81"/>
    <mergeCell ref="B65:B68"/>
    <mergeCell ref="B69:C69"/>
    <mergeCell ref="B71:B74"/>
    <mergeCell ref="B75:C75"/>
    <mergeCell ref="B77:B80"/>
    <mergeCell ref="B120:C120"/>
    <mergeCell ref="B84:B87"/>
    <mergeCell ref="B88:C88"/>
    <mergeCell ref="B90:B93"/>
    <mergeCell ref="B94:C94"/>
    <mergeCell ref="B96:B99"/>
    <mergeCell ref="B100:C100"/>
    <mergeCell ref="B104:B107"/>
    <mergeCell ref="B108:C108"/>
    <mergeCell ref="B110:B113"/>
    <mergeCell ref="B114:C114"/>
    <mergeCell ref="B116:B119"/>
  </mergeCells>
  <conditionalFormatting sqref="P3:P60">
    <cfRule type="expression" dxfId="155" priority="2">
      <formula>AND(P3&lt;&gt;"",P3&lt;&gt;"OUI")</formula>
    </cfRule>
  </conditionalFormatting>
  <conditionalFormatting sqref="AL3:AM60 S3:AH60">
    <cfRule type="expression" dxfId="154" priority="1" stopIfTrue="1">
      <formula>$AH3&lt;&gt;0</formula>
    </cfRule>
  </conditionalFormatting>
  <conditionalFormatting sqref="A3:E60">
    <cfRule type="expression" dxfId="153" priority="3" stopIfTrue="1">
      <formula>AND($I3&lt;&gt;"",AND($J3="",AND($AY3="",$AZ3="")))</formula>
    </cfRule>
    <cfRule type="expression" dxfId="152" priority="4" stopIfTrue="1">
      <formula>AND($J3&lt;&gt;"",AND($AY3="",$AZ3=""))</formula>
    </cfRule>
    <cfRule type="expression" dxfId="151" priority="5" stopIfTrue="1">
      <formula>AND($AY3&lt;&gt;"",$AZ3="")</formula>
    </cfRule>
    <cfRule type="expression" dxfId="150" priority="6" stopIfTrue="1">
      <formula>$AZ3="X"</formula>
    </cfRule>
  </conditionalFormatting>
  <dataValidations count="11">
    <dataValidation type="list" allowBlank="1" showInputMessage="1" showErrorMessage="1" sqref="H3:H60">
      <formula1>"MENSUELLE,TRIMESTRIELLE,EXERCICE,ANNUELLE"</formula1>
    </dataValidation>
    <dataValidation type="list" allowBlank="1" showInputMessage="1" showErrorMessage="1" sqref="BG3:BI60">
      <formula1>"OUI,NON,N/C"</formula1>
    </dataValidation>
    <dataValidation type="list" allowBlank="1" showInputMessage="1" showErrorMessage="1" sqref="AL3:AL60">
      <formula1>"ABONNE COURT,ABONNE LONG"</formula1>
    </dataValidation>
    <dataValidation type="list" allowBlank="1" showInputMessage="1" showErrorMessage="1" sqref="P3:P60">
      <formula1>"OUI,NON,A TERMINER,A FAIRE"</formula1>
    </dataValidation>
    <dataValidation type="list" allowBlank="1" showInputMessage="1" showErrorMessage="1" sqref="AY3:BA60">
      <formula1>"X"</formula1>
    </dataValidation>
    <dataValidation type="list" allowBlank="1" showInputMessage="1" showErrorMessage="1" sqref="R3:R60">
      <formula1>"OUI,NON,A FAIRE,N/A"</formula1>
    </dataValidation>
    <dataValidation type="list" allowBlank="1" showInputMessage="1" showErrorMessage="1" sqref="Q3:Q60 AM3:AM60">
      <formula1>"OUI,NON"</formula1>
    </dataValidation>
    <dataValidation type="list" allowBlank="1" showInputMessage="1" showErrorMessage="1" sqref="O3:O60">
      <formula1>"COMPTABLE,CONSEILLER"</formula1>
    </dataValidation>
    <dataValidation type="list" allowBlank="1" showInputMessage="1" showErrorMessage="1" sqref="M3:N60">
      <formula1>"OUI,NON,A FAIRE"</formula1>
    </dataValidation>
    <dataValidation type="list" allowBlank="1" showInputMessage="1" showErrorMessage="1" sqref="JW3:JW60 TS3:TS60 ADO3:ADO60 ANK3:ANK60 AXG3:AXG60 BHC3:BHC60 BQY3:BQY60 CAU3:CAU60 CKQ3:CKQ60 CUM3:CUM60 DEI3:DEI60 DOE3:DOE60 DYA3:DYA60 EHW3:EHW60 ERS3:ERS60 FBO3:FBO60 FLK3:FLK60 FVG3:FVG60 GFC3:GFC60 GOY3:GOY60 GYU3:GYU60 HIQ3:HIQ60 HSM3:HSM60 ICI3:ICI60 IME3:IME60 IWA3:IWA60 JFW3:JFW60 JPS3:JPS60 JZO3:JZO60 KJK3:KJK60 KTG3:KTG60 LDC3:LDC60 LMY3:LMY60 LWU3:LWU60 MGQ3:MGQ60 MQM3:MQM60 NAI3:NAI60 NKE3:NKE60 NUA3:NUA60 ODW3:ODW60 ONS3:ONS60 OXO3:OXO60 PHK3:PHK60 PRG3:PRG60 QBC3:QBC60 QKY3:QKY60 QUU3:QUU60 REQ3:REQ60 ROM3:ROM60 RYI3:RYI60 SIE3:SIE60 SSA3:SSA60 TBW3:TBW60 TLS3:TLS60 TVO3:TVO60 UFK3:UFK60 UPG3:UPG60 UZC3:UZC60 VIY3:VIY60 VSU3:VSU60 WCQ3:WCQ60 WMM3:WMM60 WWI3:WWI60 G65539:G65596 JV65539:JV65596 TR65539:TR65596 ADN65539:ADN65596 ANJ65539:ANJ65596 AXF65539:AXF65596 BHB65539:BHB65596 BQX65539:BQX65596 CAT65539:CAT65596 CKP65539:CKP65596 CUL65539:CUL65596 DEH65539:DEH65596 DOD65539:DOD65596 DXZ65539:DXZ65596 EHV65539:EHV65596 ERR65539:ERR65596 FBN65539:FBN65596 FLJ65539:FLJ65596 FVF65539:FVF65596 GFB65539:GFB65596 GOX65539:GOX65596 GYT65539:GYT65596 HIP65539:HIP65596 HSL65539:HSL65596 ICH65539:ICH65596 IMD65539:IMD65596 IVZ65539:IVZ65596 JFV65539:JFV65596 JPR65539:JPR65596 JZN65539:JZN65596 KJJ65539:KJJ65596 KTF65539:KTF65596 LDB65539:LDB65596 LMX65539:LMX65596 LWT65539:LWT65596 MGP65539:MGP65596 MQL65539:MQL65596 NAH65539:NAH65596 NKD65539:NKD65596 NTZ65539:NTZ65596 ODV65539:ODV65596 ONR65539:ONR65596 OXN65539:OXN65596 PHJ65539:PHJ65596 PRF65539:PRF65596 QBB65539:QBB65596 QKX65539:QKX65596 QUT65539:QUT65596 REP65539:REP65596 ROL65539:ROL65596 RYH65539:RYH65596 SID65539:SID65596 SRZ65539:SRZ65596 TBV65539:TBV65596 TLR65539:TLR65596 TVN65539:TVN65596 UFJ65539:UFJ65596 UPF65539:UPF65596 UZB65539:UZB65596 VIX65539:VIX65596 VST65539:VST65596 WCP65539:WCP65596 WML65539:WML65596 WWH65539:WWH65596 G131075:G131132 JV131075:JV131132 TR131075:TR131132 ADN131075:ADN131132 ANJ131075:ANJ131132 AXF131075:AXF131132 BHB131075:BHB131132 BQX131075:BQX131132 CAT131075:CAT131132 CKP131075:CKP131132 CUL131075:CUL131132 DEH131075:DEH131132 DOD131075:DOD131132 DXZ131075:DXZ131132 EHV131075:EHV131132 ERR131075:ERR131132 FBN131075:FBN131132 FLJ131075:FLJ131132 FVF131075:FVF131132 GFB131075:GFB131132 GOX131075:GOX131132 GYT131075:GYT131132 HIP131075:HIP131132 HSL131075:HSL131132 ICH131075:ICH131132 IMD131075:IMD131132 IVZ131075:IVZ131132 JFV131075:JFV131132 JPR131075:JPR131132 JZN131075:JZN131132 KJJ131075:KJJ131132 KTF131075:KTF131132 LDB131075:LDB131132 LMX131075:LMX131132 LWT131075:LWT131132 MGP131075:MGP131132 MQL131075:MQL131132 NAH131075:NAH131132 NKD131075:NKD131132 NTZ131075:NTZ131132 ODV131075:ODV131132 ONR131075:ONR131132 OXN131075:OXN131132 PHJ131075:PHJ131132 PRF131075:PRF131132 QBB131075:QBB131132 QKX131075:QKX131132 QUT131075:QUT131132 REP131075:REP131132 ROL131075:ROL131132 RYH131075:RYH131132 SID131075:SID131132 SRZ131075:SRZ131132 TBV131075:TBV131132 TLR131075:TLR131132 TVN131075:TVN131132 UFJ131075:UFJ131132 UPF131075:UPF131132 UZB131075:UZB131132 VIX131075:VIX131132 VST131075:VST131132 WCP131075:WCP131132 WML131075:WML131132 WWH131075:WWH131132 G196611:G196668 JV196611:JV196668 TR196611:TR196668 ADN196611:ADN196668 ANJ196611:ANJ196668 AXF196611:AXF196668 BHB196611:BHB196668 BQX196611:BQX196668 CAT196611:CAT196668 CKP196611:CKP196668 CUL196611:CUL196668 DEH196611:DEH196668 DOD196611:DOD196668 DXZ196611:DXZ196668 EHV196611:EHV196668 ERR196611:ERR196668 FBN196611:FBN196668 FLJ196611:FLJ196668 FVF196611:FVF196668 GFB196611:GFB196668 GOX196611:GOX196668 GYT196611:GYT196668 HIP196611:HIP196668 HSL196611:HSL196668 ICH196611:ICH196668 IMD196611:IMD196668 IVZ196611:IVZ196668 JFV196611:JFV196668 JPR196611:JPR196668 JZN196611:JZN196668 KJJ196611:KJJ196668 KTF196611:KTF196668 LDB196611:LDB196668 LMX196611:LMX196668 LWT196611:LWT196668 MGP196611:MGP196668 MQL196611:MQL196668 NAH196611:NAH196668 NKD196611:NKD196668 NTZ196611:NTZ196668 ODV196611:ODV196668 ONR196611:ONR196668 OXN196611:OXN196668 PHJ196611:PHJ196668 PRF196611:PRF196668 QBB196611:QBB196668 QKX196611:QKX196668 QUT196611:QUT196668 REP196611:REP196668 ROL196611:ROL196668 RYH196611:RYH196668 SID196611:SID196668 SRZ196611:SRZ196668 TBV196611:TBV196668 TLR196611:TLR196668 TVN196611:TVN196668 UFJ196611:UFJ196668 UPF196611:UPF196668 UZB196611:UZB196668 VIX196611:VIX196668 VST196611:VST196668 WCP196611:WCP196668 WML196611:WML196668 WWH196611:WWH196668 G262147:G262204 JV262147:JV262204 TR262147:TR262204 ADN262147:ADN262204 ANJ262147:ANJ262204 AXF262147:AXF262204 BHB262147:BHB262204 BQX262147:BQX262204 CAT262147:CAT262204 CKP262147:CKP262204 CUL262147:CUL262204 DEH262147:DEH262204 DOD262147:DOD262204 DXZ262147:DXZ262204 EHV262147:EHV262204 ERR262147:ERR262204 FBN262147:FBN262204 FLJ262147:FLJ262204 FVF262147:FVF262204 GFB262147:GFB262204 GOX262147:GOX262204 GYT262147:GYT262204 HIP262147:HIP262204 HSL262147:HSL262204 ICH262147:ICH262204 IMD262147:IMD262204 IVZ262147:IVZ262204 JFV262147:JFV262204 JPR262147:JPR262204 JZN262147:JZN262204 KJJ262147:KJJ262204 KTF262147:KTF262204 LDB262147:LDB262204 LMX262147:LMX262204 LWT262147:LWT262204 MGP262147:MGP262204 MQL262147:MQL262204 NAH262147:NAH262204 NKD262147:NKD262204 NTZ262147:NTZ262204 ODV262147:ODV262204 ONR262147:ONR262204 OXN262147:OXN262204 PHJ262147:PHJ262204 PRF262147:PRF262204 QBB262147:QBB262204 QKX262147:QKX262204 QUT262147:QUT262204 REP262147:REP262204 ROL262147:ROL262204 RYH262147:RYH262204 SID262147:SID262204 SRZ262147:SRZ262204 TBV262147:TBV262204 TLR262147:TLR262204 TVN262147:TVN262204 UFJ262147:UFJ262204 UPF262147:UPF262204 UZB262147:UZB262204 VIX262147:VIX262204 VST262147:VST262204 WCP262147:WCP262204 WML262147:WML262204 WWH262147:WWH262204 G327683:G327740 JV327683:JV327740 TR327683:TR327740 ADN327683:ADN327740 ANJ327683:ANJ327740 AXF327683:AXF327740 BHB327683:BHB327740 BQX327683:BQX327740 CAT327683:CAT327740 CKP327683:CKP327740 CUL327683:CUL327740 DEH327683:DEH327740 DOD327683:DOD327740 DXZ327683:DXZ327740 EHV327683:EHV327740 ERR327683:ERR327740 FBN327683:FBN327740 FLJ327683:FLJ327740 FVF327683:FVF327740 GFB327683:GFB327740 GOX327683:GOX327740 GYT327683:GYT327740 HIP327683:HIP327740 HSL327683:HSL327740 ICH327683:ICH327740 IMD327683:IMD327740 IVZ327683:IVZ327740 JFV327683:JFV327740 JPR327683:JPR327740 JZN327683:JZN327740 KJJ327683:KJJ327740 KTF327683:KTF327740 LDB327683:LDB327740 LMX327683:LMX327740 LWT327683:LWT327740 MGP327683:MGP327740 MQL327683:MQL327740 NAH327683:NAH327740 NKD327683:NKD327740 NTZ327683:NTZ327740 ODV327683:ODV327740 ONR327683:ONR327740 OXN327683:OXN327740 PHJ327683:PHJ327740 PRF327683:PRF327740 QBB327683:QBB327740 QKX327683:QKX327740 QUT327683:QUT327740 REP327683:REP327740 ROL327683:ROL327740 RYH327683:RYH327740 SID327683:SID327740 SRZ327683:SRZ327740 TBV327683:TBV327740 TLR327683:TLR327740 TVN327683:TVN327740 UFJ327683:UFJ327740 UPF327683:UPF327740 UZB327683:UZB327740 VIX327683:VIX327740 VST327683:VST327740 WCP327683:WCP327740 WML327683:WML327740 WWH327683:WWH327740 G393219:G393276 JV393219:JV393276 TR393219:TR393276 ADN393219:ADN393276 ANJ393219:ANJ393276 AXF393219:AXF393276 BHB393219:BHB393276 BQX393219:BQX393276 CAT393219:CAT393276 CKP393219:CKP393276 CUL393219:CUL393276 DEH393219:DEH393276 DOD393219:DOD393276 DXZ393219:DXZ393276 EHV393219:EHV393276 ERR393219:ERR393276 FBN393219:FBN393276 FLJ393219:FLJ393276 FVF393219:FVF393276 GFB393219:GFB393276 GOX393219:GOX393276 GYT393219:GYT393276 HIP393219:HIP393276 HSL393219:HSL393276 ICH393219:ICH393276 IMD393219:IMD393276 IVZ393219:IVZ393276 JFV393219:JFV393276 JPR393219:JPR393276 JZN393219:JZN393276 KJJ393219:KJJ393276 KTF393219:KTF393276 LDB393219:LDB393276 LMX393219:LMX393276 LWT393219:LWT393276 MGP393219:MGP393276 MQL393219:MQL393276 NAH393219:NAH393276 NKD393219:NKD393276 NTZ393219:NTZ393276 ODV393219:ODV393276 ONR393219:ONR393276 OXN393219:OXN393276 PHJ393219:PHJ393276 PRF393219:PRF393276 QBB393219:QBB393276 QKX393219:QKX393276 QUT393219:QUT393276 REP393219:REP393276 ROL393219:ROL393276 RYH393219:RYH393276 SID393219:SID393276 SRZ393219:SRZ393276 TBV393219:TBV393276 TLR393219:TLR393276 TVN393219:TVN393276 UFJ393219:UFJ393276 UPF393219:UPF393276 UZB393219:UZB393276 VIX393219:VIX393276 VST393219:VST393276 WCP393219:WCP393276 WML393219:WML393276 WWH393219:WWH393276 G458755:G458812 JV458755:JV458812 TR458755:TR458812 ADN458755:ADN458812 ANJ458755:ANJ458812 AXF458755:AXF458812 BHB458755:BHB458812 BQX458755:BQX458812 CAT458755:CAT458812 CKP458755:CKP458812 CUL458755:CUL458812 DEH458755:DEH458812 DOD458755:DOD458812 DXZ458755:DXZ458812 EHV458755:EHV458812 ERR458755:ERR458812 FBN458755:FBN458812 FLJ458755:FLJ458812 FVF458755:FVF458812 GFB458755:GFB458812 GOX458755:GOX458812 GYT458755:GYT458812 HIP458755:HIP458812 HSL458755:HSL458812 ICH458755:ICH458812 IMD458755:IMD458812 IVZ458755:IVZ458812 JFV458755:JFV458812 JPR458755:JPR458812 JZN458755:JZN458812 KJJ458755:KJJ458812 KTF458755:KTF458812 LDB458755:LDB458812 LMX458755:LMX458812 LWT458755:LWT458812 MGP458755:MGP458812 MQL458755:MQL458812 NAH458755:NAH458812 NKD458755:NKD458812 NTZ458755:NTZ458812 ODV458755:ODV458812 ONR458755:ONR458812 OXN458755:OXN458812 PHJ458755:PHJ458812 PRF458755:PRF458812 QBB458755:QBB458812 QKX458755:QKX458812 QUT458755:QUT458812 REP458755:REP458812 ROL458755:ROL458812 RYH458755:RYH458812 SID458755:SID458812 SRZ458755:SRZ458812 TBV458755:TBV458812 TLR458755:TLR458812 TVN458755:TVN458812 UFJ458755:UFJ458812 UPF458755:UPF458812 UZB458755:UZB458812 VIX458755:VIX458812 VST458755:VST458812 WCP458755:WCP458812 WML458755:WML458812 WWH458755:WWH458812 G524291:G524348 JV524291:JV524348 TR524291:TR524348 ADN524291:ADN524348 ANJ524291:ANJ524348 AXF524291:AXF524348 BHB524291:BHB524348 BQX524291:BQX524348 CAT524291:CAT524348 CKP524291:CKP524348 CUL524291:CUL524348 DEH524291:DEH524348 DOD524291:DOD524348 DXZ524291:DXZ524348 EHV524291:EHV524348 ERR524291:ERR524348 FBN524291:FBN524348 FLJ524291:FLJ524348 FVF524291:FVF524348 GFB524291:GFB524348 GOX524291:GOX524348 GYT524291:GYT524348 HIP524291:HIP524348 HSL524291:HSL524348 ICH524291:ICH524348 IMD524291:IMD524348 IVZ524291:IVZ524348 JFV524291:JFV524348 JPR524291:JPR524348 JZN524291:JZN524348 KJJ524291:KJJ524348 KTF524291:KTF524348 LDB524291:LDB524348 LMX524291:LMX524348 LWT524291:LWT524348 MGP524291:MGP524348 MQL524291:MQL524348 NAH524291:NAH524348 NKD524291:NKD524348 NTZ524291:NTZ524348 ODV524291:ODV524348 ONR524291:ONR524348 OXN524291:OXN524348 PHJ524291:PHJ524348 PRF524291:PRF524348 QBB524291:QBB524348 QKX524291:QKX524348 QUT524291:QUT524348 REP524291:REP524348 ROL524291:ROL524348 RYH524291:RYH524348 SID524291:SID524348 SRZ524291:SRZ524348 TBV524291:TBV524348 TLR524291:TLR524348 TVN524291:TVN524348 UFJ524291:UFJ524348 UPF524291:UPF524348 UZB524291:UZB524348 VIX524291:VIX524348 VST524291:VST524348 WCP524291:WCP524348 WML524291:WML524348 WWH524291:WWH524348 G589827:G589884 JV589827:JV589884 TR589827:TR589884 ADN589827:ADN589884 ANJ589827:ANJ589884 AXF589827:AXF589884 BHB589827:BHB589884 BQX589827:BQX589884 CAT589827:CAT589884 CKP589827:CKP589884 CUL589827:CUL589884 DEH589827:DEH589884 DOD589827:DOD589884 DXZ589827:DXZ589884 EHV589827:EHV589884 ERR589827:ERR589884 FBN589827:FBN589884 FLJ589827:FLJ589884 FVF589827:FVF589884 GFB589827:GFB589884 GOX589827:GOX589884 GYT589827:GYT589884 HIP589827:HIP589884 HSL589827:HSL589884 ICH589827:ICH589884 IMD589827:IMD589884 IVZ589827:IVZ589884 JFV589827:JFV589884 JPR589827:JPR589884 JZN589827:JZN589884 KJJ589827:KJJ589884 KTF589827:KTF589884 LDB589827:LDB589884 LMX589827:LMX589884 LWT589827:LWT589884 MGP589827:MGP589884 MQL589827:MQL589884 NAH589827:NAH589884 NKD589827:NKD589884 NTZ589827:NTZ589884 ODV589827:ODV589884 ONR589827:ONR589884 OXN589827:OXN589884 PHJ589827:PHJ589884 PRF589827:PRF589884 QBB589827:QBB589884 QKX589827:QKX589884 QUT589827:QUT589884 REP589827:REP589884 ROL589827:ROL589884 RYH589827:RYH589884 SID589827:SID589884 SRZ589827:SRZ589884 TBV589827:TBV589884 TLR589827:TLR589884 TVN589827:TVN589884 UFJ589827:UFJ589884 UPF589827:UPF589884 UZB589827:UZB589884 VIX589827:VIX589884 VST589827:VST589884 WCP589827:WCP589884 WML589827:WML589884 WWH589827:WWH589884 G655363:G655420 JV655363:JV655420 TR655363:TR655420 ADN655363:ADN655420 ANJ655363:ANJ655420 AXF655363:AXF655420 BHB655363:BHB655420 BQX655363:BQX655420 CAT655363:CAT655420 CKP655363:CKP655420 CUL655363:CUL655420 DEH655363:DEH655420 DOD655363:DOD655420 DXZ655363:DXZ655420 EHV655363:EHV655420 ERR655363:ERR655420 FBN655363:FBN655420 FLJ655363:FLJ655420 FVF655363:FVF655420 GFB655363:GFB655420 GOX655363:GOX655420 GYT655363:GYT655420 HIP655363:HIP655420 HSL655363:HSL655420 ICH655363:ICH655420 IMD655363:IMD655420 IVZ655363:IVZ655420 JFV655363:JFV655420 JPR655363:JPR655420 JZN655363:JZN655420 KJJ655363:KJJ655420 KTF655363:KTF655420 LDB655363:LDB655420 LMX655363:LMX655420 LWT655363:LWT655420 MGP655363:MGP655420 MQL655363:MQL655420 NAH655363:NAH655420 NKD655363:NKD655420 NTZ655363:NTZ655420 ODV655363:ODV655420 ONR655363:ONR655420 OXN655363:OXN655420 PHJ655363:PHJ655420 PRF655363:PRF655420 QBB655363:QBB655420 QKX655363:QKX655420 QUT655363:QUT655420 REP655363:REP655420 ROL655363:ROL655420 RYH655363:RYH655420 SID655363:SID655420 SRZ655363:SRZ655420 TBV655363:TBV655420 TLR655363:TLR655420 TVN655363:TVN655420 UFJ655363:UFJ655420 UPF655363:UPF655420 UZB655363:UZB655420 VIX655363:VIX655420 VST655363:VST655420 WCP655363:WCP655420 WML655363:WML655420 WWH655363:WWH655420 G720899:G720956 JV720899:JV720956 TR720899:TR720956 ADN720899:ADN720956 ANJ720899:ANJ720956 AXF720899:AXF720956 BHB720899:BHB720956 BQX720899:BQX720956 CAT720899:CAT720956 CKP720899:CKP720956 CUL720899:CUL720956 DEH720899:DEH720956 DOD720899:DOD720956 DXZ720899:DXZ720956 EHV720899:EHV720956 ERR720899:ERR720956 FBN720899:FBN720956 FLJ720899:FLJ720956 FVF720899:FVF720956 GFB720899:GFB720956 GOX720899:GOX720956 GYT720899:GYT720956 HIP720899:HIP720956 HSL720899:HSL720956 ICH720899:ICH720956 IMD720899:IMD720956 IVZ720899:IVZ720956 JFV720899:JFV720956 JPR720899:JPR720956 JZN720899:JZN720956 KJJ720899:KJJ720956 KTF720899:KTF720956 LDB720899:LDB720956 LMX720899:LMX720956 LWT720899:LWT720956 MGP720899:MGP720956 MQL720899:MQL720956 NAH720899:NAH720956 NKD720899:NKD720956 NTZ720899:NTZ720956 ODV720899:ODV720956 ONR720899:ONR720956 OXN720899:OXN720956 PHJ720899:PHJ720956 PRF720899:PRF720956 QBB720899:QBB720956 QKX720899:QKX720956 QUT720899:QUT720956 REP720899:REP720956 ROL720899:ROL720956 RYH720899:RYH720956 SID720899:SID720956 SRZ720899:SRZ720956 TBV720899:TBV720956 TLR720899:TLR720956 TVN720899:TVN720956 UFJ720899:UFJ720956 UPF720899:UPF720956 UZB720899:UZB720956 VIX720899:VIX720956 VST720899:VST720956 WCP720899:WCP720956 WML720899:WML720956 WWH720899:WWH720956 G786435:G786492 JV786435:JV786492 TR786435:TR786492 ADN786435:ADN786492 ANJ786435:ANJ786492 AXF786435:AXF786492 BHB786435:BHB786492 BQX786435:BQX786492 CAT786435:CAT786492 CKP786435:CKP786492 CUL786435:CUL786492 DEH786435:DEH786492 DOD786435:DOD786492 DXZ786435:DXZ786492 EHV786435:EHV786492 ERR786435:ERR786492 FBN786435:FBN786492 FLJ786435:FLJ786492 FVF786435:FVF786492 GFB786435:GFB786492 GOX786435:GOX786492 GYT786435:GYT786492 HIP786435:HIP786492 HSL786435:HSL786492 ICH786435:ICH786492 IMD786435:IMD786492 IVZ786435:IVZ786492 JFV786435:JFV786492 JPR786435:JPR786492 JZN786435:JZN786492 KJJ786435:KJJ786492 KTF786435:KTF786492 LDB786435:LDB786492 LMX786435:LMX786492 LWT786435:LWT786492 MGP786435:MGP786492 MQL786435:MQL786492 NAH786435:NAH786492 NKD786435:NKD786492 NTZ786435:NTZ786492 ODV786435:ODV786492 ONR786435:ONR786492 OXN786435:OXN786492 PHJ786435:PHJ786492 PRF786435:PRF786492 QBB786435:QBB786492 QKX786435:QKX786492 QUT786435:QUT786492 REP786435:REP786492 ROL786435:ROL786492 RYH786435:RYH786492 SID786435:SID786492 SRZ786435:SRZ786492 TBV786435:TBV786492 TLR786435:TLR786492 TVN786435:TVN786492 UFJ786435:UFJ786492 UPF786435:UPF786492 UZB786435:UZB786492 VIX786435:VIX786492 VST786435:VST786492 WCP786435:WCP786492 WML786435:WML786492 WWH786435:WWH786492 G851971:G852028 JV851971:JV852028 TR851971:TR852028 ADN851971:ADN852028 ANJ851971:ANJ852028 AXF851971:AXF852028 BHB851971:BHB852028 BQX851971:BQX852028 CAT851971:CAT852028 CKP851971:CKP852028 CUL851971:CUL852028 DEH851971:DEH852028 DOD851971:DOD852028 DXZ851971:DXZ852028 EHV851971:EHV852028 ERR851971:ERR852028 FBN851971:FBN852028 FLJ851971:FLJ852028 FVF851971:FVF852028 GFB851971:GFB852028 GOX851971:GOX852028 GYT851971:GYT852028 HIP851971:HIP852028 HSL851971:HSL852028 ICH851971:ICH852028 IMD851971:IMD852028 IVZ851971:IVZ852028 JFV851971:JFV852028 JPR851971:JPR852028 JZN851971:JZN852028 KJJ851971:KJJ852028 KTF851971:KTF852028 LDB851971:LDB852028 LMX851971:LMX852028 LWT851971:LWT852028 MGP851971:MGP852028 MQL851971:MQL852028 NAH851971:NAH852028 NKD851971:NKD852028 NTZ851971:NTZ852028 ODV851971:ODV852028 ONR851971:ONR852028 OXN851971:OXN852028 PHJ851971:PHJ852028 PRF851971:PRF852028 QBB851971:QBB852028 QKX851971:QKX852028 QUT851971:QUT852028 REP851971:REP852028 ROL851971:ROL852028 RYH851971:RYH852028 SID851971:SID852028 SRZ851971:SRZ852028 TBV851971:TBV852028 TLR851971:TLR852028 TVN851971:TVN852028 UFJ851971:UFJ852028 UPF851971:UPF852028 UZB851971:UZB852028 VIX851971:VIX852028 VST851971:VST852028 WCP851971:WCP852028 WML851971:WML852028 WWH851971:WWH852028 G917507:G917564 JV917507:JV917564 TR917507:TR917564 ADN917507:ADN917564 ANJ917507:ANJ917564 AXF917507:AXF917564 BHB917507:BHB917564 BQX917507:BQX917564 CAT917507:CAT917564 CKP917507:CKP917564 CUL917507:CUL917564 DEH917507:DEH917564 DOD917507:DOD917564 DXZ917507:DXZ917564 EHV917507:EHV917564 ERR917507:ERR917564 FBN917507:FBN917564 FLJ917507:FLJ917564 FVF917507:FVF917564 GFB917507:GFB917564 GOX917507:GOX917564 GYT917507:GYT917564 HIP917507:HIP917564 HSL917507:HSL917564 ICH917507:ICH917564 IMD917507:IMD917564 IVZ917507:IVZ917564 JFV917507:JFV917564 JPR917507:JPR917564 JZN917507:JZN917564 KJJ917507:KJJ917564 KTF917507:KTF917564 LDB917507:LDB917564 LMX917507:LMX917564 LWT917507:LWT917564 MGP917507:MGP917564 MQL917507:MQL917564 NAH917507:NAH917564 NKD917507:NKD917564 NTZ917507:NTZ917564 ODV917507:ODV917564 ONR917507:ONR917564 OXN917507:OXN917564 PHJ917507:PHJ917564 PRF917507:PRF917564 QBB917507:QBB917564 QKX917507:QKX917564 QUT917507:QUT917564 REP917507:REP917564 ROL917507:ROL917564 RYH917507:RYH917564 SID917507:SID917564 SRZ917507:SRZ917564 TBV917507:TBV917564 TLR917507:TLR917564 TVN917507:TVN917564 UFJ917507:UFJ917564 UPF917507:UPF917564 UZB917507:UZB917564 VIX917507:VIX917564 VST917507:VST917564 WCP917507:WCP917564 WML917507:WML917564 WWH917507:WWH917564 G983043:G983100 JV983043:JV983100 TR983043:TR983100 ADN983043:ADN983100 ANJ983043:ANJ983100 AXF983043:AXF983100 BHB983043:BHB983100 BQX983043:BQX983100 CAT983043:CAT983100 CKP983043:CKP983100 CUL983043:CUL983100 DEH983043:DEH983100 DOD983043:DOD983100 DXZ983043:DXZ983100 EHV983043:EHV983100 ERR983043:ERR983100 FBN983043:FBN983100 FLJ983043:FLJ983100 FVF983043:FVF983100 GFB983043:GFB983100 GOX983043:GOX983100 GYT983043:GYT983100 HIP983043:HIP983100 HSL983043:HSL983100 ICH983043:ICH983100 IMD983043:IMD983100 IVZ983043:IVZ983100 JFV983043:JFV983100 JPR983043:JPR983100 JZN983043:JZN983100 KJJ983043:KJJ983100 KTF983043:KTF983100 LDB983043:LDB983100 LMX983043:LMX983100 LWT983043:LWT983100 MGP983043:MGP983100 MQL983043:MQL983100 NAH983043:NAH983100 NKD983043:NKD983100 NTZ983043:NTZ983100 ODV983043:ODV983100 ONR983043:ONR983100 OXN983043:OXN983100 PHJ983043:PHJ983100 PRF983043:PRF983100 QBB983043:QBB983100 QKX983043:QKX983100 QUT983043:QUT983100 REP983043:REP983100 ROL983043:ROL983100 RYH983043:RYH983100 SID983043:SID983100 SRZ983043:SRZ983100 TBV983043:TBV983100 TLR983043:TLR983100 TVN983043:TVN983100 UFJ983043:UFJ983100 UPF983043:UPF983100 UZB983043:UZB983100 VIX983043:VIX983100 VST983043:VST983100 WCP983043:WCP983100 WML983043:WML983100 WWH983043:WWH983100 G3:G60">
      <formula1>"IS,IR,"</formula1>
    </dataValidation>
    <dataValidation type="list" allowBlank="1" showInputMessage="1" showErrorMessage="1" sqref="D3:D60 JT3:JT60 TP3:TP60 ADL3:ADL60 ANH3:ANH60 AXD3:AXD60 BGZ3:BGZ60 BQV3:BQV60 CAR3:CAR60 CKN3:CKN60 CUJ3:CUJ60 DEF3:DEF60 DOB3:DOB60 DXX3:DXX60 EHT3:EHT60 ERP3:ERP60 FBL3:FBL60 FLH3:FLH60 FVD3:FVD60 GEZ3:GEZ60 GOV3:GOV60 GYR3:GYR60 HIN3:HIN60 HSJ3:HSJ60 ICF3:ICF60 IMB3:IMB60 IVX3:IVX60 JFT3:JFT60 JPP3:JPP60 JZL3:JZL60 KJH3:KJH60 KTD3:KTD60 LCZ3:LCZ60 LMV3:LMV60 LWR3:LWR60 MGN3:MGN60 MQJ3:MQJ60 NAF3:NAF60 NKB3:NKB60 NTX3:NTX60 ODT3:ODT60 ONP3:ONP60 OXL3:OXL60 PHH3:PHH60 PRD3:PRD60 QAZ3:QAZ60 QKV3:QKV60 QUR3:QUR60 REN3:REN60 ROJ3:ROJ60 RYF3:RYF60 SIB3:SIB60 SRX3:SRX60 TBT3:TBT60 TLP3:TLP60 TVL3:TVL60 UFH3:UFH60 UPD3:UPD60 UYZ3:UYZ60 VIV3:VIV60 VSR3:VSR60 WCN3:WCN60 WMJ3:WMJ60 WWF3:WWF60 D65539:D65596 JS65539:JS65596 TO65539:TO65596 ADK65539:ADK65596 ANG65539:ANG65596 AXC65539:AXC65596 BGY65539:BGY65596 BQU65539:BQU65596 CAQ65539:CAQ65596 CKM65539:CKM65596 CUI65539:CUI65596 DEE65539:DEE65596 DOA65539:DOA65596 DXW65539:DXW65596 EHS65539:EHS65596 ERO65539:ERO65596 FBK65539:FBK65596 FLG65539:FLG65596 FVC65539:FVC65596 GEY65539:GEY65596 GOU65539:GOU65596 GYQ65539:GYQ65596 HIM65539:HIM65596 HSI65539:HSI65596 ICE65539:ICE65596 IMA65539:IMA65596 IVW65539:IVW65596 JFS65539:JFS65596 JPO65539:JPO65596 JZK65539:JZK65596 KJG65539:KJG65596 KTC65539:KTC65596 LCY65539:LCY65596 LMU65539:LMU65596 LWQ65539:LWQ65596 MGM65539:MGM65596 MQI65539:MQI65596 NAE65539:NAE65596 NKA65539:NKA65596 NTW65539:NTW65596 ODS65539:ODS65596 ONO65539:ONO65596 OXK65539:OXK65596 PHG65539:PHG65596 PRC65539:PRC65596 QAY65539:QAY65596 QKU65539:QKU65596 QUQ65539:QUQ65596 REM65539:REM65596 ROI65539:ROI65596 RYE65539:RYE65596 SIA65539:SIA65596 SRW65539:SRW65596 TBS65539:TBS65596 TLO65539:TLO65596 TVK65539:TVK65596 UFG65539:UFG65596 UPC65539:UPC65596 UYY65539:UYY65596 VIU65539:VIU65596 VSQ65539:VSQ65596 WCM65539:WCM65596 WMI65539:WMI65596 WWE65539:WWE65596 D131075:D131132 JS131075:JS131132 TO131075:TO131132 ADK131075:ADK131132 ANG131075:ANG131132 AXC131075:AXC131132 BGY131075:BGY131132 BQU131075:BQU131132 CAQ131075:CAQ131132 CKM131075:CKM131132 CUI131075:CUI131132 DEE131075:DEE131132 DOA131075:DOA131132 DXW131075:DXW131132 EHS131075:EHS131132 ERO131075:ERO131132 FBK131075:FBK131132 FLG131075:FLG131132 FVC131075:FVC131132 GEY131075:GEY131132 GOU131075:GOU131132 GYQ131075:GYQ131132 HIM131075:HIM131132 HSI131075:HSI131132 ICE131075:ICE131132 IMA131075:IMA131132 IVW131075:IVW131132 JFS131075:JFS131132 JPO131075:JPO131132 JZK131075:JZK131132 KJG131075:KJG131132 KTC131075:KTC131132 LCY131075:LCY131132 LMU131075:LMU131132 LWQ131075:LWQ131132 MGM131075:MGM131132 MQI131075:MQI131132 NAE131075:NAE131132 NKA131075:NKA131132 NTW131075:NTW131132 ODS131075:ODS131132 ONO131075:ONO131132 OXK131075:OXK131132 PHG131075:PHG131132 PRC131075:PRC131132 QAY131075:QAY131132 QKU131075:QKU131132 QUQ131075:QUQ131132 REM131075:REM131132 ROI131075:ROI131132 RYE131075:RYE131132 SIA131075:SIA131132 SRW131075:SRW131132 TBS131075:TBS131132 TLO131075:TLO131132 TVK131075:TVK131132 UFG131075:UFG131132 UPC131075:UPC131132 UYY131075:UYY131132 VIU131075:VIU131132 VSQ131075:VSQ131132 WCM131075:WCM131132 WMI131075:WMI131132 WWE131075:WWE131132 D196611:D196668 JS196611:JS196668 TO196611:TO196668 ADK196611:ADK196668 ANG196611:ANG196668 AXC196611:AXC196668 BGY196611:BGY196668 BQU196611:BQU196668 CAQ196611:CAQ196668 CKM196611:CKM196668 CUI196611:CUI196668 DEE196611:DEE196668 DOA196611:DOA196668 DXW196611:DXW196668 EHS196611:EHS196668 ERO196611:ERO196668 FBK196611:FBK196668 FLG196611:FLG196668 FVC196611:FVC196668 GEY196611:GEY196668 GOU196611:GOU196668 GYQ196611:GYQ196668 HIM196611:HIM196668 HSI196611:HSI196668 ICE196611:ICE196668 IMA196611:IMA196668 IVW196611:IVW196668 JFS196611:JFS196668 JPO196611:JPO196668 JZK196611:JZK196668 KJG196611:KJG196668 KTC196611:KTC196668 LCY196611:LCY196668 LMU196611:LMU196668 LWQ196611:LWQ196668 MGM196611:MGM196668 MQI196611:MQI196668 NAE196611:NAE196668 NKA196611:NKA196668 NTW196611:NTW196668 ODS196611:ODS196668 ONO196611:ONO196668 OXK196611:OXK196668 PHG196611:PHG196668 PRC196611:PRC196668 QAY196611:QAY196668 QKU196611:QKU196668 QUQ196611:QUQ196668 REM196611:REM196668 ROI196611:ROI196668 RYE196611:RYE196668 SIA196611:SIA196668 SRW196611:SRW196668 TBS196611:TBS196668 TLO196611:TLO196668 TVK196611:TVK196668 UFG196611:UFG196668 UPC196611:UPC196668 UYY196611:UYY196668 VIU196611:VIU196668 VSQ196611:VSQ196668 WCM196611:WCM196668 WMI196611:WMI196668 WWE196611:WWE196668 D262147:D262204 JS262147:JS262204 TO262147:TO262204 ADK262147:ADK262204 ANG262147:ANG262204 AXC262147:AXC262204 BGY262147:BGY262204 BQU262147:BQU262204 CAQ262147:CAQ262204 CKM262147:CKM262204 CUI262147:CUI262204 DEE262147:DEE262204 DOA262147:DOA262204 DXW262147:DXW262204 EHS262147:EHS262204 ERO262147:ERO262204 FBK262147:FBK262204 FLG262147:FLG262204 FVC262147:FVC262204 GEY262147:GEY262204 GOU262147:GOU262204 GYQ262147:GYQ262204 HIM262147:HIM262204 HSI262147:HSI262204 ICE262147:ICE262204 IMA262147:IMA262204 IVW262147:IVW262204 JFS262147:JFS262204 JPO262147:JPO262204 JZK262147:JZK262204 KJG262147:KJG262204 KTC262147:KTC262204 LCY262147:LCY262204 LMU262147:LMU262204 LWQ262147:LWQ262204 MGM262147:MGM262204 MQI262147:MQI262204 NAE262147:NAE262204 NKA262147:NKA262204 NTW262147:NTW262204 ODS262147:ODS262204 ONO262147:ONO262204 OXK262147:OXK262204 PHG262147:PHG262204 PRC262147:PRC262204 QAY262147:QAY262204 QKU262147:QKU262204 QUQ262147:QUQ262204 REM262147:REM262204 ROI262147:ROI262204 RYE262147:RYE262204 SIA262147:SIA262204 SRW262147:SRW262204 TBS262147:TBS262204 TLO262147:TLO262204 TVK262147:TVK262204 UFG262147:UFG262204 UPC262147:UPC262204 UYY262147:UYY262204 VIU262147:VIU262204 VSQ262147:VSQ262204 WCM262147:WCM262204 WMI262147:WMI262204 WWE262147:WWE262204 D327683:D327740 JS327683:JS327740 TO327683:TO327740 ADK327683:ADK327740 ANG327683:ANG327740 AXC327683:AXC327740 BGY327683:BGY327740 BQU327683:BQU327740 CAQ327683:CAQ327740 CKM327683:CKM327740 CUI327683:CUI327740 DEE327683:DEE327740 DOA327683:DOA327740 DXW327683:DXW327740 EHS327683:EHS327740 ERO327683:ERO327740 FBK327683:FBK327740 FLG327683:FLG327740 FVC327683:FVC327740 GEY327683:GEY327740 GOU327683:GOU327740 GYQ327683:GYQ327740 HIM327683:HIM327740 HSI327683:HSI327740 ICE327683:ICE327740 IMA327683:IMA327740 IVW327683:IVW327740 JFS327683:JFS327740 JPO327683:JPO327740 JZK327683:JZK327740 KJG327683:KJG327740 KTC327683:KTC327740 LCY327683:LCY327740 LMU327683:LMU327740 LWQ327683:LWQ327740 MGM327683:MGM327740 MQI327683:MQI327740 NAE327683:NAE327740 NKA327683:NKA327740 NTW327683:NTW327740 ODS327683:ODS327740 ONO327683:ONO327740 OXK327683:OXK327740 PHG327683:PHG327740 PRC327683:PRC327740 QAY327683:QAY327740 QKU327683:QKU327740 QUQ327683:QUQ327740 REM327683:REM327740 ROI327683:ROI327740 RYE327683:RYE327740 SIA327683:SIA327740 SRW327683:SRW327740 TBS327683:TBS327740 TLO327683:TLO327740 TVK327683:TVK327740 UFG327683:UFG327740 UPC327683:UPC327740 UYY327683:UYY327740 VIU327683:VIU327740 VSQ327683:VSQ327740 WCM327683:WCM327740 WMI327683:WMI327740 WWE327683:WWE327740 D393219:D393276 JS393219:JS393276 TO393219:TO393276 ADK393219:ADK393276 ANG393219:ANG393276 AXC393219:AXC393276 BGY393219:BGY393276 BQU393219:BQU393276 CAQ393219:CAQ393276 CKM393219:CKM393276 CUI393219:CUI393276 DEE393219:DEE393276 DOA393219:DOA393276 DXW393219:DXW393276 EHS393219:EHS393276 ERO393219:ERO393276 FBK393219:FBK393276 FLG393219:FLG393276 FVC393219:FVC393276 GEY393219:GEY393276 GOU393219:GOU393276 GYQ393219:GYQ393276 HIM393219:HIM393276 HSI393219:HSI393276 ICE393219:ICE393276 IMA393219:IMA393276 IVW393219:IVW393276 JFS393219:JFS393276 JPO393219:JPO393276 JZK393219:JZK393276 KJG393219:KJG393276 KTC393219:KTC393276 LCY393219:LCY393276 LMU393219:LMU393276 LWQ393219:LWQ393276 MGM393219:MGM393276 MQI393219:MQI393276 NAE393219:NAE393276 NKA393219:NKA393276 NTW393219:NTW393276 ODS393219:ODS393276 ONO393219:ONO393276 OXK393219:OXK393276 PHG393219:PHG393276 PRC393219:PRC393276 QAY393219:QAY393276 QKU393219:QKU393276 QUQ393219:QUQ393276 REM393219:REM393276 ROI393219:ROI393276 RYE393219:RYE393276 SIA393219:SIA393276 SRW393219:SRW393276 TBS393219:TBS393276 TLO393219:TLO393276 TVK393219:TVK393276 UFG393219:UFG393276 UPC393219:UPC393276 UYY393219:UYY393276 VIU393219:VIU393276 VSQ393219:VSQ393276 WCM393219:WCM393276 WMI393219:WMI393276 WWE393219:WWE393276 D458755:D458812 JS458755:JS458812 TO458755:TO458812 ADK458755:ADK458812 ANG458755:ANG458812 AXC458755:AXC458812 BGY458755:BGY458812 BQU458755:BQU458812 CAQ458755:CAQ458812 CKM458755:CKM458812 CUI458755:CUI458812 DEE458755:DEE458812 DOA458755:DOA458812 DXW458755:DXW458812 EHS458755:EHS458812 ERO458755:ERO458812 FBK458755:FBK458812 FLG458755:FLG458812 FVC458755:FVC458812 GEY458755:GEY458812 GOU458755:GOU458812 GYQ458755:GYQ458812 HIM458755:HIM458812 HSI458755:HSI458812 ICE458755:ICE458812 IMA458755:IMA458812 IVW458755:IVW458812 JFS458755:JFS458812 JPO458755:JPO458812 JZK458755:JZK458812 KJG458755:KJG458812 KTC458755:KTC458812 LCY458755:LCY458812 LMU458755:LMU458812 LWQ458755:LWQ458812 MGM458755:MGM458812 MQI458755:MQI458812 NAE458755:NAE458812 NKA458755:NKA458812 NTW458755:NTW458812 ODS458755:ODS458812 ONO458755:ONO458812 OXK458755:OXK458812 PHG458755:PHG458812 PRC458755:PRC458812 QAY458755:QAY458812 QKU458755:QKU458812 QUQ458755:QUQ458812 REM458755:REM458812 ROI458755:ROI458812 RYE458755:RYE458812 SIA458755:SIA458812 SRW458755:SRW458812 TBS458755:TBS458812 TLO458755:TLO458812 TVK458755:TVK458812 UFG458755:UFG458812 UPC458755:UPC458812 UYY458755:UYY458812 VIU458755:VIU458812 VSQ458755:VSQ458812 WCM458755:WCM458812 WMI458755:WMI458812 WWE458755:WWE458812 D524291:D524348 JS524291:JS524348 TO524291:TO524348 ADK524291:ADK524348 ANG524291:ANG524348 AXC524291:AXC524348 BGY524291:BGY524348 BQU524291:BQU524348 CAQ524291:CAQ524348 CKM524291:CKM524348 CUI524291:CUI524348 DEE524291:DEE524348 DOA524291:DOA524348 DXW524291:DXW524348 EHS524291:EHS524348 ERO524291:ERO524348 FBK524291:FBK524348 FLG524291:FLG524348 FVC524291:FVC524348 GEY524291:GEY524348 GOU524291:GOU524348 GYQ524291:GYQ524348 HIM524291:HIM524348 HSI524291:HSI524348 ICE524291:ICE524348 IMA524291:IMA524348 IVW524291:IVW524348 JFS524291:JFS524348 JPO524291:JPO524348 JZK524291:JZK524348 KJG524291:KJG524348 KTC524291:KTC524348 LCY524291:LCY524348 LMU524291:LMU524348 LWQ524291:LWQ524348 MGM524291:MGM524348 MQI524291:MQI524348 NAE524291:NAE524348 NKA524291:NKA524348 NTW524291:NTW524348 ODS524291:ODS524348 ONO524291:ONO524348 OXK524291:OXK524348 PHG524291:PHG524348 PRC524291:PRC524348 QAY524291:QAY524348 QKU524291:QKU524348 QUQ524291:QUQ524348 REM524291:REM524348 ROI524291:ROI524348 RYE524291:RYE524348 SIA524291:SIA524348 SRW524291:SRW524348 TBS524291:TBS524348 TLO524291:TLO524348 TVK524291:TVK524348 UFG524291:UFG524348 UPC524291:UPC524348 UYY524291:UYY524348 VIU524291:VIU524348 VSQ524291:VSQ524348 WCM524291:WCM524348 WMI524291:WMI524348 WWE524291:WWE524348 D589827:D589884 JS589827:JS589884 TO589827:TO589884 ADK589827:ADK589884 ANG589827:ANG589884 AXC589827:AXC589884 BGY589827:BGY589884 BQU589827:BQU589884 CAQ589827:CAQ589884 CKM589827:CKM589884 CUI589827:CUI589884 DEE589827:DEE589884 DOA589827:DOA589884 DXW589827:DXW589884 EHS589827:EHS589884 ERO589827:ERO589884 FBK589827:FBK589884 FLG589827:FLG589884 FVC589827:FVC589884 GEY589827:GEY589884 GOU589827:GOU589884 GYQ589827:GYQ589884 HIM589827:HIM589884 HSI589827:HSI589884 ICE589827:ICE589884 IMA589827:IMA589884 IVW589827:IVW589884 JFS589827:JFS589884 JPO589827:JPO589884 JZK589827:JZK589884 KJG589827:KJG589884 KTC589827:KTC589884 LCY589827:LCY589884 LMU589827:LMU589884 LWQ589827:LWQ589884 MGM589827:MGM589884 MQI589827:MQI589884 NAE589827:NAE589884 NKA589827:NKA589884 NTW589827:NTW589884 ODS589827:ODS589884 ONO589827:ONO589884 OXK589827:OXK589884 PHG589827:PHG589884 PRC589827:PRC589884 QAY589827:QAY589884 QKU589827:QKU589884 QUQ589827:QUQ589884 REM589827:REM589884 ROI589827:ROI589884 RYE589827:RYE589884 SIA589827:SIA589884 SRW589827:SRW589884 TBS589827:TBS589884 TLO589827:TLO589884 TVK589827:TVK589884 UFG589827:UFG589884 UPC589827:UPC589884 UYY589827:UYY589884 VIU589827:VIU589884 VSQ589827:VSQ589884 WCM589827:WCM589884 WMI589827:WMI589884 WWE589827:WWE589884 D655363:D655420 JS655363:JS655420 TO655363:TO655420 ADK655363:ADK655420 ANG655363:ANG655420 AXC655363:AXC655420 BGY655363:BGY655420 BQU655363:BQU655420 CAQ655363:CAQ655420 CKM655363:CKM655420 CUI655363:CUI655420 DEE655363:DEE655420 DOA655363:DOA655420 DXW655363:DXW655420 EHS655363:EHS655420 ERO655363:ERO655420 FBK655363:FBK655420 FLG655363:FLG655420 FVC655363:FVC655420 GEY655363:GEY655420 GOU655363:GOU655420 GYQ655363:GYQ655420 HIM655363:HIM655420 HSI655363:HSI655420 ICE655363:ICE655420 IMA655363:IMA655420 IVW655363:IVW655420 JFS655363:JFS655420 JPO655363:JPO655420 JZK655363:JZK655420 KJG655363:KJG655420 KTC655363:KTC655420 LCY655363:LCY655420 LMU655363:LMU655420 LWQ655363:LWQ655420 MGM655363:MGM655420 MQI655363:MQI655420 NAE655363:NAE655420 NKA655363:NKA655420 NTW655363:NTW655420 ODS655363:ODS655420 ONO655363:ONO655420 OXK655363:OXK655420 PHG655363:PHG655420 PRC655363:PRC655420 QAY655363:QAY655420 QKU655363:QKU655420 QUQ655363:QUQ655420 REM655363:REM655420 ROI655363:ROI655420 RYE655363:RYE655420 SIA655363:SIA655420 SRW655363:SRW655420 TBS655363:TBS655420 TLO655363:TLO655420 TVK655363:TVK655420 UFG655363:UFG655420 UPC655363:UPC655420 UYY655363:UYY655420 VIU655363:VIU655420 VSQ655363:VSQ655420 WCM655363:WCM655420 WMI655363:WMI655420 WWE655363:WWE655420 D720899:D720956 JS720899:JS720956 TO720899:TO720956 ADK720899:ADK720956 ANG720899:ANG720956 AXC720899:AXC720956 BGY720899:BGY720956 BQU720899:BQU720956 CAQ720899:CAQ720956 CKM720899:CKM720956 CUI720899:CUI720956 DEE720899:DEE720956 DOA720899:DOA720956 DXW720899:DXW720956 EHS720899:EHS720956 ERO720899:ERO720956 FBK720899:FBK720956 FLG720899:FLG720956 FVC720899:FVC720956 GEY720899:GEY720956 GOU720899:GOU720956 GYQ720899:GYQ720956 HIM720899:HIM720956 HSI720899:HSI720956 ICE720899:ICE720956 IMA720899:IMA720956 IVW720899:IVW720956 JFS720899:JFS720956 JPO720899:JPO720956 JZK720899:JZK720956 KJG720899:KJG720956 KTC720899:KTC720956 LCY720899:LCY720956 LMU720899:LMU720956 LWQ720899:LWQ720956 MGM720899:MGM720956 MQI720899:MQI720956 NAE720899:NAE720956 NKA720899:NKA720956 NTW720899:NTW720956 ODS720899:ODS720956 ONO720899:ONO720956 OXK720899:OXK720956 PHG720899:PHG720956 PRC720899:PRC720956 QAY720899:QAY720956 QKU720899:QKU720956 QUQ720899:QUQ720956 REM720899:REM720956 ROI720899:ROI720956 RYE720899:RYE720956 SIA720899:SIA720956 SRW720899:SRW720956 TBS720899:TBS720956 TLO720899:TLO720956 TVK720899:TVK720956 UFG720899:UFG720956 UPC720899:UPC720956 UYY720899:UYY720956 VIU720899:VIU720956 VSQ720899:VSQ720956 WCM720899:WCM720956 WMI720899:WMI720956 WWE720899:WWE720956 D786435:D786492 JS786435:JS786492 TO786435:TO786492 ADK786435:ADK786492 ANG786435:ANG786492 AXC786435:AXC786492 BGY786435:BGY786492 BQU786435:BQU786492 CAQ786435:CAQ786492 CKM786435:CKM786492 CUI786435:CUI786492 DEE786435:DEE786492 DOA786435:DOA786492 DXW786435:DXW786492 EHS786435:EHS786492 ERO786435:ERO786492 FBK786435:FBK786492 FLG786435:FLG786492 FVC786435:FVC786492 GEY786435:GEY786492 GOU786435:GOU786492 GYQ786435:GYQ786492 HIM786435:HIM786492 HSI786435:HSI786492 ICE786435:ICE786492 IMA786435:IMA786492 IVW786435:IVW786492 JFS786435:JFS786492 JPO786435:JPO786492 JZK786435:JZK786492 KJG786435:KJG786492 KTC786435:KTC786492 LCY786435:LCY786492 LMU786435:LMU786492 LWQ786435:LWQ786492 MGM786435:MGM786492 MQI786435:MQI786492 NAE786435:NAE786492 NKA786435:NKA786492 NTW786435:NTW786492 ODS786435:ODS786492 ONO786435:ONO786492 OXK786435:OXK786492 PHG786435:PHG786492 PRC786435:PRC786492 QAY786435:QAY786492 QKU786435:QKU786492 QUQ786435:QUQ786492 REM786435:REM786492 ROI786435:ROI786492 RYE786435:RYE786492 SIA786435:SIA786492 SRW786435:SRW786492 TBS786435:TBS786492 TLO786435:TLO786492 TVK786435:TVK786492 UFG786435:UFG786492 UPC786435:UPC786492 UYY786435:UYY786492 VIU786435:VIU786492 VSQ786435:VSQ786492 WCM786435:WCM786492 WMI786435:WMI786492 WWE786435:WWE786492 D851971:D852028 JS851971:JS852028 TO851971:TO852028 ADK851971:ADK852028 ANG851971:ANG852028 AXC851971:AXC852028 BGY851971:BGY852028 BQU851971:BQU852028 CAQ851971:CAQ852028 CKM851971:CKM852028 CUI851971:CUI852028 DEE851971:DEE852028 DOA851971:DOA852028 DXW851971:DXW852028 EHS851971:EHS852028 ERO851971:ERO852028 FBK851971:FBK852028 FLG851971:FLG852028 FVC851971:FVC852028 GEY851971:GEY852028 GOU851971:GOU852028 GYQ851971:GYQ852028 HIM851971:HIM852028 HSI851971:HSI852028 ICE851971:ICE852028 IMA851971:IMA852028 IVW851971:IVW852028 JFS851971:JFS852028 JPO851971:JPO852028 JZK851971:JZK852028 KJG851971:KJG852028 KTC851971:KTC852028 LCY851971:LCY852028 LMU851971:LMU852028 LWQ851971:LWQ852028 MGM851971:MGM852028 MQI851971:MQI852028 NAE851971:NAE852028 NKA851971:NKA852028 NTW851971:NTW852028 ODS851971:ODS852028 ONO851971:ONO852028 OXK851971:OXK852028 PHG851971:PHG852028 PRC851971:PRC852028 QAY851971:QAY852028 QKU851971:QKU852028 QUQ851971:QUQ852028 REM851971:REM852028 ROI851971:ROI852028 RYE851971:RYE852028 SIA851971:SIA852028 SRW851971:SRW852028 TBS851971:TBS852028 TLO851971:TLO852028 TVK851971:TVK852028 UFG851971:UFG852028 UPC851971:UPC852028 UYY851971:UYY852028 VIU851971:VIU852028 VSQ851971:VSQ852028 WCM851971:WCM852028 WMI851971:WMI852028 WWE851971:WWE852028 D917507:D917564 JS917507:JS917564 TO917507:TO917564 ADK917507:ADK917564 ANG917507:ANG917564 AXC917507:AXC917564 BGY917507:BGY917564 BQU917507:BQU917564 CAQ917507:CAQ917564 CKM917507:CKM917564 CUI917507:CUI917564 DEE917507:DEE917564 DOA917507:DOA917564 DXW917507:DXW917564 EHS917507:EHS917564 ERO917507:ERO917564 FBK917507:FBK917564 FLG917507:FLG917564 FVC917507:FVC917564 GEY917507:GEY917564 GOU917507:GOU917564 GYQ917507:GYQ917564 HIM917507:HIM917564 HSI917507:HSI917564 ICE917507:ICE917564 IMA917507:IMA917564 IVW917507:IVW917564 JFS917507:JFS917564 JPO917507:JPO917564 JZK917507:JZK917564 KJG917507:KJG917564 KTC917507:KTC917564 LCY917507:LCY917564 LMU917507:LMU917564 LWQ917507:LWQ917564 MGM917507:MGM917564 MQI917507:MQI917564 NAE917507:NAE917564 NKA917507:NKA917564 NTW917507:NTW917564 ODS917507:ODS917564 ONO917507:ONO917564 OXK917507:OXK917564 PHG917507:PHG917564 PRC917507:PRC917564 QAY917507:QAY917564 QKU917507:QKU917564 QUQ917507:QUQ917564 REM917507:REM917564 ROI917507:ROI917564 RYE917507:RYE917564 SIA917507:SIA917564 SRW917507:SRW917564 TBS917507:TBS917564 TLO917507:TLO917564 TVK917507:TVK917564 UFG917507:UFG917564 UPC917507:UPC917564 UYY917507:UYY917564 VIU917507:VIU917564 VSQ917507:VSQ917564 WCM917507:WCM917564 WMI917507:WMI917564 WWE917507:WWE917564 D983043:D983100 JS983043:JS983100 TO983043:TO983100 ADK983043:ADK983100 ANG983043:ANG983100 AXC983043:AXC983100 BGY983043:BGY983100 BQU983043:BQU983100 CAQ983043:CAQ983100 CKM983043:CKM983100 CUI983043:CUI983100 DEE983043:DEE983100 DOA983043:DOA983100 DXW983043:DXW983100 EHS983043:EHS983100 ERO983043:ERO983100 FBK983043:FBK983100 FLG983043:FLG983100 FVC983043:FVC983100 GEY983043:GEY983100 GOU983043:GOU983100 GYQ983043:GYQ983100 HIM983043:HIM983100 HSI983043:HSI983100 ICE983043:ICE983100 IMA983043:IMA983100 IVW983043:IVW983100 JFS983043:JFS983100 JPO983043:JPO983100 JZK983043:JZK983100 KJG983043:KJG983100 KTC983043:KTC983100 LCY983043:LCY983100 LMU983043:LMU983100 LWQ983043:LWQ983100 MGM983043:MGM983100 MQI983043:MQI983100 NAE983043:NAE983100 NKA983043:NKA983100 NTW983043:NTW983100 ODS983043:ODS983100 ONO983043:ONO983100 OXK983043:OXK983100 PHG983043:PHG983100 PRC983043:PRC983100 QAY983043:QAY983100 QKU983043:QKU983100 QUQ983043:QUQ983100 REM983043:REM983100 ROI983043:ROI983100 RYE983043:RYE983100 SIA983043:SIA983100 SRW983043:SRW983100 TBS983043:TBS983100 TLO983043:TLO983100 TVK983043:TVK983100 UFG983043:UFG983100 UPC983043:UPC983100 UYY983043:UYY983100 VIU983043:VIU983100 VSQ983043:VSQ983100 WCM983043:WCM983100 WMI983043:WMI983100 WWE983043:WWE983100">
      <formula1>"ACS,AGRI,BNC,"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Paramètres!$O$6:$O$16</xm:f>
          </x14:formula1>
          <xm:sqref>AK3:AK60</xm:sqref>
        </x14:dataValidation>
        <x14:dataValidation type="list" allowBlank="1" showInputMessage="1" showErrorMessage="1">
          <x14:formula1>
            <xm:f>Paramètres!$O$4:$O$16</xm:f>
          </x14:formula1>
          <xm:sqref>BF3:BF60</xm:sqref>
        </x14:dataValidation>
        <x14:dataValidation type="list" allowBlank="1" showInputMessage="1" showErrorMessage="1">
          <x14:formula1>
            <xm:f>Paramètres!$N$4:$N$13</xm:f>
          </x14:formula1>
          <xm:sqref>BE3:BE60</xm:sqref>
        </x14:dataValidation>
        <x14:dataValidation type="list" allowBlank="1" showInputMessage="1" showErrorMessage="1">
          <x14:formula1>
            <xm:f>Paramètres!$K$4:$K$9</xm:f>
          </x14:formula1>
          <xm:sqref>AJ3</xm:sqref>
        </x14:dataValidation>
        <x14:dataValidation type="list" allowBlank="1" showInputMessage="1" showErrorMessage="1">
          <x14:formula1>
            <xm:f>Paramètres!$L$4:$L$11</xm:f>
          </x14:formula1>
          <xm:sqref>A3:A60</xm:sqref>
        </x14:dataValidation>
        <x14:dataValidation type="list" allowBlank="1" showInputMessage="1" showErrorMessage="1">
          <x14:formula1>
            <xm:f>Paramètres!$K$4:$K$8</xm:f>
          </x14:formula1>
          <xm:sqref>AJ4:AJ60</xm:sqref>
        </x14:dataValidation>
        <x14:dataValidation type="list" allowBlank="1" showInputMessage="1" showErrorMessage="1">
          <x14:formula1>
            <xm:f>Paramètres!$J$4:$J$7</xm:f>
          </x14:formula1>
          <xm:sqref>AI3:AI60</xm:sqref>
        </x14:dataValidation>
        <x14:dataValidation type="list" allowBlank="1" showInputMessage="1" showErrorMessage="1">
          <x14:formula1>
            <xm:f>Paramètres!$F$4:$F$17</xm:f>
          </x14:formula1>
          <xm:sqref>F3:F52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DL183"/>
  <sheetViews>
    <sheetView zoomScale="85" zoomScaleNormal="85" workbookViewId="0">
      <pane xSplit="5" ySplit="2" topLeftCell="F3" activePane="bottomRight" state="frozen"/>
      <selection pane="topRight" activeCell="F1" sqref="F1"/>
      <selection pane="bottomLeft" activeCell="A3" sqref="A3"/>
      <selection pane="bottomRight" activeCell="A3" sqref="A3:A5"/>
    </sheetView>
  </sheetViews>
  <sheetFormatPr baseColWidth="10" defaultRowHeight="15" x14ac:dyDescent="0.25"/>
  <cols>
    <col min="1" max="1" width="24.42578125" style="89" bestFit="1" customWidth="1"/>
    <col min="2" max="2" width="15.42578125" style="89" customWidth="1"/>
    <col min="3" max="3" width="33.7109375" style="89" customWidth="1"/>
    <col min="4" max="4" width="19" style="89" customWidth="1"/>
    <col min="5" max="5" width="19.85546875" style="89" customWidth="1"/>
    <col min="6" max="6" width="18.5703125" style="89" customWidth="1"/>
    <col min="7" max="7" width="19.7109375" style="89" customWidth="1"/>
    <col min="8" max="8" width="14.85546875" style="89" customWidth="1"/>
    <col min="9" max="9" width="16.85546875" style="89" customWidth="1"/>
    <col min="10" max="12" width="11.42578125" style="89" customWidth="1"/>
    <col min="13" max="13" width="18.140625" style="89" customWidth="1"/>
    <col min="14" max="14" width="11.42578125" style="89" customWidth="1"/>
    <col min="15" max="15" width="12.5703125" style="89" customWidth="1"/>
    <col min="16" max="16" width="25" style="89" customWidth="1"/>
    <col min="17" max="17" width="16.5703125" style="89" customWidth="1"/>
    <col min="18" max="18" width="24" style="89" customWidth="1"/>
    <col min="19" max="19" width="16.5703125" style="89" customWidth="1"/>
    <col min="20" max="21" width="20" style="89" customWidth="1"/>
    <col min="22" max="22" width="20.85546875" style="89" customWidth="1"/>
    <col min="23" max="23" width="11.42578125" style="89" customWidth="1"/>
    <col min="24" max="24" width="23.7109375" style="89" customWidth="1"/>
    <col min="25" max="25" width="14" style="89" customWidth="1"/>
    <col min="26" max="26" width="13.28515625" style="89" customWidth="1"/>
    <col min="27" max="28" width="18.5703125" style="89" customWidth="1"/>
    <col min="29" max="29" width="18" style="89" customWidth="1"/>
    <col min="30" max="30" width="11.42578125" style="241" customWidth="1"/>
    <col min="31" max="32" width="18" style="89" customWidth="1"/>
    <col min="33" max="33" width="11.42578125" style="89" customWidth="1"/>
    <col min="34" max="35" width="18.7109375" style="241" customWidth="1"/>
    <col min="36" max="36" width="20" style="241" customWidth="1"/>
    <col min="37" max="37" width="18" style="89" customWidth="1"/>
    <col min="38" max="43" width="19" style="89" customWidth="1"/>
    <col min="44" max="44" width="11.42578125" style="241" customWidth="1"/>
    <col min="45" max="49" width="11.42578125" style="89" customWidth="1"/>
    <col min="50" max="50" width="15.140625" style="89" customWidth="1"/>
    <col min="51" max="51" width="14" style="89" customWidth="1"/>
    <col min="52" max="52" width="15.140625" style="89" customWidth="1"/>
    <col min="53" max="53" width="11.42578125" style="89" customWidth="1"/>
    <col min="54" max="54" width="22.28515625" style="89" customWidth="1"/>
    <col min="55" max="56" width="29.5703125" style="89" customWidth="1"/>
    <col min="57" max="57" width="30.85546875" style="89" customWidth="1"/>
    <col min="58" max="62" width="11.42578125" style="89" customWidth="1"/>
    <col min="63" max="76" width="30.7109375" style="89" customWidth="1"/>
    <col min="77" max="112" width="11.42578125" style="89" customWidth="1"/>
    <col min="113" max="116" width="11.42578125" style="89" hidden="1" customWidth="1"/>
    <col min="117" max="276" width="11.42578125" style="89"/>
    <col min="277" max="277" width="15.5703125" style="89" bestFit="1" customWidth="1"/>
    <col min="278" max="278" width="33.7109375" style="89" customWidth="1"/>
    <col min="279" max="279" width="19" style="89" customWidth="1"/>
    <col min="280" max="280" width="19.85546875" style="89" customWidth="1"/>
    <col min="281" max="281" width="18.5703125" style="89" customWidth="1"/>
    <col min="282" max="282" width="19.7109375" style="89" customWidth="1"/>
    <col min="283" max="283" width="14.85546875" style="89" customWidth="1"/>
    <col min="284" max="284" width="16.85546875" style="89" customWidth="1"/>
    <col min="285" max="287" width="11.42578125" style="89" customWidth="1"/>
    <col min="288" max="288" width="18.140625" style="89" customWidth="1"/>
    <col min="289" max="289" width="11.42578125" style="89" customWidth="1"/>
    <col min="290" max="290" width="12.5703125" style="89" customWidth="1"/>
    <col min="291" max="291" width="25" style="89" customWidth="1"/>
    <col min="292" max="292" width="16.5703125" style="89" bestFit="1" customWidth="1"/>
    <col min="293" max="293" width="24" style="89" customWidth="1"/>
    <col min="294" max="294" width="11.42578125" style="89" customWidth="1"/>
    <col min="295" max="295" width="20" style="89" customWidth="1"/>
    <col min="296" max="296" width="11.42578125" style="89" customWidth="1"/>
    <col min="297" max="297" width="19" style="89" customWidth="1"/>
    <col min="298" max="301" width="11.42578125" style="89" customWidth="1"/>
    <col min="302" max="302" width="15.140625" style="89" customWidth="1"/>
    <col min="303" max="303" width="14" style="89" customWidth="1"/>
    <col min="304" max="304" width="15.140625" style="89" customWidth="1"/>
    <col min="305" max="305" width="11.42578125" style="89" customWidth="1"/>
    <col min="306" max="306" width="51.7109375" style="89" customWidth="1"/>
    <col min="307" max="308" width="29.5703125" style="89" customWidth="1"/>
    <col min="309" max="309" width="44.42578125" style="89" customWidth="1"/>
    <col min="310" max="310" width="36.28515625" style="89" customWidth="1"/>
    <col min="311" max="311" width="27.42578125" style="89" bestFit="1" customWidth="1"/>
    <col min="312" max="532" width="11.42578125" style="89"/>
    <col min="533" max="533" width="15.5703125" style="89" bestFit="1" customWidth="1"/>
    <col min="534" max="534" width="33.7109375" style="89" customWidth="1"/>
    <col min="535" max="535" width="19" style="89" customWidth="1"/>
    <col min="536" max="536" width="19.85546875" style="89" customWidth="1"/>
    <col min="537" max="537" width="18.5703125" style="89" customWidth="1"/>
    <col min="538" max="538" width="19.7109375" style="89" customWidth="1"/>
    <col min="539" max="539" width="14.85546875" style="89" customWidth="1"/>
    <col min="540" max="540" width="16.85546875" style="89" customWidth="1"/>
    <col min="541" max="543" width="11.42578125" style="89" customWidth="1"/>
    <col min="544" max="544" width="18.140625" style="89" customWidth="1"/>
    <col min="545" max="545" width="11.42578125" style="89" customWidth="1"/>
    <col min="546" max="546" width="12.5703125" style="89" customWidth="1"/>
    <col min="547" max="547" width="25" style="89" customWidth="1"/>
    <col min="548" max="548" width="16.5703125" style="89" bestFit="1" customWidth="1"/>
    <col min="549" max="549" width="24" style="89" customWidth="1"/>
    <col min="550" max="550" width="11.42578125" style="89" customWidth="1"/>
    <col min="551" max="551" width="20" style="89" customWidth="1"/>
    <col min="552" max="552" width="11.42578125" style="89" customWidth="1"/>
    <col min="553" max="553" width="19" style="89" customWidth="1"/>
    <col min="554" max="557" width="11.42578125" style="89" customWidth="1"/>
    <col min="558" max="558" width="15.140625" style="89" customWidth="1"/>
    <col min="559" max="559" width="14" style="89" customWidth="1"/>
    <col min="560" max="560" width="15.140625" style="89" customWidth="1"/>
    <col min="561" max="561" width="11.42578125" style="89" customWidth="1"/>
    <col min="562" max="562" width="51.7109375" style="89" customWidth="1"/>
    <col min="563" max="564" width="29.5703125" style="89" customWidth="1"/>
    <col min="565" max="565" width="44.42578125" style="89" customWidth="1"/>
    <col min="566" max="566" width="36.28515625" style="89" customWidth="1"/>
    <col min="567" max="567" width="27.42578125" style="89" bestFit="1" customWidth="1"/>
    <col min="568" max="788" width="11.42578125" style="89"/>
    <col min="789" max="789" width="15.5703125" style="89" bestFit="1" customWidth="1"/>
    <col min="790" max="790" width="33.7109375" style="89" customWidth="1"/>
    <col min="791" max="791" width="19" style="89" customWidth="1"/>
    <col min="792" max="792" width="19.85546875" style="89" customWidth="1"/>
    <col min="793" max="793" width="18.5703125" style="89" customWidth="1"/>
    <col min="794" max="794" width="19.7109375" style="89" customWidth="1"/>
    <col min="795" max="795" width="14.85546875" style="89" customWidth="1"/>
    <col min="796" max="796" width="16.85546875" style="89" customWidth="1"/>
    <col min="797" max="799" width="11.42578125" style="89" customWidth="1"/>
    <col min="800" max="800" width="18.140625" style="89" customWidth="1"/>
    <col min="801" max="801" width="11.42578125" style="89" customWidth="1"/>
    <col min="802" max="802" width="12.5703125" style="89" customWidth="1"/>
    <col min="803" max="803" width="25" style="89" customWidth="1"/>
    <col min="804" max="804" width="16.5703125" style="89" bestFit="1" customWidth="1"/>
    <col min="805" max="805" width="24" style="89" customWidth="1"/>
    <col min="806" max="806" width="11.42578125" style="89" customWidth="1"/>
    <col min="807" max="807" width="20" style="89" customWidth="1"/>
    <col min="808" max="808" width="11.42578125" style="89" customWidth="1"/>
    <col min="809" max="809" width="19" style="89" customWidth="1"/>
    <col min="810" max="813" width="11.42578125" style="89" customWidth="1"/>
    <col min="814" max="814" width="15.140625" style="89" customWidth="1"/>
    <col min="815" max="815" width="14" style="89" customWidth="1"/>
    <col min="816" max="816" width="15.140625" style="89" customWidth="1"/>
    <col min="817" max="817" width="11.42578125" style="89" customWidth="1"/>
    <col min="818" max="818" width="51.7109375" style="89" customWidth="1"/>
    <col min="819" max="820" width="29.5703125" style="89" customWidth="1"/>
    <col min="821" max="821" width="44.42578125" style="89" customWidth="1"/>
    <col min="822" max="822" width="36.28515625" style="89" customWidth="1"/>
    <col min="823" max="823" width="27.42578125" style="89" bestFit="1" customWidth="1"/>
    <col min="824" max="1044" width="11.42578125" style="89"/>
    <col min="1045" max="1045" width="15.5703125" style="89" bestFit="1" customWidth="1"/>
    <col min="1046" max="1046" width="33.7109375" style="89" customWidth="1"/>
    <col min="1047" max="1047" width="19" style="89" customWidth="1"/>
    <col min="1048" max="1048" width="19.85546875" style="89" customWidth="1"/>
    <col min="1049" max="1049" width="18.5703125" style="89" customWidth="1"/>
    <col min="1050" max="1050" width="19.7109375" style="89" customWidth="1"/>
    <col min="1051" max="1051" width="14.85546875" style="89" customWidth="1"/>
    <col min="1052" max="1052" width="16.85546875" style="89" customWidth="1"/>
    <col min="1053" max="1055" width="11.42578125" style="89" customWidth="1"/>
    <col min="1056" max="1056" width="18.140625" style="89" customWidth="1"/>
    <col min="1057" max="1057" width="11.42578125" style="89" customWidth="1"/>
    <col min="1058" max="1058" width="12.5703125" style="89" customWidth="1"/>
    <col min="1059" max="1059" width="25" style="89" customWidth="1"/>
    <col min="1060" max="1060" width="16.5703125" style="89" bestFit="1" customWidth="1"/>
    <col min="1061" max="1061" width="24" style="89" customWidth="1"/>
    <col min="1062" max="1062" width="11.42578125" style="89" customWidth="1"/>
    <col min="1063" max="1063" width="20" style="89" customWidth="1"/>
    <col min="1064" max="1064" width="11.42578125" style="89" customWidth="1"/>
    <col min="1065" max="1065" width="19" style="89" customWidth="1"/>
    <col min="1066" max="1069" width="11.42578125" style="89" customWidth="1"/>
    <col min="1070" max="1070" width="15.140625" style="89" customWidth="1"/>
    <col min="1071" max="1071" width="14" style="89" customWidth="1"/>
    <col min="1072" max="1072" width="15.140625" style="89" customWidth="1"/>
    <col min="1073" max="1073" width="11.42578125" style="89" customWidth="1"/>
    <col min="1074" max="1074" width="51.7109375" style="89" customWidth="1"/>
    <col min="1075" max="1076" width="29.5703125" style="89" customWidth="1"/>
    <col min="1077" max="1077" width="44.42578125" style="89" customWidth="1"/>
    <col min="1078" max="1078" width="36.28515625" style="89" customWidth="1"/>
    <col min="1079" max="1079" width="27.42578125" style="89" bestFit="1" customWidth="1"/>
    <col min="1080" max="1300" width="11.42578125" style="89"/>
    <col min="1301" max="1301" width="15.5703125" style="89" bestFit="1" customWidth="1"/>
    <col min="1302" max="1302" width="33.7109375" style="89" customWidth="1"/>
    <col min="1303" max="1303" width="19" style="89" customWidth="1"/>
    <col min="1304" max="1304" width="19.85546875" style="89" customWidth="1"/>
    <col min="1305" max="1305" width="18.5703125" style="89" customWidth="1"/>
    <col min="1306" max="1306" width="19.7109375" style="89" customWidth="1"/>
    <col min="1307" max="1307" width="14.85546875" style="89" customWidth="1"/>
    <col min="1308" max="1308" width="16.85546875" style="89" customWidth="1"/>
    <col min="1309" max="1311" width="11.42578125" style="89" customWidth="1"/>
    <col min="1312" max="1312" width="18.140625" style="89" customWidth="1"/>
    <col min="1313" max="1313" width="11.42578125" style="89" customWidth="1"/>
    <col min="1314" max="1314" width="12.5703125" style="89" customWidth="1"/>
    <col min="1315" max="1315" width="25" style="89" customWidth="1"/>
    <col min="1316" max="1316" width="16.5703125" style="89" bestFit="1" customWidth="1"/>
    <col min="1317" max="1317" width="24" style="89" customWidth="1"/>
    <col min="1318" max="1318" width="11.42578125" style="89" customWidth="1"/>
    <col min="1319" max="1319" width="20" style="89" customWidth="1"/>
    <col min="1320" max="1320" width="11.42578125" style="89" customWidth="1"/>
    <col min="1321" max="1321" width="19" style="89" customWidth="1"/>
    <col min="1322" max="1325" width="11.42578125" style="89" customWidth="1"/>
    <col min="1326" max="1326" width="15.140625" style="89" customWidth="1"/>
    <col min="1327" max="1327" width="14" style="89" customWidth="1"/>
    <col min="1328" max="1328" width="15.140625" style="89" customWidth="1"/>
    <col min="1329" max="1329" width="11.42578125" style="89" customWidth="1"/>
    <col min="1330" max="1330" width="51.7109375" style="89" customWidth="1"/>
    <col min="1331" max="1332" width="29.5703125" style="89" customWidth="1"/>
    <col min="1333" max="1333" width="44.42578125" style="89" customWidth="1"/>
    <col min="1334" max="1334" width="36.28515625" style="89" customWidth="1"/>
    <col min="1335" max="1335" width="27.42578125" style="89" bestFit="1" customWidth="1"/>
    <col min="1336" max="1556" width="11.42578125" style="89"/>
    <col min="1557" max="1557" width="15.5703125" style="89" bestFit="1" customWidth="1"/>
    <col min="1558" max="1558" width="33.7109375" style="89" customWidth="1"/>
    <col min="1559" max="1559" width="19" style="89" customWidth="1"/>
    <col min="1560" max="1560" width="19.85546875" style="89" customWidth="1"/>
    <col min="1561" max="1561" width="18.5703125" style="89" customWidth="1"/>
    <col min="1562" max="1562" width="19.7109375" style="89" customWidth="1"/>
    <col min="1563" max="1563" width="14.85546875" style="89" customWidth="1"/>
    <col min="1564" max="1564" width="16.85546875" style="89" customWidth="1"/>
    <col min="1565" max="1567" width="11.42578125" style="89" customWidth="1"/>
    <col min="1568" max="1568" width="18.140625" style="89" customWidth="1"/>
    <col min="1569" max="1569" width="11.42578125" style="89" customWidth="1"/>
    <col min="1570" max="1570" width="12.5703125" style="89" customWidth="1"/>
    <col min="1571" max="1571" width="25" style="89" customWidth="1"/>
    <col min="1572" max="1572" width="16.5703125" style="89" bestFit="1" customWidth="1"/>
    <col min="1573" max="1573" width="24" style="89" customWidth="1"/>
    <col min="1574" max="1574" width="11.42578125" style="89" customWidth="1"/>
    <col min="1575" max="1575" width="20" style="89" customWidth="1"/>
    <col min="1576" max="1576" width="11.42578125" style="89" customWidth="1"/>
    <col min="1577" max="1577" width="19" style="89" customWidth="1"/>
    <col min="1578" max="1581" width="11.42578125" style="89" customWidth="1"/>
    <col min="1582" max="1582" width="15.140625" style="89" customWidth="1"/>
    <col min="1583" max="1583" width="14" style="89" customWidth="1"/>
    <col min="1584" max="1584" width="15.140625" style="89" customWidth="1"/>
    <col min="1585" max="1585" width="11.42578125" style="89" customWidth="1"/>
    <col min="1586" max="1586" width="51.7109375" style="89" customWidth="1"/>
    <col min="1587" max="1588" width="29.5703125" style="89" customWidth="1"/>
    <col min="1589" max="1589" width="44.42578125" style="89" customWidth="1"/>
    <col min="1590" max="1590" width="36.28515625" style="89" customWidth="1"/>
    <col min="1591" max="1591" width="27.42578125" style="89" bestFit="1" customWidth="1"/>
    <col min="1592" max="1812" width="11.42578125" style="89"/>
    <col min="1813" max="1813" width="15.5703125" style="89" bestFit="1" customWidth="1"/>
    <col min="1814" max="1814" width="33.7109375" style="89" customWidth="1"/>
    <col min="1815" max="1815" width="19" style="89" customWidth="1"/>
    <col min="1816" max="1816" width="19.85546875" style="89" customWidth="1"/>
    <col min="1817" max="1817" width="18.5703125" style="89" customWidth="1"/>
    <col min="1818" max="1818" width="19.7109375" style="89" customWidth="1"/>
    <col min="1819" max="1819" width="14.85546875" style="89" customWidth="1"/>
    <col min="1820" max="1820" width="16.85546875" style="89" customWidth="1"/>
    <col min="1821" max="1823" width="11.42578125" style="89" customWidth="1"/>
    <col min="1824" max="1824" width="18.140625" style="89" customWidth="1"/>
    <col min="1825" max="1825" width="11.42578125" style="89" customWidth="1"/>
    <col min="1826" max="1826" width="12.5703125" style="89" customWidth="1"/>
    <col min="1827" max="1827" width="25" style="89" customWidth="1"/>
    <col min="1828" max="1828" width="16.5703125" style="89" bestFit="1" customWidth="1"/>
    <col min="1829" max="1829" width="24" style="89" customWidth="1"/>
    <col min="1830" max="1830" width="11.42578125" style="89" customWidth="1"/>
    <col min="1831" max="1831" width="20" style="89" customWidth="1"/>
    <col min="1832" max="1832" width="11.42578125" style="89" customWidth="1"/>
    <col min="1833" max="1833" width="19" style="89" customWidth="1"/>
    <col min="1834" max="1837" width="11.42578125" style="89" customWidth="1"/>
    <col min="1838" max="1838" width="15.140625" style="89" customWidth="1"/>
    <col min="1839" max="1839" width="14" style="89" customWidth="1"/>
    <col min="1840" max="1840" width="15.140625" style="89" customWidth="1"/>
    <col min="1841" max="1841" width="11.42578125" style="89" customWidth="1"/>
    <col min="1842" max="1842" width="51.7109375" style="89" customWidth="1"/>
    <col min="1843" max="1844" width="29.5703125" style="89" customWidth="1"/>
    <col min="1845" max="1845" width="44.42578125" style="89" customWidth="1"/>
    <col min="1846" max="1846" width="36.28515625" style="89" customWidth="1"/>
    <col min="1847" max="1847" width="27.42578125" style="89" bestFit="1" customWidth="1"/>
    <col min="1848" max="2068" width="11.42578125" style="89"/>
    <col min="2069" max="2069" width="15.5703125" style="89" bestFit="1" customWidth="1"/>
    <col min="2070" max="2070" width="33.7109375" style="89" customWidth="1"/>
    <col min="2071" max="2071" width="19" style="89" customWidth="1"/>
    <col min="2072" max="2072" width="19.85546875" style="89" customWidth="1"/>
    <col min="2073" max="2073" width="18.5703125" style="89" customWidth="1"/>
    <col min="2074" max="2074" width="19.7109375" style="89" customWidth="1"/>
    <col min="2075" max="2075" width="14.85546875" style="89" customWidth="1"/>
    <col min="2076" max="2076" width="16.85546875" style="89" customWidth="1"/>
    <col min="2077" max="2079" width="11.42578125" style="89" customWidth="1"/>
    <col min="2080" max="2080" width="18.140625" style="89" customWidth="1"/>
    <col min="2081" max="2081" width="11.42578125" style="89" customWidth="1"/>
    <col min="2082" max="2082" width="12.5703125" style="89" customWidth="1"/>
    <col min="2083" max="2083" width="25" style="89" customWidth="1"/>
    <col min="2084" max="2084" width="16.5703125" style="89" bestFit="1" customWidth="1"/>
    <col min="2085" max="2085" width="24" style="89" customWidth="1"/>
    <col min="2086" max="2086" width="11.42578125" style="89" customWidth="1"/>
    <col min="2087" max="2087" width="20" style="89" customWidth="1"/>
    <col min="2088" max="2088" width="11.42578125" style="89" customWidth="1"/>
    <col min="2089" max="2089" width="19" style="89" customWidth="1"/>
    <col min="2090" max="2093" width="11.42578125" style="89" customWidth="1"/>
    <col min="2094" max="2094" width="15.140625" style="89" customWidth="1"/>
    <col min="2095" max="2095" width="14" style="89" customWidth="1"/>
    <col min="2096" max="2096" width="15.140625" style="89" customWidth="1"/>
    <col min="2097" max="2097" width="11.42578125" style="89" customWidth="1"/>
    <col min="2098" max="2098" width="51.7109375" style="89" customWidth="1"/>
    <col min="2099" max="2100" width="29.5703125" style="89" customWidth="1"/>
    <col min="2101" max="2101" width="44.42578125" style="89" customWidth="1"/>
    <col min="2102" max="2102" width="36.28515625" style="89" customWidth="1"/>
    <col min="2103" max="2103" width="27.42578125" style="89" bestFit="1" customWidth="1"/>
    <col min="2104" max="2324" width="11.42578125" style="89"/>
    <col min="2325" max="2325" width="15.5703125" style="89" bestFit="1" customWidth="1"/>
    <col min="2326" max="2326" width="33.7109375" style="89" customWidth="1"/>
    <col min="2327" max="2327" width="19" style="89" customWidth="1"/>
    <col min="2328" max="2328" width="19.85546875" style="89" customWidth="1"/>
    <col min="2329" max="2329" width="18.5703125" style="89" customWidth="1"/>
    <col min="2330" max="2330" width="19.7109375" style="89" customWidth="1"/>
    <col min="2331" max="2331" width="14.85546875" style="89" customWidth="1"/>
    <col min="2332" max="2332" width="16.85546875" style="89" customWidth="1"/>
    <col min="2333" max="2335" width="11.42578125" style="89" customWidth="1"/>
    <col min="2336" max="2336" width="18.140625" style="89" customWidth="1"/>
    <col min="2337" max="2337" width="11.42578125" style="89" customWidth="1"/>
    <col min="2338" max="2338" width="12.5703125" style="89" customWidth="1"/>
    <col min="2339" max="2339" width="25" style="89" customWidth="1"/>
    <col min="2340" max="2340" width="16.5703125" style="89" bestFit="1" customWidth="1"/>
    <col min="2341" max="2341" width="24" style="89" customWidth="1"/>
    <col min="2342" max="2342" width="11.42578125" style="89" customWidth="1"/>
    <col min="2343" max="2343" width="20" style="89" customWidth="1"/>
    <col min="2344" max="2344" width="11.42578125" style="89" customWidth="1"/>
    <col min="2345" max="2345" width="19" style="89" customWidth="1"/>
    <col min="2346" max="2349" width="11.42578125" style="89" customWidth="1"/>
    <col min="2350" max="2350" width="15.140625" style="89" customWidth="1"/>
    <col min="2351" max="2351" width="14" style="89" customWidth="1"/>
    <col min="2352" max="2352" width="15.140625" style="89" customWidth="1"/>
    <col min="2353" max="2353" width="11.42578125" style="89" customWidth="1"/>
    <col min="2354" max="2354" width="51.7109375" style="89" customWidth="1"/>
    <col min="2355" max="2356" width="29.5703125" style="89" customWidth="1"/>
    <col min="2357" max="2357" width="44.42578125" style="89" customWidth="1"/>
    <col min="2358" max="2358" width="36.28515625" style="89" customWidth="1"/>
    <col min="2359" max="2359" width="27.42578125" style="89" bestFit="1" customWidth="1"/>
    <col min="2360" max="2580" width="11.42578125" style="89"/>
    <col min="2581" max="2581" width="15.5703125" style="89" bestFit="1" customWidth="1"/>
    <col min="2582" max="2582" width="33.7109375" style="89" customWidth="1"/>
    <col min="2583" max="2583" width="19" style="89" customWidth="1"/>
    <col min="2584" max="2584" width="19.85546875" style="89" customWidth="1"/>
    <col min="2585" max="2585" width="18.5703125" style="89" customWidth="1"/>
    <col min="2586" max="2586" width="19.7109375" style="89" customWidth="1"/>
    <col min="2587" max="2587" width="14.85546875" style="89" customWidth="1"/>
    <col min="2588" max="2588" width="16.85546875" style="89" customWidth="1"/>
    <col min="2589" max="2591" width="11.42578125" style="89" customWidth="1"/>
    <col min="2592" max="2592" width="18.140625" style="89" customWidth="1"/>
    <col min="2593" max="2593" width="11.42578125" style="89" customWidth="1"/>
    <col min="2594" max="2594" width="12.5703125" style="89" customWidth="1"/>
    <col min="2595" max="2595" width="25" style="89" customWidth="1"/>
    <col min="2596" max="2596" width="16.5703125" style="89" bestFit="1" customWidth="1"/>
    <col min="2597" max="2597" width="24" style="89" customWidth="1"/>
    <col min="2598" max="2598" width="11.42578125" style="89" customWidth="1"/>
    <col min="2599" max="2599" width="20" style="89" customWidth="1"/>
    <col min="2600" max="2600" width="11.42578125" style="89" customWidth="1"/>
    <col min="2601" max="2601" width="19" style="89" customWidth="1"/>
    <col min="2602" max="2605" width="11.42578125" style="89" customWidth="1"/>
    <col min="2606" max="2606" width="15.140625" style="89" customWidth="1"/>
    <col min="2607" max="2607" width="14" style="89" customWidth="1"/>
    <col min="2608" max="2608" width="15.140625" style="89" customWidth="1"/>
    <col min="2609" max="2609" width="11.42578125" style="89" customWidth="1"/>
    <col min="2610" max="2610" width="51.7109375" style="89" customWidth="1"/>
    <col min="2611" max="2612" width="29.5703125" style="89" customWidth="1"/>
    <col min="2613" max="2613" width="44.42578125" style="89" customWidth="1"/>
    <col min="2614" max="2614" width="36.28515625" style="89" customWidth="1"/>
    <col min="2615" max="2615" width="27.42578125" style="89" bestFit="1" customWidth="1"/>
    <col min="2616" max="2836" width="11.42578125" style="89"/>
    <col min="2837" max="2837" width="15.5703125" style="89" bestFit="1" customWidth="1"/>
    <col min="2838" max="2838" width="33.7109375" style="89" customWidth="1"/>
    <col min="2839" max="2839" width="19" style="89" customWidth="1"/>
    <col min="2840" max="2840" width="19.85546875" style="89" customWidth="1"/>
    <col min="2841" max="2841" width="18.5703125" style="89" customWidth="1"/>
    <col min="2842" max="2842" width="19.7109375" style="89" customWidth="1"/>
    <col min="2843" max="2843" width="14.85546875" style="89" customWidth="1"/>
    <col min="2844" max="2844" width="16.85546875" style="89" customWidth="1"/>
    <col min="2845" max="2847" width="11.42578125" style="89" customWidth="1"/>
    <col min="2848" max="2848" width="18.140625" style="89" customWidth="1"/>
    <col min="2849" max="2849" width="11.42578125" style="89" customWidth="1"/>
    <col min="2850" max="2850" width="12.5703125" style="89" customWidth="1"/>
    <col min="2851" max="2851" width="25" style="89" customWidth="1"/>
    <col min="2852" max="2852" width="16.5703125" style="89" bestFit="1" customWidth="1"/>
    <col min="2853" max="2853" width="24" style="89" customWidth="1"/>
    <col min="2854" max="2854" width="11.42578125" style="89" customWidth="1"/>
    <col min="2855" max="2855" width="20" style="89" customWidth="1"/>
    <col min="2856" max="2856" width="11.42578125" style="89" customWidth="1"/>
    <col min="2857" max="2857" width="19" style="89" customWidth="1"/>
    <col min="2858" max="2861" width="11.42578125" style="89" customWidth="1"/>
    <col min="2862" max="2862" width="15.140625" style="89" customWidth="1"/>
    <col min="2863" max="2863" width="14" style="89" customWidth="1"/>
    <col min="2864" max="2864" width="15.140625" style="89" customWidth="1"/>
    <col min="2865" max="2865" width="11.42578125" style="89" customWidth="1"/>
    <col min="2866" max="2866" width="51.7109375" style="89" customWidth="1"/>
    <col min="2867" max="2868" width="29.5703125" style="89" customWidth="1"/>
    <col min="2869" max="2869" width="44.42578125" style="89" customWidth="1"/>
    <col min="2870" max="2870" width="36.28515625" style="89" customWidth="1"/>
    <col min="2871" max="2871" width="27.42578125" style="89" bestFit="1" customWidth="1"/>
    <col min="2872" max="3092" width="11.42578125" style="89"/>
    <col min="3093" max="3093" width="15.5703125" style="89" bestFit="1" customWidth="1"/>
    <col min="3094" max="3094" width="33.7109375" style="89" customWidth="1"/>
    <col min="3095" max="3095" width="19" style="89" customWidth="1"/>
    <col min="3096" max="3096" width="19.85546875" style="89" customWidth="1"/>
    <col min="3097" max="3097" width="18.5703125" style="89" customWidth="1"/>
    <col min="3098" max="3098" width="19.7109375" style="89" customWidth="1"/>
    <col min="3099" max="3099" width="14.85546875" style="89" customWidth="1"/>
    <col min="3100" max="3100" width="16.85546875" style="89" customWidth="1"/>
    <col min="3101" max="3103" width="11.42578125" style="89" customWidth="1"/>
    <col min="3104" max="3104" width="18.140625" style="89" customWidth="1"/>
    <col min="3105" max="3105" width="11.42578125" style="89" customWidth="1"/>
    <col min="3106" max="3106" width="12.5703125" style="89" customWidth="1"/>
    <col min="3107" max="3107" width="25" style="89" customWidth="1"/>
    <col min="3108" max="3108" width="16.5703125" style="89" bestFit="1" customWidth="1"/>
    <col min="3109" max="3109" width="24" style="89" customWidth="1"/>
    <col min="3110" max="3110" width="11.42578125" style="89" customWidth="1"/>
    <col min="3111" max="3111" width="20" style="89" customWidth="1"/>
    <col min="3112" max="3112" width="11.42578125" style="89" customWidth="1"/>
    <col min="3113" max="3113" width="19" style="89" customWidth="1"/>
    <col min="3114" max="3117" width="11.42578125" style="89" customWidth="1"/>
    <col min="3118" max="3118" width="15.140625" style="89" customWidth="1"/>
    <col min="3119" max="3119" width="14" style="89" customWidth="1"/>
    <col min="3120" max="3120" width="15.140625" style="89" customWidth="1"/>
    <col min="3121" max="3121" width="11.42578125" style="89" customWidth="1"/>
    <col min="3122" max="3122" width="51.7109375" style="89" customWidth="1"/>
    <col min="3123" max="3124" width="29.5703125" style="89" customWidth="1"/>
    <col min="3125" max="3125" width="44.42578125" style="89" customWidth="1"/>
    <col min="3126" max="3126" width="36.28515625" style="89" customWidth="1"/>
    <col min="3127" max="3127" width="27.42578125" style="89" bestFit="1" customWidth="1"/>
    <col min="3128" max="3348" width="11.42578125" style="89"/>
    <col min="3349" max="3349" width="15.5703125" style="89" bestFit="1" customWidth="1"/>
    <col min="3350" max="3350" width="33.7109375" style="89" customWidth="1"/>
    <col min="3351" max="3351" width="19" style="89" customWidth="1"/>
    <col min="3352" max="3352" width="19.85546875" style="89" customWidth="1"/>
    <col min="3353" max="3353" width="18.5703125" style="89" customWidth="1"/>
    <col min="3354" max="3354" width="19.7109375" style="89" customWidth="1"/>
    <col min="3355" max="3355" width="14.85546875" style="89" customWidth="1"/>
    <col min="3356" max="3356" width="16.85546875" style="89" customWidth="1"/>
    <col min="3357" max="3359" width="11.42578125" style="89" customWidth="1"/>
    <col min="3360" max="3360" width="18.140625" style="89" customWidth="1"/>
    <col min="3361" max="3361" width="11.42578125" style="89" customWidth="1"/>
    <col min="3362" max="3362" width="12.5703125" style="89" customWidth="1"/>
    <col min="3363" max="3363" width="25" style="89" customWidth="1"/>
    <col min="3364" max="3364" width="16.5703125" style="89" bestFit="1" customWidth="1"/>
    <col min="3365" max="3365" width="24" style="89" customWidth="1"/>
    <col min="3366" max="3366" width="11.42578125" style="89" customWidth="1"/>
    <col min="3367" max="3367" width="20" style="89" customWidth="1"/>
    <col min="3368" max="3368" width="11.42578125" style="89" customWidth="1"/>
    <col min="3369" max="3369" width="19" style="89" customWidth="1"/>
    <col min="3370" max="3373" width="11.42578125" style="89" customWidth="1"/>
    <col min="3374" max="3374" width="15.140625" style="89" customWidth="1"/>
    <col min="3375" max="3375" width="14" style="89" customWidth="1"/>
    <col min="3376" max="3376" width="15.140625" style="89" customWidth="1"/>
    <col min="3377" max="3377" width="11.42578125" style="89" customWidth="1"/>
    <col min="3378" max="3378" width="51.7109375" style="89" customWidth="1"/>
    <col min="3379" max="3380" width="29.5703125" style="89" customWidth="1"/>
    <col min="3381" max="3381" width="44.42578125" style="89" customWidth="1"/>
    <col min="3382" max="3382" width="36.28515625" style="89" customWidth="1"/>
    <col min="3383" max="3383" width="27.42578125" style="89" bestFit="1" customWidth="1"/>
    <col min="3384" max="3604" width="11.42578125" style="89"/>
    <col min="3605" max="3605" width="15.5703125" style="89" bestFit="1" customWidth="1"/>
    <col min="3606" max="3606" width="33.7109375" style="89" customWidth="1"/>
    <col min="3607" max="3607" width="19" style="89" customWidth="1"/>
    <col min="3608" max="3608" width="19.85546875" style="89" customWidth="1"/>
    <col min="3609" max="3609" width="18.5703125" style="89" customWidth="1"/>
    <col min="3610" max="3610" width="19.7109375" style="89" customWidth="1"/>
    <col min="3611" max="3611" width="14.85546875" style="89" customWidth="1"/>
    <col min="3612" max="3612" width="16.85546875" style="89" customWidth="1"/>
    <col min="3613" max="3615" width="11.42578125" style="89" customWidth="1"/>
    <col min="3616" max="3616" width="18.140625" style="89" customWidth="1"/>
    <col min="3617" max="3617" width="11.42578125" style="89" customWidth="1"/>
    <col min="3618" max="3618" width="12.5703125" style="89" customWidth="1"/>
    <col min="3619" max="3619" width="25" style="89" customWidth="1"/>
    <col min="3620" max="3620" width="16.5703125" style="89" bestFit="1" customWidth="1"/>
    <col min="3621" max="3621" width="24" style="89" customWidth="1"/>
    <col min="3622" max="3622" width="11.42578125" style="89" customWidth="1"/>
    <col min="3623" max="3623" width="20" style="89" customWidth="1"/>
    <col min="3624" max="3624" width="11.42578125" style="89" customWidth="1"/>
    <col min="3625" max="3625" width="19" style="89" customWidth="1"/>
    <col min="3626" max="3629" width="11.42578125" style="89" customWidth="1"/>
    <col min="3630" max="3630" width="15.140625" style="89" customWidth="1"/>
    <col min="3631" max="3631" width="14" style="89" customWidth="1"/>
    <col min="3632" max="3632" width="15.140625" style="89" customWidth="1"/>
    <col min="3633" max="3633" width="11.42578125" style="89" customWidth="1"/>
    <col min="3634" max="3634" width="51.7109375" style="89" customWidth="1"/>
    <col min="3635" max="3636" width="29.5703125" style="89" customWidth="1"/>
    <col min="3637" max="3637" width="44.42578125" style="89" customWidth="1"/>
    <col min="3638" max="3638" width="36.28515625" style="89" customWidth="1"/>
    <col min="3639" max="3639" width="27.42578125" style="89" bestFit="1" customWidth="1"/>
    <col min="3640" max="3860" width="11.42578125" style="89"/>
    <col min="3861" max="3861" width="15.5703125" style="89" bestFit="1" customWidth="1"/>
    <col min="3862" max="3862" width="33.7109375" style="89" customWidth="1"/>
    <col min="3863" max="3863" width="19" style="89" customWidth="1"/>
    <col min="3864" max="3864" width="19.85546875" style="89" customWidth="1"/>
    <col min="3865" max="3865" width="18.5703125" style="89" customWidth="1"/>
    <col min="3866" max="3866" width="19.7109375" style="89" customWidth="1"/>
    <col min="3867" max="3867" width="14.85546875" style="89" customWidth="1"/>
    <col min="3868" max="3868" width="16.85546875" style="89" customWidth="1"/>
    <col min="3869" max="3871" width="11.42578125" style="89" customWidth="1"/>
    <col min="3872" max="3872" width="18.140625" style="89" customWidth="1"/>
    <col min="3873" max="3873" width="11.42578125" style="89" customWidth="1"/>
    <col min="3874" max="3874" width="12.5703125" style="89" customWidth="1"/>
    <col min="3875" max="3875" width="25" style="89" customWidth="1"/>
    <col min="3876" max="3876" width="16.5703125" style="89" bestFit="1" customWidth="1"/>
    <col min="3877" max="3877" width="24" style="89" customWidth="1"/>
    <col min="3878" max="3878" width="11.42578125" style="89" customWidth="1"/>
    <col min="3879" max="3879" width="20" style="89" customWidth="1"/>
    <col min="3880" max="3880" width="11.42578125" style="89" customWidth="1"/>
    <col min="3881" max="3881" width="19" style="89" customWidth="1"/>
    <col min="3882" max="3885" width="11.42578125" style="89" customWidth="1"/>
    <col min="3886" max="3886" width="15.140625" style="89" customWidth="1"/>
    <col min="3887" max="3887" width="14" style="89" customWidth="1"/>
    <col min="3888" max="3888" width="15.140625" style="89" customWidth="1"/>
    <col min="3889" max="3889" width="11.42578125" style="89" customWidth="1"/>
    <col min="3890" max="3890" width="51.7109375" style="89" customWidth="1"/>
    <col min="3891" max="3892" width="29.5703125" style="89" customWidth="1"/>
    <col min="3893" max="3893" width="44.42578125" style="89" customWidth="1"/>
    <col min="3894" max="3894" width="36.28515625" style="89" customWidth="1"/>
    <col min="3895" max="3895" width="27.42578125" style="89" bestFit="1" customWidth="1"/>
    <col min="3896" max="4116" width="11.42578125" style="89"/>
    <col min="4117" max="4117" width="15.5703125" style="89" bestFit="1" customWidth="1"/>
    <col min="4118" max="4118" width="33.7109375" style="89" customWidth="1"/>
    <col min="4119" max="4119" width="19" style="89" customWidth="1"/>
    <col min="4120" max="4120" width="19.85546875" style="89" customWidth="1"/>
    <col min="4121" max="4121" width="18.5703125" style="89" customWidth="1"/>
    <col min="4122" max="4122" width="19.7109375" style="89" customWidth="1"/>
    <col min="4123" max="4123" width="14.85546875" style="89" customWidth="1"/>
    <col min="4124" max="4124" width="16.85546875" style="89" customWidth="1"/>
    <col min="4125" max="4127" width="11.42578125" style="89" customWidth="1"/>
    <col min="4128" max="4128" width="18.140625" style="89" customWidth="1"/>
    <col min="4129" max="4129" width="11.42578125" style="89" customWidth="1"/>
    <col min="4130" max="4130" width="12.5703125" style="89" customWidth="1"/>
    <col min="4131" max="4131" width="25" style="89" customWidth="1"/>
    <col min="4132" max="4132" width="16.5703125" style="89" bestFit="1" customWidth="1"/>
    <col min="4133" max="4133" width="24" style="89" customWidth="1"/>
    <col min="4134" max="4134" width="11.42578125" style="89" customWidth="1"/>
    <col min="4135" max="4135" width="20" style="89" customWidth="1"/>
    <col min="4136" max="4136" width="11.42578125" style="89" customWidth="1"/>
    <col min="4137" max="4137" width="19" style="89" customWidth="1"/>
    <col min="4138" max="4141" width="11.42578125" style="89" customWidth="1"/>
    <col min="4142" max="4142" width="15.140625" style="89" customWidth="1"/>
    <col min="4143" max="4143" width="14" style="89" customWidth="1"/>
    <col min="4144" max="4144" width="15.140625" style="89" customWidth="1"/>
    <col min="4145" max="4145" width="11.42578125" style="89" customWidth="1"/>
    <col min="4146" max="4146" width="51.7109375" style="89" customWidth="1"/>
    <col min="4147" max="4148" width="29.5703125" style="89" customWidth="1"/>
    <col min="4149" max="4149" width="44.42578125" style="89" customWidth="1"/>
    <col min="4150" max="4150" width="36.28515625" style="89" customWidth="1"/>
    <col min="4151" max="4151" width="27.42578125" style="89" bestFit="1" customWidth="1"/>
    <col min="4152" max="4372" width="11.42578125" style="89"/>
    <col min="4373" max="4373" width="15.5703125" style="89" bestFit="1" customWidth="1"/>
    <col min="4374" max="4374" width="33.7109375" style="89" customWidth="1"/>
    <col min="4375" max="4375" width="19" style="89" customWidth="1"/>
    <col min="4376" max="4376" width="19.85546875" style="89" customWidth="1"/>
    <col min="4377" max="4377" width="18.5703125" style="89" customWidth="1"/>
    <col min="4378" max="4378" width="19.7109375" style="89" customWidth="1"/>
    <col min="4379" max="4379" width="14.85546875" style="89" customWidth="1"/>
    <col min="4380" max="4380" width="16.85546875" style="89" customWidth="1"/>
    <col min="4381" max="4383" width="11.42578125" style="89" customWidth="1"/>
    <col min="4384" max="4384" width="18.140625" style="89" customWidth="1"/>
    <col min="4385" max="4385" width="11.42578125" style="89" customWidth="1"/>
    <col min="4386" max="4386" width="12.5703125" style="89" customWidth="1"/>
    <col min="4387" max="4387" width="25" style="89" customWidth="1"/>
    <col min="4388" max="4388" width="16.5703125" style="89" bestFit="1" customWidth="1"/>
    <col min="4389" max="4389" width="24" style="89" customWidth="1"/>
    <col min="4390" max="4390" width="11.42578125" style="89" customWidth="1"/>
    <col min="4391" max="4391" width="20" style="89" customWidth="1"/>
    <col min="4392" max="4392" width="11.42578125" style="89" customWidth="1"/>
    <col min="4393" max="4393" width="19" style="89" customWidth="1"/>
    <col min="4394" max="4397" width="11.42578125" style="89" customWidth="1"/>
    <col min="4398" max="4398" width="15.140625" style="89" customWidth="1"/>
    <col min="4399" max="4399" width="14" style="89" customWidth="1"/>
    <col min="4400" max="4400" width="15.140625" style="89" customWidth="1"/>
    <col min="4401" max="4401" width="11.42578125" style="89" customWidth="1"/>
    <col min="4402" max="4402" width="51.7109375" style="89" customWidth="1"/>
    <col min="4403" max="4404" width="29.5703125" style="89" customWidth="1"/>
    <col min="4405" max="4405" width="44.42578125" style="89" customWidth="1"/>
    <col min="4406" max="4406" width="36.28515625" style="89" customWidth="1"/>
    <col min="4407" max="4407" width="27.42578125" style="89" bestFit="1" customWidth="1"/>
    <col min="4408" max="4628" width="11.42578125" style="89"/>
    <col min="4629" max="4629" width="15.5703125" style="89" bestFit="1" customWidth="1"/>
    <col min="4630" max="4630" width="33.7109375" style="89" customWidth="1"/>
    <col min="4631" max="4631" width="19" style="89" customWidth="1"/>
    <col min="4632" max="4632" width="19.85546875" style="89" customWidth="1"/>
    <col min="4633" max="4633" width="18.5703125" style="89" customWidth="1"/>
    <col min="4634" max="4634" width="19.7109375" style="89" customWidth="1"/>
    <col min="4635" max="4635" width="14.85546875" style="89" customWidth="1"/>
    <col min="4636" max="4636" width="16.85546875" style="89" customWidth="1"/>
    <col min="4637" max="4639" width="11.42578125" style="89" customWidth="1"/>
    <col min="4640" max="4640" width="18.140625" style="89" customWidth="1"/>
    <col min="4641" max="4641" width="11.42578125" style="89" customWidth="1"/>
    <col min="4642" max="4642" width="12.5703125" style="89" customWidth="1"/>
    <col min="4643" max="4643" width="25" style="89" customWidth="1"/>
    <col min="4644" max="4644" width="16.5703125" style="89" bestFit="1" customWidth="1"/>
    <col min="4645" max="4645" width="24" style="89" customWidth="1"/>
    <col min="4646" max="4646" width="11.42578125" style="89" customWidth="1"/>
    <col min="4647" max="4647" width="20" style="89" customWidth="1"/>
    <col min="4648" max="4648" width="11.42578125" style="89" customWidth="1"/>
    <col min="4649" max="4649" width="19" style="89" customWidth="1"/>
    <col min="4650" max="4653" width="11.42578125" style="89" customWidth="1"/>
    <col min="4654" max="4654" width="15.140625" style="89" customWidth="1"/>
    <col min="4655" max="4655" width="14" style="89" customWidth="1"/>
    <col min="4656" max="4656" width="15.140625" style="89" customWidth="1"/>
    <col min="4657" max="4657" width="11.42578125" style="89" customWidth="1"/>
    <col min="4658" max="4658" width="51.7109375" style="89" customWidth="1"/>
    <col min="4659" max="4660" width="29.5703125" style="89" customWidth="1"/>
    <col min="4661" max="4661" width="44.42578125" style="89" customWidth="1"/>
    <col min="4662" max="4662" width="36.28515625" style="89" customWidth="1"/>
    <col min="4663" max="4663" width="27.42578125" style="89" bestFit="1" customWidth="1"/>
    <col min="4664" max="4884" width="11.42578125" style="89"/>
    <col min="4885" max="4885" width="15.5703125" style="89" bestFit="1" customWidth="1"/>
    <col min="4886" max="4886" width="33.7109375" style="89" customWidth="1"/>
    <col min="4887" max="4887" width="19" style="89" customWidth="1"/>
    <col min="4888" max="4888" width="19.85546875" style="89" customWidth="1"/>
    <col min="4889" max="4889" width="18.5703125" style="89" customWidth="1"/>
    <col min="4890" max="4890" width="19.7109375" style="89" customWidth="1"/>
    <col min="4891" max="4891" width="14.85546875" style="89" customWidth="1"/>
    <col min="4892" max="4892" width="16.85546875" style="89" customWidth="1"/>
    <col min="4893" max="4895" width="11.42578125" style="89" customWidth="1"/>
    <col min="4896" max="4896" width="18.140625" style="89" customWidth="1"/>
    <col min="4897" max="4897" width="11.42578125" style="89" customWidth="1"/>
    <col min="4898" max="4898" width="12.5703125" style="89" customWidth="1"/>
    <col min="4899" max="4899" width="25" style="89" customWidth="1"/>
    <col min="4900" max="4900" width="16.5703125" style="89" bestFit="1" customWidth="1"/>
    <col min="4901" max="4901" width="24" style="89" customWidth="1"/>
    <col min="4902" max="4902" width="11.42578125" style="89" customWidth="1"/>
    <col min="4903" max="4903" width="20" style="89" customWidth="1"/>
    <col min="4904" max="4904" width="11.42578125" style="89" customWidth="1"/>
    <col min="4905" max="4905" width="19" style="89" customWidth="1"/>
    <col min="4906" max="4909" width="11.42578125" style="89" customWidth="1"/>
    <col min="4910" max="4910" width="15.140625" style="89" customWidth="1"/>
    <col min="4911" max="4911" width="14" style="89" customWidth="1"/>
    <col min="4912" max="4912" width="15.140625" style="89" customWidth="1"/>
    <col min="4913" max="4913" width="11.42578125" style="89" customWidth="1"/>
    <col min="4914" max="4914" width="51.7109375" style="89" customWidth="1"/>
    <col min="4915" max="4916" width="29.5703125" style="89" customWidth="1"/>
    <col min="4917" max="4917" width="44.42578125" style="89" customWidth="1"/>
    <col min="4918" max="4918" width="36.28515625" style="89" customWidth="1"/>
    <col min="4919" max="4919" width="27.42578125" style="89" bestFit="1" customWidth="1"/>
    <col min="4920" max="5140" width="11.42578125" style="89"/>
    <col min="5141" max="5141" width="15.5703125" style="89" bestFit="1" customWidth="1"/>
    <col min="5142" max="5142" width="33.7109375" style="89" customWidth="1"/>
    <col min="5143" max="5143" width="19" style="89" customWidth="1"/>
    <col min="5144" max="5144" width="19.85546875" style="89" customWidth="1"/>
    <col min="5145" max="5145" width="18.5703125" style="89" customWidth="1"/>
    <col min="5146" max="5146" width="19.7109375" style="89" customWidth="1"/>
    <col min="5147" max="5147" width="14.85546875" style="89" customWidth="1"/>
    <col min="5148" max="5148" width="16.85546875" style="89" customWidth="1"/>
    <col min="5149" max="5151" width="11.42578125" style="89" customWidth="1"/>
    <col min="5152" max="5152" width="18.140625" style="89" customWidth="1"/>
    <col min="5153" max="5153" width="11.42578125" style="89" customWidth="1"/>
    <col min="5154" max="5154" width="12.5703125" style="89" customWidth="1"/>
    <col min="5155" max="5155" width="25" style="89" customWidth="1"/>
    <col min="5156" max="5156" width="16.5703125" style="89" bestFit="1" customWidth="1"/>
    <col min="5157" max="5157" width="24" style="89" customWidth="1"/>
    <col min="5158" max="5158" width="11.42578125" style="89" customWidth="1"/>
    <col min="5159" max="5159" width="20" style="89" customWidth="1"/>
    <col min="5160" max="5160" width="11.42578125" style="89" customWidth="1"/>
    <col min="5161" max="5161" width="19" style="89" customWidth="1"/>
    <col min="5162" max="5165" width="11.42578125" style="89" customWidth="1"/>
    <col min="5166" max="5166" width="15.140625" style="89" customWidth="1"/>
    <col min="5167" max="5167" width="14" style="89" customWidth="1"/>
    <col min="5168" max="5168" width="15.140625" style="89" customWidth="1"/>
    <col min="5169" max="5169" width="11.42578125" style="89" customWidth="1"/>
    <col min="5170" max="5170" width="51.7109375" style="89" customWidth="1"/>
    <col min="5171" max="5172" width="29.5703125" style="89" customWidth="1"/>
    <col min="5173" max="5173" width="44.42578125" style="89" customWidth="1"/>
    <col min="5174" max="5174" width="36.28515625" style="89" customWidth="1"/>
    <col min="5175" max="5175" width="27.42578125" style="89" bestFit="1" customWidth="1"/>
    <col min="5176" max="5396" width="11.42578125" style="89"/>
    <col min="5397" max="5397" width="15.5703125" style="89" bestFit="1" customWidth="1"/>
    <col min="5398" max="5398" width="33.7109375" style="89" customWidth="1"/>
    <col min="5399" max="5399" width="19" style="89" customWidth="1"/>
    <col min="5400" max="5400" width="19.85546875" style="89" customWidth="1"/>
    <col min="5401" max="5401" width="18.5703125" style="89" customWidth="1"/>
    <col min="5402" max="5402" width="19.7109375" style="89" customWidth="1"/>
    <col min="5403" max="5403" width="14.85546875" style="89" customWidth="1"/>
    <col min="5404" max="5404" width="16.85546875" style="89" customWidth="1"/>
    <col min="5405" max="5407" width="11.42578125" style="89" customWidth="1"/>
    <col min="5408" max="5408" width="18.140625" style="89" customWidth="1"/>
    <col min="5409" max="5409" width="11.42578125" style="89" customWidth="1"/>
    <col min="5410" max="5410" width="12.5703125" style="89" customWidth="1"/>
    <col min="5411" max="5411" width="25" style="89" customWidth="1"/>
    <col min="5412" max="5412" width="16.5703125" style="89" bestFit="1" customWidth="1"/>
    <col min="5413" max="5413" width="24" style="89" customWidth="1"/>
    <col min="5414" max="5414" width="11.42578125" style="89" customWidth="1"/>
    <col min="5415" max="5415" width="20" style="89" customWidth="1"/>
    <col min="5416" max="5416" width="11.42578125" style="89" customWidth="1"/>
    <col min="5417" max="5417" width="19" style="89" customWidth="1"/>
    <col min="5418" max="5421" width="11.42578125" style="89" customWidth="1"/>
    <col min="5422" max="5422" width="15.140625" style="89" customWidth="1"/>
    <col min="5423" max="5423" width="14" style="89" customWidth="1"/>
    <col min="5424" max="5424" width="15.140625" style="89" customWidth="1"/>
    <col min="5425" max="5425" width="11.42578125" style="89" customWidth="1"/>
    <col min="5426" max="5426" width="51.7109375" style="89" customWidth="1"/>
    <col min="5427" max="5428" width="29.5703125" style="89" customWidth="1"/>
    <col min="5429" max="5429" width="44.42578125" style="89" customWidth="1"/>
    <col min="5430" max="5430" width="36.28515625" style="89" customWidth="1"/>
    <col min="5431" max="5431" width="27.42578125" style="89" bestFit="1" customWidth="1"/>
    <col min="5432" max="5652" width="11.42578125" style="89"/>
    <col min="5653" max="5653" width="15.5703125" style="89" bestFit="1" customWidth="1"/>
    <col min="5654" max="5654" width="33.7109375" style="89" customWidth="1"/>
    <col min="5655" max="5655" width="19" style="89" customWidth="1"/>
    <col min="5656" max="5656" width="19.85546875" style="89" customWidth="1"/>
    <col min="5657" max="5657" width="18.5703125" style="89" customWidth="1"/>
    <col min="5658" max="5658" width="19.7109375" style="89" customWidth="1"/>
    <col min="5659" max="5659" width="14.85546875" style="89" customWidth="1"/>
    <col min="5660" max="5660" width="16.85546875" style="89" customWidth="1"/>
    <col min="5661" max="5663" width="11.42578125" style="89" customWidth="1"/>
    <col min="5664" max="5664" width="18.140625" style="89" customWidth="1"/>
    <col min="5665" max="5665" width="11.42578125" style="89" customWidth="1"/>
    <col min="5666" max="5666" width="12.5703125" style="89" customWidth="1"/>
    <col min="5667" max="5667" width="25" style="89" customWidth="1"/>
    <col min="5668" max="5668" width="16.5703125" style="89" bestFit="1" customWidth="1"/>
    <col min="5669" max="5669" width="24" style="89" customWidth="1"/>
    <col min="5670" max="5670" width="11.42578125" style="89" customWidth="1"/>
    <col min="5671" max="5671" width="20" style="89" customWidth="1"/>
    <col min="5672" max="5672" width="11.42578125" style="89" customWidth="1"/>
    <col min="5673" max="5673" width="19" style="89" customWidth="1"/>
    <col min="5674" max="5677" width="11.42578125" style="89" customWidth="1"/>
    <col min="5678" max="5678" width="15.140625" style="89" customWidth="1"/>
    <col min="5679" max="5679" width="14" style="89" customWidth="1"/>
    <col min="5680" max="5680" width="15.140625" style="89" customWidth="1"/>
    <col min="5681" max="5681" width="11.42578125" style="89" customWidth="1"/>
    <col min="5682" max="5682" width="51.7109375" style="89" customWidth="1"/>
    <col min="5683" max="5684" width="29.5703125" style="89" customWidth="1"/>
    <col min="5685" max="5685" width="44.42578125" style="89" customWidth="1"/>
    <col min="5686" max="5686" width="36.28515625" style="89" customWidth="1"/>
    <col min="5687" max="5687" width="27.42578125" style="89" bestFit="1" customWidth="1"/>
    <col min="5688" max="5908" width="11.42578125" style="89"/>
    <col min="5909" max="5909" width="15.5703125" style="89" bestFit="1" customWidth="1"/>
    <col min="5910" max="5910" width="33.7109375" style="89" customWidth="1"/>
    <col min="5911" max="5911" width="19" style="89" customWidth="1"/>
    <col min="5912" max="5912" width="19.85546875" style="89" customWidth="1"/>
    <col min="5913" max="5913" width="18.5703125" style="89" customWidth="1"/>
    <col min="5914" max="5914" width="19.7109375" style="89" customWidth="1"/>
    <col min="5915" max="5915" width="14.85546875" style="89" customWidth="1"/>
    <col min="5916" max="5916" width="16.85546875" style="89" customWidth="1"/>
    <col min="5917" max="5919" width="11.42578125" style="89" customWidth="1"/>
    <col min="5920" max="5920" width="18.140625" style="89" customWidth="1"/>
    <col min="5921" max="5921" width="11.42578125" style="89" customWidth="1"/>
    <col min="5922" max="5922" width="12.5703125" style="89" customWidth="1"/>
    <col min="5923" max="5923" width="25" style="89" customWidth="1"/>
    <col min="5924" max="5924" width="16.5703125" style="89" bestFit="1" customWidth="1"/>
    <col min="5925" max="5925" width="24" style="89" customWidth="1"/>
    <col min="5926" max="5926" width="11.42578125" style="89" customWidth="1"/>
    <col min="5927" max="5927" width="20" style="89" customWidth="1"/>
    <col min="5928" max="5928" width="11.42578125" style="89" customWidth="1"/>
    <col min="5929" max="5929" width="19" style="89" customWidth="1"/>
    <col min="5930" max="5933" width="11.42578125" style="89" customWidth="1"/>
    <col min="5934" max="5934" width="15.140625" style="89" customWidth="1"/>
    <col min="5935" max="5935" width="14" style="89" customWidth="1"/>
    <col min="5936" max="5936" width="15.140625" style="89" customWidth="1"/>
    <col min="5937" max="5937" width="11.42578125" style="89" customWidth="1"/>
    <col min="5938" max="5938" width="51.7109375" style="89" customWidth="1"/>
    <col min="5939" max="5940" width="29.5703125" style="89" customWidth="1"/>
    <col min="5941" max="5941" width="44.42578125" style="89" customWidth="1"/>
    <col min="5942" max="5942" width="36.28515625" style="89" customWidth="1"/>
    <col min="5943" max="5943" width="27.42578125" style="89" bestFit="1" customWidth="1"/>
    <col min="5944" max="6164" width="11.42578125" style="89"/>
    <col min="6165" max="6165" width="15.5703125" style="89" bestFit="1" customWidth="1"/>
    <col min="6166" max="6166" width="33.7109375" style="89" customWidth="1"/>
    <col min="6167" max="6167" width="19" style="89" customWidth="1"/>
    <col min="6168" max="6168" width="19.85546875" style="89" customWidth="1"/>
    <col min="6169" max="6169" width="18.5703125" style="89" customWidth="1"/>
    <col min="6170" max="6170" width="19.7109375" style="89" customWidth="1"/>
    <col min="6171" max="6171" width="14.85546875" style="89" customWidth="1"/>
    <col min="6172" max="6172" width="16.85546875" style="89" customWidth="1"/>
    <col min="6173" max="6175" width="11.42578125" style="89" customWidth="1"/>
    <col min="6176" max="6176" width="18.140625" style="89" customWidth="1"/>
    <col min="6177" max="6177" width="11.42578125" style="89" customWidth="1"/>
    <col min="6178" max="6178" width="12.5703125" style="89" customWidth="1"/>
    <col min="6179" max="6179" width="25" style="89" customWidth="1"/>
    <col min="6180" max="6180" width="16.5703125" style="89" bestFit="1" customWidth="1"/>
    <col min="6181" max="6181" width="24" style="89" customWidth="1"/>
    <col min="6182" max="6182" width="11.42578125" style="89" customWidth="1"/>
    <col min="6183" max="6183" width="20" style="89" customWidth="1"/>
    <col min="6184" max="6184" width="11.42578125" style="89" customWidth="1"/>
    <col min="6185" max="6185" width="19" style="89" customWidth="1"/>
    <col min="6186" max="6189" width="11.42578125" style="89" customWidth="1"/>
    <col min="6190" max="6190" width="15.140625" style="89" customWidth="1"/>
    <col min="6191" max="6191" width="14" style="89" customWidth="1"/>
    <col min="6192" max="6192" width="15.140625" style="89" customWidth="1"/>
    <col min="6193" max="6193" width="11.42578125" style="89" customWidth="1"/>
    <col min="6194" max="6194" width="51.7109375" style="89" customWidth="1"/>
    <col min="6195" max="6196" width="29.5703125" style="89" customWidth="1"/>
    <col min="6197" max="6197" width="44.42578125" style="89" customWidth="1"/>
    <col min="6198" max="6198" width="36.28515625" style="89" customWidth="1"/>
    <col min="6199" max="6199" width="27.42578125" style="89" bestFit="1" customWidth="1"/>
    <col min="6200" max="6420" width="11.42578125" style="89"/>
    <col min="6421" max="6421" width="15.5703125" style="89" bestFit="1" customWidth="1"/>
    <col min="6422" max="6422" width="33.7109375" style="89" customWidth="1"/>
    <col min="6423" max="6423" width="19" style="89" customWidth="1"/>
    <col min="6424" max="6424" width="19.85546875" style="89" customWidth="1"/>
    <col min="6425" max="6425" width="18.5703125" style="89" customWidth="1"/>
    <col min="6426" max="6426" width="19.7109375" style="89" customWidth="1"/>
    <col min="6427" max="6427" width="14.85546875" style="89" customWidth="1"/>
    <col min="6428" max="6428" width="16.85546875" style="89" customWidth="1"/>
    <col min="6429" max="6431" width="11.42578125" style="89" customWidth="1"/>
    <col min="6432" max="6432" width="18.140625" style="89" customWidth="1"/>
    <col min="6433" max="6433" width="11.42578125" style="89" customWidth="1"/>
    <col min="6434" max="6434" width="12.5703125" style="89" customWidth="1"/>
    <col min="6435" max="6435" width="25" style="89" customWidth="1"/>
    <col min="6436" max="6436" width="16.5703125" style="89" bestFit="1" customWidth="1"/>
    <col min="6437" max="6437" width="24" style="89" customWidth="1"/>
    <col min="6438" max="6438" width="11.42578125" style="89" customWidth="1"/>
    <col min="6439" max="6439" width="20" style="89" customWidth="1"/>
    <col min="6440" max="6440" width="11.42578125" style="89" customWidth="1"/>
    <col min="6441" max="6441" width="19" style="89" customWidth="1"/>
    <col min="6442" max="6445" width="11.42578125" style="89" customWidth="1"/>
    <col min="6446" max="6446" width="15.140625" style="89" customWidth="1"/>
    <col min="6447" max="6447" width="14" style="89" customWidth="1"/>
    <col min="6448" max="6448" width="15.140625" style="89" customWidth="1"/>
    <col min="6449" max="6449" width="11.42578125" style="89" customWidth="1"/>
    <col min="6450" max="6450" width="51.7109375" style="89" customWidth="1"/>
    <col min="6451" max="6452" width="29.5703125" style="89" customWidth="1"/>
    <col min="6453" max="6453" width="44.42578125" style="89" customWidth="1"/>
    <col min="6454" max="6454" width="36.28515625" style="89" customWidth="1"/>
    <col min="6455" max="6455" width="27.42578125" style="89" bestFit="1" customWidth="1"/>
    <col min="6456" max="6676" width="11.42578125" style="89"/>
    <col min="6677" max="6677" width="15.5703125" style="89" bestFit="1" customWidth="1"/>
    <col min="6678" max="6678" width="33.7109375" style="89" customWidth="1"/>
    <col min="6679" max="6679" width="19" style="89" customWidth="1"/>
    <col min="6680" max="6680" width="19.85546875" style="89" customWidth="1"/>
    <col min="6681" max="6681" width="18.5703125" style="89" customWidth="1"/>
    <col min="6682" max="6682" width="19.7109375" style="89" customWidth="1"/>
    <col min="6683" max="6683" width="14.85546875" style="89" customWidth="1"/>
    <col min="6684" max="6684" width="16.85546875" style="89" customWidth="1"/>
    <col min="6685" max="6687" width="11.42578125" style="89" customWidth="1"/>
    <col min="6688" max="6688" width="18.140625" style="89" customWidth="1"/>
    <col min="6689" max="6689" width="11.42578125" style="89" customWidth="1"/>
    <col min="6690" max="6690" width="12.5703125" style="89" customWidth="1"/>
    <col min="6691" max="6691" width="25" style="89" customWidth="1"/>
    <col min="6692" max="6692" width="16.5703125" style="89" bestFit="1" customWidth="1"/>
    <col min="6693" max="6693" width="24" style="89" customWidth="1"/>
    <col min="6694" max="6694" width="11.42578125" style="89" customWidth="1"/>
    <col min="6695" max="6695" width="20" style="89" customWidth="1"/>
    <col min="6696" max="6696" width="11.42578125" style="89" customWidth="1"/>
    <col min="6697" max="6697" width="19" style="89" customWidth="1"/>
    <col min="6698" max="6701" width="11.42578125" style="89" customWidth="1"/>
    <col min="6702" max="6702" width="15.140625" style="89" customWidth="1"/>
    <col min="6703" max="6703" width="14" style="89" customWidth="1"/>
    <col min="6704" max="6704" width="15.140625" style="89" customWidth="1"/>
    <col min="6705" max="6705" width="11.42578125" style="89" customWidth="1"/>
    <col min="6706" max="6706" width="51.7109375" style="89" customWidth="1"/>
    <col min="6707" max="6708" width="29.5703125" style="89" customWidth="1"/>
    <col min="6709" max="6709" width="44.42578125" style="89" customWidth="1"/>
    <col min="6710" max="6710" width="36.28515625" style="89" customWidth="1"/>
    <col min="6711" max="6711" width="27.42578125" style="89" bestFit="1" customWidth="1"/>
    <col min="6712" max="6932" width="11.42578125" style="89"/>
    <col min="6933" max="6933" width="15.5703125" style="89" bestFit="1" customWidth="1"/>
    <col min="6934" max="6934" width="33.7109375" style="89" customWidth="1"/>
    <col min="6935" max="6935" width="19" style="89" customWidth="1"/>
    <col min="6936" max="6936" width="19.85546875" style="89" customWidth="1"/>
    <col min="6937" max="6937" width="18.5703125" style="89" customWidth="1"/>
    <col min="6938" max="6938" width="19.7109375" style="89" customWidth="1"/>
    <col min="6939" max="6939" width="14.85546875" style="89" customWidth="1"/>
    <col min="6940" max="6940" width="16.85546875" style="89" customWidth="1"/>
    <col min="6941" max="6943" width="11.42578125" style="89" customWidth="1"/>
    <col min="6944" max="6944" width="18.140625" style="89" customWidth="1"/>
    <col min="6945" max="6945" width="11.42578125" style="89" customWidth="1"/>
    <col min="6946" max="6946" width="12.5703125" style="89" customWidth="1"/>
    <col min="6947" max="6947" width="25" style="89" customWidth="1"/>
    <col min="6948" max="6948" width="16.5703125" style="89" bestFit="1" customWidth="1"/>
    <col min="6949" max="6949" width="24" style="89" customWidth="1"/>
    <col min="6950" max="6950" width="11.42578125" style="89" customWidth="1"/>
    <col min="6951" max="6951" width="20" style="89" customWidth="1"/>
    <col min="6952" max="6952" width="11.42578125" style="89" customWidth="1"/>
    <col min="6953" max="6953" width="19" style="89" customWidth="1"/>
    <col min="6954" max="6957" width="11.42578125" style="89" customWidth="1"/>
    <col min="6958" max="6958" width="15.140625" style="89" customWidth="1"/>
    <col min="6959" max="6959" width="14" style="89" customWidth="1"/>
    <col min="6960" max="6960" width="15.140625" style="89" customWidth="1"/>
    <col min="6961" max="6961" width="11.42578125" style="89" customWidth="1"/>
    <col min="6962" max="6962" width="51.7109375" style="89" customWidth="1"/>
    <col min="6963" max="6964" width="29.5703125" style="89" customWidth="1"/>
    <col min="6965" max="6965" width="44.42578125" style="89" customWidth="1"/>
    <col min="6966" max="6966" width="36.28515625" style="89" customWidth="1"/>
    <col min="6967" max="6967" width="27.42578125" style="89" bestFit="1" customWidth="1"/>
    <col min="6968" max="7188" width="11.42578125" style="89"/>
    <col min="7189" max="7189" width="15.5703125" style="89" bestFit="1" customWidth="1"/>
    <col min="7190" max="7190" width="33.7109375" style="89" customWidth="1"/>
    <col min="7191" max="7191" width="19" style="89" customWidth="1"/>
    <col min="7192" max="7192" width="19.85546875" style="89" customWidth="1"/>
    <col min="7193" max="7193" width="18.5703125" style="89" customWidth="1"/>
    <col min="7194" max="7194" width="19.7109375" style="89" customWidth="1"/>
    <col min="7195" max="7195" width="14.85546875" style="89" customWidth="1"/>
    <col min="7196" max="7196" width="16.85546875" style="89" customWidth="1"/>
    <col min="7197" max="7199" width="11.42578125" style="89" customWidth="1"/>
    <col min="7200" max="7200" width="18.140625" style="89" customWidth="1"/>
    <col min="7201" max="7201" width="11.42578125" style="89" customWidth="1"/>
    <col min="7202" max="7202" width="12.5703125" style="89" customWidth="1"/>
    <col min="7203" max="7203" width="25" style="89" customWidth="1"/>
    <col min="7204" max="7204" width="16.5703125" style="89" bestFit="1" customWidth="1"/>
    <col min="7205" max="7205" width="24" style="89" customWidth="1"/>
    <col min="7206" max="7206" width="11.42578125" style="89" customWidth="1"/>
    <col min="7207" max="7207" width="20" style="89" customWidth="1"/>
    <col min="7208" max="7208" width="11.42578125" style="89" customWidth="1"/>
    <col min="7209" max="7209" width="19" style="89" customWidth="1"/>
    <col min="7210" max="7213" width="11.42578125" style="89" customWidth="1"/>
    <col min="7214" max="7214" width="15.140625" style="89" customWidth="1"/>
    <col min="7215" max="7215" width="14" style="89" customWidth="1"/>
    <col min="7216" max="7216" width="15.140625" style="89" customWidth="1"/>
    <col min="7217" max="7217" width="11.42578125" style="89" customWidth="1"/>
    <col min="7218" max="7218" width="51.7109375" style="89" customWidth="1"/>
    <col min="7219" max="7220" width="29.5703125" style="89" customWidth="1"/>
    <col min="7221" max="7221" width="44.42578125" style="89" customWidth="1"/>
    <col min="7222" max="7222" width="36.28515625" style="89" customWidth="1"/>
    <col min="7223" max="7223" width="27.42578125" style="89" bestFit="1" customWidth="1"/>
    <col min="7224" max="7444" width="11.42578125" style="89"/>
    <col min="7445" max="7445" width="15.5703125" style="89" bestFit="1" customWidth="1"/>
    <col min="7446" max="7446" width="33.7109375" style="89" customWidth="1"/>
    <col min="7447" max="7447" width="19" style="89" customWidth="1"/>
    <col min="7448" max="7448" width="19.85546875" style="89" customWidth="1"/>
    <col min="7449" max="7449" width="18.5703125" style="89" customWidth="1"/>
    <col min="7450" max="7450" width="19.7109375" style="89" customWidth="1"/>
    <col min="7451" max="7451" width="14.85546875" style="89" customWidth="1"/>
    <col min="7452" max="7452" width="16.85546875" style="89" customWidth="1"/>
    <col min="7453" max="7455" width="11.42578125" style="89" customWidth="1"/>
    <col min="7456" max="7456" width="18.140625" style="89" customWidth="1"/>
    <col min="7457" max="7457" width="11.42578125" style="89" customWidth="1"/>
    <col min="7458" max="7458" width="12.5703125" style="89" customWidth="1"/>
    <col min="7459" max="7459" width="25" style="89" customWidth="1"/>
    <col min="7460" max="7460" width="16.5703125" style="89" bestFit="1" customWidth="1"/>
    <col min="7461" max="7461" width="24" style="89" customWidth="1"/>
    <col min="7462" max="7462" width="11.42578125" style="89" customWidth="1"/>
    <col min="7463" max="7463" width="20" style="89" customWidth="1"/>
    <col min="7464" max="7464" width="11.42578125" style="89" customWidth="1"/>
    <col min="7465" max="7465" width="19" style="89" customWidth="1"/>
    <col min="7466" max="7469" width="11.42578125" style="89" customWidth="1"/>
    <col min="7470" max="7470" width="15.140625" style="89" customWidth="1"/>
    <col min="7471" max="7471" width="14" style="89" customWidth="1"/>
    <col min="7472" max="7472" width="15.140625" style="89" customWidth="1"/>
    <col min="7473" max="7473" width="11.42578125" style="89" customWidth="1"/>
    <col min="7474" max="7474" width="51.7109375" style="89" customWidth="1"/>
    <col min="7475" max="7476" width="29.5703125" style="89" customWidth="1"/>
    <col min="7477" max="7477" width="44.42578125" style="89" customWidth="1"/>
    <col min="7478" max="7478" width="36.28515625" style="89" customWidth="1"/>
    <col min="7479" max="7479" width="27.42578125" style="89" bestFit="1" customWidth="1"/>
    <col min="7480" max="7700" width="11.42578125" style="89"/>
    <col min="7701" max="7701" width="15.5703125" style="89" bestFit="1" customWidth="1"/>
    <col min="7702" max="7702" width="33.7109375" style="89" customWidth="1"/>
    <col min="7703" max="7703" width="19" style="89" customWidth="1"/>
    <col min="7704" max="7704" width="19.85546875" style="89" customWidth="1"/>
    <col min="7705" max="7705" width="18.5703125" style="89" customWidth="1"/>
    <col min="7706" max="7706" width="19.7109375" style="89" customWidth="1"/>
    <col min="7707" max="7707" width="14.85546875" style="89" customWidth="1"/>
    <col min="7708" max="7708" width="16.85546875" style="89" customWidth="1"/>
    <col min="7709" max="7711" width="11.42578125" style="89" customWidth="1"/>
    <col min="7712" max="7712" width="18.140625" style="89" customWidth="1"/>
    <col min="7713" max="7713" width="11.42578125" style="89" customWidth="1"/>
    <col min="7714" max="7714" width="12.5703125" style="89" customWidth="1"/>
    <col min="7715" max="7715" width="25" style="89" customWidth="1"/>
    <col min="7716" max="7716" width="16.5703125" style="89" bestFit="1" customWidth="1"/>
    <col min="7717" max="7717" width="24" style="89" customWidth="1"/>
    <col min="7718" max="7718" width="11.42578125" style="89" customWidth="1"/>
    <col min="7719" max="7719" width="20" style="89" customWidth="1"/>
    <col min="7720" max="7720" width="11.42578125" style="89" customWidth="1"/>
    <col min="7721" max="7721" width="19" style="89" customWidth="1"/>
    <col min="7722" max="7725" width="11.42578125" style="89" customWidth="1"/>
    <col min="7726" max="7726" width="15.140625" style="89" customWidth="1"/>
    <col min="7727" max="7727" width="14" style="89" customWidth="1"/>
    <col min="7728" max="7728" width="15.140625" style="89" customWidth="1"/>
    <col min="7729" max="7729" width="11.42578125" style="89" customWidth="1"/>
    <col min="7730" max="7730" width="51.7109375" style="89" customWidth="1"/>
    <col min="7731" max="7732" width="29.5703125" style="89" customWidth="1"/>
    <col min="7733" max="7733" width="44.42578125" style="89" customWidth="1"/>
    <col min="7734" max="7734" width="36.28515625" style="89" customWidth="1"/>
    <col min="7735" max="7735" width="27.42578125" style="89" bestFit="1" customWidth="1"/>
    <col min="7736" max="7956" width="11.42578125" style="89"/>
    <col min="7957" max="7957" width="15.5703125" style="89" bestFit="1" customWidth="1"/>
    <col min="7958" max="7958" width="33.7109375" style="89" customWidth="1"/>
    <col min="7959" max="7959" width="19" style="89" customWidth="1"/>
    <col min="7960" max="7960" width="19.85546875" style="89" customWidth="1"/>
    <col min="7961" max="7961" width="18.5703125" style="89" customWidth="1"/>
    <col min="7962" max="7962" width="19.7109375" style="89" customWidth="1"/>
    <col min="7963" max="7963" width="14.85546875" style="89" customWidth="1"/>
    <col min="7964" max="7964" width="16.85546875" style="89" customWidth="1"/>
    <col min="7965" max="7967" width="11.42578125" style="89" customWidth="1"/>
    <col min="7968" max="7968" width="18.140625" style="89" customWidth="1"/>
    <col min="7969" max="7969" width="11.42578125" style="89" customWidth="1"/>
    <col min="7970" max="7970" width="12.5703125" style="89" customWidth="1"/>
    <col min="7971" max="7971" width="25" style="89" customWidth="1"/>
    <col min="7972" max="7972" width="16.5703125" style="89" bestFit="1" customWidth="1"/>
    <col min="7973" max="7973" width="24" style="89" customWidth="1"/>
    <col min="7974" max="7974" width="11.42578125" style="89" customWidth="1"/>
    <col min="7975" max="7975" width="20" style="89" customWidth="1"/>
    <col min="7976" max="7976" width="11.42578125" style="89" customWidth="1"/>
    <col min="7977" max="7977" width="19" style="89" customWidth="1"/>
    <col min="7978" max="7981" width="11.42578125" style="89" customWidth="1"/>
    <col min="7982" max="7982" width="15.140625" style="89" customWidth="1"/>
    <col min="7983" max="7983" width="14" style="89" customWidth="1"/>
    <col min="7984" max="7984" width="15.140625" style="89" customWidth="1"/>
    <col min="7985" max="7985" width="11.42578125" style="89" customWidth="1"/>
    <col min="7986" max="7986" width="51.7109375" style="89" customWidth="1"/>
    <col min="7987" max="7988" width="29.5703125" style="89" customWidth="1"/>
    <col min="7989" max="7989" width="44.42578125" style="89" customWidth="1"/>
    <col min="7990" max="7990" width="36.28515625" style="89" customWidth="1"/>
    <col min="7991" max="7991" width="27.42578125" style="89" bestFit="1" customWidth="1"/>
    <col min="7992" max="8212" width="11.42578125" style="89"/>
    <col min="8213" max="8213" width="15.5703125" style="89" bestFit="1" customWidth="1"/>
    <col min="8214" max="8214" width="33.7109375" style="89" customWidth="1"/>
    <col min="8215" max="8215" width="19" style="89" customWidth="1"/>
    <col min="8216" max="8216" width="19.85546875" style="89" customWidth="1"/>
    <col min="8217" max="8217" width="18.5703125" style="89" customWidth="1"/>
    <col min="8218" max="8218" width="19.7109375" style="89" customWidth="1"/>
    <col min="8219" max="8219" width="14.85546875" style="89" customWidth="1"/>
    <col min="8220" max="8220" width="16.85546875" style="89" customWidth="1"/>
    <col min="8221" max="8223" width="11.42578125" style="89" customWidth="1"/>
    <col min="8224" max="8224" width="18.140625" style="89" customWidth="1"/>
    <col min="8225" max="8225" width="11.42578125" style="89" customWidth="1"/>
    <col min="8226" max="8226" width="12.5703125" style="89" customWidth="1"/>
    <col min="8227" max="8227" width="25" style="89" customWidth="1"/>
    <col min="8228" max="8228" width="16.5703125" style="89" bestFit="1" customWidth="1"/>
    <col min="8229" max="8229" width="24" style="89" customWidth="1"/>
    <col min="8230" max="8230" width="11.42578125" style="89" customWidth="1"/>
    <col min="8231" max="8231" width="20" style="89" customWidth="1"/>
    <col min="8232" max="8232" width="11.42578125" style="89" customWidth="1"/>
    <col min="8233" max="8233" width="19" style="89" customWidth="1"/>
    <col min="8234" max="8237" width="11.42578125" style="89" customWidth="1"/>
    <col min="8238" max="8238" width="15.140625" style="89" customWidth="1"/>
    <col min="8239" max="8239" width="14" style="89" customWidth="1"/>
    <col min="8240" max="8240" width="15.140625" style="89" customWidth="1"/>
    <col min="8241" max="8241" width="11.42578125" style="89" customWidth="1"/>
    <col min="8242" max="8242" width="51.7109375" style="89" customWidth="1"/>
    <col min="8243" max="8244" width="29.5703125" style="89" customWidth="1"/>
    <col min="8245" max="8245" width="44.42578125" style="89" customWidth="1"/>
    <col min="8246" max="8246" width="36.28515625" style="89" customWidth="1"/>
    <col min="8247" max="8247" width="27.42578125" style="89" bestFit="1" customWidth="1"/>
    <col min="8248" max="8468" width="11.42578125" style="89"/>
    <col min="8469" max="8469" width="15.5703125" style="89" bestFit="1" customWidth="1"/>
    <col min="8470" max="8470" width="33.7109375" style="89" customWidth="1"/>
    <col min="8471" max="8471" width="19" style="89" customWidth="1"/>
    <col min="8472" max="8472" width="19.85546875" style="89" customWidth="1"/>
    <col min="8473" max="8473" width="18.5703125" style="89" customWidth="1"/>
    <col min="8474" max="8474" width="19.7109375" style="89" customWidth="1"/>
    <col min="8475" max="8475" width="14.85546875" style="89" customWidth="1"/>
    <col min="8476" max="8476" width="16.85546875" style="89" customWidth="1"/>
    <col min="8477" max="8479" width="11.42578125" style="89" customWidth="1"/>
    <col min="8480" max="8480" width="18.140625" style="89" customWidth="1"/>
    <col min="8481" max="8481" width="11.42578125" style="89" customWidth="1"/>
    <col min="8482" max="8482" width="12.5703125" style="89" customWidth="1"/>
    <col min="8483" max="8483" width="25" style="89" customWidth="1"/>
    <col min="8484" max="8484" width="16.5703125" style="89" bestFit="1" customWidth="1"/>
    <col min="8485" max="8485" width="24" style="89" customWidth="1"/>
    <col min="8486" max="8486" width="11.42578125" style="89" customWidth="1"/>
    <col min="8487" max="8487" width="20" style="89" customWidth="1"/>
    <col min="8488" max="8488" width="11.42578125" style="89" customWidth="1"/>
    <col min="8489" max="8489" width="19" style="89" customWidth="1"/>
    <col min="8490" max="8493" width="11.42578125" style="89" customWidth="1"/>
    <col min="8494" max="8494" width="15.140625" style="89" customWidth="1"/>
    <col min="8495" max="8495" width="14" style="89" customWidth="1"/>
    <col min="8496" max="8496" width="15.140625" style="89" customWidth="1"/>
    <col min="8497" max="8497" width="11.42578125" style="89" customWidth="1"/>
    <col min="8498" max="8498" width="51.7109375" style="89" customWidth="1"/>
    <col min="8499" max="8500" width="29.5703125" style="89" customWidth="1"/>
    <col min="8501" max="8501" width="44.42578125" style="89" customWidth="1"/>
    <col min="8502" max="8502" width="36.28515625" style="89" customWidth="1"/>
    <col min="8503" max="8503" width="27.42578125" style="89" bestFit="1" customWidth="1"/>
    <col min="8504" max="8724" width="11.42578125" style="89"/>
    <col min="8725" max="8725" width="15.5703125" style="89" bestFit="1" customWidth="1"/>
    <col min="8726" max="8726" width="33.7109375" style="89" customWidth="1"/>
    <col min="8727" max="8727" width="19" style="89" customWidth="1"/>
    <col min="8728" max="8728" width="19.85546875" style="89" customWidth="1"/>
    <col min="8729" max="8729" width="18.5703125" style="89" customWidth="1"/>
    <col min="8730" max="8730" width="19.7109375" style="89" customWidth="1"/>
    <col min="8731" max="8731" width="14.85546875" style="89" customWidth="1"/>
    <col min="8732" max="8732" width="16.85546875" style="89" customWidth="1"/>
    <col min="8733" max="8735" width="11.42578125" style="89" customWidth="1"/>
    <col min="8736" max="8736" width="18.140625" style="89" customWidth="1"/>
    <col min="8737" max="8737" width="11.42578125" style="89" customWidth="1"/>
    <col min="8738" max="8738" width="12.5703125" style="89" customWidth="1"/>
    <col min="8739" max="8739" width="25" style="89" customWidth="1"/>
    <col min="8740" max="8740" width="16.5703125" style="89" bestFit="1" customWidth="1"/>
    <col min="8741" max="8741" width="24" style="89" customWidth="1"/>
    <col min="8742" max="8742" width="11.42578125" style="89" customWidth="1"/>
    <col min="8743" max="8743" width="20" style="89" customWidth="1"/>
    <col min="8744" max="8744" width="11.42578125" style="89" customWidth="1"/>
    <col min="8745" max="8745" width="19" style="89" customWidth="1"/>
    <col min="8746" max="8749" width="11.42578125" style="89" customWidth="1"/>
    <col min="8750" max="8750" width="15.140625" style="89" customWidth="1"/>
    <col min="8751" max="8751" width="14" style="89" customWidth="1"/>
    <col min="8752" max="8752" width="15.140625" style="89" customWidth="1"/>
    <col min="8753" max="8753" width="11.42578125" style="89" customWidth="1"/>
    <col min="8754" max="8754" width="51.7109375" style="89" customWidth="1"/>
    <col min="8755" max="8756" width="29.5703125" style="89" customWidth="1"/>
    <col min="8757" max="8757" width="44.42578125" style="89" customWidth="1"/>
    <col min="8758" max="8758" width="36.28515625" style="89" customWidth="1"/>
    <col min="8759" max="8759" width="27.42578125" style="89" bestFit="1" customWidth="1"/>
    <col min="8760" max="8980" width="11.42578125" style="89"/>
    <col min="8981" max="8981" width="15.5703125" style="89" bestFit="1" customWidth="1"/>
    <col min="8982" max="8982" width="33.7109375" style="89" customWidth="1"/>
    <col min="8983" max="8983" width="19" style="89" customWidth="1"/>
    <col min="8984" max="8984" width="19.85546875" style="89" customWidth="1"/>
    <col min="8985" max="8985" width="18.5703125" style="89" customWidth="1"/>
    <col min="8986" max="8986" width="19.7109375" style="89" customWidth="1"/>
    <col min="8987" max="8987" width="14.85546875" style="89" customWidth="1"/>
    <col min="8988" max="8988" width="16.85546875" style="89" customWidth="1"/>
    <col min="8989" max="8991" width="11.42578125" style="89" customWidth="1"/>
    <col min="8992" max="8992" width="18.140625" style="89" customWidth="1"/>
    <col min="8993" max="8993" width="11.42578125" style="89" customWidth="1"/>
    <col min="8994" max="8994" width="12.5703125" style="89" customWidth="1"/>
    <col min="8995" max="8995" width="25" style="89" customWidth="1"/>
    <col min="8996" max="8996" width="16.5703125" style="89" bestFit="1" customWidth="1"/>
    <col min="8997" max="8997" width="24" style="89" customWidth="1"/>
    <col min="8998" max="8998" width="11.42578125" style="89" customWidth="1"/>
    <col min="8999" max="8999" width="20" style="89" customWidth="1"/>
    <col min="9000" max="9000" width="11.42578125" style="89" customWidth="1"/>
    <col min="9001" max="9001" width="19" style="89" customWidth="1"/>
    <col min="9002" max="9005" width="11.42578125" style="89" customWidth="1"/>
    <col min="9006" max="9006" width="15.140625" style="89" customWidth="1"/>
    <col min="9007" max="9007" width="14" style="89" customWidth="1"/>
    <col min="9008" max="9008" width="15.140625" style="89" customWidth="1"/>
    <col min="9009" max="9009" width="11.42578125" style="89" customWidth="1"/>
    <col min="9010" max="9010" width="51.7109375" style="89" customWidth="1"/>
    <col min="9011" max="9012" width="29.5703125" style="89" customWidth="1"/>
    <col min="9013" max="9013" width="44.42578125" style="89" customWidth="1"/>
    <col min="9014" max="9014" width="36.28515625" style="89" customWidth="1"/>
    <col min="9015" max="9015" width="27.42578125" style="89" bestFit="1" customWidth="1"/>
    <col min="9016" max="9236" width="11.42578125" style="89"/>
    <col min="9237" max="9237" width="15.5703125" style="89" bestFit="1" customWidth="1"/>
    <col min="9238" max="9238" width="33.7109375" style="89" customWidth="1"/>
    <col min="9239" max="9239" width="19" style="89" customWidth="1"/>
    <col min="9240" max="9240" width="19.85546875" style="89" customWidth="1"/>
    <col min="9241" max="9241" width="18.5703125" style="89" customWidth="1"/>
    <col min="9242" max="9242" width="19.7109375" style="89" customWidth="1"/>
    <col min="9243" max="9243" width="14.85546875" style="89" customWidth="1"/>
    <col min="9244" max="9244" width="16.85546875" style="89" customWidth="1"/>
    <col min="9245" max="9247" width="11.42578125" style="89" customWidth="1"/>
    <col min="9248" max="9248" width="18.140625" style="89" customWidth="1"/>
    <col min="9249" max="9249" width="11.42578125" style="89" customWidth="1"/>
    <col min="9250" max="9250" width="12.5703125" style="89" customWidth="1"/>
    <col min="9251" max="9251" width="25" style="89" customWidth="1"/>
    <col min="9252" max="9252" width="16.5703125" style="89" bestFit="1" customWidth="1"/>
    <col min="9253" max="9253" width="24" style="89" customWidth="1"/>
    <col min="9254" max="9254" width="11.42578125" style="89" customWidth="1"/>
    <col min="9255" max="9255" width="20" style="89" customWidth="1"/>
    <col min="9256" max="9256" width="11.42578125" style="89" customWidth="1"/>
    <col min="9257" max="9257" width="19" style="89" customWidth="1"/>
    <col min="9258" max="9261" width="11.42578125" style="89" customWidth="1"/>
    <col min="9262" max="9262" width="15.140625" style="89" customWidth="1"/>
    <col min="9263" max="9263" width="14" style="89" customWidth="1"/>
    <col min="9264" max="9264" width="15.140625" style="89" customWidth="1"/>
    <col min="9265" max="9265" width="11.42578125" style="89" customWidth="1"/>
    <col min="9266" max="9266" width="51.7109375" style="89" customWidth="1"/>
    <col min="9267" max="9268" width="29.5703125" style="89" customWidth="1"/>
    <col min="9269" max="9269" width="44.42578125" style="89" customWidth="1"/>
    <col min="9270" max="9270" width="36.28515625" style="89" customWidth="1"/>
    <col min="9271" max="9271" width="27.42578125" style="89" bestFit="1" customWidth="1"/>
    <col min="9272" max="9492" width="11.42578125" style="89"/>
    <col min="9493" max="9493" width="15.5703125" style="89" bestFit="1" customWidth="1"/>
    <col min="9494" max="9494" width="33.7109375" style="89" customWidth="1"/>
    <col min="9495" max="9495" width="19" style="89" customWidth="1"/>
    <col min="9496" max="9496" width="19.85546875" style="89" customWidth="1"/>
    <col min="9497" max="9497" width="18.5703125" style="89" customWidth="1"/>
    <col min="9498" max="9498" width="19.7109375" style="89" customWidth="1"/>
    <col min="9499" max="9499" width="14.85546875" style="89" customWidth="1"/>
    <col min="9500" max="9500" width="16.85546875" style="89" customWidth="1"/>
    <col min="9501" max="9503" width="11.42578125" style="89" customWidth="1"/>
    <col min="9504" max="9504" width="18.140625" style="89" customWidth="1"/>
    <col min="9505" max="9505" width="11.42578125" style="89" customWidth="1"/>
    <col min="9506" max="9506" width="12.5703125" style="89" customWidth="1"/>
    <col min="9507" max="9507" width="25" style="89" customWidth="1"/>
    <col min="9508" max="9508" width="16.5703125" style="89" bestFit="1" customWidth="1"/>
    <col min="9509" max="9509" width="24" style="89" customWidth="1"/>
    <col min="9510" max="9510" width="11.42578125" style="89" customWidth="1"/>
    <col min="9511" max="9511" width="20" style="89" customWidth="1"/>
    <col min="9512" max="9512" width="11.42578125" style="89" customWidth="1"/>
    <col min="9513" max="9513" width="19" style="89" customWidth="1"/>
    <col min="9514" max="9517" width="11.42578125" style="89" customWidth="1"/>
    <col min="9518" max="9518" width="15.140625" style="89" customWidth="1"/>
    <col min="9519" max="9519" width="14" style="89" customWidth="1"/>
    <col min="9520" max="9520" width="15.140625" style="89" customWidth="1"/>
    <col min="9521" max="9521" width="11.42578125" style="89" customWidth="1"/>
    <col min="9522" max="9522" width="51.7109375" style="89" customWidth="1"/>
    <col min="9523" max="9524" width="29.5703125" style="89" customWidth="1"/>
    <col min="9525" max="9525" width="44.42578125" style="89" customWidth="1"/>
    <col min="9526" max="9526" width="36.28515625" style="89" customWidth="1"/>
    <col min="9527" max="9527" width="27.42578125" style="89" bestFit="1" customWidth="1"/>
    <col min="9528" max="9748" width="11.42578125" style="89"/>
    <col min="9749" max="9749" width="15.5703125" style="89" bestFit="1" customWidth="1"/>
    <col min="9750" max="9750" width="33.7109375" style="89" customWidth="1"/>
    <col min="9751" max="9751" width="19" style="89" customWidth="1"/>
    <col min="9752" max="9752" width="19.85546875" style="89" customWidth="1"/>
    <col min="9753" max="9753" width="18.5703125" style="89" customWidth="1"/>
    <col min="9754" max="9754" width="19.7109375" style="89" customWidth="1"/>
    <col min="9755" max="9755" width="14.85546875" style="89" customWidth="1"/>
    <col min="9756" max="9756" width="16.85546875" style="89" customWidth="1"/>
    <col min="9757" max="9759" width="11.42578125" style="89" customWidth="1"/>
    <col min="9760" max="9760" width="18.140625" style="89" customWidth="1"/>
    <col min="9761" max="9761" width="11.42578125" style="89" customWidth="1"/>
    <col min="9762" max="9762" width="12.5703125" style="89" customWidth="1"/>
    <col min="9763" max="9763" width="25" style="89" customWidth="1"/>
    <col min="9764" max="9764" width="16.5703125" style="89" bestFit="1" customWidth="1"/>
    <col min="9765" max="9765" width="24" style="89" customWidth="1"/>
    <col min="9766" max="9766" width="11.42578125" style="89" customWidth="1"/>
    <col min="9767" max="9767" width="20" style="89" customWidth="1"/>
    <col min="9768" max="9768" width="11.42578125" style="89" customWidth="1"/>
    <col min="9769" max="9769" width="19" style="89" customWidth="1"/>
    <col min="9770" max="9773" width="11.42578125" style="89" customWidth="1"/>
    <col min="9774" max="9774" width="15.140625" style="89" customWidth="1"/>
    <col min="9775" max="9775" width="14" style="89" customWidth="1"/>
    <col min="9776" max="9776" width="15.140625" style="89" customWidth="1"/>
    <col min="9777" max="9777" width="11.42578125" style="89" customWidth="1"/>
    <col min="9778" max="9778" width="51.7109375" style="89" customWidth="1"/>
    <col min="9779" max="9780" width="29.5703125" style="89" customWidth="1"/>
    <col min="9781" max="9781" width="44.42578125" style="89" customWidth="1"/>
    <col min="9782" max="9782" width="36.28515625" style="89" customWidth="1"/>
    <col min="9783" max="9783" width="27.42578125" style="89" bestFit="1" customWidth="1"/>
    <col min="9784" max="10004" width="11.42578125" style="89"/>
    <col min="10005" max="10005" width="15.5703125" style="89" bestFit="1" customWidth="1"/>
    <col min="10006" max="10006" width="33.7109375" style="89" customWidth="1"/>
    <col min="10007" max="10007" width="19" style="89" customWidth="1"/>
    <col min="10008" max="10008" width="19.85546875" style="89" customWidth="1"/>
    <col min="10009" max="10009" width="18.5703125" style="89" customWidth="1"/>
    <col min="10010" max="10010" width="19.7109375" style="89" customWidth="1"/>
    <col min="10011" max="10011" width="14.85546875" style="89" customWidth="1"/>
    <col min="10012" max="10012" width="16.85546875" style="89" customWidth="1"/>
    <col min="10013" max="10015" width="11.42578125" style="89" customWidth="1"/>
    <col min="10016" max="10016" width="18.140625" style="89" customWidth="1"/>
    <col min="10017" max="10017" width="11.42578125" style="89" customWidth="1"/>
    <col min="10018" max="10018" width="12.5703125" style="89" customWidth="1"/>
    <col min="10019" max="10019" width="25" style="89" customWidth="1"/>
    <col min="10020" max="10020" width="16.5703125" style="89" bestFit="1" customWidth="1"/>
    <col min="10021" max="10021" width="24" style="89" customWidth="1"/>
    <col min="10022" max="10022" width="11.42578125" style="89" customWidth="1"/>
    <col min="10023" max="10023" width="20" style="89" customWidth="1"/>
    <col min="10024" max="10024" width="11.42578125" style="89" customWidth="1"/>
    <col min="10025" max="10025" width="19" style="89" customWidth="1"/>
    <col min="10026" max="10029" width="11.42578125" style="89" customWidth="1"/>
    <col min="10030" max="10030" width="15.140625" style="89" customWidth="1"/>
    <col min="10031" max="10031" width="14" style="89" customWidth="1"/>
    <col min="10032" max="10032" width="15.140625" style="89" customWidth="1"/>
    <col min="10033" max="10033" width="11.42578125" style="89" customWidth="1"/>
    <col min="10034" max="10034" width="51.7109375" style="89" customWidth="1"/>
    <col min="10035" max="10036" width="29.5703125" style="89" customWidth="1"/>
    <col min="10037" max="10037" width="44.42578125" style="89" customWidth="1"/>
    <col min="10038" max="10038" width="36.28515625" style="89" customWidth="1"/>
    <col min="10039" max="10039" width="27.42578125" style="89" bestFit="1" customWidth="1"/>
    <col min="10040" max="10260" width="11.42578125" style="89"/>
    <col min="10261" max="10261" width="15.5703125" style="89" bestFit="1" customWidth="1"/>
    <col min="10262" max="10262" width="33.7109375" style="89" customWidth="1"/>
    <col min="10263" max="10263" width="19" style="89" customWidth="1"/>
    <col min="10264" max="10264" width="19.85546875" style="89" customWidth="1"/>
    <col min="10265" max="10265" width="18.5703125" style="89" customWidth="1"/>
    <col min="10266" max="10266" width="19.7109375" style="89" customWidth="1"/>
    <col min="10267" max="10267" width="14.85546875" style="89" customWidth="1"/>
    <col min="10268" max="10268" width="16.85546875" style="89" customWidth="1"/>
    <col min="10269" max="10271" width="11.42578125" style="89" customWidth="1"/>
    <col min="10272" max="10272" width="18.140625" style="89" customWidth="1"/>
    <col min="10273" max="10273" width="11.42578125" style="89" customWidth="1"/>
    <col min="10274" max="10274" width="12.5703125" style="89" customWidth="1"/>
    <col min="10275" max="10275" width="25" style="89" customWidth="1"/>
    <col min="10276" max="10276" width="16.5703125" style="89" bestFit="1" customWidth="1"/>
    <col min="10277" max="10277" width="24" style="89" customWidth="1"/>
    <col min="10278" max="10278" width="11.42578125" style="89" customWidth="1"/>
    <col min="10279" max="10279" width="20" style="89" customWidth="1"/>
    <col min="10280" max="10280" width="11.42578125" style="89" customWidth="1"/>
    <col min="10281" max="10281" width="19" style="89" customWidth="1"/>
    <col min="10282" max="10285" width="11.42578125" style="89" customWidth="1"/>
    <col min="10286" max="10286" width="15.140625" style="89" customWidth="1"/>
    <col min="10287" max="10287" width="14" style="89" customWidth="1"/>
    <col min="10288" max="10288" width="15.140625" style="89" customWidth="1"/>
    <col min="10289" max="10289" width="11.42578125" style="89" customWidth="1"/>
    <col min="10290" max="10290" width="51.7109375" style="89" customWidth="1"/>
    <col min="10291" max="10292" width="29.5703125" style="89" customWidth="1"/>
    <col min="10293" max="10293" width="44.42578125" style="89" customWidth="1"/>
    <col min="10294" max="10294" width="36.28515625" style="89" customWidth="1"/>
    <col min="10295" max="10295" width="27.42578125" style="89" bestFit="1" customWidth="1"/>
    <col min="10296" max="10516" width="11.42578125" style="89"/>
    <col min="10517" max="10517" width="15.5703125" style="89" bestFit="1" customWidth="1"/>
    <col min="10518" max="10518" width="33.7109375" style="89" customWidth="1"/>
    <col min="10519" max="10519" width="19" style="89" customWidth="1"/>
    <col min="10520" max="10520" width="19.85546875" style="89" customWidth="1"/>
    <col min="10521" max="10521" width="18.5703125" style="89" customWidth="1"/>
    <col min="10522" max="10522" width="19.7109375" style="89" customWidth="1"/>
    <col min="10523" max="10523" width="14.85546875" style="89" customWidth="1"/>
    <col min="10524" max="10524" width="16.85546875" style="89" customWidth="1"/>
    <col min="10525" max="10527" width="11.42578125" style="89" customWidth="1"/>
    <col min="10528" max="10528" width="18.140625" style="89" customWidth="1"/>
    <col min="10529" max="10529" width="11.42578125" style="89" customWidth="1"/>
    <col min="10530" max="10530" width="12.5703125" style="89" customWidth="1"/>
    <col min="10531" max="10531" width="25" style="89" customWidth="1"/>
    <col min="10532" max="10532" width="16.5703125" style="89" bestFit="1" customWidth="1"/>
    <col min="10533" max="10533" width="24" style="89" customWidth="1"/>
    <col min="10534" max="10534" width="11.42578125" style="89" customWidth="1"/>
    <col min="10535" max="10535" width="20" style="89" customWidth="1"/>
    <col min="10536" max="10536" width="11.42578125" style="89" customWidth="1"/>
    <col min="10537" max="10537" width="19" style="89" customWidth="1"/>
    <col min="10538" max="10541" width="11.42578125" style="89" customWidth="1"/>
    <col min="10542" max="10542" width="15.140625" style="89" customWidth="1"/>
    <col min="10543" max="10543" width="14" style="89" customWidth="1"/>
    <col min="10544" max="10544" width="15.140625" style="89" customWidth="1"/>
    <col min="10545" max="10545" width="11.42578125" style="89" customWidth="1"/>
    <col min="10546" max="10546" width="51.7109375" style="89" customWidth="1"/>
    <col min="10547" max="10548" width="29.5703125" style="89" customWidth="1"/>
    <col min="10549" max="10549" width="44.42578125" style="89" customWidth="1"/>
    <col min="10550" max="10550" width="36.28515625" style="89" customWidth="1"/>
    <col min="10551" max="10551" width="27.42578125" style="89" bestFit="1" customWidth="1"/>
    <col min="10552" max="10772" width="11.42578125" style="89"/>
    <col min="10773" max="10773" width="15.5703125" style="89" bestFit="1" customWidth="1"/>
    <col min="10774" max="10774" width="33.7109375" style="89" customWidth="1"/>
    <col min="10775" max="10775" width="19" style="89" customWidth="1"/>
    <col min="10776" max="10776" width="19.85546875" style="89" customWidth="1"/>
    <col min="10777" max="10777" width="18.5703125" style="89" customWidth="1"/>
    <col min="10778" max="10778" width="19.7109375" style="89" customWidth="1"/>
    <col min="10779" max="10779" width="14.85546875" style="89" customWidth="1"/>
    <col min="10780" max="10780" width="16.85546875" style="89" customWidth="1"/>
    <col min="10781" max="10783" width="11.42578125" style="89" customWidth="1"/>
    <col min="10784" max="10784" width="18.140625" style="89" customWidth="1"/>
    <col min="10785" max="10785" width="11.42578125" style="89" customWidth="1"/>
    <col min="10786" max="10786" width="12.5703125" style="89" customWidth="1"/>
    <col min="10787" max="10787" width="25" style="89" customWidth="1"/>
    <col min="10788" max="10788" width="16.5703125" style="89" bestFit="1" customWidth="1"/>
    <col min="10789" max="10789" width="24" style="89" customWidth="1"/>
    <col min="10790" max="10790" width="11.42578125" style="89" customWidth="1"/>
    <col min="10791" max="10791" width="20" style="89" customWidth="1"/>
    <col min="10792" max="10792" width="11.42578125" style="89" customWidth="1"/>
    <col min="10793" max="10793" width="19" style="89" customWidth="1"/>
    <col min="10794" max="10797" width="11.42578125" style="89" customWidth="1"/>
    <col min="10798" max="10798" width="15.140625" style="89" customWidth="1"/>
    <col min="10799" max="10799" width="14" style="89" customWidth="1"/>
    <col min="10800" max="10800" width="15.140625" style="89" customWidth="1"/>
    <col min="10801" max="10801" width="11.42578125" style="89" customWidth="1"/>
    <col min="10802" max="10802" width="51.7109375" style="89" customWidth="1"/>
    <col min="10803" max="10804" width="29.5703125" style="89" customWidth="1"/>
    <col min="10805" max="10805" width="44.42578125" style="89" customWidth="1"/>
    <col min="10806" max="10806" width="36.28515625" style="89" customWidth="1"/>
    <col min="10807" max="10807" width="27.42578125" style="89" bestFit="1" customWidth="1"/>
    <col min="10808" max="11028" width="11.42578125" style="89"/>
    <col min="11029" max="11029" width="15.5703125" style="89" bestFit="1" customWidth="1"/>
    <col min="11030" max="11030" width="33.7109375" style="89" customWidth="1"/>
    <col min="11031" max="11031" width="19" style="89" customWidth="1"/>
    <col min="11032" max="11032" width="19.85546875" style="89" customWidth="1"/>
    <col min="11033" max="11033" width="18.5703125" style="89" customWidth="1"/>
    <col min="11034" max="11034" width="19.7109375" style="89" customWidth="1"/>
    <col min="11035" max="11035" width="14.85546875" style="89" customWidth="1"/>
    <col min="11036" max="11036" width="16.85546875" style="89" customWidth="1"/>
    <col min="11037" max="11039" width="11.42578125" style="89" customWidth="1"/>
    <col min="11040" max="11040" width="18.140625" style="89" customWidth="1"/>
    <col min="11041" max="11041" width="11.42578125" style="89" customWidth="1"/>
    <col min="11042" max="11042" width="12.5703125" style="89" customWidth="1"/>
    <col min="11043" max="11043" width="25" style="89" customWidth="1"/>
    <col min="11044" max="11044" width="16.5703125" style="89" bestFit="1" customWidth="1"/>
    <col min="11045" max="11045" width="24" style="89" customWidth="1"/>
    <col min="11046" max="11046" width="11.42578125" style="89" customWidth="1"/>
    <col min="11047" max="11047" width="20" style="89" customWidth="1"/>
    <col min="11048" max="11048" width="11.42578125" style="89" customWidth="1"/>
    <col min="11049" max="11049" width="19" style="89" customWidth="1"/>
    <col min="11050" max="11053" width="11.42578125" style="89" customWidth="1"/>
    <col min="11054" max="11054" width="15.140625" style="89" customWidth="1"/>
    <col min="11055" max="11055" width="14" style="89" customWidth="1"/>
    <col min="11056" max="11056" width="15.140625" style="89" customWidth="1"/>
    <col min="11057" max="11057" width="11.42578125" style="89" customWidth="1"/>
    <col min="11058" max="11058" width="51.7109375" style="89" customWidth="1"/>
    <col min="11059" max="11060" width="29.5703125" style="89" customWidth="1"/>
    <col min="11061" max="11061" width="44.42578125" style="89" customWidth="1"/>
    <col min="11062" max="11062" width="36.28515625" style="89" customWidth="1"/>
    <col min="11063" max="11063" width="27.42578125" style="89" bestFit="1" customWidth="1"/>
    <col min="11064" max="11284" width="11.42578125" style="89"/>
    <col min="11285" max="11285" width="15.5703125" style="89" bestFit="1" customWidth="1"/>
    <col min="11286" max="11286" width="33.7109375" style="89" customWidth="1"/>
    <col min="11287" max="11287" width="19" style="89" customWidth="1"/>
    <col min="11288" max="11288" width="19.85546875" style="89" customWidth="1"/>
    <col min="11289" max="11289" width="18.5703125" style="89" customWidth="1"/>
    <col min="11290" max="11290" width="19.7109375" style="89" customWidth="1"/>
    <col min="11291" max="11291" width="14.85546875" style="89" customWidth="1"/>
    <col min="11292" max="11292" width="16.85546875" style="89" customWidth="1"/>
    <col min="11293" max="11295" width="11.42578125" style="89" customWidth="1"/>
    <col min="11296" max="11296" width="18.140625" style="89" customWidth="1"/>
    <col min="11297" max="11297" width="11.42578125" style="89" customWidth="1"/>
    <col min="11298" max="11298" width="12.5703125" style="89" customWidth="1"/>
    <col min="11299" max="11299" width="25" style="89" customWidth="1"/>
    <col min="11300" max="11300" width="16.5703125" style="89" bestFit="1" customWidth="1"/>
    <col min="11301" max="11301" width="24" style="89" customWidth="1"/>
    <col min="11302" max="11302" width="11.42578125" style="89" customWidth="1"/>
    <col min="11303" max="11303" width="20" style="89" customWidth="1"/>
    <col min="11304" max="11304" width="11.42578125" style="89" customWidth="1"/>
    <col min="11305" max="11305" width="19" style="89" customWidth="1"/>
    <col min="11306" max="11309" width="11.42578125" style="89" customWidth="1"/>
    <col min="11310" max="11310" width="15.140625" style="89" customWidth="1"/>
    <col min="11311" max="11311" width="14" style="89" customWidth="1"/>
    <col min="11312" max="11312" width="15.140625" style="89" customWidth="1"/>
    <col min="11313" max="11313" width="11.42578125" style="89" customWidth="1"/>
    <col min="11314" max="11314" width="51.7109375" style="89" customWidth="1"/>
    <col min="11315" max="11316" width="29.5703125" style="89" customWidth="1"/>
    <col min="11317" max="11317" width="44.42578125" style="89" customWidth="1"/>
    <col min="11318" max="11318" width="36.28515625" style="89" customWidth="1"/>
    <col min="11319" max="11319" width="27.42578125" style="89" bestFit="1" customWidth="1"/>
    <col min="11320" max="11540" width="11.42578125" style="89"/>
    <col min="11541" max="11541" width="15.5703125" style="89" bestFit="1" customWidth="1"/>
    <col min="11542" max="11542" width="33.7109375" style="89" customWidth="1"/>
    <col min="11543" max="11543" width="19" style="89" customWidth="1"/>
    <col min="11544" max="11544" width="19.85546875" style="89" customWidth="1"/>
    <col min="11545" max="11545" width="18.5703125" style="89" customWidth="1"/>
    <col min="11546" max="11546" width="19.7109375" style="89" customWidth="1"/>
    <col min="11547" max="11547" width="14.85546875" style="89" customWidth="1"/>
    <col min="11548" max="11548" width="16.85546875" style="89" customWidth="1"/>
    <col min="11549" max="11551" width="11.42578125" style="89" customWidth="1"/>
    <col min="11552" max="11552" width="18.140625" style="89" customWidth="1"/>
    <col min="11553" max="11553" width="11.42578125" style="89" customWidth="1"/>
    <col min="11554" max="11554" width="12.5703125" style="89" customWidth="1"/>
    <col min="11555" max="11555" width="25" style="89" customWidth="1"/>
    <col min="11556" max="11556" width="16.5703125" style="89" bestFit="1" customWidth="1"/>
    <col min="11557" max="11557" width="24" style="89" customWidth="1"/>
    <col min="11558" max="11558" width="11.42578125" style="89" customWidth="1"/>
    <col min="11559" max="11559" width="20" style="89" customWidth="1"/>
    <col min="11560" max="11560" width="11.42578125" style="89" customWidth="1"/>
    <col min="11561" max="11561" width="19" style="89" customWidth="1"/>
    <col min="11562" max="11565" width="11.42578125" style="89" customWidth="1"/>
    <col min="11566" max="11566" width="15.140625" style="89" customWidth="1"/>
    <col min="11567" max="11567" width="14" style="89" customWidth="1"/>
    <col min="11568" max="11568" width="15.140625" style="89" customWidth="1"/>
    <col min="11569" max="11569" width="11.42578125" style="89" customWidth="1"/>
    <col min="11570" max="11570" width="51.7109375" style="89" customWidth="1"/>
    <col min="11571" max="11572" width="29.5703125" style="89" customWidth="1"/>
    <col min="11573" max="11573" width="44.42578125" style="89" customWidth="1"/>
    <col min="11574" max="11574" width="36.28515625" style="89" customWidth="1"/>
    <col min="11575" max="11575" width="27.42578125" style="89" bestFit="1" customWidth="1"/>
    <col min="11576" max="11796" width="11.42578125" style="89"/>
    <col min="11797" max="11797" width="15.5703125" style="89" bestFit="1" customWidth="1"/>
    <col min="11798" max="11798" width="33.7109375" style="89" customWidth="1"/>
    <col min="11799" max="11799" width="19" style="89" customWidth="1"/>
    <col min="11800" max="11800" width="19.85546875" style="89" customWidth="1"/>
    <col min="11801" max="11801" width="18.5703125" style="89" customWidth="1"/>
    <col min="11802" max="11802" width="19.7109375" style="89" customWidth="1"/>
    <col min="11803" max="11803" width="14.85546875" style="89" customWidth="1"/>
    <col min="11804" max="11804" width="16.85546875" style="89" customWidth="1"/>
    <col min="11805" max="11807" width="11.42578125" style="89" customWidth="1"/>
    <col min="11808" max="11808" width="18.140625" style="89" customWidth="1"/>
    <col min="11809" max="11809" width="11.42578125" style="89" customWidth="1"/>
    <col min="11810" max="11810" width="12.5703125" style="89" customWidth="1"/>
    <col min="11811" max="11811" width="25" style="89" customWidth="1"/>
    <col min="11812" max="11812" width="16.5703125" style="89" bestFit="1" customWidth="1"/>
    <col min="11813" max="11813" width="24" style="89" customWidth="1"/>
    <col min="11814" max="11814" width="11.42578125" style="89" customWidth="1"/>
    <col min="11815" max="11815" width="20" style="89" customWidth="1"/>
    <col min="11816" max="11816" width="11.42578125" style="89" customWidth="1"/>
    <col min="11817" max="11817" width="19" style="89" customWidth="1"/>
    <col min="11818" max="11821" width="11.42578125" style="89" customWidth="1"/>
    <col min="11822" max="11822" width="15.140625" style="89" customWidth="1"/>
    <col min="11823" max="11823" width="14" style="89" customWidth="1"/>
    <col min="11824" max="11824" width="15.140625" style="89" customWidth="1"/>
    <col min="11825" max="11825" width="11.42578125" style="89" customWidth="1"/>
    <col min="11826" max="11826" width="51.7109375" style="89" customWidth="1"/>
    <col min="11827" max="11828" width="29.5703125" style="89" customWidth="1"/>
    <col min="11829" max="11829" width="44.42578125" style="89" customWidth="1"/>
    <col min="11830" max="11830" width="36.28515625" style="89" customWidth="1"/>
    <col min="11831" max="11831" width="27.42578125" style="89" bestFit="1" customWidth="1"/>
    <col min="11832" max="12052" width="11.42578125" style="89"/>
    <col min="12053" max="12053" width="15.5703125" style="89" bestFit="1" customWidth="1"/>
    <col min="12054" max="12054" width="33.7109375" style="89" customWidth="1"/>
    <col min="12055" max="12055" width="19" style="89" customWidth="1"/>
    <col min="12056" max="12056" width="19.85546875" style="89" customWidth="1"/>
    <col min="12057" max="12057" width="18.5703125" style="89" customWidth="1"/>
    <col min="12058" max="12058" width="19.7109375" style="89" customWidth="1"/>
    <col min="12059" max="12059" width="14.85546875" style="89" customWidth="1"/>
    <col min="12060" max="12060" width="16.85546875" style="89" customWidth="1"/>
    <col min="12061" max="12063" width="11.42578125" style="89" customWidth="1"/>
    <col min="12064" max="12064" width="18.140625" style="89" customWidth="1"/>
    <col min="12065" max="12065" width="11.42578125" style="89" customWidth="1"/>
    <col min="12066" max="12066" width="12.5703125" style="89" customWidth="1"/>
    <col min="12067" max="12067" width="25" style="89" customWidth="1"/>
    <col min="12068" max="12068" width="16.5703125" style="89" bestFit="1" customWidth="1"/>
    <col min="12069" max="12069" width="24" style="89" customWidth="1"/>
    <col min="12070" max="12070" width="11.42578125" style="89" customWidth="1"/>
    <col min="12071" max="12071" width="20" style="89" customWidth="1"/>
    <col min="12072" max="12072" width="11.42578125" style="89" customWidth="1"/>
    <col min="12073" max="12073" width="19" style="89" customWidth="1"/>
    <col min="12074" max="12077" width="11.42578125" style="89" customWidth="1"/>
    <col min="12078" max="12078" width="15.140625" style="89" customWidth="1"/>
    <col min="12079" max="12079" width="14" style="89" customWidth="1"/>
    <col min="12080" max="12080" width="15.140625" style="89" customWidth="1"/>
    <col min="12081" max="12081" width="11.42578125" style="89" customWidth="1"/>
    <col min="12082" max="12082" width="51.7109375" style="89" customWidth="1"/>
    <col min="12083" max="12084" width="29.5703125" style="89" customWidth="1"/>
    <col min="12085" max="12085" width="44.42578125" style="89" customWidth="1"/>
    <col min="12086" max="12086" width="36.28515625" style="89" customWidth="1"/>
    <col min="12087" max="12087" width="27.42578125" style="89" bestFit="1" customWidth="1"/>
    <col min="12088" max="12308" width="11.42578125" style="89"/>
    <col min="12309" max="12309" width="15.5703125" style="89" bestFit="1" customWidth="1"/>
    <col min="12310" max="12310" width="33.7109375" style="89" customWidth="1"/>
    <col min="12311" max="12311" width="19" style="89" customWidth="1"/>
    <col min="12312" max="12312" width="19.85546875" style="89" customWidth="1"/>
    <col min="12313" max="12313" width="18.5703125" style="89" customWidth="1"/>
    <col min="12314" max="12314" width="19.7109375" style="89" customWidth="1"/>
    <col min="12315" max="12315" width="14.85546875" style="89" customWidth="1"/>
    <col min="12316" max="12316" width="16.85546875" style="89" customWidth="1"/>
    <col min="12317" max="12319" width="11.42578125" style="89" customWidth="1"/>
    <col min="12320" max="12320" width="18.140625" style="89" customWidth="1"/>
    <col min="12321" max="12321" width="11.42578125" style="89" customWidth="1"/>
    <col min="12322" max="12322" width="12.5703125" style="89" customWidth="1"/>
    <col min="12323" max="12323" width="25" style="89" customWidth="1"/>
    <col min="12324" max="12324" width="16.5703125" style="89" bestFit="1" customWidth="1"/>
    <col min="12325" max="12325" width="24" style="89" customWidth="1"/>
    <col min="12326" max="12326" width="11.42578125" style="89" customWidth="1"/>
    <col min="12327" max="12327" width="20" style="89" customWidth="1"/>
    <col min="12328" max="12328" width="11.42578125" style="89" customWidth="1"/>
    <col min="12329" max="12329" width="19" style="89" customWidth="1"/>
    <col min="12330" max="12333" width="11.42578125" style="89" customWidth="1"/>
    <col min="12334" max="12334" width="15.140625" style="89" customWidth="1"/>
    <col min="12335" max="12335" width="14" style="89" customWidth="1"/>
    <col min="12336" max="12336" width="15.140625" style="89" customWidth="1"/>
    <col min="12337" max="12337" width="11.42578125" style="89" customWidth="1"/>
    <col min="12338" max="12338" width="51.7109375" style="89" customWidth="1"/>
    <col min="12339" max="12340" width="29.5703125" style="89" customWidth="1"/>
    <col min="12341" max="12341" width="44.42578125" style="89" customWidth="1"/>
    <col min="12342" max="12342" width="36.28515625" style="89" customWidth="1"/>
    <col min="12343" max="12343" width="27.42578125" style="89" bestFit="1" customWidth="1"/>
    <col min="12344" max="12564" width="11.42578125" style="89"/>
    <col min="12565" max="12565" width="15.5703125" style="89" bestFit="1" customWidth="1"/>
    <col min="12566" max="12566" width="33.7109375" style="89" customWidth="1"/>
    <col min="12567" max="12567" width="19" style="89" customWidth="1"/>
    <col min="12568" max="12568" width="19.85546875" style="89" customWidth="1"/>
    <col min="12569" max="12569" width="18.5703125" style="89" customWidth="1"/>
    <col min="12570" max="12570" width="19.7109375" style="89" customWidth="1"/>
    <col min="12571" max="12571" width="14.85546875" style="89" customWidth="1"/>
    <col min="12572" max="12572" width="16.85546875" style="89" customWidth="1"/>
    <col min="12573" max="12575" width="11.42578125" style="89" customWidth="1"/>
    <col min="12576" max="12576" width="18.140625" style="89" customWidth="1"/>
    <col min="12577" max="12577" width="11.42578125" style="89" customWidth="1"/>
    <col min="12578" max="12578" width="12.5703125" style="89" customWidth="1"/>
    <col min="12579" max="12579" width="25" style="89" customWidth="1"/>
    <col min="12580" max="12580" width="16.5703125" style="89" bestFit="1" customWidth="1"/>
    <col min="12581" max="12581" width="24" style="89" customWidth="1"/>
    <col min="12582" max="12582" width="11.42578125" style="89" customWidth="1"/>
    <col min="12583" max="12583" width="20" style="89" customWidth="1"/>
    <col min="12584" max="12584" width="11.42578125" style="89" customWidth="1"/>
    <col min="12585" max="12585" width="19" style="89" customWidth="1"/>
    <col min="12586" max="12589" width="11.42578125" style="89" customWidth="1"/>
    <col min="12590" max="12590" width="15.140625" style="89" customWidth="1"/>
    <col min="12591" max="12591" width="14" style="89" customWidth="1"/>
    <col min="12592" max="12592" width="15.140625" style="89" customWidth="1"/>
    <col min="12593" max="12593" width="11.42578125" style="89" customWidth="1"/>
    <col min="12594" max="12594" width="51.7109375" style="89" customWidth="1"/>
    <col min="12595" max="12596" width="29.5703125" style="89" customWidth="1"/>
    <col min="12597" max="12597" width="44.42578125" style="89" customWidth="1"/>
    <col min="12598" max="12598" width="36.28515625" style="89" customWidth="1"/>
    <col min="12599" max="12599" width="27.42578125" style="89" bestFit="1" customWidth="1"/>
    <col min="12600" max="12820" width="11.42578125" style="89"/>
    <col min="12821" max="12821" width="15.5703125" style="89" bestFit="1" customWidth="1"/>
    <col min="12822" max="12822" width="33.7109375" style="89" customWidth="1"/>
    <col min="12823" max="12823" width="19" style="89" customWidth="1"/>
    <col min="12824" max="12824" width="19.85546875" style="89" customWidth="1"/>
    <col min="12825" max="12825" width="18.5703125" style="89" customWidth="1"/>
    <col min="12826" max="12826" width="19.7109375" style="89" customWidth="1"/>
    <col min="12827" max="12827" width="14.85546875" style="89" customWidth="1"/>
    <col min="12828" max="12828" width="16.85546875" style="89" customWidth="1"/>
    <col min="12829" max="12831" width="11.42578125" style="89" customWidth="1"/>
    <col min="12832" max="12832" width="18.140625" style="89" customWidth="1"/>
    <col min="12833" max="12833" width="11.42578125" style="89" customWidth="1"/>
    <col min="12834" max="12834" width="12.5703125" style="89" customWidth="1"/>
    <col min="12835" max="12835" width="25" style="89" customWidth="1"/>
    <col min="12836" max="12836" width="16.5703125" style="89" bestFit="1" customWidth="1"/>
    <col min="12837" max="12837" width="24" style="89" customWidth="1"/>
    <col min="12838" max="12838" width="11.42578125" style="89" customWidth="1"/>
    <col min="12839" max="12839" width="20" style="89" customWidth="1"/>
    <col min="12840" max="12840" width="11.42578125" style="89" customWidth="1"/>
    <col min="12841" max="12841" width="19" style="89" customWidth="1"/>
    <col min="12842" max="12845" width="11.42578125" style="89" customWidth="1"/>
    <col min="12846" max="12846" width="15.140625" style="89" customWidth="1"/>
    <col min="12847" max="12847" width="14" style="89" customWidth="1"/>
    <col min="12848" max="12848" width="15.140625" style="89" customWidth="1"/>
    <col min="12849" max="12849" width="11.42578125" style="89" customWidth="1"/>
    <col min="12850" max="12850" width="51.7109375" style="89" customWidth="1"/>
    <col min="12851" max="12852" width="29.5703125" style="89" customWidth="1"/>
    <col min="12853" max="12853" width="44.42578125" style="89" customWidth="1"/>
    <col min="12854" max="12854" width="36.28515625" style="89" customWidth="1"/>
    <col min="12855" max="12855" width="27.42578125" style="89" bestFit="1" customWidth="1"/>
    <col min="12856" max="13076" width="11.42578125" style="89"/>
    <col min="13077" max="13077" width="15.5703125" style="89" bestFit="1" customWidth="1"/>
    <col min="13078" max="13078" width="33.7109375" style="89" customWidth="1"/>
    <col min="13079" max="13079" width="19" style="89" customWidth="1"/>
    <col min="13080" max="13080" width="19.85546875" style="89" customWidth="1"/>
    <col min="13081" max="13081" width="18.5703125" style="89" customWidth="1"/>
    <col min="13082" max="13082" width="19.7109375" style="89" customWidth="1"/>
    <col min="13083" max="13083" width="14.85546875" style="89" customWidth="1"/>
    <col min="13084" max="13084" width="16.85546875" style="89" customWidth="1"/>
    <col min="13085" max="13087" width="11.42578125" style="89" customWidth="1"/>
    <col min="13088" max="13088" width="18.140625" style="89" customWidth="1"/>
    <col min="13089" max="13089" width="11.42578125" style="89" customWidth="1"/>
    <col min="13090" max="13090" width="12.5703125" style="89" customWidth="1"/>
    <col min="13091" max="13091" width="25" style="89" customWidth="1"/>
    <col min="13092" max="13092" width="16.5703125" style="89" bestFit="1" customWidth="1"/>
    <col min="13093" max="13093" width="24" style="89" customWidth="1"/>
    <col min="13094" max="13094" width="11.42578125" style="89" customWidth="1"/>
    <col min="13095" max="13095" width="20" style="89" customWidth="1"/>
    <col min="13096" max="13096" width="11.42578125" style="89" customWidth="1"/>
    <col min="13097" max="13097" width="19" style="89" customWidth="1"/>
    <col min="13098" max="13101" width="11.42578125" style="89" customWidth="1"/>
    <col min="13102" max="13102" width="15.140625" style="89" customWidth="1"/>
    <col min="13103" max="13103" width="14" style="89" customWidth="1"/>
    <col min="13104" max="13104" width="15.140625" style="89" customWidth="1"/>
    <col min="13105" max="13105" width="11.42578125" style="89" customWidth="1"/>
    <col min="13106" max="13106" width="51.7109375" style="89" customWidth="1"/>
    <col min="13107" max="13108" width="29.5703125" style="89" customWidth="1"/>
    <col min="13109" max="13109" width="44.42578125" style="89" customWidth="1"/>
    <col min="13110" max="13110" width="36.28515625" style="89" customWidth="1"/>
    <col min="13111" max="13111" width="27.42578125" style="89" bestFit="1" customWidth="1"/>
    <col min="13112" max="13332" width="11.42578125" style="89"/>
    <col min="13333" max="13333" width="15.5703125" style="89" bestFit="1" customWidth="1"/>
    <col min="13334" max="13334" width="33.7109375" style="89" customWidth="1"/>
    <col min="13335" max="13335" width="19" style="89" customWidth="1"/>
    <col min="13336" max="13336" width="19.85546875" style="89" customWidth="1"/>
    <col min="13337" max="13337" width="18.5703125" style="89" customWidth="1"/>
    <col min="13338" max="13338" width="19.7109375" style="89" customWidth="1"/>
    <col min="13339" max="13339" width="14.85546875" style="89" customWidth="1"/>
    <col min="13340" max="13340" width="16.85546875" style="89" customWidth="1"/>
    <col min="13341" max="13343" width="11.42578125" style="89" customWidth="1"/>
    <col min="13344" max="13344" width="18.140625" style="89" customWidth="1"/>
    <col min="13345" max="13345" width="11.42578125" style="89" customWidth="1"/>
    <col min="13346" max="13346" width="12.5703125" style="89" customWidth="1"/>
    <col min="13347" max="13347" width="25" style="89" customWidth="1"/>
    <col min="13348" max="13348" width="16.5703125" style="89" bestFit="1" customWidth="1"/>
    <col min="13349" max="13349" width="24" style="89" customWidth="1"/>
    <col min="13350" max="13350" width="11.42578125" style="89" customWidth="1"/>
    <col min="13351" max="13351" width="20" style="89" customWidth="1"/>
    <col min="13352" max="13352" width="11.42578125" style="89" customWidth="1"/>
    <col min="13353" max="13353" width="19" style="89" customWidth="1"/>
    <col min="13354" max="13357" width="11.42578125" style="89" customWidth="1"/>
    <col min="13358" max="13358" width="15.140625" style="89" customWidth="1"/>
    <col min="13359" max="13359" width="14" style="89" customWidth="1"/>
    <col min="13360" max="13360" width="15.140625" style="89" customWidth="1"/>
    <col min="13361" max="13361" width="11.42578125" style="89" customWidth="1"/>
    <col min="13362" max="13362" width="51.7109375" style="89" customWidth="1"/>
    <col min="13363" max="13364" width="29.5703125" style="89" customWidth="1"/>
    <col min="13365" max="13365" width="44.42578125" style="89" customWidth="1"/>
    <col min="13366" max="13366" width="36.28515625" style="89" customWidth="1"/>
    <col min="13367" max="13367" width="27.42578125" style="89" bestFit="1" customWidth="1"/>
    <col min="13368" max="13588" width="11.42578125" style="89"/>
    <col min="13589" max="13589" width="15.5703125" style="89" bestFit="1" customWidth="1"/>
    <col min="13590" max="13590" width="33.7109375" style="89" customWidth="1"/>
    <col min="13591" max="13591" width="19" style="89" customWidth="1"/>
    <col min="13592" max="13592" width="19.85546875" style="89" customWidth="1"/>
    <col min="13593" max="13593" width="18.5703125" style="89" customWidth="1"/>
    <col min="13594" max="13594" width="19.7109375" style="89" customWidth="1"/>
    <col min="13595" max="13595" width="14.85546875" style="89" customWidth="1"/>
    <col min="13596" max="13596" width="16.85546875" style="89" customWidth="1"/>
    <col min="13597" max="13599" width="11.42578125" style="89" customWidth="1"/>
    <col min="13600" max="13600" width="18.140625" style="89" customWidth="1"/>
    <col min="13601" max="13601" width="11.42578125" style="89" customWidth="1"/>
    <col min="13602" max="13602" width="12.5703125" style="89" customWidth="1"/>
    <col min="13603" max="13603" width="25" style="89" customWidth="1"/>
    <col min="13604" max="13604" width="16.5703125" style="89" bestFit="1" customWidth="1"/>
    <col min="13605" max="13605" width="24" style="89" customWidth="1"/>
    <col min="13606" max="13606" width="11.42578125" style="89" customWidth="1"/>
    <col min="13607" max="13607" width="20" style="89" customWidth="1"/>
    <col min="13608" max="13608" width="11.42578125" style="89" customWidth="1"/>
    <col min="13609" max="13609" width="19" style="89" customWidth="1"/>
    <col min="13610" max="13613" width="11.42578125" style="89" customWidth="1"/>
    <col min="13614" max="13614" width="15.140625" style="89" customWidth="1"/>
    <col min="13615" max="13615" width="14" style="89" customWidth="1"/>
    <col min="13616" max="13616" width="15.140625" style="89" customWidth="1"/>
    <col min="13617" max="13617" width="11.42578125" style="89" customWidth="1"/>
    <col min="13618" max="13618" width="51.7109375" style="89" customWidth="1"/>
    <col min="13619" max="13620" width="29.5703125" style="89" customWidth="1"/>
    <col min="13621" max="13621" width="44.42578125" style="89" customWidth="1"/>
    <col min="13622" max="13622" width="36.28515625" style="89" customWidth="1"/>
    <col min="13623" max="13623" width="27.42578125" style="89" bestFit="1" customWidth="1"/>
    <col min="13624" max="13844" width="11.42578125" style="89"/>
    <col min="13845" max="13845" width="15.5703125" style="89" bestFit="1" customWidth="1"/>
    <col min="13846" max="13846" width="33.7109375" style="89" customWidth="1"/>
    <col min="13847" max="13847" width="19" style="89" customWidth="1"/>
    <col min="13848" max="13848" width="19.85546875" style="89" customWidth="1"/>
    <col min="13849" max="13849" width="18.5703125" style="89" customWidth="1"/>
    <col min="13850" max="13850" width="19.7109375" style="89" customWidth="1"/>
    <col min="13851" max="13851" width="14.85546875" style="89" customWidth="1"/>
    <col min="13852" max="13852" width="16.85546875" style="89" customWidth="1"/>
    <col min="13853" max="13855" width="11.42578125" style="89" customWidth="1"/>
    <col min="13856" max="13856" width="18.140625" style="89" customWidth="1"/>
    <col min="13857" max="13857" width="11.42578125" style="89" customWidth="1"/>
    <col min="13858" max="13858" width="12.5703125" style="89" customWidth="1"/>
    <col min="13859" max="13859" width="25" style="89" customWidth="1"/>
    <col min="13860" max="13860" width="16.5703125" style="89" bestFit="1" customWidth="1"/>
    <col min="13861" max="13861" width="24" style="89" customWidth="1"/>
    <col min="13862" max="13862" width="11.42578125" style="89" customWidth="1"/>
    <col min="13863" max="13863" width="20" style="89" customWidth="1"/>
    <col min="13864" max="13864" width="11.42578125" style="89" customWidth="1"/>
    <col min="13865" max="13865" width="19" style="89" customWidth="1"/>
    <col min="13866" max="13869" width="11.42578125" style="89" customWidth="1"/>
    <col min="13870" max="13870" width="15.140625" style="89" customWidth="1"/>
    <col min="13871" max="13871" width="14" style="89" customWidth="1"/>
    <col min="13872" max="13872" width="15.140625" style="89" customWidth="1"/>
    <col min="13873" max="13873" width="11.42578125" style="89" customWidth="1"/>
    <col min="13874" max="13874" width="51.7109375" style="89" customWidth="1"/>
    <col min="13875" max="13876" width="29.5703125" style="89" customWidth="1"/>
    <col min="13877" max="13877" width="44.42578125" style="89" customWidth="1"/>
    <col min="13878" max="13878" width="36.28515625" style="89" customWidth="1"/>
    <col min="13879" max="13879" width="27.42578125" style="89" bestFit="1" customWidth="1"/>
    <col min="13880" max="14100" width="11.42578125" style="89"/>
    <col min="14101" max="14101" width="15.5703125" style="89" bestFit="1" customWidth="1"/>
    <col min="14102" max="14102" width="33.7109375" style="89" customWidth="1"/>
    <col min="14103" max="14103" width="19" style="89" customWidth="1"/>
    <col min="14104" max="14104" width="19.85546875" style="89" customWidth="1"/>
    <col min="14105" max="14105" width="18.5703125" style="89" customWidth="1"/>
    <col min="14106" max="14106" width="19.7109375" style="89" customWidth="1"/>
    <col min="14107" max="14107" width="14.85546875" style="89" customWidth="1"/>
    <col min="14108" max="14108" width="16.85546875" style="89" customWidth="1"/>
    <col min="14109" max="14111" width="11.42578125" style="89" customWidth="1"/>
    <col min="14112" max="14112" width="18.140625" style="89" customWidth="1"/>
    <col min="14113" max="14113" width="11.42578125" style="89" customWidth="1"/>
    <col min="14114" max="14114" width="12.5703125" style="89" customWidth="1"/>
    <col min="14115" max="14115" width="25" style="89" customWidth="1"/>
    <col min="14116" max="14116" width="16.5703125" style="89" bestFit="1" customWidth="1"/>
    <col min="14117" max="14117" width="24" style="89" customWidth="1"/>
    <col min="14118" max="14118" width="11.42578125" style="89" customWidth="1"/>
    <col min="14119" max="14119" width="20" style="89" customWidth="1"/>
    <col min="14120" max="14120" width="11.42578125" style="89" customWidth="1"/>
    <col min="14121" max="14121" width="19" style="89" customWidth="1"/>
    <col min="14122" max="14125" width="11.42578125" style="89" customWidth="1"/>
    <col min="14126" max="14126" width="15.140625" style="89" customWidth="1"/>
    <col min="14127" max="14127" width="14" style="89" customWidth="1"/>
    <col min="14128" max="14128" width="15.140625" style="89" customWidth="1"/>
    <col min="14129" max="14129" width="11.42578125" style="89" customWidth="1"/>
    <col min="14130" max="14130" width="51.7109375" style="89" customWidth="1"/>
    <col min="14131" max="14132" width="29.5703125" style="89" customWidth="1"/>
    <col min="14133" max="14133" width="44.42578125" style="89" customWidth="1"/>
    <col min="14134" max="14134" width="36.28515625" style="89" customWidth="1"/>
    <col min="14135" max="14135" width="27.42578125" style="89" bestFit="1" customWidth="1"/>
    <col min="14136" max="14356" width="11.42578125" style="89"/>
    <col min="14357" max="14357" width="15.5703125" style="89" bestFit="1" customWidth="1"/>
    <col min="14358" max="14358" width="33.7109375" style="89" customWidth="1"/>
    <col min="14359" max="14359" width="19" style="89" customWidth="1"/>
    <col min="14360" max="14360" width="19.85546875" style="89" customWidth="1"/>
    <col min="14361" max="14361" width="18.5703125" style="89" customWidth="1"/>
    <col min="14362" max="14362" width="19.7109375" style="89" customWidth="1"/>
    <col min="14363" max="14363" width="14.85546875" style="89" customWidth="1"/>
    <col min="14364" max="14364" width="16.85546875" style="89" customWidth="1"/>
    <col min="14365" max="14367" width="11.42578125" style="89" customWidth="1"/>
    <col min="14368" max="14368" width="18.140625" style="89" customWidth="1"/>
    <col min="14369" max="14369" width="11.42578125" style="89" customWidth="1"/>
    <col min="14370" max="14370" width="12.5703125" style="89" customWidth="1"/>
    <col min="14371" max="14371" width="25" style="89" customWidth="1"/>
    <col min="14372" max="14372" width="16.5703125" style="89" bestFit="1" customWidth="1"/>
    <col min="14373" max="14373" width="24" style="89" customWidth="1"/>
    <col min="14374" max="14374" width="11.42578125" style="89" customWidth="1"/>
    <col min="14375" max="14375" width="20" style="89" customWidth="1"/>
    <col min="14376" max="14376" width="11.42578125" style="89" customWidth="1"/>
    <col min="14377" max="14377" width="19" style="89" customWidth="1"/>
    <col min="14378" max="14381" width="11.42578125" style="89" customWidth="1"/>
    <col min="14382" max="14382" width="15.140625" style="89" customWidth="1"/>
    <col min="14383" max="14383" width="14" style="89" customWidth="1"/>
    <col min="14384" max="14384" width="15.140625" style="89" customWidth="1"/>
    <col min="14385" max="14385" width="11.42578125" style="89" customWidth="1"/>
    <col min="14386" max="14386" width="51.7109375" style="89" customWidth="1"/>
    <col min="14387" max="14388" width="29.5703125" style="89" customWidth="1"/>
    <col min="14389" max="14389" width="44.42578125" style="89" customWidth="1"/>
    <col min="14390" max="14390" width="36.28515625" style="89" customWidth="1"/>
    <col min="14391" max="14391" width="27.42578125" style="89" bestFit="1" customWidth="1"/>
    <col min="14392" max="14612" width="11.42578125" style="89"/>
    <col min="14613" max="14613" width="15.5703125" style="89" bestFit="1" customWidth="1"/>
    <col min="14614" max="14614" width="33.7109375" style="89" customWidth="1"/>
    <col min="14615" max="14615" width="19" style="89" customWidth="1"/>
    <col min="14616" max="14616" width="19.85546875" style="89" customWidth="1"/>
    <col min="14617" max="14617" width="18.5703125" style="89" customWidth="1"/>
    <col min="14618" max="14618" width="19.7109375" style="89" customWidth="1"/>
    <col min="14619" max="14619" width="14.85546875" style="89" customWidth="1"/>
    <col min="14620" max="14620" width="16.85546875" style="89" customWidth="1"/>
    <col min="14621" max="14623" width="11.42578125" style="89" customWidth="1"/>
    <col min="14624" max="14624" width="18.140625" style="89" customWidth="1"/>
    <col min="14625" max="14625" width="11.42578125" style="89" customWidth="1"/>
    <col min="14626" max="14626" width="12.5703125" style="89" customWidth="1"/>
    <col min="14627" max="14627" width="25" style="89" customWidth="1"/>
    <col min="14628" max="14628" width="16.5703125" style="89" bestFit="1" customWidth="1"/>
    <col min="14629" max="14629" width="24" style="89" customWidth="1"/>
    <col min="14630" max="14630" width="11.42578125" style="89" customWidth="1"/>
    <col min="14631" max="14631" width="20" style="89" customWidth="1"/>
    <col min="14632" max="14632" width="11.42578125" style="89" customWidth="1"/>
    <col min="14633" max="14633" width="19" style="89" customWidth="1"/>
    <col min="14634" max="14637" width="11.42578125" style="89" customWidth="1"/>
    <col min="14638" max="14638" width="15.140625" style="89" customWidth="1"/>
    <col min="14639" max="14639" width="14" style="89" customWidth="1"/>
    <col min="14640" max="14640" width="15.140625" style="89" customWidth="1"/>
    <col min="14641" max="14641" width="11.42578125" style="89" customWidth="1"/>
    <col min="14642" max="14642" width="51.7109375" style="89" customWidth="1"/>
    <col min="14643" max="14644" width="29.5703125" style="89" customWidth="1"/>
    <col min="14645" max="14645" width="44.42578125" style="89" customWidth="1"/>
    <col min="14646" max="14646" width="36.28515625" style="89" customWidth="1"/>
    <col min="14647" max="14647" width="27.42578125" style="89" bestFit="1" customWidth="1"/>
    <col min="14648" max="14868" width="11.42578125" style="89"/>
    <col min="14869" max="14869" width="15.5703125" style="89" bestFit="1" customWidth="1"/>
    <col min="14870" max="14870" width="33.7109375" style="89" customWidth="1"/>
    <col min="14871" max="14871" width="19" style="89" customWidth="1"/>
    <col min="14872" max="14872" width="19.85546875" style="89" customWidth="1"/>
    <col min="14873" max="14873" width="18.5703125" style="89" customWidth="1"/>
    <col min="14874" max="14874" width="19.7109375" style="89" customWidth="1"/>
    <col min="14875" max="14875" width="14.85546875" style="89" customWidth="1"/>
    <col min="14876" max="14876" width="16.85546875" style="89" customWidth="1"/>
    <col min="14877" max="14879" width="11.42578125" style="89" customWidth="1"/>
    <col min="14880" max="14880" width="18.140625" style="89" customWidth="1"/>
    <col min="14881" max="14881" width="11.42578125" style="89" customWidth="1"/>
    <col min="14882" max="14882" width="12.5703125" style="89" customWidth="1"/>
    <col min="14883" max="14883" width="25" style="89" customWidth="1"/>
    <col min="14884" max="14884" width="16.5703125" style="89" bestFit="1" customWidth="1"/>
    <col min="14885" max="14885" width="24" style="89" customWidth="1"/>
    <col min="14886" max="14886" width="11.42578125" style="89" customWidth="1"/>
    <col min="14887" max="14887" width="20" style="89" customWidth="1"/>
    <col min="14888" max="14888" width="11.42578125" style="89" customWidth="1"/>
    <col min="14889" max="14889" width="19" style="89" customWidth="1"/>
    <col min="14890" max="14893" width="11.42578125" style="89" customWidth="1"/>
    <col min="14894" max="14894" width="15.140625" style="89" customWidth="1"/>
    <col min="14895" max="14895" width="14" style="89" customWidth="1"/>
    <col min="14896" max="14896" width="15.140625" style="89" customWidth="1"/>
    <col min="14897" max="14897" width="11.42578125" style="89" customWidth="1"/>
    <col min="14898" max="14898" width="51.7109375" style="89" customWidth="1"/>
    <col min="14899" max="14900" width="29.5703125" style="89" customWidth="1"/>
    <col min="14901" max="14901" width="44.42578125" style="89" customWidth="1"/>
    <col min="14902" max="14902" width="36.28515625" style="89" customWidth="1"/>
    <col min="14903" max="14903" width="27.42578125" style="89" bestFit="1" customWidth="1"/>
    <col min="14904" max="15124" width="11.42578125" style="89"/>
    <col min="15125" max="15125" width="15.5703125" style="89" bestFit="1" customWidth="1"/>
    <col min="15126" max="15126" width="33.7109375" style="89" customWidth="1"/>
    <col min="15127" max="15127" width="19" style="89" customWidth="1"/>
    <col min="15128" max="15128" width="19.85546875" style="89" customWidth="1"/>
    <col min="15129" max="15129" width="18.5703125" style="89" customWidth="1"/>
    <col min="15130" max="15130" width="19.7109375" style="89" customWidth="1"/>
    <col min="15131" max="15131" width="14.85546875" style="89" customWidth="1"/>
    <col min="15132" max="15132" width="16.85546875" style="89" customWidth="1"/>
    <col min="15133" max="15135" width="11.42578125" style="89" customWidth="1"/>
    <col min="15136" max="15136" width="18.140625" style="89" customWidth="1"/>
    <col min="15137" max="15137" width="11.42578125" style="89" customWidth="1"/>
    <col min="15138" max="15138" width="12.5703125" style="89" customWidth="1"/>
    <col min="15139" max="15139" width="25" style="89" customWidth="1"/>
    <col min="15140" max="15140" width="16.5703125" style="89" bestFit="1" customWidth="1"/>
    <col min="15141" max="15141" width="24" style="89" customWidth="1"/>
    <col min="15142" max="15142" width="11.42578125" style="89" customWidth="1"/>
    <col min="15143" max="15143" width="20" style="89" customWidth="1"/>
    <col min="15144" max="15144" width="11.42578125" style="89" customWidth="1"/>
    <col min="15145" max="15145" width="19" style="89" customWidth="1"/>
    <col min="15146" max="15149" width="11.42578125" style="89" customWidth="1"/>
    <col min="15150" max="15150" width="15.140625" style="89" customWidth="1"/>
    <col min="15151" max="15151" width="14" style="89" customWidth="1"/>
    <col min="15152" max="15152" width="15.140625" style="89" customWidth="1"/>
    <col min="15153" max="15153" width="11.42578125" style="89" customWidth="1"/>
    <col min="15154" max="15154" width="51.7109375" style="89" customWidth="1"/>
    <col min="15155" max="15156" width="29.5703125" style="89" customWidth="1"/>
    <col min="15157" max="15157" width="44.42578125" style="89" customWidth="1"/>
    <col min="15158" max="15158" width="36.28515625" style="89" customWidth="1"/>
    <col min="15159" max="15159" width="27.42578125" style="89" bestFit="1" customWidth="1"/>
    <col min="15160" max="15380" width="11.42578125" style="89"/>
    <col min="15381" max="15381" width="15.5703125" style="89" bestFit="1" customWidth="1"/>
    <col min="15382" max="15382" width="33.7109375" style="89" customWidth="1"/>
    <col min="15383" max="15383" width="19" style="89" customWidth="1"/>
    <col min="15384" max="15384" width="19.85546875" style="89" customWidth="1"/>
    <col min="15385" max="15385" width="18.5703125" style="89" customWidth="1"/>
    <col min="15386" max="15386" width="19.7109375" style="89" customWidth="1"/>
    <col min="15387" max="15387" width="14.85546875" style="89" customWidth="1"/>
    <col min="15388" max="15388" width="16.85546875" style="89" customWidth="1"/>
    <col min="15389" max="15391" width="11.42578125" style="89" customWidth="1"/>
    <col min="15392" max="15392" width="18.140625" style="89" customWidth="1"/>
    <col min="15393" max="15393" width="11.42578125" style="89" customWidth="1"/>
    <col min="15394" max="15394" width="12.5703125" style="89" customWidth="1"/>
    <col min="15395" max="15395" width="25" style="89" customWidth="1"/>
    <col min="15396" max="15396" width="16.5703125" style="89" bestFit="1" customWidth="1"/>
    <col min="15397" max="15397" width="24" style="89" customWidth="1"/>
    <col min="15398" max="15398" width="11.42578125" style="89" customWidth="1"/>
    <col min="15399" max="15399" width="20" style="89" customWidth="1"/>
    <col min="15400" max="15400" width="11.42578125" style="89" customWidth="1"/>
    <col min="15401" max="15401" width="19" style="89" customWidth="1"/>
    <col min="15402" max="15405" width="11.42578125" style="89" customWidth="1"/>
    <col min="15406" max="15406" width="15.140625" style="89" customWidth="1"/>
    <col min="15407" max="15407" width="14" style="89" customWidth="1"/>
    <col min="15408" max="15408" width="15.140625" style="89" customWidth="1"/>
    <col min="15409" max="15409" width="11.42578125" style="89" customWidth="1"/>
    <col min="15410" max="15410" width="51.7109375" style="89" customWidth="1"/>
    <col min="15411" max="15412" width="29.5703125" style="89" customWidth="1"/>
    <col min="15413" max="15413" width="44.42578125" style="89" customWidth="1"/>
    <col min="15414" max="15414" width="36.28515625" style="89" customWidth="1"/>
    <col min="15415" max="15415" width="27.42578125" style="89" bestFit="1" customWidth="1"/>
    <col min="15416" max="15636" width="11.42578125" style="89"/>
    <col min="15637" max="15637" width="15.5703125" style="89" bestFit="1" customWidth="1"/>
    <col min="15638" max="15638" width="33.7109375" style="89" customWidth="1"/>
    <col min="15639" max="15639" width="19" style="89" customWidth="1"/>
    <col min="15640" max="15640" width="19.85546875" style="89" customWidth="1"/>
    <col min="15641" max="15641" width="18.5703125" style="89" customWidth="1"/>
    <col min="15642" max="15642" width="19.7109375" style="89" customWidth="1"/>
    <col min="15643" max="15643" width="14.85546875" style="89" customWidth="1"/>
    <col min="15644" max="15644" width="16.85546875" style="89" customWidth="1"/>
    <col min="15645" max="15647" width="11.42578125" style="89" customWidth="1"/>
    <col min="15648" max="15648" width="18.140625" style="89" customWidth="1"/>
    <col min="15649" max="15649" width="11.42578125" style="89" customWidth="1"/>
    <col min="15650" max="15650" width="12.5703125" style="89" customWidth="1"/>
    <col min="15651" max="15651" width="25" style="89" customWidth="1"/>
    <col min="15652" max="15652" width="16.5703125" style="89" bestFit="1" customWidth="1"/>
    <col min="15653" max="15653" width="24" style="89" customWidth="1"/>
    <col min="15654" max="15654" width="11.42578125" style="89" customWidth="1"/>
    <col min="15655" max="15655" width="20" style="89" customWidth="1"/>
    <col min="15656" max="15656" width="11.42578125" style="89" customWidth="1"/>
    <col min="15657" max="15657" width="19" style="89" customWidth="1"/>
    <col min="15658" max="15661" width="11.42578125" style="89" customWidth="1"/>
    <col min="15662" max="15662" width="15.140625" style="89" customWidth="1"/>
    <col min="15663" max="15663" width="14" style="89" customWidth="1"/>
    <col min="15664" max="15664" width="15.140625" style="89" customWidth="1"/>
    <col min="15665" max="15665" width="11.42578125" style="89" customWidth="1"/>
    <col min="15666" max="15666" width="51.7109375" style="89" customWidth="1"/>
    <col min="15667" max="15668" width="29.5703125" style="89" customWidth="1"/>
    <col min="15669" max="15669" width="44.42578125" style="89" customWidth="1"/>
    <col min="15670" max="15670" width="36.28515625" style="89" customWidth="1"/>
    <col min="15671" max="15671" width="27.42578125" style="89" bestFit="1" customWidth="1"/>
    <col min="15672" max="15892" width="11.42578125" style="89"/>
    <col min="15893" max="15893" width="15.5703125" style="89" bestFit="1" customWidth="1"/>
    <col min="15894" max="15894" width="33.7109375" style="89" customWidth="1"/>
    <col min="15895" max="15895" width="19" style="89" customWidth="1"/>
    <col min="15896" max="15896" width="19.85546875" style="89" customWidth="1"/>
    <col min="15897" max="15897" width="18.5703125" style="89" customWidth="1"/>
    <col min="15898" max="15898" width="19.7109375" style="89" customWidth="1"/>
    <col min="15899" max="15899" width="14.85546875" style="89" customWidth="1"/>
    <col min="15900" max="15900" width="16.85546875" style="89" customWidth="1"/>
    <col min="15901" max="15903" width="11.42578125" style="89" customWidth="1"/>
    <col min="15904" max="15904" width="18.140625" style="89" customWidth="1"/>
    <col min="15905" max="15905" width="11.42578125" style="89" customWidth="1"/>
    <col min="15906" max="15906" width="12.5703125" style="89" customWidth="1"/>
    <col min="15907" max="15907" width="25" style="89" customWidth="1"/>
    <col min="15908" max="15908" width="16.5703125" style="89" bestFit="1" customWidth="1"/>
    <col min="15909" max="15909" width="24" style="89" customWidth="1"/>
    <col min="15910" max="15910" width="11.42578125" style="89" customWidth="1"/>
    <col min="15911" max="15911" width="20" style="89" customWidth="1"/>
    <col min="15912" max="15912" width="11.42578125" style="89" customWidth="1"/>
    <col min="15913" max="15913" width="19" style="89" customWidth="1"/>
    <col min="15914" max="15917" width="11.42578125" style="89" customWidth="1"/>
    <col min="15918" max="15918" width="15.140625" style="89" customWidth="1"/>
    <col min="15919" max="15919" width="14" style="89" customWidth="1"/>
    <col min="15920" max="15920" width="15.140625" style="89" customWidth="1"/>
    <col min="15921" max="15921" width="11.42578125" style="89" customWidth="1"/>
    <col min="15922" max="15922" width="51.7109375" style="89" customWidth="1"/>
    <col min="15923" max="15924" width="29.5703125" style="89" customWidth="1"/>
    <col min="15925" max="15925" width="44.42578125" style="89" customWidth="1"/>
    <col min="15926" max="15926" width="36.28515625" style="89" customWidth="1"/>
    <col min="15927" max="15927" width="27.42578125" style="89" bestFit="1" customWidth="1"/>
    <col min="15928" max="16148" width="11.42578125" style="89"/>
    <col min="16149" max="16149" width="15.5703125" style="89" bestFit="1" customWidth="1"/>
    <col min="16150" max="16150" width="33.7109375" style="89" customWidth="1"/>
    <col min="16151" max="16151" width="19" style="89" customWidth="1"/>
    <col min="16152" max="16152" width="19.85546875" style="89" customWidth="1"/>
    <col min="16153" max="16153" width="18.5703125" style="89" customWidth="1"/>
    <col min="16154" max="16154" width="19.7109375" style="89" customWidth="1"/>
    <col min="16155" max="16155" width="14.85546875" style="89" customWidth="1"/>
    <col min="16156" max="16156" width="16.85546875" style="89" customWidth="1"/>
    <col min="16157" max="16159" width="11.42578125" style="89" customWidth="1"/>
    <col min="16160" max="16160" width="18.140625" style="89" customWidth="1"/>
    <col min="16161" max="16161" width="11.42578125" style="89" customWidth="1"/>
    <col min="16162" max="16162" width="12.5703125" style="89" customWidth="1"/>
    <col min="16163" max="16163" width="25" style="89" customWidth="1"/>
    <col min="16164" max="16164" width="16.5703125" style="89" bestFit="1" customWidth="1"/>
    <col min="16165" max="16165" width="24" style="89" customWidth="1"/>
    <col min="16166" max="16166" width="11.42578125" style="89" customWidth="1"/>
    <col min="16167" max="16167" width="20" style="89" customWidth="1"/>
    <col min="16168" max="16168" width="11.42578125" style="89" customWidth="1"/>
    <col min="16169" max="16169" width="19" style="89" customWidth="1"/>
    <col min="16170" max="16173" width="11.42578125" style="89" customWidth="1"/>
    <col min="16174" max="16174" width="15.140625" style="89" customWidth="1"/>
    <col min="16175" max="16175" width="14" style="89" customWidth="1"/>
    <col min="16176" max="16176" width="15.140625" style="89" customWidth="1"/>
    <col min="16177" max="16177" width="11.42578125" style="89" customWidth="1"/>
    <col min="16178" max="16178" width="51.7109375" style="89" customWidth="1"/>
    <col min="16179" max="16180" width="29.5703125" style="89" customWidth="1"/>
    <col min="16181" max="16181" width="44.42578125" style="89" customWidth="1"/>
    <col min="16182" max="16182" width="36.28515625" style="89" customWidth="1"/>
    <col min="16183" max="16183" width="27.42578125" style="89" bestFit="1" customWidth="1"/>
    <col min="16184" max="16384" width="11.42578125" style="89"/>
  </cols>
  <sheetData>
    <row r="1" spans="1:76" s="90" customFormat="1" ht="34.5" customHeight="1" x14ac:dyDescent="0.6">
      <c r="AD1" s="238"/>
      <c r="AH1" s="238"/>
      <c r="AI1" s="238"/>
      <c r="AJ1" s="238"/>
      <c r="AR1" s="238"/>
      <c r="BL1" s="242" t="s">
        <v>218</v>
      </c>
      <c r="BM1" s="243"/>
      <c r="BN1" s="243"/>
      <c r="BO1" s="243"/>
      <c r="BP1" s="243"/>
      <c r="BQ1" s="243"/>
      <c r="BR1" s="243"/>
      <c r="BS1" s="243"/>
      <c r="BT1" s="243"/>
      <c r="BU1" s="243"/>
    </row>
    <row r="2" spans="1:76" ht="76.5" x14ac:dyDescent="0.25">
      <c r="A2" s="233" t="s">
        <v>176</v>
      </c>
      <c r="B2" s="234" t="s">
        <v>89</v>
      </c>
      <c r="C2" s="235" t="s">
        <v>90</v>
      </c>
      <c r="D2" s="235" t="s">
        <v>91</v>
      </c>
      <c r="E2" s="235" t="s">
        <v>92</v>
      </c>
      <c r="F2" s="236" t="s">
        <v>93</v>
      </c>
      <c r="G2" s="236" t="s">
        <v>94</v>
      </c>
      <c r="H2" s="236" t="s">
        <v>206</v>
      </c>
      <c r="I2" s="229" t="s">
        <v>95</v>
      </c>
      <c r="J2" s="226" t="s">
        <v>96</v>
      </c>
      <c r="K2" s="230" t="s">
        <v>97</v>
      </c>
      <c r="L2" s="226" t="s">
        <v>98</v>
      </c>
      <c r="M2" s="231" t="s">
        <v>99</v>
      </c>
      <c r="N2" s="231" t="s">
        <v>100</v>
      </c>
      <c r="O2" s="231" t="s">
        <v>101</v>
      </c>
      <c r="P2" s="226" t="s">
        <v>102</v>
      </c>
      <c r="Q2" s="226" t="s">
        <v>103</v>
      </c>
      <c r="R2" s="231" t="s">
        <v>145</v>
      </c>
      <c r="S2" s="237" t="s">
        <v>157</v>
      </c>
      <c r="T2" s="237" t="s">
        <v>158</v>
      </c>
      <c r="U2" s="237" t="s">
        <v>159</v>
      </c>
      <c r="V2" s="237" t="s">
        <v>160</v>
      </c>
      <c r="W2" s="237" t="s">
        <v>161</v>
      </c>
      <c r="X2" s="237" t="s">
        <v>211</v>
      </c>
      <c r="Y2" s="237" t="s">
        <v>212</v>
      </c>
      <c r="Z2" s="237" t="s">
        <v>213</v>
      </c>
      <c r="AA2" s="237" t="s">
        <v>162</v>
      </c>
      <c r="AB2" s="237" t="s">
        <v>163</v>
      </c>
      <c r="AC2" s="237" t="s">
        <v>164</v>
      </c>
      <c r="AD2" s="237" t="s">
        <v>165</v>
      </c>
      <c r="AE2" s="237" t="s">
        <v>166</v>
      </c>
      <c r="AF2" s="237" t="s">
        <v>167</v>
      </c>
      <c r="AG2" s="237" t="s">
        <v>178</v>
      </c>
      <c r="AH2" s="237" t="s">
        <v>179</v>
      </c>
      <c r="AI2" s="237" t="s">
        <v>104</v>
      </c>
      <c r="AJ2" s="237" t="s">
        <v>150</v>
      </c>
      <c r="AK2" s="237" t="s">
        <v>207</v>
      </c>
      <c r="AL2" s="231" t="s">
        <v>184</v>
      </c>
      <c r="AM2" s="231" t="s">
        <v>185</v>
      </c>
      <c r="AN2" s="231" t="s">
        <v>168</v>
      </c>
      <c r="AO2" s="231" t="s">
        <v>169</v>
      </c>
      <c r="AP2" s="237" t="s">
        <v>172</v>
      </c>
      <c r="AQ2" s="237" t="s">
        <v>173</v>
      </c>
      <c r="AR2" s="237" t="s">
        <v>181</v>
      </c>
      <c r="AS2" s="237" t="s">
        <v>180</v>
      </c>
      <c r="AT2" s="237" t="s">
        <v>170</v>
      </c>
      <c r="AU2" s="237" t="s">
        <v>171</v>
      </c>
      <c r="AV2" s="237" t="s">
        <v>182</v>
      </c>
      <c r="AW2" s="237" t="s">
        <v>183</v>
      </c>
      <c r="AX2" s="232" t="s">
        <v>105</v>
      </c>
      <c r="AY2" s="232" t="s">
        <v>106</v>
      </c>
      <c r="AZ2" s="226" t="s">
        <v>107</v>
      </c>
      <c r="BA2" s="232" t="s">
        <v>65</v>
      </c>
      <c r="BB2" s="226" t="s">
        <v>108</v>
      </c>
      <c r="BC2" s="226" t="s">
        <v>146</v>
      </c>
      <c r="BD2" s="226" t="s">
        <v>147</v>
      </c>
      <c r="BE2" s="227" t="s">
        <v>186</v>
      </c>
      <c r="BF2" s="227" t="s">
        <v>187</v>
      </c>
      <c r="BG2" s="227" t="s">
        <v>188</v>
      </c>
      <c r="BH2" s="228" t="s">
        <v>216</v>
      </c>
      <c r="BI2" s="228" t="s">
        <v>217</v>
      </c>
      <c r="BK2" s="239" t="s">
        <v>219</v>
      </c>
      <c r="BL2" s="239" t="s">
        <v>219</v>
      </c>
      <c r="BM2" s="239" t="s">
        <v>219</v>
      </c>
      <c r="BN2" s="239" t="s">
        <v>219</v>
      </c>
      <c r="BO2" s="239" t="s">
        <v>219</v>
      </c>
      <c r="BP2" s="239" t="s">
        <v>219</v>
      </c>
      <c r="BQ2" s="239" t="s">
        <v>219</v>
      </c>
      <c r="BR2" s="239" t="s">
        <v>219</v>
      </c>
      <c r="BS2" s="239" t="s">
        <v>219</v>
      </c>
      <c r="BT2" s="239" t="s">
        <v>219</v>
      </c>
      <c r="BU2" s="239" t="s">
        <v>219</v>
      </c>
      <c r="BV2" s="239" t="s">
        <v>219</v>
      </c>
      <c r="BW2" s="239" t="s">
        <v>219</v>
      </c>
      <c r="BX2" s="239" t="s">
        <v>219</v>
      </c>
    </row>
    <row r="3" spans="1:76" x14ac:dyDescent="0.25">
      <c r="A3" s="169" t="s">
        <v>227</v>
      </c>
      <c r="B3" s="170">
        <v>860000</v>
      </c>
      <c r="C3" s="165" t="s">
        <v>198</v>
      </c>
      <c r="D3" s="171" t="s">
        <v>109</v>
      </c>
      <c r="E3" s="189">
        <v>43830</v>
      </c>
      <c r="F3" s="188" t="s">
        <v>115</v>
      </c>
      <c r="G3" s="189" t="s">
        <v>114</v>
      </c>
      <c r="H3" s="189" t="s">
        <v>208</v>
      </c>
      <c r="I3" s="189">
        <v>43899</v>
      </c>
      <c r="J3" s="189">
        <v>43937</v>
      </c>
      <c r="K3" s="190">
        <f>IF(I3="","",MONTH(I3))</f>
        <v>3</v>
      </c>
      <c r="L3" s="190">
        <f>IF(I3="","",DAYS360(E3,I3))</f>
        <v>69</v>
      </c>
      <c r="M3" s="188"/>
      <c r="N3" s="188"/>
      <c r="O3" s="188"/>
      <c r="P3" s="188"/>
      <c r="Q3" s="188"/>
      <c r="R3" s="188"/>
      <c r="S3" s="213">
        <v>100</v>
      </c>
      <c r="T3" s="207">
        <v>50</v>
      </c>
      <c r="U3" s="219"/>
      <c r="V3" s="213">
        <v>200</v>
      </c>
      <c r="W3" s="219">
        <v>200</v>
      </c>
      <c r="X3" s="219">
        <v>300</v>
      </c>
      <c r="Y3" s="219">
        <v>20</v>
      </c>
      <c r="Z3" s="219"/>
      <c r="AA3" s="219">
        <v>200</v>
      </c>
      <c r="AB3" s="219">
        <v>100</v>
      </c>
      <c r="AC3" s="219">
        <v>2000</v>
      </c>
      <c r="AD3" s="219">
        <v>200</v>
      </c>
      <c r="AE3" s="219">
        <v>600</v>
      </c>
      <c r="AF3" s="219">
        <v>500</v>
      </c>
      <c r="AG3" s="219">
        <v>4470</v>
      </c>
      <c r="AH3" s="225">
        <f>SUM(PORTEFEUILLE_AUTRE_COMPTABLE[[#This Row],[PCR COMPTABLE €]:[MONTANT
RESPONSABLE RELATION CLIENT €]])-PORTEFEUILLE_AUTRE_COMPTABLE[[#This Row],[MONTANT TOTAL LETTRE DE MISION €]]</f>
        <v>0</v>
      </c>
      <c r="AI3" s="191" t="s">
        <v>152</v>
      </c>
      <c r="AJ3" s="188" t="s">
        <v>155</v>
      </c>
      <c r="AK3" s="188" t="s">
        <v>153</v>
      </c>
      <c r="AL3" s="188" t="s">
        <v>199</v>
      </c>
      <c r="AM3" s="188" t="s">
        <v>200</v>
      </c>
      <c r="AN3" s="188">
        <v>36</v>
      </c>
      <c r="AO3" s="188">
        <v>16</v>
      </c>
      <c r="AP3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Q3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400</v>
      </c>
      <c r="AR3" s="188" t="str">
        <f>IF(PORTEFEUILLE_AUTRE_COMPTABLE[[#This Row],[BONI AAC]]&lt;&gt;0,1,"")</f>
        <v/>
      </c>
      <c r="AS3" s="188">
        <f>IF(PORTEFEUILLE_AUTRE_COMPTABLE[[#This Row],[MALI AAC]]&lt;&gt;0,1,"")</f>
        <v>1</v>
      </c>
      <c r="AT3" s="225">
        <f>IF(AN3&lt;&gt;"",IF((AN3*Paramètres!$H$4)-PORTEFEUILLE_AUTRE_COMPTABLE[[#This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€]]-(DELPHINE!AN3*Paramètres!$H$4),0),0)</f>
        <v>0</v>
      </c>
      <c r="AU3" s="225">
        <f>IF(AN3&lt;&gt;"",IF(((AN3*Paramètres!$H$4)-PORTEFEUILLE_AUTRE_COMPTABLE[[#This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€]])&gt;0,(AN3*Paramètres!$H$4)-PORTEFEUILLE_AUTRE_COMPTABLE[[#This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V3" s="190" t="str">
        <f>IF(PORTEFEUILLE_AUTRE_COMPTABLE[[#This Row],[BONI COMPTABLE]]&lt;&gt;0,1,"")</f>
        <v/>
      </c>
      <c r="AW3" s="190" t="str">
        <f>IF(PORTEFEUILLE_AUTRE_COMPTABLE[[#This Row],[MALI COMPTABLE]]&lt;&gt;0,1,"")</f>
        <v/>
      </c>
      <c r="AX3" s="188">
        <v>2</v>
      </c>
      <c r="AY3" s="188" t="s">
        <v>209</v>
      </c>
      <c r="AZ3" s="188" t="s">
        <v>209</v>
      </c>
      <c r="BA3" s="188"/>
      <c r="BB3" s="188"/>
      <c r="BC3" s="188"/>
      <c r="BD3" s="188"/>
      <c r="BE3" s="192" t="s">
        <v>214</v>
      </c>
      <c r="BF3" s="192" t="s">
        <v>191</v>
      </c>
      <c r="BG3" s="192" t="s">
        <v>200</v>
      </c>
      <c r="BH3" s="193"/>
      <c r="BI3" s="192"/>
    </row>
    <row r="4" spans="1:76" x14ac:dyDescent="0.25">
      <c r="A4" s="169" t="s">
        <v>227</v>
      </c>
      <c r="B4" s="170">
        <v>860001</v>
      </c>
      <c r="C4" s="165" t="s">
        <v>210</v>
      </c>
      <c r="D4" s="171" t="s">
        <v>109</v>
      </c>
      <c r="E4" s="189">
        <v>43830</v>
      </c>
      <c r="F4" s="188" t="s">
        <v>112</v>
      </c>
      <c r="G4" s="189" t="s">
        <v>111</v>
      </c>
      <c r="H4" s="189"/>
      <c r="I4" s="189">
        <v>43873</v>
      </c>
      <c r="J4" s="189">
        <v>43938</v>
      </c>
      <c r="K4" s="190">
        <f t="shared" ref="K4:K60" si="0">IF(I4="","",MONTH(I4))</f>
        <v>2</v>
      </c>
      <c r="L4" s="190">
        <f t="shared" ref="L4:L60" si="1">IF(I4="","",DAYS360(E4,I4))</f>
        <v>42</v>
      </c>
      <c r="M4" s="188" t="s">
        <v>200</v>
      </c>
      <c r="N4" s="188"/>
      <c r="O4" s="188"/>
      <c r="P4" s="188"/>
      <c r="Q4" s="188"/>
      <c r="R4" s="188"/>
      <c r="S4" s="213">
        <v>0</v>
      </c>
      <c r="T4" s="207">
        <v>100</v>
      </c>
      <c r="U4" s="219"/>
      <c r="V4" s="219">
        <v>50</v>
      </c>
      <c r="W4" s="219">
        <v>550</v>
      </c>
      <c r="X4" s="219"/>
      <c r="Y4" s="219"/>
      <c r="Z4" s="219"/>
      <c r="AA4" s="219"/>
      <c r="AB4" s="219"/>
      <c r="AC4" s="219"/>
      <c r="AD4" s="219"/>
      <c r="AE4" s="219"/>
      <c r="AF4" s="219"/>
      <c r="AG4" s="219">
        <v>700</v>
      </c>
      <c r="AH4" s="225">
        <f>SUM(PORTEFEUILLE_AUTRE_COMPTABLE[[#This Row],[PCR COMPTABLE €]:[MONTANT
RESPONSABLE RELATION CLIENT €]])-PORTEFEUILLE_AUTRE_COMPTABLE[[#This Row],[MONTANT TOTAL LETTRE DE MISION €]]</f>
        <v>0</v>
      </c>
      <c r="AI4" s="191" t="s">
        <v>153</v>
      </c>
      <c r="AJ4" s="188" t="s">
        <v>154</v>
      </c>
      <c r="AK4" s="188"/>
      <c r="AL4" s="188" t="s">
        <v>199</v>
      </c>
      <c r="AM4" s="188"/>
      <c r="AN4" s="188">
        <v>30</v>
      </c>
      <c r="AO4" s="188">
        <v>20</v>
      </c>
      <c r="AP4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Q4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1000</v>
      </c>
      <c r="AR4" s="188" t="str">
        <f>IF(PORTEFEUILLE_AUTRE_COMPTABLE[[#This Row],[BONI AAC]]&lt;&gt;0,1,"")</f>
        <v/>
      </c>
      <c r="AS4" s="188">
        <f>IF(PORTEFEUILLE_AUTRE_COMPTABLE[[#This Row],[MALI AAC]]&lt;&gt;0,1,"")</f>
        <v>1</v>
      </c>
      <c r="AT4" s="225">
        <f>IF(AN4&lt;&gt;"",IF((AN4*Paramètres!$H$4)-PORTEFEUILLE_AUTRE_COMPTABLE[[#This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€]]-(DELPHINE!AN4*Paramètres!$H$4),0),0)</f>
        <v>0</v>
      </c>
      <c r="AU4" s="225">
        <f>IF(AN4&lt;&gt;"",IF(((AN4*Paramètres!$H$4)-PORTEFEUILLE_AUTRE_COMPTABLE[[#This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€]])&gt;0,(AN4*Paramètres!$H$4)-PORTEFEUILLE_AUTRE_COMPTABLE[[#This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3000</v>
      </c>
      <c r="AV4" s="190" t="str">
        <f>IF(PORTEFEUILLE_AUTRE_COMPTABLE[[#This Row],[BONI COMPTABLE]]&lt;&gt;0,1,"")</f>
        <v/>
      </c>
      <c r="AW4" s="190">
        <f>IF(PORTEFEUILLE_AUTRE_COMPTABLE[[#This Row],[MALI COMPTABLE]]&lt;&gt;0,1,"")</f>
        <v>1</v>
      </c>
      <c r="AX4" s="188">
        <v>4</v>
      </c>
      <c r="AY4" s="188" t="s">
        <v>209</v>
      </c>
      <c r="AZ4" s="188" t="s">
        <v>209</v>
      </c>
      <c r="BA4" s="188"/>
      <c r="BB4" s="188"/>
      <c r="BC4" s="188"/>
      <c r="BD4" s="188"/>
      <c r="BE4" s="192" t="s">
        <v>214</v>
      </c>
      <c r="BF4" s="194" t="s">
        <v>138</v>
      </c>
      <c r="BG4" s="194" t="s">
        <v>215</v>
      </c>
      <c r="BH4" s="195"/>
      <c r="BI4" s="194"/>
    </row>
    <row r="5" spans="1:76" x14ac:dyDescent="0.25">
      <c r="A5" s="169" t="s">
        <v>227</v>
      </c>
      <c r="B5" s="170">
        <v>86000</v>
      </c>
      <c r="C5" s="165" t="s">
        <v>204</v>
      </c>
      <c r="D5" s="171" t="s">
        <v>109</v>
      </c>
      <c r="E5" s="189">
        <v>43830</v>
      </c>
      <c r="F5" s="188" t="s">
        <v>130</v>
      </c>
      <c r="G5" s="189" t="s">
        <v>114</v>
      </c>
      <c r="H5" s="189" t="s">
        <v>208</v>
      </c>
      <c r="I5" s="189"/>
      <c r="J5" s="189"/>
      <c r="K5" s="190" t="str">
        <f t="shared" si="0"/>
        <v/>
      </c>
      <c r="L5" s="190" t="str">
        <f t="shared" si="1"/>
        <v/>
      </c>
      <c r="M5" s="188"/>
      <c r="N5" s="188"/>
      <c r="O5" s="188"/>
      <c r="P5" s="188"/>
      <c r="Q5" s="188"/>
      <c r="R5" s="188"/>
      <c r="S5" s="213">
        <v>85</v>
      </c>
      <c r="T5" s="207">
        <v>85</v>
      </c>
      <c r="U5" s="219">
        <v>200</v>
      </c>
      <c r="V5" s="219">
        <v>200</v>
      </c>
      <c r="W5" s="219">
        <v>400</v>
      </c>
      <c r="X5" s="219"/>
      <c r="Y5" s="219">
        <v>400</v>
      </c>
      <c r="Z5" s="219"/>
      <c r="AA5" s="219">
        <v>600</v>
      </c>
      <c r="AB5" s="219"/>
      <c r="AC5" s="219">
        <v>1500</v>
      </c>
      <c r="AD5" s="219">
        <v>200</v>
      </c>
      <c r="AE5" s="219">
        <v>0</v>
      </c>
      <c r="AF5" s="219">
        <v>65</v>
      </c>
      <c r="AG5" s="219">
        <v>3735</v>
      </c>
      <c r="AH5" s="225">
        <f>SUM(PORTEFEUILLE_AUTRE_COMPTABLE[[#This Row],[PCR COMPTABLE €]:[MONTANT
RESPONSABLE RELATION CLIENT €]])-PORTEFEUILLE_AUTRE_COMPTABLE[[#This Row],[MONTANT TOTAL LETTRE DE MISION €]]</f>
        <v>0</v>
      </c>
      <c r="AI5" s="191" t="s">
        <v>153</v>
      </c>
      <c r="AJ5" s="188" t="s">
        <v>156</v>
      </c>
      <c r="AK5" s="188" t="s">
        <v>153</v>
      </c>
      <c r="AL5" s="188"/>
      <c r="AM5" s="188"/>
      <c r="AN5" s="188">
        <v>60</v>
      </c>
      <c r="AO5" s="188">
        <v>60</v>
      </c>
      <c r="AP5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Q5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2200</v>
      </c>
      <c r="AR5" s="188" t="str">
        <f>IF(PORTEFEUILLE_AUTRE_COMPTABLE[[#This Row],[BONI AAC]]&lt;&gt;0,1,"")</f>
        <v/>
      </c>
      <c r="AS5" s="188">
        <f>IF(PORTEFEUILLE_AUTRE_COMPTABLE[[#This Row],[MALI AAC]]&lt;&gt;0,1,"")</f>
        <v>1</v>
      </c>
      <c r="AT5" s="225">
        <f>IF(AN5&lt;&gt;"",IF((AN5*Paramètres!$H$4)-PORTEFEUILLE_AUTRE_COMPTABLE[[#This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€]]-(DELPHINE!AN5*Paramètres!$H$4),0),0)</f>
        <v>0</v>
      </c>
      <c r="AU5" s="225">
        <f>IF(AN5&lt;&gt;"",IF(((AN5*Paramètres!$H$4)-PORTEFEUILLE_AUTRE_COMPTABLE[[#This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€]])&gt;0,(AN5*Paramètres!$H$4)-PORTEFEUILLE_AUTRE_COMPTABLE[[#This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4150</v>
      </c>
      <c r="AV5" s="190" t="str">
        <f>IF(PORTEFEUILLE_AUTRE_COMPTABLE[[#This Row],[BONI COMPTABLE]]&lt;&gt;0,1,"")</f>
        <v/>
      </c>
      <c r="AW5" s="190">
        <f>IF(PORTEFEUILLE_AUTRE_COMPTABLE[[#This Row],[MALI COMPTABLE]]&lt;&gt;0,1,"")</f>
        <v>1</v>
      </c>
      <c r="AX5" s="188"/>
      <c r="AY5" s="188"/>
      <c r="AZ5" s="188"/>
      <c r="BA5" s="188"/>
      <c r="BB5" s="188"/>
      <c r="BC5" s="188"/>
      <c r="BD5" s="188"/>
      <c r="BE5" s="192" t="s">
        <v>214</v>
      </c>
      <c r="BF5" s="194" t="s">
        <v>140</v>
      </c>
      <c r="BG5" s="194" t="s">
        <v>205</v>
      </c>
      <c r="BH5" s="195" t="s">
        <v>200</v>
      </c>
      <c r="BI5" s="194"/>
    </row>
    <row r="6" spans="1:76" x14ac:dyDescent="0.25">
      <c r="A6" s="172"/>
      <c r="B6" s="170"/>
      <c r="C6" s="165"/>
      <c r="D6" s="171"/>
      <c r="E6" s="189"/>
      <c r="F6" s="188"/>
      <c r="G6" s="189"/>
      <c r="H6" s="189"/>
      <c r="I6" s="189"/>
      <c r="J6" s="189"/>
      <c r="K6" s="190" t="str">
        <f t="shared" si="0"/>
        <v/>
      </c>
      <c r="L6" s="190" t="str">
        <f t="shared" si="1"/>
        <v/>
      </c>
      <c r="M6" s="188"/>
      <c r="N6" s="188"/>
      <c r="O6" s="188"/>
      <c r="P6" s="188"/>
      <c r="Q6" s="188"/>
      <c r="R6" s="188"/>
      <c r="S6" s="213"/>
      <c r="T6" s="207"/>
      <c r="U6" s="219"/>
      <c r="V6" s="219"/>
      <c r="W6" s="219"/>
      <c r="X6" s="219"/>
      <c r="Y6" s="219"/>
      <c r="Z6" s="219"/>
      <c r="AA6" s="219"/>
      <c r="AB6" s="219"/>
      <c r="AC6" s="219"/>
      <c r="AD6" s="219"/>
      <c r="AE6" s="219"/>
      <c r="AF6" s="219"/>
      <c r="AG6" s="219"/>
      <c r="AH6" s="225">
        <f>SUM(PORTEFEUILLE_AUTRE_COMPTABLE[[#This Row],[PCR COMPTABLE €]:[MONTANT
RESPONSABLE RELATION CLIENT €]])-PORTEFEUILLE_AUTRE_COMPTABLE[[#This Row],[MONTANT TOTAL LETTRE DE MISION €]]</f>
        <v>0</v>
      </c>
      <c r="AI6" s="191"/>
      <c r="AJ6" s="188"/>
      <c r="AK6" s="188"/>
      <c r="AL6" s="188"/>
      <c r="AM6" s="188"/>
      <c r="AN6" s="188"/>
      <c r="AO6" s="188"/>
      <c r="AP6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Q6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R6" s="188" t="str">
        <f>IF(PORTEFEUILLE_AUTRE_COMPTABLE[[#This Row],[BONI AAC]]&lt;&gt;0,1,"")</f>
        <v/>
      </c>
      <c r="AS6" s="188" t="str">
        <f>IF(PORTEFEUILLE_AUTRE_COMPTABLE[[#This Row],[MALI AAC]]&lt;&gt;0,1,"")</f>
        <v/>
      </c>
      <c r="AT6" s="225">
        <f>IF(AN6&lt;&gt;"",IF((AN6*Paramètres!$H$4)-PORTEFEUILLE_AUTRE_COMPTABLE[[#This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€]]-(DELPHINE!AN6*Paramètres!$H$4),0),0)</f>
        <v>0</v>
      </c>
      <c r="AU6" s="225">
        <f>IF(AN6&lt;&gt;"",IF(((AN6*Paramètres!$H$4)-PORTEFEUILLE_AUTRE_COMPTABLE[[#This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€]])&gt;0,(AN6*Paramètres!$H$4)-PORTEFEUILLE_AUTRE_COMPTABLE[[#This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V6" s="190" t="str">
        <f>IF(PORTEFEUILLE_AUTRE_COMPTABLE[[#This Row],[BONI COMPTABLE]]&lt;&gt;0,1,"")</f>
        <v/>
      </c>
      <c r="AW6" s="190" t="str">
        <f>IF(PORTEFEUILLE_AUTRE_COMPTABLE[[#This Row],[MALI COMPTABLE]]&lt;&gt;0,1,"")</f>
        <v/>
      </c>
      <c r="AX6" s="188"/>
      <c r="AY6" s="188"/>
      <c r="AZ6" s="188"/>
      <c r="BA6" s="188"/>
      <c r="BB6" s="188"/>
      <c r="BC6" s="188"/>
      <c r="BD6" s="188"/>
      <c r="BE6" s="192"/>
      <c r="BF6" s="194"/>
      <c r="BG6" s="194"/>
      <c r="BH6" s="195"/>
      <c r="BI6" s="194"/>
    </row>
    <row r="7" spans="1:76" x14ac:dyDescent="0.25">
      <c r="A7" s="172"/>
      <c r="B7" s="173"/>
      <c r="C7" s="165"/>
      <c r="D7" s="171"/>
      <c r="E7" s="189"/>
      <c r="F7" s="188"/>
      <c r="G7" s="189"/>
      <c r="H7" s="189"/>
      <c r="I7" s="189"/>
      <c r="J7" s="189"/>
      <c r="K7" s="190" t="str">
        <f t="shared" si="0"/>
        <v/>
      </c>
      <c r="L7" s="190" t="str">
        <f t="shared" si="1"/>
        <v/>
      </c>
      <c r="M7" s="188"/>
      <c r="N7" s="188"/>
      <c r="O7" s="188"/>
      <c r="P7" s="188"/>
      <c r="Q7" s="188"/>
      <c r="R7" s="188"/>
      <c r="S7" s="213"/>
      <c r="T7" s="207"/>
      <c r="U7" s="219"/>
      <c r="V7" s="219"/>
      <c r="W7" s="219"/>
      <c r="X7" s="219"/>
      <c r="Y7" s="219"/>
      <c r="Z7" s="219"/>
      <c r="AA7" s="219"/>
      <c r="AB7" s="219"/>
      <c r="AC7" s="219"/>
      <c r="AD7" s="219"/>
      <c r="AE7" s="219"/>
      <c r="AF7" s="219"/>
      <c r="AG7" s="219"/>
      <c r="AH7" s="225">
        <f>SUM(PORTEFEUILLE_AUTRE_COMPTABLE[[#This Row],[PCR COMPTABLE €]:[MONTANT
RESPONSABLE RELATION CLIENT €]])-PORTEFEUILLE_AUTRE_COMPTABLE[[#This Row],[MONTANT TOTAL LETTRE DE MISION €]]</f>
        <v>0</v>
      </c>
      <c r="AI7" s="191"/>
      <c r="AJ7" s="188"/>
      <c r="AK7" s="188"/>
      <c r="AL7" s="188"/>
      <c r="AM7" s="188"/>
      <c r="AN7" s="188"/>
      <c r="AO7" s="188"/>
      <c r="AP7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Q7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R7" s="188" t="str">
        <f>IF(PORTEFEUILLE_AUTRE_COMPTABLE[[#This Row],[BONI AAC]]&lt;&gt;0,1,"")</f>
        <v/>
      </c>
      <c r="AS7" s="188" t="str">
        <f>IF(PORTEFEUILLE_AUTRE_COMPTABLE[[#This Row],[MALI AAC]]&lt;&gt;0,1,"")</f>
        <v/>
      </c>
      <c r="AT7" s="225">
        <f>IF(AN7&lt;&gt;"",IF((AN7*Paramètres!$H$4)-PORTEFEUILLE_AUTRE_COMPTABLE[[#This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€]]-(DELPHINE!AN7*Paramètres!$H$4),0),0)</f>
        <v>0</v>
      </c>
      <c r="AU7" s="225">
        <f>IF(AN7&lt;&gt;"",IF(((AN7*Paramètres!$H$4)-PORTEFEUILLE_AUTRE_COMPTABLE[[#This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€]])&gt;0,(AN7*Paramètres!$H$4)-PORTEFEUILLE_AUTRE_COMPTABLE[[#This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V7" s="190" t="str">
        <f>IF(PORTEFEUILLE_AUTRE_COMPTABLE[[#This Row],[BONI COMPTABLE]]&lt;&gt;0,1,"")</f>
        <v/>
      </c>
      <c r="AW7" s="190" t="str">
        <f>IF(PORTEFEUILLE_AUTRE_COMPTABLE[[#This Row],[MALI COMPTABLE]]&lt;&gt;0,1,"")</f>
        <v/>
      </c>
      <c r="AX7" s="188"/>
      <c r="AY7" s="188"/>
      <c r="AZ7" s="188"/>
      <c r="BA7" s="188"/>
      <c r="BB7" s="196"/>
      <c r="BC7" s="196"/>
      <c r="BD7" s="196"/>
      <c r="BE7" s="192"/>
      <c r="BF7" s="194"/>
      <c r="BG7" s="194"/>
      <c r="BH7" s="195"/>
      <c r="BI7" s="194"/>
    </row>
    <row r="8" spans="1:76" x14ac:dyDescent="0.25">
      <c r="A8" s="172"/>
      <c r="B8" s="170"/>
      <c r="C8" s="165"/>
      <c r="D8" s="171"/>
      <c r="E8" s="189"/>
      <c r="F8" s="188"/>
      <c r="G8" s="189"/>
      <c r="H8" s="189"/>
      <c r="I8" s="189"/>
      <c r="J8" s="189"/>
      <c r="K8" s="190" t="str">
        <f t="shared" si="0"/>
        <v/>
      </c>
      <c r="L8" s="190" t="str">
        <f t="shared" si="1"/>
        <v/>
      </c>
      <c r="M8" s="188"/>
      <c r="N8" s="188"/>
      <c r="O8" s="188"/>
      <c r="P8" s="188"/>
      <c r="Q8" s="188"/>
      <c r="R8" s="188"/>
      <c r="S8" s="213"/>
      <c r="T8" s="207"/>
      <c r="U8" s="219"/>
      <c r="V8" s="219"/>
      <c r="W8" s="219"/>
      <c r="X8" s="219"/>
      <c r="Y8" s="219"/>
      <c r="Z8" s="219"/>
      <c r="AA8" s="219"/>
      <c r="AB8" s="219"/>
      <c r="AC8" s="219"/>
      <c r="AD8" s="219"/>
      <c r="AE8" s="219"/>
      <c r="AF8" s="219"/>
      <c r="AG8" s="219"/>
      <c r="AH8" s="225">
        <f>SUM(PORTEFEUILLE_AUTRE_COMPTABLE[[#This Row],[PCR COMPTABLE €]:[MONTANT
RESPONSABLE RELATION CLIENT €]])-PORTEFEUILLE_AUTRE_COMPTABLE[[#This Row],[MONTANT TOTAL LETTRE DE MISION €]]</f>
        <v>0</v>
      </c>
      <c r="AI8" s="191"/>
      <c r="AJ8" s="188"/>
      <c r="AK8" s="188"/>
      <c r="AL8" s="188"/>
      <c r="AM8" s="188"/>
      <c r="AN8" s="188"/>
      <c r="AO8" s="188"/>
      <c r="AP8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Q8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R8" s="188" t="str">
        <f>IF(PORTEFEUILLE_AUTRE_COMPTABLE[[#This Row],[BONI AAC]]&lt;&gt;0,1,"")</f>
        <v/>
      </c>
      <c r="AS8" s="188" t="str">
        <f>IF(PORTEFEUILLE_AUTRE_COMPTABLE[[#This Row],[MALI AAC]]&lt;&gt;0,1,"")</f>
        <v/>
      </c>
      <c r="AT8" s="225">
        <f>IF(AN8&lt;&gt;"",IF((AN8*Paramètres!$H$4)-PORTEFEUILLE_AUTRE_COMPTABLE[[#This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€]]-(DELPHINE!AN8*Paramètres!$H$4),0),0)</f>
        <v>0</v>
      </c>
      <c r="AU8" s="225">
        <f>IF(AN8&lt;&gt;"",IF(((AN8*Paramètres!$H$4)-PORTEFEUILLE_AUTRE_COMPTABLE[[#This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€]])&gt;0,(AN8*Paramètres!$H$4)-PORTEFEUILLE_AUTRE_COMPTABLE[[#This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V8" s="190" t="str">
        <f>IF(PORTEFEUILLE_AUTRE_COMPTABLE[[#This Row],[BONI COMPTABLE]]&lt;&gt;0,1,"")</f>
        <v/>
      </c>
      <c r="AW8" s="190" t="str">
        <f>IF(PORTEFEUILLE_AUTRE_COMPTABLE[[#This Row],[MALI COMPTABLE]]&lt;&gt;0,1,"")</f>
        <v/>
      </c>
      <c r="AX8" s="188"/>
      <c r="AY8" s="188"/>
      <c r="AZ8" s="188"/>
      <c r="BA8" s="188"/>
      <c r="BB8" s="188"/>
      <c r="BC8" s="188"/>
      <c r="BD8" s="188"/>
      <c r="BE8" s="192"/>
      <c r="BF8" s="194"/>
      <c r="BG8" s="194"/>
      <c r="BH8" s="195"/>
      <c r="BI8" s="194"/>
    </row>
    <row r="9" spans="1:76" x14ac:dyDescent="0.25">
      <c r="A9" s="172"/>
      <c r="B9" s="170"/>
      <c r="C9" s="165"/>
      <c r="D9" s="171"/>
      <c r="E9" s="189"/>
      <c r="F9" s="188"/>
      <c r="G9" s="188"/>
      <c r="H9" s="189"/>
      <c r="I9" s="189"/>
      <c r="J9" s="189"/>
      <c r="K9" s="190" t="str">
        <f t="shared" si="0"/>
        <v/>
      </c>
      <c r="L9" s="190" t="str">
        <f t="shared" si="1"/>
        <v/>
      </c>
      <c r="M9" s="188"/>
      <c r="N9" s="188"/>
      <c r="O9" s="188"/>
      <c r="P9" s="188"/>
      <c r="Q9" s="188"/>
      <c r="R9" s="188"/>
      <c r="S9" s="214"/>
      <c r="T9" s="208"/>
      <c r="U9" s="220"/>
      <c r="V9" s="220"/>
      <c r="W9" s="220"/>
      <c r="X9" s="220"/>
      <c r="Y9" s="220"/>
      <c r="Z9" s="220"/>
      <c r="AA9" s="220"/>
      <c r="AB9" s="220"/>
      <c r="AC9" s="220"/>
      <c r="AD9" s="220"/>
      <c r="AE9" s="220"/>
      <c r="AF9" s="220"/>
      <c r="AG9" s="219"/>
      <c r="AH9" s="225">
        <f>SUM(PORTEFEUILLE_AUTRE_COMPTABLE[[#This Row],[PCR COMPTABLE €]:[MONTANT
RESPONSABLE RELATION CLIENT €]])-PORTEFEUILLE_AUTRE_COMPTABLE[[#This Row],[MONTANT TOTAL LETTRE DE MISION €]]</f>
        <v>0</v>
      </c>
      <c r="AI9" s="191"/>
      <c r="AJ9" s="188"/>
      <c r="AK9" s="188"/>
      <c r="AL9" s="196"/>
      <c r="AM9" s="196"/>
      <c r="AN9" s="196"/>
      <c r="AO9" s="196"/>
      <c r="AP9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Q9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R9" s="188" t="str">
        <f>IF(PORTEFEUILLE_AUTRE_COMPTABLE[[#This Row],[BONI AAC]]&lt;&gt;0,1,"")</f>
        <v/>
      </c>
      <c r="AS9" s="188" t="str">
        <f>IF(PORTEFEUILLE_AUTRE_COMPTABLE[[#This Row],[MALI AAC]]&lt;&gt;0,1,"")</f>
        <v/>
      </c>
      <c r="AT9" s="225">
        <f>IF(AN9&lt;&gt;"",IF((AN9*Paramètres!$H$4)-PORTEFEUILLE_AUTRE_COMPTABLE[[#This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€]]-(DELPHINE!AN9*Paramètres!$H$4),0),0)</f>
        <v>0</v>
      </c>
      <c r="AU9" s="225">
        <f>IF(AN9&lt;&gt;"",IF(((AN9*Paramètres!$H$4)-PORTEFEUILLE_AUTRE_COMPTABLE[[#This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€]])&gt;0,(AN9*Paramètres!$H$4)-PORTEFEUILLE_AUTRE_COMPTABLE[[#This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V9" s="190" t="str">
        <f>IF(PORTEFEUILLE_AUTRE_COMPTABLE[[#This Row],[BONI COMPTABLE]]&lt;&gt;0,1,"")</f>
        <v/>
      </c>
      <c r="AW9" s="190" t="str">
        <f>IF(PORTEFEUILLE_AUTRE_COMPTABLE[[#This Row],[MALI COMPTABLE]]&lt;&gt;0,1,"")</f>
        <v/>
      </c>
      <c r="AX9" s="196"/>
      <c r="AY9" s="188"/>
      <c r="AZ9" s="188"/>
      <c r="BA9" s="188"/>
      <c r="BB9" s="188"/>
      <c r="BC9" s="188"/>
      <c r="BD9" s="188"/>
      <c r="BE9" s="192"/>
      <c r="BF9" s="194"/>
      <c r="BG9" s="194"/>
      <c r="BH9" s="195"/>
      <c r="BI9" s="194"/>
    </row>
    <row r="10" spans="1:76" x14ac:dyDescent="0.25">
      <c r="A10" s="172"/>
      <c r="B10" s="170"/>
      <c r="C10" s="165"/>
      <c r="D10" s="171"/>
      <c r="E10" s="189"/>
      <c r="F10" s="188"/>
      <c r="G10" s="189"/>
      <c r="H10" s="189"/>
      <c r="I10" s="189"/>
      <c r="J10" s="189"/>
      <c r="K10" s="190" t="str">
        <f t="shared" si="0"/>
        <v/>
      </c>
      <c r="L10" s="190" t="str">
        <f t="shared" si="1"/>
        <v/>
      </c>
      <c r="M10" s="188"/>
      <c r="N10" s="188"/>
      <c r="O10" s="188"/>
      <c r="P10" s="188"/>
      <c r="Q10" s="188"/>
      <c r="R10" s="188"/>
      <c r="S10" s="213"/>
      <c r="T10" s="207"/>
      <c r="U10" s="219"/>
      <c r="V10" s="219"/>
      <c r="W10" s="219"/>
      <c r="X10" s="219"/>
      <c r="Y10" s="219"/>
      <c r="Z10" s="219"/>
      <c r="AA10" s="219"/>
      <c r="AB10" s="219"/>
      <c r="AC10" s="219"/>
      <c r="AD10" s="219"/>
      <c r="AE10" s="219"/>
      <c r="AF10" s="219"/>
      <c r="AG10" s="219"/>
      <c r="AH10" s="225">
        <f>SUM(PORTEFEUILLE_AUTRE_COMPTABLE[[#This Row],[PCR COMPTABLE €]:[MONTANT
RESPONSABLE RELATION CLIENT €]])-PORTEFEUILLE_AUTRE_COMPTABLE[[#This Row],[MONTANT TOTAL LETTRE DE MISION €]]</f>
        <v>0</v>
      </c>
      <c r="AI10" s="191"/>
      <c r="AJ10" s="188"/>
      <c r="AK10" s="188"/>
      <c r="AL10" s="188"/>
      <c r="AM10" s="188"/>
      <c r="AN10" s="188"/>
      <c r="AO10" s="188"/>
      <c r="AP10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Q10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R10" s="188" t="str">
        <f>IF(PORTEFEUILLE_AUTRE_COMPTABLE[[#This Row],[BONI AAC]]&lt;&gt;0,1,"")</f>
        <v/>
      </c>
      <c r="AS10" s="188" t="str">
        <f>IF(PORTEFEUILLE_AUTRE_COMPTABLE[[#This Row],[MALI AAC]]&lt;&gt;0,1,"")</f>
        <v/>
      </c>
      <c r="AT10" s="225">
        <f>IF(AN10&lt;&gt;"",IF((AN10*Paramètres!$H$4)-PORTEFEUILLE_AUTRE_COMPTABLE[[#This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€]]-(DELPHINE!AN10*Paramètres!$H$4),0),0)</f>
        <v>0</v>
      </c>
      <c r="AU10" s="225">
        <f>IF(AN10&lt;&gt;"",IF(((AN10*Paramètres!$H$4)-PORTEFEUILLE_AUTRE_COMPTABLE[[#This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€]])&gt;0,(AN10*Paramètres!$H$4)-PORTEFEUILLE_AUTRE_COMPTABLE[[#This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V10" s="190" t="str">
        <f>IF(PORTEFEUILLE_AUTRE_COMPTABLE[[#This Row],[BONI COMPTABLE]]&lt;&gt;0,1,"")</f>
        <v/>
      </c>
      <c r="AW10" s="190" t="str">
        <f>IF(PORTEFEUILLE_AUTRE_COMPTABLE[[#This Row],[MALI COMPTABLE]]&lt;&gt;0,1,"")</f>
        <v/>
      </c>
      <c r="AX10" s="188"/>
      <c r="AY10" s="188"/>
      <c r="AZ10" s="188"/>
      <c r="BA10" s="188"/>
      <c r="BB10" s="188"/>
      <c r="BC10" s="188"/>
      <c r="BD10" s="188"/>
      <c r="BE10" s="192"/>
      <c r="BF10" s="194"/>
      <c r="BG10" s="194"/>
      <c r="BH10" s="195"/>
      <c r="BI10" s="194"/>
    </row>
    <row r="11" spans="1:76" x14ac:dyDescent="0.25">
      <c r="A11" s="172"/>
      <c r="B11" s="173"/>
      <c r="C11" s="165"/>
      <c r="D11" s="171"/>
      <c r="E11" s="189"/>
      <c r="F11" s="188"/>
      <c r="G11" s="189"/>
      <c r="H11" s="189"/>
      <c r="I11" s="189"/>
      <c r="J11" s="189"/>
      <c r="K11" s="190" t="str">
        <f t="shared" si="0"/>
        <v/>
      </c>
      <c r="L11" s="190" t="str">
        <f t="shared" si="1"/>
        <v/>
      </c>
      <c r="M11" s="188"/>
      <c r="N11" s="188"/>
      <c r="O11" s="188"/>
      <c r="P11" s="188"/>
      <c r="Q11" s="188"/>
      <c r="R11" s="188"/>
      <c r="S11" s="213"/>
      <c r="T11" s="207"/>
      <c r="U11" s="219"/>
      <c r="V11" s="219"/>
      <c r="W11" s="219"/>
      <c r="X11" s="219"/>
      <c r="Y11" s="219"/>
      <c r="Z11" s="219"/>
      <c r="AA11" s="219"/>
      <c r="AB11" s="219"/>
      <c r="AC11" s="219"/>
      <c r="AD11" s="219"/>
      <c r="AE11" s="219"/>
      <c r="AF11" s="219"/>
      <c r="AG11" s="219"/>
      <c r="AH11" s="225">
        <f>SUM(PORTEFEUILLE_AUTRE_COMPTABLE[[#This Row],[PCR COMPTABLE €]:[MONTANT
RESPONSABLE RELATION CLIENT €]])-PORTEFEUILLE_AUTRE_COMPTABLE[[#This Row],[MONTANT TOTAL LETTRE DE MISION €]]</f>
        <v>0</v>
      </c>
      <c r="AI11" s="191"/>
      <c r="AJ11" s="188"/>
      <c r="AK11" s="188"/>
      <c r="AL11" s="188"/>
      <c r="AM11" s="188"/>
      <c r="AN11" s="188"/>
      <c r="AO11" s="188"/>
      <c r="AP11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Q11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R11" s="188" t="str">
        <f>IF(PORTEFEUILLE_AUTRE_COMPTABLE[[#This Row],[BONI AAC]]&lt;&gt;0,1,"")</f>
        <v/>
      </c>
      <c r="AS11" s="188" t="str">
        <f>IF(PORTEFEUILLE_AUTRE_COMPTABLE[[#This Row],[MALI AAC]]&lt;&gt;0,1,"")</f>
        <v/>
      </c>
      <c r="AT11" s="225">
        <f>IF(AN11&lt;&gt;"",IF((AN11*Paramètres!$H$4)-PORTEFEUILLE_AUTRE_COMPTABLE[[#This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€]]-(DELPHINE!AN11*Paramètres!$H$4),0),0)</f>
        <v>0</v>
      </c>
      <c r="AU11" s="225">
        <f>IF(AN11&lt;&gt;"",IF(((AN11*Paramètres!$H$4)-PORTEFEUILLE_AUTRE_COMPTABLE[[#This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€]])&gt;0,(AN11*Paramètres!$H$4)-PORTEFEUILLE_AUTRE_COMPTABLE[[#This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V11" s="190" t="str">
        <f>IF(PORTEFEUILLE_AUTRE_COMPTABLE[[#This Row],[BONI COMPTABLE]]&lt;&gt;0,1,"")</f>
        <v/>
      </c>
      <c r="AW11" s="190" t="str">
        <f>IF(PORTEFEUILLE_AUTRE_COMPTABLE[[#This Row],[MALI COMPTABLE]]&lt;&gt;0,1,"")</f>
        <v/>
      </c>
      <c r="AX11" s="188"/>
      <c r="AY11" s="188"/>
      <c r="AZ11" s="188"/>
      <c r="BA11" s="188"/>
      <c r="BB11" s="188"/>
      <c r="BC11" s="188"/>
      <c r="BD11" s="188"/>
      <c r="BE11" s="192"/>
      <c r="BF11" s="194"/>
      <c r="BG11" s="194"/>
      <c r="BH11" s="195"/>
      <c r="BI11" s="194"/>
    </row>
    <row r="12" spans="1:76" x14ac:dyDescent="0.25">
      <c r="A12" s="172"/>
      <c r="B12" s="170"/>
      <c r="C12" s="165"/>
      <c r="D12" s="171"/>
      <c r="E12" s="189"/>
      <c r="F12" s="188"/>
      <c r="G12" s="189"/>
      <c r="H12" s="189"/>
      <c r="I12" s="189"/>
      <c r="J12" s="189"/>
      <c r="K12" s="190" t="str">
        <f t="shared" si="0"/>
        <v/>
      </c>
      <c r="L12" s="190" t="str">
        <f t="shared" si="1"/>
        <v/>
      </c>
      <c r="M12" s="188"/>
      <c r="N12" s="188"/>
      <c r="O12" s="188"/>
      <c r="P12" s="188"/>
      <c r="Q12" s="188"/>
      <c r="R12" s="188"/>
      <c r="S12" s="213"/>
      <c r="T12" s="207"/>
      <c r="U12" s="219"/>
      <c r="V12" s="219"/>
      <c r="W12" s="219"/>
      <c r="X12" s="219"/>
      <c r="Y12" s="219"/>
      <c r="Z12" s="219"/>
      <c r="AA12" s="219"/>
      <c r="AB12" s="219"/>
      <c r="AC12" s="219"/>
      <c r="AD12" s="219"/>
      <c r="AE12" s="219"/>
      <c r="AF12" s="219"/>
      <c r="AG12" s="219"/>
      <c r="AH12" s="225">
        <f>SUM(PORTEFEUILLE_AUTRE_COMPTABLE[[#This Row],[PCR COMPTABLE €]:[MONTANT
RESPONSABLE RELATION CLIENT €]])-PORTEFEUILLE_AUTRE_COMPTABLE[[#This Row],[MONTANT TOTAL LETTRE DE MISION €]]</f>
        <v>0</v>
      </c>
      <c r="AI12" s="191"/>
      <c r="AJ12" s="188"/>
      <c r="AK12" s="188"/>
      <c r="AL12" s="188"/>
      <c r="AM12" s="188"/>
      <c r="AN12" s="188"/>
      <c r="AO12" s="188"/>
      <c r="AP12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Q12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R12" s="188" t="str">
        <f>IF(PORTEFEUILLE_AUTRE_COMPTABLE[[#This Row],[BONI AAC]]&lt;&gt;0,1,"")</f>
        <v/>
      </c>
      <c r="AS12" s="188" t="str">
        <f>IF(PORTEFEUILLE_AUTRE_COMPTABLE[[#This Row],[MALI AAC]]&lt;&gt;0,1,"")</f>
        <v/>
      </c>
      <c r="AT12" s="225">
        <f>IF(AN12&lt;&gt;"",IF((AN12*Paramètres!$H$4)-PORTEFEUILLE_AUTRE_COMPTABLE[[#This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€]]-(DELPHINE!AN12*Paramètres!$H$4),0),0)</f>
        <v>0</v>
      </c>
      <c r="AU12" s="225">
        <f>IF(AN12&lt;&gt;"",IF(((AN12*Paramètres!$H$4)-PORTEFEUILLE_AUTRE_COMPTABLE[[#This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€]])&gt;0,(AN12*Paramètres!$H$4)-PORTEFEUILLE_AUTRE_COMPTABLE[[#This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V12" s="190" t="str">
        <f>IF(PORTEFEUILLE_AUTRE_COMPTABLE[[#This Row],[BONI COMPTABLE]]&lt;&gt;0,1,"")</f>
        <v/>
      </c>
      <c r="AW12" s="190" t="str">
        <f>IF(PORTEFEUILLE_AUTRE_COMPTABLE[[#This Row],[MALI COMPTABLE]]&lt;&gt;0,1,"")</f>
        <v/>
      </c>
      <c r="AX12" s="188"/>
      <c r="AY12" s="188"/>
      <c r="AZ12" s="188"/>
      <c r="BA12" s="188"/>
      <c r="BB12" s="188"/>
      <c r="BC12" s="188"/>
      <c r="BD12" s="188"/>
      <c r="BE12" s="192"/>
      <c r="BF12" s="194"/>
      <c r="BG12" s="194"/>
      <c r="BH12" s="195"/>
      <c r="BI12" s="194"/>
    </row>
    <row r="13" spans="1:76" x14ac:dyDescent="0.25">
      <c r="A13" s="172"/>
      <c r="B13" s="170"/>
      <c r="C13" s="165"/>
      <c r="D13" s="171"/>
      <c r="E13" s="189"/>
      <c r="F13" s="188"/>
      <c r="G13" s="189"/>
      <c r="H13" s="189"/>
      <c r="I13" s="189"/>
      <c r="J13" s="189"/>
      <c r="K13" s="190" t="str">
        <f t="shared" si="0"/>
        <v/>
      </c>
      <c r="L13" s="190" t="str">
        <f t="shared" si="1"/>
        <v/>
      </c>
      <c r="M13" s="188"/>
      <c r="N13" s="188"/>
      <c r="O13" s="188"/>
      <c r="P13" s="188"/>
      <c r="Q13" s="188"/>
      <c r="R13" s="188"/>
      <c r="S13" s="213"/>
      <c r="T13" s="207"/>
      <c r="U13" s="219"/>
      <c r="V13" s="219"/>
      <c r="W13" s="219"/>
      <c r="X13" s="219"/>
      <c r="Y13" s="219"/>
      <c r="Z13" s="219"/>
      <c r="AA13" s="219"/>
      <c r="AB13" s="219"/>
      <c r="AC13" s="219"/>
      <c r="AD13" s="219"/>
      <c r="AE13" s="219"/>
      <c r="AF13" s="219"/>
      <c r="AG13" s="219"/>
      <c r="AH13" s="225">
        <f>SUM(PORTEFEUILLE_AUTRE_COMPTABLE[[#This Row],[PCR COMPTABLE €]:[MONTANT
RESPONSABLE RELATION CLIENT €]])-PORTEFEUILLE_AUTRE_COMPTABLE[[#This Row],[MONTANT TOTAL LETTRE DE MISION €]]</f>
        <v>0</v>
      </c>
      <c r="AI13" s="191"/>
      <c r="AJ13" s="188"/>
      <c r="AK13" s="188"/>
      <c r="AL13" s="188"/>
      <c r="AM13" s="188"/>
      <c r="AN13" s="188"/>
      <c r="AO13" s="188"/>
      <c r="AP13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Q13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R13" s="188" t="str">
        <f>IF(PORTEFEUILLE_AUTRE_COMPTABLE[[#This Row],[BONI AAC]]&lt;&gt;0,1,"")</f>
        <v/>
      </c>
      <c r="AS13" s="188" t="str">
        <f>IF(PORTEFEUILLE_AUTRE_COMPTABLE[[#This Row],[MALI AAC]]&lt;&gt;0,1,"")</f>
        <v/>
      </c>
      <c r="AT13" s="225">
        <f>IF(AN13&lt;&gt;"",IF((AN13*Paramètres!$H$4)-PORTEFEUILLE_AUTRE_COMPTABLE[[#This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€]]-(DELPHINE!AN13*Paramètres!$H$4),0),0)</f>
        <v>0</v>
      </c>
      <c r="AU13" s="225">
        <f>IF(AN13&lt;&gt;"",IF(((AN13*Paramètres!$H$4)-PORTEFEUILLE_AUTRE_COMPTABLE[[#This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€]])&gt;0,(AN13*Paramètres!$H$4)-PORTEFEUILLE_AUTRE_COMPTABLE[[#This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V13" s="190" t="str">
        <f>IF(PORTEFEUILLE_AUTRE_COMPTABLE[[#This Row],[BONI COMPTABLE]]&lt;&gt;0,1,"")</f>
        <v/>
      </c>
      <c r="AW13" s="190" t="str">
        <f>IF(PORTEFEUILLE_AUTRE_COMPTABLE[[#This Row],[MALI COMPTABLE]]&lt;&gt;0,1,"")</f>
        <v/>
      </c>
      <c r="AX13" s="188"/>
      <c r="AY13" s="188"/>
      <c r="AZ13" s="188"/>
      <c r="BA13" s="188"/>
      <c r="BB13" s="188"/>
      <c r="BC13" s="188"/>
      <c r="BD13" s="188"/>
      <c r="BE13" s="192"/>
      <c r="BF13" s="194"/>
      <c r="BG13" s="194"/>
      <c r="BH13" s="195"/>
      <c r="BI13" s="194"/>
    </row>
    <row r="14" spans="1:76" x14ac:dyDescent="0.25">
      <c r="A14" s="172"/>
      <c r="B14" s="170"/>
      <c r="C14" s="165"/>
      <c r="D14" s="171"/>
      <c r="E14" s="189"/>
      <c r="F14" s="188"/>
      <c r="G14" s="189"/>
      <c r="H14" s="189"/>
      <c r="I14" s="189"/>
      <c r="J14" s="189"/>
      <c r="K14" s="190" t="str">
        <f t="shared" si="0"/>
        <v/>
      </c>
      <c r="L14" s="190" t="str">
        <f t="shared" si="1"/>
        <v/>
      </c>
      <c r="M14" s="188"/>
      <c r="N14" s="188"/>
      <c r="O14" s="188"/>
      <c r="P14" s="188"/>
      <c r="Q14" s="188"/>
      <c r="R14" s="188"/>
      <c r="S14" s="213"/>
      <c r="T14" s="207"/>
      <c r="U14" s="219"/>
      <c r="V14" s="219"/>
      <c r="W14" s="219"/>
      <c r="X14" s="219"/>
      <c r="Y14" s="219"/>
      <c r="Z14" s="219"/>
      <c r="AA14" s="219"/>
      <c r="AB14" s="219"/>
      <c r="AC14" s="219"/>
      <c r="AD14" s="219"/>
      <c r="AE14" s="219"/>
      <c r="AF14" s="219"/>
      <c r="AG14" s="219"/>
      <c r="AH14" s="225">
        <f>SUM(PORTEFEUILLE_AUTRE_COMPTABLE[[#This Row],[PCR COMPTABLE €]:[MONTANT
RESPONSABLE RELATION CLIENT €]])-PORTEFEUILLE_AUTRE_COMPTABLE[[#This Row],[MONTANT TOTAL LETTRE DE MISION €]]</f>
        <v>0</v>
      </c>
      <c r="AI14" s="191"/>
      <c r="AJ14" s="188"/>
      <c r="AK14" s="188"/>
      <c r="AL14" s="188"/>
      <c r="AM14" s="188"/>
      <c r="AN14" s="188"/>
      <c r="AO14" s="188"/>
      <c r="AP14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Q14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R14" s="188" t="str">
        <f>IF(PORTEFEUILLE_AUTRE_COMPTABLE[[#This Row],[BONI AAC]]&lt;&gt;0,1,"")</f>
        <v/>
      </c>
      <c r="AS14" s="188" t="str">
        <f>IF(PORTEFEUILLE_AUTRE_COMPTABLE[[#This Row],[MALI AAC]]&lt;&gt;0,1,"")</f>
        <v/>
      </c>
      <c r="AT14" s="225">
        <f>IF(AN14&lt;&gt;"",IF((AN14*Paramètres!$H$4)-PORTEFEUILLE_AUTRE_COMPTABLE[[#This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€]]-(DELPHINE!AN14*Paramètres!$H$4),0),0)</f>
        <v>0</v>
      </c>
      <c r="AU14" s="225">
        <f>IF(AN14&lt;&gt;"",IF(((AN14*Paramètres!$H$4)-PORTEFEUILLE_AUTRE_COMPTABLE[[#This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€]])&gt;0,(AN14*Paramètres!$H$4)-PORTEFEUILLE_AUTRE_COMPTABLE[[#This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V14" s="190" t="str">
        <f>IF(PORTEFEUILLE_AUTRE_COMPTABLE[[#This Row],[BONI COMPTABLE]]&lt;&gt;0,1,"")</f>
        <v/>
      </c>
      <c r="AW14" s="190" t="str">
        <f>IF(PORTEFEUILLE_AUTRE_COMPTABLE[[#This Row],[MALI COMPTABLE]]&lt;&gt;0,1,"")</f>
        <v/>
      </c>
      <c r="AX14" s="188"/>
      <c r="AY14" s="188"/>
      <c r="AZ14" s="188"/>
      <c r="BA14" s="188"/>
      <c r="BB14" s="188"/>
      <c r="BC14" s="188"/>
      <c r="BD14" s="188"/>
      <c r="BE14" s="192"/>
      <c r="BF14" s="194"/>
      <c r="BG14" s="194"/>
      <c r="BH14" s="195"/>
      <c r="BI14" s="194"/>
    </row>
    <row r="15" spans="1:76" x14ac:dyDescent="0.25">
      <c r="A15" s="172"/>
      <c r="B15" s="170"/>
      <c r="C15" s="170"/>
      <c r="D15" s="171"/>
      <c r="E15" s="189"/>
      <c r="F15" s="188"/>
      <c r="G15" s="189"/>
      <c r="H15" s="189"/>
      <c r="I15" s="189"/>
      <c r="J15" s="189"/>
      <c r="K15" s="190" t="str">
        <f t="shared" si="0"/>
        <v/>
      </c>
      <c r="L15" s="190" t="str">
        <f t="shared" si="1"/>
        <v/>
      </c>
      <c r="M15" s="188"/>
      <c r="N15" s="188"/>
      <c r="O15" s="188"/>
      <c r="P15" s="188"/>
      <c r="Q15" s="188"/>
      <c r="R15" s="188"/>
      <c r="S15" s="213"/>
      <c r="T15" s="207"/>
      <c r="U15" s="219"/>
      <c r="V15" s="219"/>
      <c r="W15" s="219"/>
      <c r="X15" s="219"/>
      <c r="Y15" s="219"/>
      <c r="Z15" s="219"/>
      <c r="AA15" s="219"/>
      <c r="AB15" s="219"/>
      <c r="AC15" s="219"/>
      <c r="AD15" s="219"/>
      <c r="AE15" s="219"/>
      <c r="AF15" s="219"/>
      <c r="AG15" s="219"/>
      <c r="AH15" s="225">
        <f>SUM(PORTEFEUILLE_AUTRE_COMPTABLE[[#This Row],[PCR COMPTABLE €]:[MONTANT
RESPONSABLE RELATION CLIENT €]])-PORTEFEUILLE_AUTRE_COMPTABLE[[#This Row],[MONTANT TOTAL LETTRE DE MISION €]]</f>
        <v>0</v>
      </c>
      <c r="AI15" s="191"/>
      <c r="AJ15" s="188"/>
      <c r="AK15" s="188"/>
      <c r="AL15" s="188"/>
      <c r="AM15" s="188"/>
      <c r="AN15" s="188"/>
      <c r="AO15" s="188"/>
      <c r="AP15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Q15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R15" s="188" t="str">
        <f>IF(PORTEFEUILLE_AUTRE_COMPTABLE[[#This Row],[BONI AAC]]&lt;&gt;0,1,"")</f>
        <v/>
      </c>
      <c r="AS15" s="188" t="str">
        <f>IF(PORTEFEUILLE_AUTRE_COMPTABLE[[#This Row],[MALI AAC]]&lt;&gt;0,1,"")</f>
        <v/>
      </c>
      <c r="AT15" s="225">
        <f>IF(AN15&lt;&gt;"",IF((AN15*Paramètres!$H$4)-PORTEFEUILLE_AUTRE_COMPTABLE[[#This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€]]-(DELPHINE!AN15*Paramètres!$H$4),0),0)</f>
        <v>0</v>
      </c>
      <c r="AU15" s="225">
        <f>IF(AN15&lt;&gt;"",IF(((AN15*Paramètres!$H$4)-PORTEFEUILLE_AUTRE_COMPTABLE[[#This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€]])&gt;0,(AN15*Paramètres!$H$4)-PORTEFEUILLE_AUTRE_COMPTABLE[[#This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V15" s="190" t="str">
        <f>IF(PORTEFEUILLE_AUTRE_COMPTABLE[[#This Row],[BONI COMPTABLE]]&lt;&gt;0,1,"")</f>
        <v/>
      </c>
      <c r="AW15" s="190" t="str">
        <f>IF(PORTEFEUILLE_AUTRE_COMPTABLE[[#This Row],[MALI COMPTABLE]]&lt;&gt;0,1,"")</f>
        <v/>
      </c>
      <c r="AX15" s="188"/>
      <c r="AY15" s="188"/>
      <c r="AZ15" s="188"/>
      <c r="BA15" s="188"/>
      <c r="BB15" s="188"/>
      <c r="BC15" s="188"/>
      <c r="BD15" s="188"/>
      <c r="BE15" s="192"/>
      <c r="BF15" s="194"/>
      <c r="BG15" s="194"/>
      <c r="BH15" s="195"/>
      <c r="BI15" s="194"/>
    </row>
    <row r="16" spans="1:76" x14ac:dyDescent="0.25">
      <c r="A16" s="172"/>
      <c r="B16" s="170"/>
      <c r="C16" s="174"/>
      <c r="D16" s="171"/>
      <c r="E16" s="189"/>
      <c r="F16" s="188"/>
      <c r="G16" s="189"/>
      <c r="H16" s="189"/>
      <c r="I16" s="189"/>
      <c r="J16" s="189"/>
      <c r="K16" s="190" t="str">
        <f t="shared" si="0"/>
        <v/>
      </c>
      <c r="L16" s="190" t="str">
        <f t="shared" si="1"/>
        <v/>
      </c>
      <c r="M16" s="188"/>
      <c r="N16" s="188"/>
      <c r="O16" s="188"/>
      <c r="P16" s="188"/>
      <c r="Q16" s="188"/>
      <c r="R16" s="188"/>
      <c r="S16" s="213"/>
      <c r="T16" s="207"/>
      <c r="U16" s="219"/>
      <c r="V16" s="219"/>
      <c r="W16" s="219"/>
      <c r="X16" s="219"/>
      <c r="Y16" s="219"/>
      <c r="Z16" s="219"/>
      <c r="AA16" s="219"/>
      <c r="AB16" s="219"/>
      <c r="AC16" s="219"/>
      <c r="AD16" s="219"/>
      <c r="AE16" s="219"/>
      <c r="AF16" s="219"/>
      <c r="AG16" s="219"/>
      <c r="AH16" s="225">
        <f>SUM(PORTEFEUILLE_AUTRE_COMPTABLE[[#This Row],[PCR COMPTABLE €]:[MONTANT
RESPONSABLE RELATION CLIENT €]])-PORTEFEUILLE_AUTRE_COMPTABLE[[#This Row],[MONTANT TOTAL LETTRE DE MISION €]]</f>
        <v>0</v>
      </c>
      <c r="AI16" s="191"/>
      <c r="AJ16" s="188"/>
      <c r="AK16" s="188"/>
      <c r="AL16" s="188"/>
      <c r="AM16" s="188"/>
      <c r="AN16" s="188"/>
      <c r="AO16" s="188"/>
      <c r="AP16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Q16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R16" s="188" t="str">
        <f>IF(PORTEFEUILLE_AUTRE_COMPTABLE[[#This Row],[BONI AAC]]&lt;&gt;0,1,"")</f>
        <v/>
      </c>
      <c r="AS16" s="188" t="str">
        <f>IF(PORTEFEUILLE_AUTRE_COMPTABLE[[#This Row],[MALI AAC]]&lt;&gt;0,1,"")</f>
        <v/>
      </c>
      <c r="AT16" s="225">
        <f>IF(AN16&lt;&gt;"",IF((AN16*Paramètres!$H$4)-PORTEFEUILLE_AUTRE_COMPTABLE[[#This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€]]-(DELPHINE!AN16*Paramètres!$H$4),0),0)</f>
        <v>0</v>
      </c>
      <c r="AU16" s="225">
        <f>IF(AN16&lt;&gt;"",IF(((AN16*Paramètres!$H$4)-PORTEFEUILLE_AUTRE_COMPTABLE[[#This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€]])&gt;0,(AN16*Paramètres!$H$4)-PORTEFEUILLE_AUTRE_COMPTABLE[[#This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V16" s="190" t="str">
        <f>IF(PORTEFEUILLE_AUTRE_COMPTABLE[[#This Row],[BONI COMPTABLE]]&lt;&gt;0,1,"")</f>
        <v/>
      </c>
      <c r="AW16" s="190" t="str">
        <f>IF(PORTEFEUILLE_AUTRE_COMPTABLE[[#This Row],[MALI COMPTABLE]]&lt;&gt;0,1,"")</f>
        <v/>
      </c>
      <c r="AX16" s="188"/>
      <c r="AY16" s="188"/>
      <c r="AZ16" s="188"/>
      <c r="BA16" s="188"/>
      <c r="BB16" s="188"/>
      <c r="BC16" s="188"/>
      <c r="BD16" s="188"/>
      <c r="BE16" s="192"/>
      <c r="BF16" s="194"/>
      <c r="BG16" s="194"/>
      <c r="BH16" s="195"/>
      <c r="BI16" s="194"/>
    </row>
    <row r="17" spans="1:61" x14ac:dyDescent="0.25">
      <c r="A17" s="172"/>
      <c r="B17" s="170"/>
      <c r="C17" s="175"/>
      <c r="D17" s="171"/>
      <c r="E17" s="189"/>
      <c r="F17" s="188"/>
      <c r="G17" s="189"/>
      <c r="H17" s="189"/>
      <c r="I17" s="189"/>
      <c r="J17" s="189"/>
      <c r="K17" s="190" t="str">
        <f t="shared" si="0"/>
        <v/>
      </c>
      <c r="L17" s="190" t="str">
        <f t="shared" si="1"/>
        <v/>
      </c>
      <c r="M17" s="188"/>
      <c r="N17" s="188"/>
      <c r="O17" s="188"/>
      <c r="P17" s="188"/>
      <c r="Q17" s="188"/>
      <c r="R17" s="188"/>
      <c r="S17" s="213"/>
      <c r="T17" s="207"/>
      <c r="U17" s="219"/>
      <c r="V17" s="219"/>
      <c r="W17" s="219"/>
      <c r="X17" s="219"/>
      <c r="Y17" s="219"/>
      <c r="Z17" s="219"/>
      <c r="AA17" s="219"/>
      <c r="AB17" s="219"/>
      <c r="AC17" s="219"/>
      <c r="AD17" s="219"/>
      <c r="AE17" s="219"/>
      <c r="AF17" s="219"/>
      <c r="AG17" s="219"/>
      <c r="AH17" s="225">
        <f>SUM(PORTEFEUILLE_AUTRE_COMPTABLE[[#This Row],[PCR COMPTABLE €]:[MONTANT
RESPONSABLE RELATION CLIENT €]])-PORTEFEUILLE_AUTRE_COMPTABLE[[#This Row],[MONTANT TOTAL LETTRE DE MISION €]]</f>
        <v>0</v>
      </c>
      <c r="AI17" s="191"/>
      <c r="AJ17" s="188"/>
      <c r="AK17" s="188"/>
      <c r="AL17" s="188"/>
      <c r="AM17" s="188"/>
      <c r="AN17" s="188"/>
      <c r="AO17" s="188"/>
      <c r="AP17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Q17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R17" s="188" t="str">
        <f>IF(PORTEFEUILLE_AUTRE_COMPTABLE[[#This Row],[BONI AAC]]&lt;&gt;0,1,"")</f>
        <v/>
      </c>
      <c r="AS17" s="188" t="str">
        <f>IF(PORTEFEUILLE_AUTRE_COMPTABLE[[#This Row],[MALI AAC]]&lt;&gt;0,1,"")</f>
        <v/>
      </c>
      <c r="AT17" s="225">
        <f>IF(AN17&lt;&gt;"",IF((AN17*Paramètres!$H$4)-PORTEFEUILLE_AUTRE_COMPTABLE[[#This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€]]-(DELPHINE!AN17*Paramètres!$H$4),0),0)</f>
        <v>0</v>
      </c>
      <c r="AU17" s="225">
        <f>IF(AN17&lt;&gt;"",IF(((AN17*Paramètres!$H$4)-PORTEFEUILLE_AUTRE_COMPTABLE[[#This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€]])&gt;0,(AN17*Paramètres!$H$4)-PORTEFEUILLE_AUTRE_COMPTABLE[[#This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V17" s="190" t="str">
        <f>IF(PORTEFEUILLE_AUTRE_COMPTABLE[[#This Row],[BONI COMPTABLE]]&lt;&gt;0,1,"")</f>
        <v/>
      </c>
      <c r="AW17" s="190" t="str">
        <f>IF(PORTEFEUILLE_AUTRE_COMPTABLE[[#This Row],[MALI COMPTABLE]]&lt;&gt;0,1,"")</f>
        <v/>
      </c>
      <c r="AX17" s="188"/>
      <c r="AY17" s="188"/>
      <c r="AZ17" s="188"/>
      <c r="BA17" s="188"/>
      <c r="BB17" s="188"/>
      <c r="BC17" s="188"/>
      <c r="BD17" s="188"/>
      <c r="BE17" s="192"/>
      <c r="BF17" s="194"/>
      <c r="BG17" s="194"/>
      <c r="BH17" s="195"/>
      <c r="BI17" s="194"/>
    </row>
    <row r="18" spans="1:61" s="241" customFormat="1" x14ac:dyDescent="0.25">
      <c r="A18" s="172"/>
      <c r="B18" s="170"/>
      <c r="C18" s="165"/>
      <c r="D18" s="171"/>
      <c r="E18" s="189"/>
      <c r="F18" s="188"/>
      <c r="G18" s="189"/>
      <c r="H18" s="189"/>
      <c r="I18" s="189"/>
      <c r="J18" s="189"/>
      <c r="K18" s="190" t="str">
        <f t="shared" si="0"/>
        <v/>
      </c>
      <c r="L18" s="190" t="str">
        <f t="shared" si="1"/>
        <v/>
      </c>
      <c r="M18" s="188"/>
      <c r="N18" s="188"/>
      <c r="O18" s="188"/>
      <c r="P18" s="188"/>
      <c r="Q18" s="188"/>
      <c r="R18" s="188"/>
      <c r="S18" s="213"/>
      <c r="T18" s="207"/>
      <c r="U18" s="219"/>
      <c r="V18" s="219"/>
      <c r="W18" s="219"/>
      <c r="X18" s="219"/>
      <c r="Y18" s="219"/>
      <c r="Z18" s="219"/>
      <c r="AA18" s="219"/>
      <c r="AB18" s="219"/>
      <c r="AC18" s="219"/>
      <c r="AD18" s="219"/>
      <c r="AE18" s="219"/>
      <c r="AF18" s="219"/>
      <c r="AG18" s="219"/>
      <c r="AH18" s="225">
        <f>SUM(PORTEFEUILLE_AUTRE_COMPTABLE[[#This Row],[PCR COMPTABLE €]:[MONTANT
RESPONSABLE RELATION CLIENT €]])-PORTEFEUILLE_AUTRE_COMPTABLE[[#This Row],[MONTANT TOTAL LETTRE DE MISION €]]</f>
        <v>0</v>
      </c>
      <c r="AI18" s="191"/>
      <c r="AJ18" s="188"/>
      <c r="AK18" s="188"/>
      <c r="AL18" s="188"/>
      <c r="AM18" s="188"/>
      <c r="AN18" s="188"/>
      <c r="AO18" s="188"/>
      <c r="AP18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Q18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R18" s="188" t="str">
        <f>IF(PORTEFEUILLE_AUTRE_COMPTABLE[[#This Row],[BONI AAC]]&lt;&gt;0,1,"")</f>
        <v/>
      </c>
      <c r="AS18" s="188" t="str">
        <f>IF(PORTEFEUILLE_AUTRE_COMPTABLE[[#This Row],[MALI AAC]]&lt;&gt;0,1,"")</f>
        <v/>
      </c>
      <c r="AT18" s="225">
        <f>IF(AN18&lt;&gt;"",IF((AN18*Paramètres!$H$4)-PORTEFEUILLE_AUTRE_COMPTABLE[[#This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€]]-(DELPHINE!AN18*Paramètres!$H$4),0),0)</f>
        <v>0</v>
      </c>
      <c r="AU18" s="225">
        <f>IF(AN18&lt;&gt;"",IF(((AN18*Paramètres!$H$4)-PORTEFEUILLE_AUTRE_COMPTABLE[[#This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€]])&gt;0,(AN18*Paramètres!$H$4)-PORTEFEUILLE_AUTRE_COMPTABLE[[#This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V18" s="190" t="str">
        <f>IF(PORTEFEUILLE_AUTRE_COMPTABLE[[#This Row],[BONI COMPTABLE]]&lt;&gt;0,1,"")</f>
        <v/>
      </c>
      <c r="AW18" s="190" t="str">
        <f>IF(PORTEFEUILLE_AUTRE_COMPTABLE[[#This Row],[MALI COMPTABLE]]&lt;&gt;0,1,"")</f>
        <v/>
      </c>
      <c r="AX18" s="188"/>
      <c r="AY18" s="188"/>
      <c r="AZ18" s="188"/>
      <c r="BA18" s="188"/>
      <c r="BB18" s="188"/>
      <c r="BC18" s="188"/>
      <c r="BD18" s="188"/>
      <c r="BE18" s="192"/>
      <c r="BF18" s="194"/>
      <c r="BG18" s="194"/>
      <c r="BH18" s="195"/>
      <c r="BI18" s="194"/>
    </row>
    <row r="19" spans="1:61" x14ac:dyDescent="0.25">
      <c r="A19" s="172"/>
      <c r="B19" s="170"/>
      <c r="C19" s="165"/>
      <c r="D19" s="171"/>
      <c r="E19" s="189"/>
      <c r="F19" s="188"/>
      <c r="G19" s="189"/>
      <c r="H19" s="189"/>
      <c r="I19" s="189"/>
      <c r="J19" s="189"/>
      <c r="K19" s="190" t="str">
        <f t="shared" si="0"/>
        <v/>
      </c>
      <c r="L19" s="190" t="str">
        <f t="shared" si="1"/>
        <v/>
      </c>
      <c r="M19" s="188"/>
      <c r="N19" s="188"/>
      <c r="O19" s="188"/>
      <c r="P19" s="188"/>
      <c r="Q19" s="188"/>
      <c r="R19" s="188"/>
      <c r="S19" s="213"/>
      <c r="T19" s="207"/>
      <c r="U19" s="219"/>
      <c r="V19" s="219"/>
      <c r="W19" s="219"/>
      <c r="X19" s="219"/>
      <c r="Y19" s="219"/>
      <c r="Z19" s="219"/>
      <c r="AA19" s="219"/>
      <c r="AB19" s="219"/>
      <c r="AC19" s="219"/>
      <c r="AD19" s="219"/>
      <c r="AE19" s="219"/>
      <c r="AF19" s="219"/>
      <c r="AG19" s="219"/>
      <c r="AH19" s="225">
        <f>SUM(PORTEFEUILLE_AUTRE_COMPTABLE[[#This Row],[PCR COMPTABLE €]:[MONTANT
RESPONSABLE RELATION CLIENT €]])-PORTEFEUILLE_AUTRE_COMPTABLE[[#This Row],[MONTANT TOTAL LETTRE DE MISION €]]</f>
        <v>0</v>
      </c>
      <c r="AI19" s="191"/>
      <c r="AJ19" s="188"/>
      <c r="AK19" s="188"/>
      <c r="AL19" s="188"/>
      <c r="AM19" s="188"/>
      <c r="AN19" s="188"/>
      <c r="AO19" s="188"/>
      <c r="AP19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Q19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R19" s="188" t="str">
        <f>IF(PORTEFEUILLE_AUTRE_COMPTABLE[[#This Row],[BONI AAC]]&lt;&gt;0,1,"")</f>
        <v/>
      </c>
      <c r="AS19" s="188" t="str">
        <f>IF(PORTEFEUILLE_AUTRE_COMPTABLE[[#This Row],[MALI AAC]]&lt;&gt;0,1,"")</f>
        <v/>
      </c>
      <c r="AT19" s="225">
        <f>IF(AN19&lt;&gt;"",IF((AN19*Paramètres!$H$4)-PORTEFEUILLE_AUTRE_COMPTABLE[[#This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€]]-(DELPHINE!AN19*Paramètres!$H$4),0),0)</f>
        <v>0</v>
      </c>
      <c r="AU19" s="225">
        <f>IF(AN19&lt;&gt;"",IF(((AN19*Paramètres!$H$4)-PORTEFEUILLE_AUTRE_COMPTABLE[[#This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€]])&gt;0,(AN19*Paramètres!$H$4)-PORTEFEUILLE_AUTRE_COMPTABLE[[#This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V19" s="190" t="str">
        <f>IF(PORTEFEUILLE_AUTRE_COMPTABLE[[#This Row],[BONI COMPTABLE]]&lt;&gt;0,1,"")</f>
        <v/>
      </c>
      <c r="AW19" s="190" t="str">
        <f>IF(PORTEFEUILLE_AUTRE_COMPTABLE[[#This Row],[MALI COMPTABLE]]&lt;&gt;0,1,"")</f>
        <v/>
      </c>
      <c r="AX19" s="188"/>
      <c r="AY19" s="188"/>
      <c r="AZ19" s="188"/>
      <c r="BA19" s="188"/>
      <c r="BB19" s="188"/>
      <c r="BC19" s="188"/>
      <c r="BD19" s="188"/>
      <c r="BE19" s="192"/>
      <c r="BF19" s="194"/>
      <c r="BG19" s="194"/>
      <c r="BH19" s="195"/>
      <c r="BI19" s="194"/>
    </row>
    <row r="20" spans="1:61" x14ac:dyDescent="0.25">
      <c r="A20" s="172"/>
      <c r="B20" s="170"/>
      <c r="C20" s="165"/>
      <c r="D20" s="171"/>
      <c r="E20" s="189"/>
      <c r="F20" s="188"/>
      <c r="G20" s="188"/>
      <c r="H20" s="189"/>
      <c r="I20" s="189"/>
      <c r="J20" s="189"/>
      <c r="K20" s="190" t="str">
        <f t="shared" si="0"/>
        <v/>
      </c>
      <c r="L20" s="190" t="str">
        <f t="shared" si="1"/>
        <v/>
      </c>
      <c r="M20" s="188"/>
      <c r="N20" s="188"/>
      <c r="O20" s="188"/>
      <c r="P20" s="188"/>
      <c r="Q20" s="188"/>
      <c r="R20" s="188"/>
      <c r="S20" s="214"/>
      <c r="T20" s="208"/>
      <c r="U20" s="220"/>
      <c r="V20" s="220"/>
      <c r="W20" s="220"/>
      <c r="X20" s="220"/>
      <c r="Y20" s="220"/>
      <c r="Z20" s="220"/>
      <c r="AA20" s="220"/>
      <c r="AB20" s="220"/>
      <c r="AC20" s="220"/>
      <c r="AD20" s="220"/>
      <c r="AE20" s="220"/>
      <c r="AF20" s="220"/>
      <c r="AG20" s="219"/>
      <c r="AH20" s="225">
        <f>SUM(PORTEFEUILLE_AUTRE_COMPTABLE[[#This Row],[PCR COMPTABLE €]:[MONTANT
RESPONSABLE RELATION CLIENT €]])-PORTEFEUILLE_AUTRE_COMPTABLE[[#This Row],[MONTANT TOTAL LETTRE DE MISION €]]</f>
        <v>0</v>
      </c>
      <c r="AI20" s="191"/>
      <c r="AJ20" s="188"/>
      <c r="AK20" s="188"/>
      <c r="AL20" s="196"/>
      <c r="AM20" s="196"/>
      <c r="AN20" s="196"/>
      <c r="AO20" s="196"/>
      <c r="AP20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Q20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R20" s="188" t="str">
        <f>IF(PORTEFEUILLE_AUTRE_COMPTABLE[[#This Row],[BONI AAC]]&lt;&gt;0,1,"")</f>
        <v/>
      </c>
      <c r="AS20" s="188" t="str">
        <f>IF(PORTEFEUILLE_AUTRE_COMPTABLE[[#This Row],[MALI AAC]]&lt;&gt;0,1,"")</f>
        <v/>
      </c>
      <c r="AT20" s="225">
        <f>IF(AN20&lt;&gt;"",IF((AN20*Paramètres!$H$4)-PORTEFEUILLE_AUTRE_COMPTABLE[[#This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€]]-(DELPHINE!AN20*Paramètres!$H$4),0),0)</f>
        <v>0</v>
      </c>
      <c r="AU20" s="225">
        <f>IF(AN20&lt;&gt;"",IF(((AN20*Paramètres!$H$4)-PORTEFEUILLE_AUTRE_COMPTABLE[[#This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€]])&gt;0,(AN20*Paramètres!$H$4)-PORTEFEUILLE_AUTRE_COMPTABLE[[#This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V20" s="190" t="str">
        <f>IF(PORTEFEUILLE_AUTRE_COMPTABLE[[#This Row],[BONI COMPTABLE]]&lt;&gt;0,1,"")</f>
        <v/>
      </c>
      <c r="AW20" s="190" t="str">
        <f>IF(PORTEFEUILLE_AUTRE_COMPTABLE[[#This Row],[MALI COMPTABLE]]&lt;&gt;0,1,"")</f>
        <v/>
      </c>
      <c r="AX20" s="196"/>
      <c r="AY20" s="188"/>
      <c r="AZ20" s="188"/>
      <c r="BA20" s="188"/>
      <c r="BB20" s="196"/>
      <c r="BC20" s="196"/>
      <c r="BD20" s="196"/>
      <c r="BE20" s="192"/>
      <c r="BF20" s="194"/>
      <c r="BG20" s="194"/>
      <c r="BH20" s="195"/>
      <c r="BI20" s="194"/>
    </row>
    <row r="21" spans="1:61" x14ac:dyDescent="0.25">
      <c r="A21" s="172"/>
      <c r="B21" s="170"/>
      <c r="C21" s="165"/>
      <c r="D21" s="171"/>
      <c r="E21" s="189"/>
      <c r="F21" s="188"/>
      <c r="G21" s="189"/>
      <c r="H21" s="189"/>
      <c r="I21" s="189"/>
      <c r="J21" s="189"/>
      <c r="K21" s="190" t="str">
        <f t="shared" si="0"/>
        <v/>
      </c>
      <c r="L21" s="190" t="str">
        <f t="shared" si="1"/>
        <v/>
      </c>
      <c r="M21" s="188"/>
      <c r="N21" s="188"/>
      <c r="O21" s="188"/>
      <c r="P21" s="188"/>
      <c r="Q21" s="188"/>
      <c r="R21" s="188"/>
      <c r="S21" s="213"/>
      <c r="T21" s="207"/>
      <c r="U21" s="219"/>
      <c r="V21" s="219"/>
      <c r="W21" s="219"/>
      <c r="X21" s="219"/>
      <c r="Y21" s="219"/>
      <c r="Z21" s="219"/>
      <c r="AA21" s="219"/>
      <c r="AB21" s="219"/>
      <c r="AC21" s="219"/>
      <c r="AD21" s="219"/>
      <c r="AE21" s="219"/>
      <c r="AF21" s="219"/>
      <c r="AG21" s="219"/>
      <c r="AH21" s="225">
        <f>SUM(PORTEFEUILLE_AUTRE_COMPTABLE[[#This Row],[PCR COMPTABLE €]:[MONTANT
RESPONSABLE RELATION CLIENT €]])-PORTEFEUILLE_AUTRE_COMPTABLE[[#This Row],[MONTANT TOTAL LETTRE DE MISION €]]</f>
        <v>0</v>
      </c>
      <c r="AI21" s="191"/>
      <c r="AJ21" s="188"/>
      <c r="AK21" s="188"/>
      <c r="AL21" s="188"/>
      <c r="AM21" s="188"/>
      <c r="AN21" s="188"/>
      <c r="AO21" s="188"/>
      <c r="AP21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Q21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R21" s="188" t="str">
        <f>IF(PORTEFEUILLE_AUTRE_COMPTABLE[[#This Row],[BONI AAC]]&lt;&gt;0,1,"")</f>
        <v/>
      </c>
      <c r="AS21" s="188" t="str">
        <f>IF(PORTEFEUILLE_AUTRE_COMPTABLE[[#This Row],[MALI AAC]]&lt;&gt;0,1,"")</f>
        <v/>
      </c>
      <c r="AT21" s="225">
        <f>IF(AN21&lt;&gt;"",IF((AN21*Paramètres!$H$4)-PORTEFEUILLE_AUTRE_COMPTABLE[[#This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€]]-(DELPHINE!AN21*Paramètres!$H$4),0),0)</f>
        <v>0</v>
      </c>
      <c r="AU21" s="225">
        <f>IF(AN21&lt;&gt;"",IF(((AN21*Paramètres!$H$4)-PORTEFEUILLE_AUTRE_COMPTABLE[[#This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€]])&gt;0,(AN21*Paramètres!$H$4)-PORTEFEUILLE_AUTRE_COMPTABLE[[#This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V21" s="190" t="str">
        <f>IF(PORTEFEUILLE_AUTRE_COMPTABLE[[#This Row],[BONI COMPTABLE]]&lt;&gt;0,1,"")</f>
        <v/>
      </c>
      <c r="AW21" s="190" t="str">
        <f>IF(PORTEFEUILLE_AUTRE_COMPTABLE[[#This Row],[MALI COMPTABLE]]&lt;&gt;0,1,"")</f>
        <v/>
      </c>
      <c r="AX21" s="188"/>
      <c r="AY21" s="188"/>
      <c r="AZ21" s="188"/>
      <c r="BA21" s="188"/>
      <c r="BB21" s="196"/>
      <c r="BC21" s="196"/>
      <c r="BD21" s="196"/>
      <c r="BE21" s="192"/>
      <c r="BF21" s="194"/>
      <c r="BG21" s="194"/>
      <c r="BH21" s="195"/>
      <c r="BI21" s="194"/>
    </row>
    <row r="22" spans="1:61" x14ac:dyDescent="0.25">
      <c r="A22" s="172"/>
      <c r="B22" s="170"/>
      <c r="C22" s="165"/>
      <c r="D22" s="171"/>
      <c r="E22" s="189"/>
      <c r="F22" s="188"/>
      <c r="G22" s="189"/>
      <c r="H22" s="189"/>
      <c r="I22" s="189"/>
      <c r="J22" s="189"/>
      <c r="K22" s="190" t="str">
        <f t="shared" si="0"/>
        <v/>
      </c>
      <c r="L22" s="190" t="str">
        <f t="shared" si="1"/>
        <v/>
      </c>
      <c r="M22" s="188"/>
      <c r="N22" s="188"/>
      <c r="O22" s="188"/>
      <c r="P22" s="188"/>
      <c r="Q22" s="188"/>
      <c r="R22" s="188"/>
      <c r="S22" s="215"/>
      <c r="T22" s="209"/>
      <c r="U22" s="221"/>
      <c r="V22" s="221"/>
      <c r="W22" s="221"/>
      <c r="X22" s="221"/>
      <c r="Y22" s="221"/>
      <c r="Z22" s="221"/>
      <c r="AA22" s="221"/>
      <c r="AB22" s="221"/>
      <c r="AC22" s="221"/>
      <c r="AD22" s="221"/>
      <c r="AE22" s="221"/>
      <c r="AF22" s="221"/>
      <c r="AG22" s="219"/>
      <c r="AH22" s="225">
        <f>SUM(PORTEFEUILLE_AUTRE_COMPTABLE[[#This Row],[PCR COMPTABLE €]:[MONTANT
RESPONSABLE RELATION CLIENT €]])-PORTEFEUILLE_AUTRE_COMPTABLE[[#This Row],[MONTANT TOTAL LETTRE DE MISION €]]</f>
        <v>0</v>
      </c>
      <c r="AI22" s="191"/>
      <c r="AJ22" s="188"/>
      <c r="AK22" s="188"/>
      <c r="AL22" s="197"/>
      <c r="AM22" s="197"/>
      <c r="AN22" s="197"/>
      <c r="AO22" s="197"/>
      <c r="AP22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Q22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R22" s="188" t="str">
        <f>IF(PORTEFEUILLE_AUTRE_COMPTABLE[[#This Row],[BONI AAC]]&lt;&gt;0,1,"")</f>
        <v/>
      </c>
      <c r="AS22" s="188" t="str">
        <f>IF(PORTEFEUILLE_AUTRE_COMPTABLE[[#This Row],[MALI AAC]]&lt;&gt;0,1,"")</f>
        <v/>
      </c>
      <c r="AT22" s="225">
        <f>IF(AN22&lt;&gt;"",IF((AN22*Paramètres!$H$4)-PORTEFEUILLE_AUTRE_COMPTABLE[[#This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€]]-(DELPHINE!AN22*Paramètres!$H$4),0),0)</f>
        <v>0</v>
      </c>
      <c r="AU22" s="225">
        <f>IF(AN22&lt;&gt;"",IF(((AN22*Paramètres!$H$4)-PORTEFEUILLE_AUTRE_COMPTABLE[[#This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€]])&gt;0,(AN22*Paramètres!$H$4)-PORTEFEUILLE_AUTRE_COMPTABLE[[#This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V22" s="190" t="str">
        <f>IF(PORTEFEUILLE_AUTRE_COMPTABLE[[#This Row],[BONI COMPTABLE]]&lt;&gt;0,1,"")</f>
        <v/>
      </c>
      <c r="AW22" s="190" t="str">
        <f>IF(PORTEFEUILLE_AUTRE_COMPTABLE[[#This Row],[MALI COMPTABLE]]&lt;&gt;0,1,"")</f>
        <v/>
      </c>
      <c r="AX22" s="188"/>
      <c r="AY22" s="188"/>
      <c r="AZ22" s="188"/>
      <c r="BA22" s="188"/>
      <c r="BB22" s="196"/>
      <c r="BC22" s="196"/>
      <c r="BD22" s="196"/>
      <c r="BE22" s="192"/>
      <c r="BF22" s="194"/>
      <c r="BG22" s="194"/>
      <c r="BH22" s="195"/>
      <c r="BI22" s="194"/>
    </row>
    <row r="23" spans="1:61" x14ac:dyDescent="0.25">
      <c r="A23" s="172"/>
      <c r="B23" s="170"/>
      <c r="C23" s="165"/>
      <c r="D23" s="171"/>
      <c r="E23" s="189"/>
      <c r="F23" s="188"/>
      <c r="G23" s="189"/>
      <c r="H23" s="189"/>
      <c r="I23" s="189"/>
      <c r="J23" s="189"/>
      <c r="K23" s="190" t="str">
        <f t="shared" si="0"/>
        <v/>
      </c>
      <c r="L23" s="190" t="str">
        <f t="shared" si="1"/>
        <v/>
      </c>
      <c r="M23" s="188"/>
      <c r="N23" s="188"/>
      <c r="O23" s="188"/>
      <c r="P23" s="188"/>
      <c r="Q23" s="188"/>
      <c r="R23" s="188"/>
      <c r="S23" s="213"/>
      <c r="T23" s="207"/>
      <c r="U23" s="219"/>
      <c r="V23" s="219"/>
      <c r="W23" s="219"/>
      <c r="X23" s="219"/>
      <c r="Y23" s="219"/>
      <c r="Z23" s="219"/>
      <c r="AA23" s="219"/>
      <c r="AB23" s="219"/>
      <c r="AC23" s="219"/>
      <c r="AD23" s="219"/>
      <c r="AE23" s="219"/>
      <c r="AF23" s="219"/>
      <c r="AG23" s="219"/>
      <c r="AH23" s="225">
        <f>SUM(PORTEFEUILLE_AUTRE_COMPTABLE[[#This Row],[PCR COMPTABLE €]:[MONTANT
RESPONSABLE RELATION CLIENT €]])-PORTEFEUILLE_AUTRE_COMPTABLE[[#This Row],[MONTANT TOTAL LETTRE DE MISION €]]</f>
        <v>0</v>
      </c>
      <c r="AI23" s="191"/>
      <c r="AJ23" s="188"/>
      <c r="AK23" s="188"/>
      <c r="AL23" s="188"/>
      <c r="AM23" s="188"/>
      <c r="AN23" s="188"/>
      <c r="AO23" s="188"/>
      <c r="AP23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Q23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R23" s="188" t="str">
        <f>IF(PORTEFEUILLE_AUTRE_COMPTABLE[[#This Row],[BONI AAC]]&lt;&gt;0,1,"")</f>
        <v/>
      </c>
      <c r="AS23" s="188" t="str">
        <f>IF(PORTEFEUILLE_AUTRE_COMPTABLE[[#This Row],[MALI AAC]]&lt;&gt;0,1,"")</f>
        <v/>
      </c>
      <c r="AT23" s="225">
        <f>IF(AN23&lt;&gt;"",IF((AN23*Paramètres!$H$4)-PORTEFEUILLE_AUTRE_COMPTABLE[[#This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€]]-(DELPHINE!AN23*Paramètres!$H$4),0),0)</f>
        <v>0</v>
      </c>
      <c r="AU23" s="225">
        <f>IF(AN23&lt;&gt;"",IF(((AN23*Paramètres!$H$4)-PORTEFEUILLE_AUTRE_COMPTABLE[[#This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€]])&gt;0,(AN23*Paramètres!$H$4)-PORTEFEUILLE_AUTRE_COMPTABLE[[#This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V23" s="190" t="str">
        <f>IF(PORTEFEUILLE_AUTRE_COMPTABLE[[#This Row],[BONI COMPTABLE]]&lt;&gt;0,1,"")</f>
        <v/>
      </c>
      <c r="AW23" s="190" t="str">
        <f>IF(PORTEFEUILLE_AUTRE_COMPTABLE[[#This Row],[MALI COMPTABLE]]&lt;&gt;0,1,"")</f>
        <v/>
      </c>
      <c r="AX23" s="188"/>
      <c r="AY23" s="188"/>
      <c r="AZ23" s="188"/>
      <c r="BA23" s="188"/>
      <c r="BB23" s="188"/>
      <c r="BC23" s="188"/>
      <c r="BD23" s="188"/>
      <c r="BE23" s="192"/>
      <c r="BF23" s="194"/>
      <c r="BG23" s="194"/>
      <c r="BH23" s="195"/>
      <c r="BI23" s="194"/>
    </row>
    <row r="24" spans="1:61" x14ac:dyDescent="0.25">
      <c r="A24" s="172"/>
      <c r="B24" s="170"/>
      <c r="C24" s="165"/>
      <c r="D24" s="171"/>
      <c r="E24" s="189"/>
      <c r="F24" s="188"/>
      <c r="G24" s="188"/>
      <c r="H24" s="189"/>
      <c r="I24" s="189"/>
      <c r="J24" s="189"/>
      <c r="K24" s="190" t="str">
        <f t="shared" si="0"/>
        <v/>
      </c>
      <c r="L24" s="190" t="str">
        <f t="shared" si="1"/>
        <v/>
      </c>
      <c r="M24" s="188"/>
      <c r="N24" s="188"/>
      <c r="O24" s="188"/>
      <c r="P24" s="188"/>
      <c r="Q24" s="188"/>
      <c r="R24" s="188"/>
      <c r="S24" s="214"/>
      <c r="T24" s="208"/>
      <c r="U24" s="220"/>
      <c r="V24" s="220"/>
      <c r="W24" s="220"/>
      <c r="X24" s="220"/>
      <c r="Y24" s="220"/>
      <c r="Z24" s="220"/>
      <c r="AA24" s="220"/>
      <c r="AB24" s="220"/>
      <c r="AC24" s="220"/>
      <c r="AD24" s="220"/>
      <c r="AE24" s="220"/>
      <c r="AF24" s="220"/>
      <c r="AG24" s="219"/>
      <c r="AH24" s="225">
        <f>SUM(PORTEFEUILLE_AUTRE_COMPTABLE[[#This Row],[PCR COMPTABLE €]:[MONTANT
RESPONSABLE RELATION CLIENT €]])-PORTEFEUILLE_AUTRE_COMPTABLE[[#This Row],[MONTANT TOTAL LETTRE DE MISION €]]</f>
        <v>0</v>
      </c>
      <c r="AI24" s="191"/>
      <c r="AJ24" s="188"/>
      <c r="AK24" s="188"/>
      <c r="AL24" s="196"/>
      <c r="AM24" s="196"/>
      <c r="AN24" s="196"/>
      <c r="AO24" s="196"/>
      <c r="AP24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Q24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R24" s="188" t="str">
        <f>IF(PORTEFEUILLE_AUTRE_COMPTABLE[[#This Row],[BONI AAC]]&lt;&gt;0,1,"")</f>
        <v/>
      </c>
      <c r="AS24" s="188" t="str">
        <f>IF(PORTEFEUILLE_AUTRE_COMPTABLE[[#This Row],[MALI AAC]]&lt;&gt;0,1,"")</f>
        <v/>
      </c>
      <c r="AT24" s="225">
        <f>IF(AN24&lt;&gt;"",IF((AN24*Paramètres!$H$4)-PORTEFEUILLE_AUTRE_COMPTABLE[[#This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€]]-(DELPHINE!AN24*Paramètres!$H$4),0),0)</f>
        <v>0</v>
      </c>
      <c r="AU24" s="225">
        <f>IF(AN24&lt;&gt;"",IF(((AN24*Paramètres!$H$4)-PORTEFEUILLE_AUTRE_COMPTABLE[[#This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€]])&gt;0,(AN24*Paramètres!$H$4)-PORTEFEUILLE_AUTRE_COMPTABLE[[#This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V24" s="190" t="str">
        <f>IF(PORTEFEUILLE_AUTRE_COMPTABLE[[#This Row],[BONI COMPTABLE]]&lt;&gt;0,1,"")</f>
        <v/>
      </c>
      <c r="AW24" s="190" t="str">
        <f>IF(PORTEFEUILLE_AUTRE_COMPTABLE[[#This Row],[MALI COMPTABLE]]&lt;&gt;0,1,"")</f>
        <v/>
      </c>
      <c r="AX24" s="196"/>
      <c r="AY24" s="188"/>
      <c r="AZ24" s="188"/>
      <c r="BA24" s="188"/>
      <c r="BB24" s="188"/>
      <c r="BC24" s="188"/>
      <c r="BD24" s="188"/>
      <c r="BE24" s="192"/>
      <c r="BF24" s="194"/>
      <c r="BG24" s="194"/>
      <c r="BH24" s="195"/>
      <c r="BI24" s="194"/>
    </row>
    <row r="25" spans="1:61" x14ac:dyDescent="0.25">
      <c r="A25" s="172"/>
      <c r="B25" s="170"/>
      <c r="C25" s="165"/>
      <c r="D25" s="171"/>
      <c r="E25" s="189"/>
      <c r="F25" s="188"/>
      <c r="G25" s="188"/>
      <c r="H25" s="189"/>
      <c r="I25" s="189"/>
      <c r="J25" s="189"/>
      <c r="K25" s="190" t="str">
        <f t="shared" si="0"/>
        <v/>
      </c>
      <c r="L25" s="190" t="str">
        <f t="shared" si="1"/>
        <v/>
      </c>
      <c r="M25" s="188"/>
      <c r="N25" s="188"/>
      <c r="O25" s="188"/>
      <c r="P25" s="188"/>
      <c r="Q25" s="188"/>
      <c r="R25" s="188"/>
      <c r="S25" s="214"/>
      <c r="T25" s="208"/>
      <c r="U25" s="220"/>
      <c r="V25" s="220"/>
      <c r="W25" s="220"/>
      <c r="X25" s="220"/>
      <c r="Y25" s="220"/>
      <c r="Z25" s="220"/>
      <c r="AA25" s="220"/>
      <c r="AB25" s="220"/>
      <c r="AC25" s="220"/>
      <c r="AD25" s="220"/>
      <c r="AE25" s="220"/>
      <c r="AF25" s="220"/>
      <c r="AG25" s="219"/>
      <c r="AH25" s="225">
        <f>SUM(PORTEFEUILLE_AUTRE_COMPTABLE[[#This Row],[PCR COMPTABLE €]:[MONTANT
RESPONSABLE RELATION CLIENT €]])-PORTEFEUILLE_AUTRE_COMPTABLE[[#This Row],[MONTANT TOTAL LETTRE DE MISION €]]</f>
        <v>0</v>
      </c>
      <c r="AI25" s="191"/>
      <c r="AJ25" s="188"/>
      <c r="AK25" s="188"/>
      <c r="AL25" s="196"/>
      <c r="AM25" s="196"/>
      <c r="AN25" s="196"/>
      <c r="AO25" s="196"/>
      <c r="AP25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Q25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R25" s="188" t="str">
        <f>IF(PORTEFEUILLE_AUTRE_COMPTABLE[[#This Row],[BONI AAC]]&lt;&gt;0,1,"")</f>
        <v/>
      </c>
      <c r="AS25" s="188" t="str">
        <f>IF(PORTEFEUILLE_AUTRE_COMPTABLE[[#This Row],[MALI AAC]]&lt;&gt;0,1,"")</f>
        <v/>
      </c>
      <c r="AT25" s="225">
        <f>IF(AN25&lt;&gt;"",IF((AN25*Paramètres!$H$4)-PORTEFEUILLE_AUTRE_COMPTABLE[[#This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€]]-(DELPHINE!AN25*Paramètres!$H$4),0),0)</f>
        <v>0</v>
      </c>
      <c r="AU25" s="225">
        <f>IF(AN25&lt;&gt;"",IF(((AN25*Paramètres!$H$4)-PORTEFEUILLE_AUTRE_COMPTABLE[[#This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€]])&gt;0,(AN25*Paramètres!$H$4)-PORTEFEUILLE_AUTRE_COMPTABLE[[#This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V25" s="190" t="str">
        <f>IF(PORTEFEUILLE_AUTRE_COMPTABLE[[#This Row],[BONI COMPTABLE]]&lt;&gt;0,1,"")</f>
        <v/>
      </c>
      <c r="AW25" s="190" t="str">
        <f>IF(PORTEFEUILLE_AUTRE_COMPTABLE[[#This Row],[MALI COMPTABLE]]&lt;&gt;0,1,"")</f>
        <v/>
      </c>
      <c r="AX25" s="196"/>
      <c r="AY25" s="188"/>
      <c r="AZ25" s="188"/>
      <c r="BA25" s="188"/>
      <c r="BB25" s="188"/>
      <c r="BC25" s="188"/>
      <c r="BD25" s="188"/>
      <c r="BE25" s="192"/>
      <c r="BF25" s="194"/>
      <c r="BG25" s="194"/>
      <c r="BH25" s="195"/>
      <c r="BI25" s="194"/>
    </row>
    <row r="26" spans="1:61" x14ac:dyDescent="0.25">
      <c r="A26" s="172"/>
      <c r="B26" s="170"/>
      <c r="C26" s="165"/>
      <c r="D26" s="171"/>
      <c r="E26" s="189"/>
      <c r="F26" s="188"/>
      <c r="G26" s="188"/>
      <c r="H26" s="189"/>
      <c r="I26" s="189"/>
      <c r="J26" s="189"/>
      <c r="K26" s="190" t="str">
        <f t="shared" si="0"/>
        <v/>
      </c>
      <c r="L26" s="190" t="str">
        <f t="shared" si="1"/>
        <v/>
      </c>
      <c r="M26" s="188"/>
      <c r="N26" s="188"/>
      <c r="O26" s="188"/>
      <c r="P26" s="188"/>
      <c r="Q26" s="188"/>
      <c r="R26" s="188"/>
      <c r="S26" s="214"/>
      <c r="T26" s="208"/>
      <c r="U26" s="220"/>
      <c r="V26" s="220"/>
      <c r="W26" s="220"/>
      <c r="X26" s="220"/>
      <c r="Y26" s="220"/>
      <c r="Z26" s="220"/>
      <c r="AA26" s="220"/>
      <c r="AB26" s="220"/>
      <c r="AC26" s="220"/>
      <c r="AD26" s="220"/>
      <c r="AE26" s="220"/>
      <c r="AF26" s="220"/>
      <c r="AG26" s="219"/>
      <c r="AH26" s="225">
        <f>SUM(PORTEFEUILLE_AUTRE_COMPTABLE[[#This Row],[PCR COMPTABLE €]:[MONTANT
RESPONSABLE RELATION CLIENT €]])-PORTEFEUILLE_AUTRE_COMPTABLE[[#This Row],[MONTANT TOTAL LETTRE DE MISION €]]</f>
        <v>0</v>
      </c>
      <c r="AI26" s="191"/>
      <c r="AJ26" s="188"/>
      <c r="AK26" s="188"/>
      <c r="AL26" s="196"/>
      <c r="AM26" s="196"/>
      <c r="AN26" s="196"/>
      <c r="AO26" s="196"/>
      <c r="AP26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Q26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R26" s="188" t="str">
        <f>IF(PORTEFEUILLE_AUTRE_COMPTABLE[[#This Row],[BONI AAC]]&lt;&gt;0,1,"")</f>
        <v/>
      </c>
      <c r="AS26" s="188" t="str">
        <f>IF(PORTEFEUILLE_AUTRE_COMPTABLE[[#This Row],[MALI AAC]]&lt;&gt;0,1,"")</f>
        <v/>
      </c>
      <c r="AT26" s="225">
        <f>IF(AN26&lt;&gt;"",IF((AN26*Paramètres!$H$4)-PORTEFEUILLE_AUTRE_COMPTABLE[[#This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€]]-(DELPHINE!AN26*Paramètres!$H$4),0),0)</f>
        <v>0</v>
      </c>
      <c r="AU26" s="225">
        <f>IF(AN26&lt;&gt;"",IF(((AN26*Paramètres!$H$4)-PORTEFEUILLE_AUTRE_COMPTABLE[[#This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€]])&gt;0,(AN26*Paramètres!$H$4)-PORTEFEUILLE_AUTRE_COMPTABLE[[#This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V26" s="190" t="str">
        <f>IF(PORTEFEUILLE_AUTRE_COMPTABLE[[#This Row],[BONI COMPTABLE]]&lt;&gt;0,1,"")</f>
        <v/>
      </c>
      <c r="AW26" s="190" t="str">
        <f>IF(PORTEFEUILLE_AUTRE_COMPTABLE[[#This Row],[MALI COMPTABLE]]&lt;&gt;0,1,"")</f>
        <v/>
      </c>
      <c r="AX26" s="196"/>
      <c r="AY26" s="188"/>
      <c r="AZ26" s="188"/>
      <c r="BA26" s="188"/>
      <c r="BB26" s="188"/>
      <c r="BC26" s="188"/>
      <c r="BD26" s="188"/>
      <c r="BE26" s="192"/>
      <c r="BF26" s="194"/>
      <c r="BG26" s="194"/>
      <c r="BH26" s="195"/>
      <c r="BI26" s="194"/>
    </row>
    <row r="27" spans="1:61" x14ac:dyDescent="0.25">
      <c r="A27" s="172"/>
      <c r="B27" s="170"/>
      <c r="C27" s="165"/>
      <c r="D27" s="171"/>
      <c r="E27" s="189"/>
      <c r="F27" s="188"/>
      <c r="G27" s="188"/>
      <c r="H27" s="189"/>
      <c r="I27" s="189"/>
      <c r="J27" s="189"/>
      <c r="K27" s="190" t="str">
        <f t="shared" si="0"/>
        <v/>
      </c>
      <c r="L27" s="190" t="str">
        <f t="shared" si="1"/>
        <v/>
      </c>
      <c r="M27" s="188"/>
      <c r="N27" s="188"/>
      <c r="O27" s="188"/>
      <c r="P27" s="188"/>
      <c r="Q27" s="188"/>
      <c r="R27" s="188"/>
      <c r="S27" s="214"/>
      <c r="T27" s="208"/>
      <c r="U27" s="220"/>
      <c r="V27" s="220"/>
      <c r="W27" s="220"/>
      <c r="X27" s="220"/>
      <c r="Y27" s="220"/>
      <c r="Z27" s="220"/>
      <c r="AA27" s="220"/>
      <c r="AB27" s="220"/>
      <c r="AC27" s="220"/>
      <c r="AD27" s="220"/>
      <c r="AE27" s="220"/>
      <c r="AF27" s="220"/>
      <c r="AG27" s="219"/>
      <c r="AH27" s="225">
        <f>SUM(PORTEFEUILLE_AUTRE_COMPTABLE[[#This Row],[PCR COMPTABLE €]:[MONTANT
RESPONSABLE RELATION CLIENT €]])-PORTEFEUILLE_AUTRE_COMPTABLE[[#This Row],[MONTANT TOTAL LETTRE DE MISION €]]</f>
        <v>0</v>
      </c>
      <c r="AI27" s="191"/>
      <c r="AJ27" s="188"/>
      <c r="AK27" s="188"/>
      <c r="AL27" s="196"/>
      <c r="AM27" s="196"/>
      <c r="AN27" s="196"/>
      <c r="AO27" s="196"/>
      <c r="AP27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Q27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R27" s="188" t="str">
        <f>IF(PORTEFEUILLE_AUTRE_COMPTABLE[[#This Row],[BONI AAC]]&lt;&gt;0,1,"")</f>
        <v/>
      </c>
      <c r="AS27" s="188" t="str">
        <f>IF(PORTEFEUILLE_AUTRE_COMPTABLE[[#This Row],[MALI AAC]]&lt;&gt;0,1,"")</f>
        <v/>
      </c>
      <c r="AT27" s="225">
        <f>IF(AN27&lt;&gt;"",IF((AN27*Paramètres!$H$4)-PORTEFEUILLE_AUTRE_COMPTABLE[[#This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€]]-(DELPHINE!AN27*Paramètres!$H$4),0),0)</f>
        <v>0</v>
      </c>
      <c r="AU27" s="225">
        <f>IF(AN27&lt;&gt;"",IF(((AN27*Paramètres!$H$4)-PORTEFEUILLE_AUTRE_COMPTABLE[[#This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€]])&gt;0,(AN27*Paramètres!$H$4)-PORTEFEUILLE_AUTRE_COMPTABLE[[#This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V27" s="190" t="str">
        <f>IF(PORTEFEUILLE_AUTRE_COMPTABLE[[#This Row],[BONI COMPTABLE]]&lt;&gt;0,1,"")</f>
        <v/>
      </c>
      <c r="AW27" s="190" t="str">
        <f>IF(PORTEFEUILLE_AUTRE_COMPTABLE[[#This Row],[MALI COMPTABLE]]&lt;&gt;0,1,"")</f>
        <v/>
      </c>
      <c r="AX27" s="196"/>
      <c r="AY27" s="188"/>
      <c r="AZ27" s="188"/>
      <c r="BA27" s="188"/>
      <c r="BB27" s="188"/>
      <c r="BC27" s="188"/>
      <c r="BD27" s="188"/>
      <c r="BE27" s="192"/>
      <c r="BF27" s="194"/>
      <c r="BG27" s="194"/>
      <c r="BH27" s="195"/>
      <c r="BI27" s="194"/>
    </row>
    <row r="28" spans="1:61" s="90" customFormat="1" x14ac:dyDescent="0.25">
      <c r="A28" s="176"/>
      <c r="B28" s="170"/>
      <c r="C28" s="165"/>
      <c r="D28" s="171"/>
      <c r="E28" s="189"/>
      <c r="F28" s="188"/>
      <c r="G28" s="189"/>
      <c r="H28" s="189"/>
      <c r="I28" s="189"/>
      <c r="J28" s="189"/>
      <c r="K28" s="190" t="str">
        <f t="shared" si="0"/>
        <v/>
      </c>
      <c r="L28" s="190" t="str">
        <f t="shared" si="1"/>
        <v/>
      </c>
      <c r="M28" s="188"/>
      <c r="N28" s="188"/>
      <c r="O28" s="188"/>
      <c r="P28" s="188"/>
      <c r="Q28" s="188"/>
      <c r="R28" s="188"/>
      <c r="S28" s="213"/>
      <c r="T28" s="207"/>
      <c r="U28" s="219"/>
      <c r="V28" s="219"/>
      <c r="W28" s="219"/>
      <c r="X28" s="219"/>
      <c r="Y28" s="219"/>
      <c r="Z28" s="219"/>
      <c r="AA28" s="219"/>
      <c r="AB28" s="219"/>
      <c r="AC28" s="219"/>
      <c r="AD28" s="219"/>
      <c r="AE28" s="219"/>
      <c r="AF28" s="219"/>
      <c r="AG28" s="219"/>
      <c r="AH28" s="225">
        <f>SUM(PORTEFEUILLE_AUTRE_COMPTABLE[[#This Row],[PCR COMPTABLE €]:[MONTANT
RESPONSABLE RELATION CLIENT €]])-PORTEFEUILLE_AUTRE_COMPTABLE[[#This Row],[MONTANT TOTAL LETTRE DE MISION €]]</f>
        <v>0</v>
      </c>
      <c r="AI28" s="191"/>
      <c r="AJ28" s="188"/>
      <c r="AK28" s="188"/>
      <c r="AL28" s="188"/>
      <c r="AM28" s="188"/>
      <c r="AN28" s="188"/>
      <c r="AO28" s="188"/>
      <c r="AP28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Q28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R28" s="188" t="str">
        <f>IF(PORTEFEUILLE_AUTRE_COMPTABLE[[#This Row],[BONI AAC]]&lt;&gt;0,1,"")</f>
        <v/>
      </c>
      <c r="AS28" s="188" t="str">
        <f>IF(PORTEFEUILLE_AUTRE_COMPTABLE[[#This Row],[MALI AAC]]&lt;&gt;0,1,"")</f>
        <v/>
      </c>
      <c r="AT28" s="225">
        <f>IF(AN28&lt;&gt;"",IF((AN28*Paramètres!$H$4)-PORTEFEUILLE_AUTRE_COMPTABLE[[#This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€]]-(DELPHINE!AN28*Paramètres!$H$4),0),0)</f>
        <v>0</v>
      </c>
      <c r="AU28" s="225">
        <f>IF(AN28&lt;&gt;"",IF(((AN28*Paramètres!$H$4)-PORTEFEUILLE_AUTRE_COMPTABLE[[#This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€]])&gt;0,(AN28*Paramètres!$H$4)-PORTEFEUILLE_AUTRE_COMPTABLE[[#This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V28" s="190" t="str">
        <f>IF(PORTEFEUILLE_AUTRE_COMPTABLE[[#This Row],[BONI COMPTABLE]]&lt;&gt;0,1,"")</f>
        <v/>
      </c>
      <c r="AW28" s="190" t="str">
        <f>IF(PORTEFEUILLE_AUTRE_COMPTABLE[[#This Row],[MALI COMPTABLE]]&lt;&gt;0,1,"")</f>
        <v/>
      </c>
      <c r="AX28" s="188"/>
      <c r="AY28" s="188"/>
      <c r="AZ28" s="188"/>
      <c r="BA28" s="188"/>
      <c r="BB28" s="196"/>
      <c r="BC28" s="196"/>
      <c r="BD28" s="196"/>
      <c r="BE28" s="192"/>
      <c r="BF28" s="196"/>
      <c r="BG28" s="196"/>
      <c r="BH28" s="198"/>
      <c r="BI28" s="196"/>
    </row>
    <row r="29" spans="1:61" x14ac:dyDescent="0.25">
      <c r="A29" s="172"/>
      <c r="B29" s="170"/>
      <c r="C29" s="165"/>
      <c r="D29" s="171"/>
      <c r="E29" s="189"/>
      <c r="F29" s="188"/>
      <c r="G29" s="189"/>
      <c r="H29" s="189"/>
      <c r="I29" s="189"/>
      <c r="J29" s="189"/>
      <c r="K29" s="190" t="str">
        <f t="shared" si="0"/>
        <v/>
      </c>
      <c r="L29" s="190" t="str">
        <f t="shared" si="1"/>
        <v/>
      </c>
      <c r="M29" s="188"/>
      <c r="N29" s="188"/>
      <c r="O29" s="188"/>
      <c r="P29" s="188"/>
      <c r="Q29" s="188"/>
      <c r="R29" s="188"/>
      <c r="S29" s="213"/>
      <c r="T29" s="207"/>
      <c r="U29" s="219"/>
      <c r="V29" s="219"/>
      <c r="W29" s="219"/>
      <c r="X29" s="219"/>
      <c r="Y29" s="219"/>
      <c r="Z29" s="219"/>
      <c r="AA29" s="219"/>
      <c r="AB29" s="219"/>
      <c r="AC29" s="219"/>
      <c r="AD29" s="219"/>
      <c r="AE29" s="219"/>
      <c r="AF29" s="219"/>
      <c r="AG29" s="219"/>
      <c r="AH29" s="225">
        <f>SUM(PORTEFEUILLE_AUTRE_COMPTABLE[[#This Row],[PCR COMPTABLE €]:[MONTANT
RESPONSABLE RELATION CLIENT €]])-PORTEFEUILLE_AUTRE_COMPTABLE[[#This Row],[MONTANT TOTAL LETTRE DE MISION €]]</f>
        <v>0</v>
      </c>
      <c r="AI29" s="191"/>
      <c r="AJ29" s="188"/>
      <c r="AK29" s="188"/>
      <c r="AL29" s="188"/>
      <c r="AM29" s="188"/>
      <c r="AN29" s="188"/>
      <c r="AO29" s="188"/>
      <c r="AP29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Q29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R29" s="188" t="str">
        <f>IF(PORTEFEUILLE_AUTRE_COMPTABLE[[#This Row],[BONI AAC]]&lt;&gt;0,1,"")</f>
        <v/>
      </c>
      <c r="AS29" s="188" t="str">
        <f>IF(PORTEFEUILLE_AUTRE_COMPTABLE[[#This Row],[MALI AAC]]&lt;&gt;0,1,"")</f>
        <v/>
      </c>
      <c r="AT29" s="225">
        <f>IF(AN29&lt;&gt;"",IF((AN29*Paramètres!$H$4)-PORTEFEUILLE_AUTRE_COMPTABLE[[#This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€]]-(DELPHINE!AN29*Paramètres!$H$4),0),0)</f>
        <v>0</v>
      </c>
      <c r="AU29" s="225">
        <f>IF(AN29&lt;&gt;"",IF(((AN29*Paramètres!$H$4)-PORTEFEUILLE_AUTRE_COMPTABLE[[#This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€]])&gt;0,(AN29*Paramètres!$H$4)-PORTEFEUILLE_AUTRE_COMPTABLE[[#This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V29" s="190" t="str">
        <f>IF(PORTEFEUILLE_AUTRE_COMPTABLE[[#This Row],[BONI COMPTABLE]]&lt;&gt;0,1,"")</f>
        <v/>
      </c>
      <c r="AW29" s="190" t="str">
        <f>IF(PORTEFEUILLE_AUTRE_COMPTABLE[[#This Row],[MALI COMPTABLE]]&lt;&gt;0,1,"")</f>
        <v/>
      </c>
      <c r="AX29" s="188"/>
      <c r="AY29" s="188"/>
      <c r="AZ29" s="188"/>
      <c r="BA29" s="188"/>
      <c r="BB29" s="196"/>
      <c r="BC29" s="196"/>
      <c r="BD29" s="196"/>
      <c r="BE29" s="192"/>
      <c r="BF29" s="194"/>
      <c r="BG29" s="194"/>
      <c r="BH29" s="195"/>
      <c r="BI29" s="194"/>
    </row>
    <row r="30" spans="1:61" x14ac:dyDescent="0.25">
      <c r="A30" s="172"/>
      <c r="B30" s="170"/>
      <c r="C30" s="165"/>
      <c r="D30" s="171"/>
      <c r="E30" s="189"/>
      <c r="F30" s="188"/>
      <c r="G30" s="189"/>
      <c r="H30" s="189"/>
      <c r="I30" s="189"/>
      <c r="J30" s="189"/>
      <c r="K30" s="190" t="str">
        <f t="shared" si="0"/>
        <v/>
      </c>
      <c r="L30" s="190" t="str">
        <f t="shared" si="1"/>
        <v/>
      </c>
      <c r="M30" s="188"/>
      <c r="N30" s="188"/>
      <c r="O30" s="188"/>
      <c r="P30" s="188"/>
      <c r="Q30" s="188"/>
      <c r="R30" s="188"/>
      <c r="S30" s="213"/>
      <c r="T30" s="207"/>
      <c r="U30" s="219"/>
      <c r="V30" s="219"/>
      <c r="W30" s="219"/>
      <c r="X30" s="219"/>
      <c r="Y30" s="219"/>
      <c r="Z30" s="219"/>
      <c r="AA30" s="219"/>
      <c r="AB30" s="219"/>
      <c r="AC30" s="219"/>
      <c r="AD30" s="219"/>
      <c r="AE30" s="219"/>
      <c r="AF30" s="219"/>
      <c r="AG30" s="219"/>
      <c r="AH30" s="225">
        <f>SUM(PORTEFEUILLE_AUTRE_COMPTABLE[[#This Row],[PCR COMPTABLE €]:[MONTANT
RESPONSABLE RELATION CLIENT €]])-PORTEFEUILLE_AUTRE_COMPTABLE[[#This Row],[MONTANT TOTAL LETTRE DE MISION €]]</f>
        <v>0</v>
      </c>
      <c r="AI30" s="191"/>
      <c r="AJ30" s="188"/>
      <c r="AK30" s="188"/>
      <c r="AL30" s="188"/>
      <c r="AM30" s="188"/>
      <c r="AN30" s="188"/>
      <c r="AO30" s="188"/>
      <c r="AP30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Q30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R30" s="188" t="str">
        <f>IF(PORTEFEUILLE_AUTRE_COMPTABLE[[#This Row],[BONI AAC]]&lt;&gt;0,1,"")</f>
        <v/>
      </c>
      <c r="AS30" s="188" t="str">
        <f>IF(PORTEFEUILLE_AUTRE_COMPTABLE[[#This Row],[MALI AAC]]&lt;&gt;0,1,"")</f>
        <v/>
      </c>
      <c r="AT30" s="225">
        <f>IF(AN30&lt;&gt;"",IF((AN30*Paramètres!$H$4)-PORTEFEUILLE_AUTRE_COMPTABLE[[#This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€]]-(DELPHINE!AN30*Paramètres!$H$4),0),0)</f>
        <v>0</v>
      </c>
      <c r="AU30" s="225">
        <f>IF(AN30&lt;&gt;"",IF(((AN30*Paramètres!$H$4)-PORTEFEUILLE_AUTRE_COMPTABLE[[#This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€]])&gt;0,(AN30*Paramètres!$H$4)-PORTEFEUILLE_AUTRE_COMPTABLE[[#This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V30" s="190" t="str">
        <f>IF(PORTEFEUILLE_AUTRE_COMPTABLE[[#This Row],[BONI COMPTABLE]]&lt;&gt;0,1,"")</f>
        <v/>
      </c>
      <c r="AW30" s="190" t="str">
        <f>IF(PORTEFEUILLE_AUTRE_COMPTABLE[[#This Row],[MALI COMPTABLE]]&lt;&gt;0,1,"")</f>
        <v/>
      </c>
      <c r="AX30" s="188"/>
      <c r="AY30" s="188"/>
      <c r="AZ30" s="188"/>
      <c r="BA30" s="188"/>
      <c r="BB30" s="188"/>
      <c r="BC30" s="188"/>
      <c r="BD30" s="188"/>
      <c r="BE30" s="192"/>
      <c r="BF30" s="194"/>
      <c r="BG30" s="194"/>
      <c r="BH30" s="195"/>
      <c r="BI30" s="194"/>
    </row>
    <row r="31" spans="1:61" x14ac:dyDescent="0.25">
      <c r="A31" s="172"/>
      <c r="B31" s="170"/>
      <c r="C31" s="165"/>
      <c r="D31" s="171"/>
      <c r="E31" s="189"/>
      <c r="F31" s="188"/>
      <c r="G31" s="189"/>
      <c r="H31" s="189"/>
      <c r="I31" s="189"/>
      <c r="J31" s="189"/>
      <c r="K31" s="190" t="str">
        <f t="shared" si="0"/>
        <v/>
      </c>
      <c r="L31" s="190" t="str">
        <f t="shared" si="1"/>
        <v/>
      </c>
      <c r="M31" s="188"/>
      <c r="N31" s="188"/>
      <c r="O31" s="188"/>
      <c r="P31" s="188"/>
      <c r="Q31" s="188"/>
      <c r="R31" s="188"/>
      <c r="S31" s="213"/>
      <c r="T31" s="207"/>
      <c r="U31" s="219"/>
      <c r="V31" s="219"/>
      <c r="W31" s="219"/>
      <c r="X31" s="219"/>
      <c r="Y31" s="219"/>
      <c r="Z31" s="219"/>
      <c r="AA31" s="219"/>
      <c r="AB31" s="219"/>
      <c r="AC31" s="219"/>
      <c r="AD31" s="219"/>
      <c r="AE31" s="219"/>
      <c r="AF31" s="219"/>
      <c r="AG31" s="219"/>
      <c r="AH31" s="225">
        <f>SUM(PORTEFEUILLE_AUTRE_COMPTABLE[[#This Row],[PCR COMPTABLE €]:[MONTANT
RESPONSABLE RELATION CLIENT €]])-PORTEFEUILLE_AUTRE_COMPTABLE[[#This Row],[MONTANT TOTAL LETTRE DE MISION €]]</f>
        <v>0</v>
      </c>
      <c r="AI31" s="191"/>
      <c r="AJ31" s="188"/>
      <c r="AK31" s="188"/>
      <c r="AL31" s="188"/>
      <c r="AM31" s="188"/>
      <c r="AN31" s="188"/>
      <c r="AO31" s="188"/>
      <c r="AP31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Q31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R31" s="188" t="str">
        <f>IF(PORTEFEUILLE_AUTRE_COMPTABLE[[#This Row],[BONI AAC]]&lt;&gt;0,1,"")</f>
        <v/>
      </c>
      <c r="AS31" s="188" t="str">
        <f>IF(PORTEFEUILLE_AUTRE_COMPTABLE[[#This Row],[MALI AAC]]&lt;&gt;0,1,"")</f>
        <v/>
      </c>
      <c r="AT31" s="225">
        <f>IF(AN31&lt;&gt;"",IF((AN31*Paramètres!$H$4)-PORTEFEUILLE_AUTRE_COMPTABLE[[#This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€]]-(DELPHINE!AN31*Paramètres!$H$4),0),0)</f>
        <v>0</v>
      </c>
      <c r="AU31" s="225">
        <f>IF(AN31&lt;&gt;"",IF(((AN31*Paramètres!$H$4)-PORTEFEUILLE_AUTRE_COMPTABLE[[#This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€]])&gt;0,(AN31*Paramètres!$H$4)-PORTEFEUILLE_AUTRE_COMPTABLE[[#This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V31" s="190" t="str">
        <f>IF(PORTEFEUILLE_AUTRE_COMPTABLE[[#This Row],[BONI COMPTABLE]]&lt;&gt;0,1,"")</f>
        <v/>
      </c>
      <c r="AW31" s="190" t="str">
        <f>IF(PORTEFEUILLE_AUTRE_COMPTABLE[[#This Row],[MALI COMPTABLE]]&lt;&gt;0,1,"")</f>
        <v/>
      </c>
      <c r="AX31" s="188"/>
      <c r="AY31" s="188"/>
      <c r="AZ31" s="188"/>
      <c r="BA31" s="188"/>
      <c r="BB31" s="196"/>
      <c r="BC31" s="196"/>
      <c r="BD31" s="196"/>
      <c r="BE31" s="192"/>
      <c r="BF31" s="194"/>
      <c r="BG31" s="194"/>
      <c r="BH31" s="195"/>
      <c r="BI31" s="194"/>
    </row>
    <row r="32" spans="1:61" x14ac:dyDescent="0.25">
      <c r="A32" s="172"/>
      <c r="B32" s="177"/>
      <c r="C32" s="165"/>
      <c r="D32" s="171"/>
      <c r="E32" s="189"/>
      <c r="F32" s="188"/>
      <c r="G32" s="189"/>
      <c r="H32" s="189"/>
      <c r="I32" s="189"/>
      <c r="J32" s="189"/>
      <c r="K32" s="190" t="str">
        <f t="shared" si="0"/>
        <v/>
      </c>
      <c r="L32" s="190" t="str">
        <f t="shared" si="1"/>
        <v/>
      </c>
      <c r="M32" s="188"/>
      <c r="N32" s="188"/>
      <c r="O32" s="188"/>
      <c r="P32" s="188"/>
      <c r="Q32" s="188"/>
      <c r="R32" s="188"/>
      <c r="S32" s="213"/>
      <c r="T32" s="207"/>
      <c r="U32" s="219"/>
      <c r="V32" s="219"/>
      <c r="W32" s="219"/>
      <c r="X32" s="219"/>
      <c r="Y32" s="219"/>
      <c r="Z32" s="219"/>
      <c r="AA32" s="219"/>
      <c r="AB32" s="219"/>
      <c r="AC32" s="219"/>
      <c r="AD32" s="219"/>
      <c r="AE32" s="219"/>
      <c r="AF32" s="219"/>
      <c r="AG32" s="219"/>
      <c r="AH32" s="225">
        <f>SUM(PORTEFEUILLE_AUTRE_COMPTABLE[[#This Row],[PCR COMPTABLE €]:[MONTANT
RESPONSABLE RELATION CLIENT €]])-PORTEFEUILLE_AUTRE_COMPTABLE[[#This Row],[MONTANT TOTAL LETTRE DE MISION €]]</f>
        <v>0</v>
      </c>
      <c r="AI32" s="191"/>
      <c r="AJ32" s="188"/>
      <c r="AK32" s="188"/>
      <c r="AL32" s="188"/>
      <c r="AM32" s="188"/>
      <c r="AN32" s="188"/>
      <c r="AO32" s="188"/>
      <c r="AP32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Q32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R32" s="188" t="str">
        <f>IF(PORTEFEUILLE_AUTRE_COMPTABLE[[#This Row],[BONI AAC]]&lt;&gt;0,1,"")</f>
        <v/>
      </c>
      <c r="AS32" s="188" t="str">
        <f>IF(PORTEFEUILLE_AUTRE_COMPTABLE[[#This Row],[MALI AAC]]&lt;&gt;0,1,"")</f>
        <v/>
      </c>
      <c r="AT32" s="225">
        <f>IF(AN32&lt;&gt;"",IF((AN32*Paramètres!$H$4)-PORTEFEUILLE_AUTRE_COMPTABLE[[#This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€]]-(DELPHINE!AN32*Paramètres!$H$4),0),0)</f>
        <v>0</v>
      </c>
      <c r="AU32" s="225">
        <f>IF(AN32&lt;&gt;"",IF(((AN32*Paramètres!$H$4)-PORTEFEUILLE_AUTRE_COMPTABLE[[#This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€]])&gt;0,(AN32*Paramètres!$H$4)-PORTEFEUILLE_AUTRE_COMPTABLE[[#This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V32" s="190" t="str">
        <f>IF(PORTEFEUILLE_AUTRE_COMPTABLE[[#This Row],[BONI COMPTABLE]]&lt;&gt;0,1,"")</f>
        <v/>
      </c>
      <c r="AW32" s="190" t="str">
        <f>IF(PORTEFEUILLE_AUTRE_COMPTABLE[[#This Row],[MALI COMPTABLE]]&lt;&gt;0,1,"")</f>
        <v/>
      </c>
      <c r="AX32" s="188"/>
      <c r="AY32" s="188"/>
      <c r="AZ32" s="188"/>
      <c r="BA32" s="188"/>
      <c r="BB32" s="188"/>
      <c r="BC32" s="188"/>
      <c r="BD32" s="188"/>
      <c r="BE32" s="192"/>
      <c r="BF32" s="194"/>
      <c r="BG32" s="194"/>
      <c r="BH32" s="195"/>
      <c r="BI32" s="194"/>
    </row>
    <row r="33" spans="1:61" x14ac:dyDescent="0.25">
      <c r="A33" s="172"/>
      <c r="B33" s="177"/>
      <c r="C33" s="165"/>
      <c r="D33" s="171"/>
      <c r="E33" s="189"/>
      <c r="F33" s="188"/>
      <c r="G33" s="188"/>
      <c r="H33" s="189"/>
      <c r="I33" s="188"/>
      <c r="J33" s="189"/>
      <c r="K33" s="190" t="str">
        <f t="shared" si="0"/>
        <v/>
      </c>
      <c r="L33" s="190" t="str">
        <f t="shared" si="1"/>
        <v/>
      </c>
      <c r="M33" s="188"/>
      <c r="N33" s="188"/>
      <c r="O33" s="188"/>
      <c r="P33" s="188"/>
      <c r="Q33" s="188"/>
      <c r="R33" s="188"/>
      <c r="S33" s="214"/>
      <c r="T33" s="208"/>
      <c r="U33" s="220"/>
      <c r="V33" s="220"/>
      <c r="W33" s="220"/>
      <c r="X33" s="220"/>
      <c r="Y33" s="220"/>
      <c r="Z33" s="220"/>
      <c r="AA33" s="220"/>
      <c r="AB33" s="220"/>
      <c r="AC33" s="220"/>
      <c r="AD33" s="220"/>
      <c r="AE33" s="220"/>
      <c r="AF33" s="220"/>
      <c r="AG33" s="219"/>
      <c r="AH33" s="225">
        <f>SUM(PORTEFEUILLE_AUTRE_COMPTABLE[[#This Row],[PCR COMPTABLE €]:[MONTANT
RESPONSABLE RELATION CLIENT €]])-PORTEFEUILLE_AUTRE_COMPTABLE[[#This Row],[MONTANT TOTAL LETTRE DE MISION €]]</f>
        <v>0</v>
      </c>
      <c r="AI33" s="191"/>
      <c r="AJ33" s="188"/>
      <c r="AK33" s="188"/>
      <c r="AL33" s="196"/>
      <c r="AM33" s="196"/>
      <c r="AN33" s="196"/>
      <c r="AO33" s="196"/>
      <c r="AP33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Q33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R33" s="188" t="str">
        <f>IF(PORTEFEUILLE_AUTRE_COMPTABLE[[#This Row],[BONI AAC]]&lt;&gt;0,1,"")</f>
        <v/>
      </c>
      <c r="AS33" s="188" t="str">
        <f>IF(PORTEFEUILLE_AUTRE_COMPTABLE[[#This Row],[MALI AAC]]&lt;&gt;0,1,"")</f>
        <v/>
      </c>
      <c r="AT33" s="225">
        <f>IF(AN33&lt;&gt;"",IF((AN33*Paramètres!$H$4)-PORTEFEUILLE_AUTRE_COMPTABLE[[#This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€]]-(DELPHINE!AN33*Paramètres!$H$4),0),0)</f>
        <v>0</v>
      </c>
      <c r="AU33" s="225">
        <f>IF(AN33&lt;&gt;"",IF(((AN33*Paramètres!$H$4)-PORTEFEUILLE_AUTRE_COMPTABLE[[#This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€]])&gt;0,(AN33*Paramètres!$H$4)-PORTEFEUILLE_AUTRE_COMPTABLE[[#This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V33" s="190" t="str">
        <f>IF(PORTEFEUILLE_AUTRE_COMPTABLE[[#This Row],[BONI COMPTABLE]]&lt;&gt;0,1,"")</f>
        <v/>
      </c>
      <c r="AW33" s="190" t="str">
        <f>IF(PORTEFEUILLE_AUTRE_COMPTABLE[[#This Row],[MALI COMPTABLE]]&lt;&gt;0,1,"")</f>
        <v/>
      </c>
      <c r="AX33" s="196"/>
      <c r="AY33" s="188"/>
      <c r="AZ33" s="188"/>
      <c r="BA33" s="188"/>
      <c r="BB33" s="196"/>
      <c r="BC33" s="196"/>
      <c r="BD33" s="196"/>
      <c r="BE33" s="192"/>
      <c r="BF33" s="194"/>
      <c r="BG33" s="194"/>
      <c r="BH33" s="195"/>
      <c r="BI33" s="194"/>
    </row>
    <row r="34" spans="1:61" x14ac:dyDescent="0.25">
      <c r="A34" s="172"/>
      <c r="B34" s="177"/>
      <c r="C34" s="165"/>
      <c r="D34" s="171"/>
      <c r="E34" s="189"/>
      <c r="F34" s="188"/>
      <c r="G34" s="188"/>
      <c r="H34" s="189"/>
      <c r="I34" s="189"/>
      <c r="J34" s="189"/>
      <c r="K34" s="190" t="str">
        <f t="shared" si="0"/>
        <v/>
      </c>
      <c r="L34" s="190" t="str">
        <f t="shared" si="1"/>
        <v/>
      </c>
      <c r="M34" s="188"/>
      <c r="N34" s="188"/>
      <c r="O34" s="188"/>
      <c r="P34" s="188"/>
      <c r="Q34" s="188"/>
      <c r="R34" s="188"/>
      <c r="S34" s="214"/>
      <c r="T34" s="208"/>
      <c r="U34" s="220"/>
      <c r="V34" s="220"/>
      <c r="W34" s="220"/>
      <c r="X34" s="220"/>
      <c r="Y34" s="220"/>
      <c r="Z34" s="220"/>
      <c r="AA34" s="220"/>
      <c r="AB34" s="220"/>
      <c r="AC34" s="220"/>
      <c r="AD34" s="220"/>
      <c r="AE34" s="220"/>
      <c r="AF34" s="220"/>
      <c r="AG34" s="219"/>
      <c r="AH34" s="225">
        <f>SUM(PORTEFEUILLE_AUTRE_COMPTABLE[[#This Row],[PCR COMPTABLE €]:[MONTANT
RESPONSABLE RELATION CLIENT €]])-PORTEFEUILLE_AUTRE_COMPTABLE[[#This Row],[MONTANT TOTAL LETTRE DE MISION €]]</f>
        <v>0</v>
      </c>
      <c r="AI34" s="191"/>
      <c r="AJ34" s="188"/>
      <c r="AK34" s="188"/>
      <c r="AL34" s="196"/>
      <c r="AM34" s="196"/>
      <c r="AN34" s="196"/>
      <c r="AO34" s="196"/>
      <c r="AP34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Q34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R34" s="188" t="str">
        <f>IF(PORTEFEUILLE_AUTRE_COMPTABLE[[#This Row],[BONI AAC]]&lt;&gt;0,1,"")</f>
        <v/>
      </c>
      <c r="AS34" s="188" t="str">
        <f>IF(PORTEFEUILLE_AUTRE_COMPTABLE[[#This Row],[MALI AAC]]&lt;&gt;0,1,"")</f>
        <v/>
      </c>
      <c r="AT34" s="225">
        <f>IF(AN34&lt;&gt;"",IF((AN34*Paramètres!$H$4)-PORTEFEUILLE_AUTRE_COMPTABLE[[#This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€]]-(DELPHINE!AN34*Paramètres!$H$4),0),0)</f>
        <v>0</v>
      </c>
      <c r="AU34" s="225">
        <f>IF(AN34&lt;&gt;"",IF(((AN34*Paramètres!$H$4)-PORTEFEUILLE_AUTRE_COMPTABLE[[#This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€]])&gt;0,(AN34*Paramètres!$H$4)-PORTEFEUILLE_AUTRE_COMPTABLE[[#This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V34" s="190" t="str">
        <f>IF(PORTEFEUILLE_AUTRE_COMPTABLE[[#This Row],[BONI COMPTABLE]]&lt;&gt;0,1,"")</f>
        <v/>
      </c>
      <c r="AW34" s="190" t="str">
        <f>IF(PORTEFEUILLE_AUTRE_COMPTABLE[[#This Row],[MALI COMPTABLE]]&lt;&gt;0,1,"")</f>
        <v/>
      </c>
      <c r="AX34" s="196"/>
      <c r="AY34" s="188"/>
      <c r="AZ34" s="188"/>
      <c r="BA34" s="188"/>
      <c r="BB34" s="188"/>
      <c r="BC34" s="188"/>
      <c r="BD34" s="188"/>
      <c r="BE34" s="192"/>
      <c r="BF34" s="194"/>
      <c r="BG34" s="194"/>
      <c r="BH34" s="195"/>
      <c r="BI34" s="194"/>
    </row>
    <row r="35" spans="1:61" x14ac:dyDescent="0.25">
      <c r="A35" s="172"/>
      <c r="B35" s="177"/>
      <c r="C35" s="165"/>
      <c r="D35" s="171"/>
      <c r="E35" s="189"/>
      <c r="F35" s="188"/>
      <c r="G35" s="189"/>
      <c r="H35" s="189"/>
      <c r="I35" s="189"/>
      <c r="J35" s="189"/>
      <c r="K35" s="190" t="str">
        <f t="shared" si="0"/>
        <v/>
      </c>
      <c r="L35" s="190" t="str">
        <f t="shared" si="1"/>
        <v/>
      </c>
      <c r="M35" s="188"/>
      <c r="N35" s="188"/>
      <c r="O35" s="188"/>
      <c r="P35" s="188"/>
      <c r="Q35" s="188"/>
      <c r="R35" s="188"/>
      <c r="S35" s="213"/>
      <c r="T35" s="207"/>
      <c r="U35" s="219"/>
      <c r="V35" s="219"/>
      <c r="W35" s="219"/>
      <c r="X35" s="219"/>
      <c r="Y35" s="219"/>
      <c r="Z35" s="219"/>
      <c r="AA35" s="219"/>
      <c r="AB35" s="219"/>
      <c r="AC35" s="219"/>
      <c r="AD35" s="219"/>
      <c r="AE35" s="219"/>
      <c r="AF35" s="219"/>
      <c r="AG35" s="219"/>
      <c r="AH35" s="225">
        <f>SUM(PORTEFEUILLE_AUTRE_COMPTABLE[[#This Row],[PCR COMPTABLE €]:[MONTANT
RESPONSABLE RELATION CLIENT €]])-PORTEFEUILLE_AUTRE_COMPTABLE[[#This Row],[MONTANT TOTAL LETTRE DE MISION €]]</f>
        <v>0</v>
      </c>
      <c r="AI35" s="191"/>
      <c r="AJ35" s="188"/>
      <c r="AK35" s="188"/>
      <c r="AL35" s="188"/>
      <c r="AM35" s="188"/>
      <c r="AN35" s="188"/>
      <c r="AO35" s="188"/>
      <c r="AP35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Q35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R35" s="188" t="str">
        <f>IF(PORTEFEUILLE_AUTRE_COMPTABLE[[#This Row],[BONI AAC]]&lt;&gt;0,1,"")</f>
        <v/>
      </c>
      <c r="AS35" s="188" t="str">
        <f>IF(PORTEFEUILLE_AUTRE_COMPTABLE[[#This Row],[MALI AAC]]&lt;&gt;0,1,"")</f>
        <v/>
      </c>
      <c r="AT35" s="225">
        <f>IF(AN35&lt;&gt;"",IF((AN35*Paramètres!$H$4)-PORTEFEUILLE_AUTRE_COMPTABLE[[#This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€]]-(DELPHINE!AN35*Paramètres!$H$4),0),0)</f>
        <v>0</v>
      </c>
      <c r="AU35" s="225">
        <f>IF(AN35&lt;&gt;"",IF(((AN35*Paramètres!$H$4)-PORTEFEUILLE_AUTRE_COMPTABLE[[#This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€]])&gt;0,(AN35*Paramètres!$H$4)-PORTEFEUILLE_AUTRE_COMPTABLE[[#This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V35" s="190" t="str">
        <f>IF(PORTEFEUILLE_AUTRE_COMPTABLE[[#This Row],[BONI COMPTABLE]]&lt;&gt;0,1,"")</f>
        <v/>
      </c>
      <c r="AW35" s="190" t="str">
        <f>IF(PORTEFEUILLE_AUTRE_COMPTABLE[[#This Row],[MALI COMPTABLE]]&lt;&gt;0,1,"")</f>
        <v/>
      </c>
      <c r="AX35" s="188"/>
      <c r="AY35" s="188"/>
      <c r="AZ35" s="188"/>
      <c r="BA35" s="188"/>
      <c r="BB35" s="188"/>
      <c r="BC35" s="188"/>
      <c r="BD35" s="188"/>
      <c r="BE35" s="192"/>
      <c r="BF35" s="194"/>
      <c r="BG35" s="194"/>
      <c r="BH35" s="195"/>
      <c r="BI35" s="194"/>
    </row>
    <row r="36" spans="1:61" x14ac:dyDescent="0.25">
      <c r="A36" s="172"/>
      <c r="B36" s="178"/>
      <c r="C36" s="165"/>
      <c r="D36" s="171"/>
      <c r="E36" s="189"/>
      <c r="F36" s="188"/>
      <c r="G36" s="189"/>
      <c r="H36" s="189"/>
      <c r="I36" s="189"/>
      <c r="J36" s="189"/>
      <c r="K36" s="190" t="str">
        <f t="shared" si="0"/>
        <v/>
      </c>
      <c r="L36" s="190" t="str">
        <f t="shared" si="1"/>
        <v/>
      </c>
      <c r="M36" s="188"/>
      <c r="N36" s="188"/>
      <c r="O36" s="188"/>
      <c r="P36" s="188"/>
      <c r="Q36" s="188"/>
      <c r="R36" s="188"/>
      <c r="S36" s="213"/>
      <c r="T36" s="207"/>
      <c r="U36" s="219"/>
      <c r="V36" s="219"/>
      <c r="W36" s="219"/>
      <c r="X36" s="219"/>
      <c r="Y36" s="219"/>
      <c r="Z36" s="219"/>
      <c r="AA36" s="219"/>
      <c r="AB36" s="219"/>
      <c r="AC36" s="219"/>
      <c r="AD36" s="219"/>
      <c r="AE36" s="219"/>
      <c r="AF36" s="219"/>
      <c r="AG36" s="219"/>
      <c r="AH36" s="225">
        <f>SUM(PORTEFEUILLE_AUTRE_COMPTABLE[[#This Row],[PCR COMPTABLE €]:[MONTANT
RESPONSABLE RELATION CLIENT €]])-PORTEFEUILLE_AUTRE_COMPTABLE[[#This Row],[MONTANT TOTAL LETTRE DE MISION €]]</f>
        <v>0</v>
      </c>
      <c r="AI36" s="191"/>
      <c r="AJ36" s="188"/>
      <c r="AK36" s="188"/>
      <c r="AL36" s="188"/>
      <c r="AM36" s="188"/>
      <c r="AN36" s="188"/>
      <c r="AO36" s="188"/>
      <c r="AP36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Q36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R36" s="188" t="str">
        <f>IF(PORTEFEUILLE_AUTRE_COMPTABLE[[#This Row],[BONI AAC]]&lt;&gt;0,1,"")</f>
        <v/>
      </c>
      <c r="AS36" s="188" t="str">
        <f>IF(PORTEFEUILLE_AUTRE_COMPTABLE[[#This Row],[MALI AAC]]&lt;&gt;0,1,"")</f>
        <v/>
      </c>
      <c r="AT36" s="225">
        <f>IF(AN36&lt;&gt;"",IF((AN36*Paramètres!$H$4)-PORTEFEUILLE_AUTRE_COMPTABLE[[#This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€]]-(DELPHINE!AN36*Paramètres!$H$4),0),0)</f>
        <v>0</v>
      </c>
      <c r="AU36" s="225">
        <f>IF(AN36&lt;&gt;"",IF(((AN36*Paramètres!$H$4)-PORTEFEUILLE_AUTRE_COMPTABLE[[#This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€]])&gt;0,(AN36*Paramètres!$H$4)-PORTEFEUILLE_AUTRE_COMPTABLE[[#This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V36" s="190" t="str">
        <f>IF(PORTEFEUILLE_AUTRE_COMPTABLE[[#This Row],[BONI COMPTABLE]]&lt;&gt;0,1,"")</f>
        <v/>
      </c>
      <c r="AW36" s="190" t="str">
        <f>IF(PORTEFEUILLE_AUTRE_COMPTABLE[[#This Row],[MALI COMPTABLE]]&lt;&gt;0,1,"")</f>
        <v/>
      </c>
      <c r="AX36" s="188"/>
      <c r="AY36" s="188"/>
      <c r="AZ36" s="188"/>
      <c r="BA36" s="188"/>
      <c r="BB36" s="196"/>
      <c r="BC36" s="196"/>
      <c r="BD36" s="196"/>
      <c r="BE36" s="192"/>
      <c r="BF36" s="194"/>
      <c r="BG36" s="194"/>
      <c r="BH36" s="195"/>
      <c r="BI36" s="194"/>
    </row>
    <row r="37" spans="1:61" x14ac:dyDescent="0.25">
      <c r="A37" s="172"/>
      <c r="B37" s="178"/>
      <c r="C37" s="165"/>
      <c r="D37" s="171"/>
      <c r="E37" s="189"/>
      <c r="F37" s="188"/>
      <c r="G37" s="189"/>
      <c r="H37" s="189"/>
      <c r="I37" s="189"/>
      <c r="J37" s="189"/>
      <c r="K37" s="190" t="str">
        <f t="shared" si="0"/>
        <v/>
      </c>
      <c r="L37" s="190" t="str">
        <f t="shared" si="1"/>
        <v/>
      </c>
      <c r="M37" s="188"/>
      <c r="N37" s="188"/>
      <c r="O37" s="188"/>
      <c r="P37" s="188"/>
      <c r="Q37" s="188"/>
      <c r="R37" s="188"/>
      <c r="S37" s="213"/>
      <c r="T37" s="207"/>
      <c r="U37" s="219"/>
      <c r="V37" s="219"/>
      <c r="W37" s="219"/>
      <c r="X37" s="219"/>
      <c r="Y37" s="219"/>
      <c r="Z37" s="219"/>
      <c r="AA37" s="219"/>
      <c r="AB37" s="219"/>
      <c r="AC37" s="219"/>
      <c r="AD37" s="219"/>
      <c r="AE37" s="219"/>
      <c r="AF37" s="219"/>
      <c r="AG37" s="219"/>
      <c r="AH37" s="225">
        <f>SUM(PORTEFEUILLE_AUTRE_COMPTABLE[[#This Row],[PCR COMPTABLE €]:[MONTANT
RESPONSABLE RELATION CLIENT €]])-PORTEFEUILLE_AUTRE_COMPTABLE[[#This Row],[MONTANT TOTAL LETTRE DE MISION €]]</f>
        <v>0</v>
      </c>
      <c r="AI37" s="191"/>
      <c r="AJ37" s="188"/>
      <c r="AK37" s="188"/>
      <c r="AL37" s="188"/>
      <c r="AM37" s="188"/>
      <c r="AN37" s="188"/>
      <c r="AO37" s="188"/>
      <c r="AP37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Q37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R37" s="188" t="str">
        <f>IF(PORTEFEUILLE_AUTRE_COMPTABLE[[#This Row],[BONI AAC]]&lt;&gt;0,1,"")</f>
        <v/>
      </c>
      <c r="AS37" s="188" t="str">
        <f>IF(PORTEFEUILLE_AUTRE_COMPTABLE[[#This Row],[MALI AAC]]&lt;&gt;0,1,"")</f>
        <v/>
      </c>
      <c r="AT37" s="225">
        <f>IF(AN37&lt;&gt;"",IF((AN37*Paramètres!$H$4)-PORTEFEUILLE_AUTRE_COMPTABLE[[#This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€]]-(DELPHINE!AN37*Paramètres!$H$4),0),0)</f>
        <v>0</v>
      </c>
      <c r="AU37" s="225">
        <f>IF(AN37&lt;&gt;"",IF(((AN37*Paramètres!$H$4)-PORTEFEUILLE_AUTRE_COMPTABLE[[#This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€]])&gt;0,(AN37*Paramètres!$H$4)-PORTEFEUILLE_AUTRE_COMPTABLE[[#This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V37" s="190" t="str">
        <f>IF(PORTEFEUILLE_AUTRE_COMPTABLE[[#This Row],[BONI COMPTABLE]]&lt;&gt;0,1,"")</f>
        <v/>
      </c>
      <c r="AW37" s="190" t="str">
        <f>IF(PORTEFEUILLE_AUTRE_COMPTABLE[[#This Row],[MALI COMPTABLE]]&lt;&gt;0,1,"")</f>
        <v/>
      </c>
      <c r="AX37" s="188"/>
      <c r="AY37" s="188"/>
      <c r="AZ37" s="188"/>
      <c r="BA37" s="188"/>
      <c r="BB37" s="196"/>
      <c r="BC37" s="196"/>
      <c r="BD37" s="196"/>
      <c r="BE37" s="192"/>
      <c r="BF37" s="194"/>
      <c r="BG37" s="194"/>
      <c r="BH37" s="195"/>
      <c r="BI37" s="194"/>
    </row>
    <row r="38" spans="1:61" x14ac:dyDescent="0.25">
      <c r="A38" s="172"/>
      <c r="B38" s="179"/>
      <c r="C38" s="165"/>
      <c r="D38" s="171"/>
      <c r="E38" s="189"/>
      <c r="F38" s="188"/>
      <c r="G38" s="188"/>
      <c r="H38" s="189"/>
      <c r="I38" s="189"/>
      <c r="J38" s="199"/>
      <c r="K38" s="190" t="str">
        <f t="shared" si="0"/>
        <v/>
      </c>
      <c r="L38" s="190" t="str">
        <f t="shared" si="1"/>
        <v/>
      </c>
      <c r="M38" s="188"/>
      <c r="N38" s="188"/>
      <c r="O38" s="188"/>
      <c r="P38" s="188"/>
      <c r="Q38" s="188"/>
      <c r="R38" s="188"/>
      <c r="S38" s="213"/>
      <c r="T38" s="207"/>
      <c r="U38" s="219"/>
      <c r="V38" s="219"/>
      <c r="W38" s="219"/>
      <c r="X38" s="219"/>
      <c r="Y38" s="219"/>
      <c r="Z38" s="219"/>
      <c r="AA38" s="219"/>
      <c r="AB38" s="219"/>
      <c r="AC38" s="219"/>
      <c r="AD38" s="219"/>
      <c r="AE38" s="219"/>
      <c r="AF38" s="219"/>
      <c r="AG38" s="219"/>
      <c r="AH38" s="225">
        <f>SUM(PORTEFEUILLE_AUTRE_COMPTABLE[[#This Row],[PCR COMPTABLE €]:[MONTANT
RESPONSABLE RELATION CLIENT €]])-PORTEFEUILLE_AUTRE_COMPTABLE[[#This Row],[MONTANT TOTAL LETTRE DE MISION €]]</f>
        <v>0</v>
      </c>
      <c r="AI38" s="191"/>
      <c r="AJ38" s="188"/>
      <c r="AK38" s="188"/>
      <c r="AL38" s="188"/>
      <c r="AM38" s="188"/>
      <c r="AN38" s="188"/>
      <c r="AO38" s="188"/>
      <c r="AP38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Q38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R38" s="188" t="str">
        <f>IF(PORTEFEUILLE_AUTRE_COMPTABLE[[#This Row],[BONI AAC]]&lt;&gt;0,1,"")</f>
        <v/>
      </c>
      <c r="AS38" s="188" t="str">
        <f>IF(PORTEFEUILLE_AUTRE_COMPTABLE[[#This Row],[MALI AAC]]&lt;&gt;0,1,"")</f>
        <v/>
      </c>
      <c r="AT38" s="225">
        <f>IF(AN38&lt;&gt;"",IF((AN38*Paramètres!$H$4)-PORTEFEUILLE_AUTRE_COMPTABLE[[#This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€]]-(DELPHINE!AN38*Paramètres!$H$4),0),0)</f>
        <v>0</v>
      </c>
      <c r="AU38" s="225">
        <f>IF(AN38&lt;&gt;"",IF(((AN38*Paramètres!$H$4)-PORTEFEUILLE_AUTRE_COMPTABLE[[#This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€]])&gt;0,(AN38*Paramètres!$H$4)-PORTEFEUILLE_AUTRE_COMPTABLE[[#This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V38" s="190" t="str">
        <f>IF(PORTEFEUILLE_AUTRE_COMPTABLE[[#This Row],[BONI COMPTABLE]]&lt;&gt;0,1,"")</f>
        <v/>
      </c>
      <c r="AW38" s="190" t="str">
        <f>IF(PORTEFEUILLE_AUTRE_COMPTABLE[[#This Row],[MALI COMPTABLE]]&lt;&gt;0,1,"")</f>
        <v/>
      </c>
      <c r="AX38" s="188"/>
      <c r="AY38" s="188"/>
      <c r="AZ38" s="188"/>
      <c r="BA38" s="188"/>
      <c r="BB38" s="196"/>
      <c r="BC38" s="196"/>
      <c r="BD38" s="196"/>
      <c r="BE38" s="192"/>
      <c r="BF38" s="194"/>
      <c r="BG38" s="194"/>
      <c r="BH38" s="195"/>
      <c r="BI38" s="194"/>
    </row>
    <row r="39" spans="1:61" x14ac:dyDescent="0.25">
      <c r="A39" s="172"/>
      <c r="B39" s="180"/>
      <c r="C39" s="165"/>
      <c r="D39" s="171"/>
      <c r="E39" s="189"/>
      <c r="F39" s="188"/>
      <c r="G39" s="189"/>
      <c r="H39" s="189"/>
      <c r="I39" s="189"/>
      <c r="J39" s="189"/>
      <c r="K39" s="190" t="str">
        <f t="shared" si="0"/>
        <v/>
      </c>
      <c r="L39" s="190" t="str">
        <f t="shared" si="1"/>
        <v/>
      </c>
      <c r="M39" s="188"/>
      <c r="N39" s="188"/>
      <c r="O39" s="188"/>
      <c r="P39" s="188"/>
      <c r="Q39" s="188"/>
      <c r="R39" s="188"/>
      <c r="S39" s="213"/>
      <c r="T39" s="207"/>
      <c r="U39" s="219"/>
      <c r="V39" s="219"/>
      <c r="W39" s="219"/>
      <c r="X39" s="219"/>
      <c r="Y39" s="219"/>
      <c r="Z39" s="219"/>
      <c r="AA39" s="219"/>
      <c r="AB39" s="219"/>
      <c r="AC39" s="219"/>
      <c r="AD39" s="219"/>
      <c r="AE39" s="219"/>
      <c r="AF39" s="219"/>
      <c r="AG39" s="219"/>
      <c r="AH39" s="225">
        <f>SUM(PORTEFEUILLE_AUTRE_COMPTABLE[[#This Row],[PCR COMPTABLE €]:[MONTANT
RESPONSABLE RELATION CLIENT €]])-PORTEFEUILLE_AUTRE_COMPTABLE[[#This Row],[MONTANT TOTAL LETTRE DE MISION €]]</f>
        <v>0</v>
      </c>
      <c r="AI39" s="191"/>
      <c r="AJ39" s="188"/>
      <c r="AK39" s="188"/>
      <c r="AL39" s="188"/>
      <c r="AM39" s="188"/>
      <c r="AN39" s="188"/>
      <c r="AO39" s="188"/>
      <c r="AP39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Q39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R39" s="188" t="str">
        <f>IF(PORTEFEUILLE_AUTRE_COMPTABLE[[#This Row],[BONI AAC]]&lt;&gt;0,1,"")</f>
        <v/>
      </c>
      <c r="AS39" s="188" t="str">
        <f>IF(PORTEFEUILLE_AUTRE_COMPTABLE[[#This Row],[MALI AAC]]&lt;&gt;0,1,"")</f>
        <v/>
      </c>
      <c r="AT39" s="225">
        <f>IF(AN39&lt;&gt;"",IF((AN39*Paramètres!$H$4)-PORTEFEUILLE_AUTRE_COMPTABLE[[#This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€]]-(DELPHINE!AN39*Paramètres!$H$4),0),0)</f>
        <v>0</v>
      </c>
      <c r="AU39" s="225">
        <f>IF(AN39&lt;&gt;"",IF(((AN39*Paramètres!$H$4)-PORTEFEUILLE_AUTRE_COMPTABLE[[#This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€]])&gt;0,(AN39*Paramètres!$H$4)-PORTEFEUILLE_AUTRE_COMPTABLE[[#This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V39" s="190" t="str">
        <f>IF(PORTEFEUILLE_AUTRE_COMPTABLE[[#This Row],[BONI COMPTABLE]]&lt;&gt;0,1,"")</f>
        <v/>
      </c>
      <c r="AW39" s="190" t="str">
        <f>IF(PORTEFEUILLE_AUTRE_COMPTABLE[[#This Row],[MALI COMPTABLE]]&lt;&gt;0,1,"")</f>
        <v/>
      </c>
      <c r="AX39" s="188"/>
      <c r="AY39" s="188"/>
      <c r="AZ39" s="188"/>
      <c r="BA39" s="188"/>
      <c r="BB39" s="188"/>
      <c r="BC39" s="188"/>
      <c r="BD39" s="188"/>
      <c r="BE39" s="192"/>
      <c r="BF39" s="194"/>
      <c r="BG39" s="194"/>
      <c r="BH39" s="195"/>
      <c r="BI39" s="194"/>
    </row>
    <row r="40" spans="1:61" x14ac:dyDescent="0.25">
      <c r="A40" s="172"/>
      <c r="B40" s="178"/>
      <c r="C40" s="165"/>
      <c r="D40" s="171"/>
      <c r="E40" s="189"/>
      <c r="F40" s="188"/>
      <c r="G40" s="189"/>
      <c r="H40" s="189"/>
      <c r="I40" s="189"/>
      <c r="J40" s="189"/>
      <c r="K40" s="190" t="str">
        <f t="shared" si="0"/>
        <v/>
      </c>
      <c r="L40" s="190" t="str">
        <f t="shared" si="1"/>
        <v/>
      </c>
      <c r="M40" s="188"/>
      <c r="N40" s="188"/>
      <c r="O40" s="188"/>
      <c r="P40" s="188"/>
      <c r="Q40" s="188"/>
      <c r="R40" s="188"/>
      <c r="S40" s="213"/>
      <c r="T40" s="207"/>
      <c r="U40" s="219"/>
      <c r="V40" s="219"/>
      <c r="W40" s="219"/>
      <c r="X40" s="219"/>
      <c r="Y40" s="219"/>
      <c r="Z40" s="219"/>
      <c r="AA40" s="219"/>
      <c r="AB40" s="219"/>
      <c r="AC40" s="219"/>
      <c r="AD40" s="219"/>
      <c r="AE40" s="219"/>
      <c r="AF40" s="219"/>
      <c r="AG40" s="219"/>
      <c r="AH40" s="225">
        <f>SUM(PORTEFEUILLE_AUTRE_COMPTABLE[[#This Row],[PCR COMPTABLE €]:[MONTANT
RESPONSABLE RELATION CLIENT €]])-PORTEFEUILLE_AUTRE_COMPTABLE[[#This Row],[MONTANT TOTAL LETTRE DE MISION €]]</f>
        <v>0</v>
      </c>
      <c r="AI40" s="191"/>
      <c r="AJ40" s="188"/>
      <c r="AK40" s="188"/>
      <c r="AL40" s="188"/>
      <c r="AM40" s="188"/>
      <c r="AN40" s="188"/>
      <c r="AO40" s="188"/>
      <c r="AP40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Q40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R40" s="188" t="str">
        <f>IF(PORTEFEUILLE_AUTRE_COMPTABLE[[#This Row],[BONI AAC]]&lt;&gt;0,1,"")</f>
        <v/>
      </c>
      <c r="AS40" s="188" t="str">
        <f>IF(PORTEFEUILLE_AUTRE_COMPTABLE[[#This Row],[MALI AAC]]&lt;&gt;0,1,"")</f>
        <v/>
      </c>
      <c r="AT40" s="225">
        <f>IF(AN40&lt;&gt;"",IF((AN40*Paramètres!$H$4)-PORTEFEUILLE_AUTRE_COMPTABLE[[#This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€]]-(DELPHINE!AN40*Paramètres!$H$4),0),0)</f>
        <v>0</v>
      </c>
      <c r="AU40" s="225">
        <f>IF(AN40&lt;&gt;"",IF(((AN40*Paramètres!$H$4)-PORTEFEUILLE_AUTRE_COMPTABLE[[#This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€]])&gt;0,(AN40*Paramètres!$H$4)-PORTEFEUILLE_AUTRE_COMPTABLE[[#This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V40" s="190" t="str">
        <f>IF(PORTEFEUILLE_AUTRE_COMPTABLE[[#This Row],[BONI COMPTABLE]]&lt;&gt;0,1,"")</f>
        <v/>
      </c>
      <c r="AW40" s="190" t="str">
        <f>IF(PORTEFEUILLE_AUTRE_COMPTABLE[[#This Row],[MALI COMPTABLE]]&lt;&gt;0,1,"")</f>
        <v/>
      </c>
      <c r="AX40" s="188"/>
      <c r="AY40" s="188"/>
      <c r="AZ40" s="188"/>
      <c r="BA40" s="188"/>
      <c r="BB40" s="188"/>
      <c r="BC40" s="188"/>
      <c r="BD40" s="188"/>
      <c r="BE40" s="192"/>
      <c r="BF40" s="194"/>
      <c r="BG40" s="194"/>
      <c r="BH40" s="195"/>
      <c r="BI40" s="194"/>
    </row>
    <row r="41" spans="1:61" x14ac:dyDescent="0.25">
      <c r="A41" s="172"/>
      <c r="B41" s="178"/>
      <c r="C41" s="165"/>
      <c r="D41" s="171"/>
      <c r="E41" s="189"/>
      <c r="F41" s="188"/>
      <c r="G41" s="188"/>
      <c r="H41" s="189"/>
      <c r="I41" s="189"/>
      <c r="J41" s="189"/>
      <c r="K41" s="190" t="str">
        <f t="shared" si="0"/>
        <v/>
      </c>
      <c r="L41" s="190" t="str">
        <f t="shared" si="1"/>
        <v/>
      </c>
      <c r="M41" s="188"/>
      <c r="N41" s="188"/>
      <c r="O41" s="188"/>
      <c r="P41" s="188"/>
      <c r="Q41" s="188"/>
      <c r="R41" s="188"/>
      <c r="S41" s="214"/>
      <c r="T41" s="208"/>
      <c r="U41" s="220"/>
      <c r="V41" s="220"/>
      <c r="W41" s="220"/>
      <c r="X41" s="220"/>
      <c r="Y41" s="220"/>
      <c r="Z41" s="220"/>
      <c r="AA41" s="220"/>
      <c r="AB41" s="220"/>
      <c r="AC41" s="220"/>
      <c r="AD41" s="220"/>
      <c r="AE41" s="220"/>
      <c r="AF41" s="220"/>
      <c r="AG41" s="219"/>
      <c r="AH41" s="225">
        <f>SUM(PORTEFEUILLE_AUTRE_COMPTABLE[[#This Row],[PCR COMPTABLE €]:[MONTANT
RESPONSABLE RELATION CLIENT €]])-PORTEFEUILLE_AUTRE_COMPTABLE[[#This Row],[MONTANT TOTAL LETTRE DE MISION €]]</f>
        <v>0</v>
      </c>
      <c r="AI41" s="191"/>
      <c r="AJ41" s="188"/>
      <c r="AK41" s="188"/>
      <c r="AL41" s="196"/>
      <c r="AM41" s="196"/>
      <c r="AN41" s="196"/>
      <c r="AO41" s="196"/>
      <c r="AP41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Q41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R41" s="188" t="str">
        <f>IF(PORTEFEUILLE_AUTRE_COMPTABLE[[#This Row],[BONI AAC]]&lt;&gt;0,1,"")</f>
        <v/>
      </c>
      <c r="AS41" s="188" t="str">
        <f>IF(PORTEFEUILLE_AUTRE_COMPTABLE[[#This Row],[MALI AAC]]&lt;&gt;0,1,"")</f>
        <v/>
      </c>
      <c r="AT41" s="225">
        <f>IF(AN41&lt;&gt;"",IF((AN41*Paramètres!$H$4)-PORTEFEUILLE_AUTRE_COMPTABLE[[#This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€]]-(DELPHINE!AN41*Paramètres!$H$4),0),0)</f>
        <v>0</v>
      </c>
      <c r="AU41" s="225">
        <f>IF(AN41&lt;&gt;"",IF(((AN41*Paramètres!$H$4)-PORTEFEUILLE_AUTRE_COMPTABLE[[#This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€]])&gt;0,(AN41*Paramètres!$H$4)-PORTEFEUILLE_AUTRE_COMPTABLE[[#This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V41" s="190" t="str">
        <f>IF(PORTEFEUILLE_AUTRE_COMPTABLE[[#This Row],[BONI COMPTABLE]]&lt;&gt;0,1,"")</f>
        <v/>
      </c>
      <c r="AW41" s="190" t="str">
        <f>IF(PORTEFEUILLE_AUTRE_COMPTABLE[[#This Row],[MALI COMPTABLE]]&lt;&gt;0,1,"")</f>
        <v/>
      </c>
      <c r="AX41" s="196"/>
      <c r="AY41" s="188"/>
      <c r="AZ41" s="188"/>
      <c r="BA41" s="188"/>
      <c r="BB41" s="188"/>
      <c r="BC41" s="188"/>
      <c r="BD41" s="188"/>
      <c r="BE41" s="192"/>
      <c r="BF41" s="194"/>
      <c r="BG41" s="194"/>
      <c r="BH41" s="195"/>
      <c r="BI41" s="194"/>
    </row>
    <row r="42" spans="1:61" x14ac:dyDescent="0.25">
      <c r="A42" s="172"/>
      <c r="B42" s="178"/>
      <c r="C42" s="165"/>
      <c r="D42" s="171"/>
      <c r="E42" s="189"/>
      <c r="F42" s="188"/>
      <c r="G42" s="188"/>
      <c r="H42" s="189"/>
      <c r="I42" s="188"/>
      <c r="J42" s="189"/>
      <c r="K42" s="190" t="str">
        <f t="shared" si="0"/>
        <v/>
      </c>
      <c r="L42" s="190" t="str">
        <f t="shared" si="1"/>
        <v/>
      </c>
      <c r="M42" s="188"/>
      <c r="N42" s="188"/>
      <c r="O42" s="188"/>
      <c r="P42" s="188"/>
      <c r="Q42" s="188"/>
      <c r="R42" s="188"/>
      <c r="S42" s="214"/>
      <c r="T42" s="208"/>
      <c r="U42" s="220"/>
      <c r="V42" s="220"/>
      <c r="W42" s="220"/>
      <c r="X42" s="220"/>
      <c r="Y42" s="220"/>
      <c r="Z42" s="220"/>
      <c r="AA42" s="220"/>
      <c r="AB42" s="220"/>
      <c r="AC42" s="220"/>
      <c r="AD42" s="220"/>
      <c r="AE42" s="220"/>
      <c r="AF42" s="220"/>
      <c r="AG42" s="219"/>
      <c r="AH42" s="225">
        <f>SUM(PORTEFEUILLE_AUTRE_COMPTABLE[[#This Row],[PCR COMPTABLE €]:[MONTANT
RESPONSABLE RELATION CLIENT €]])-PORTEFEUILLE_AUTRE_COMPTABLE[[#This Row],[MONTANT TOTAL LETTRE DE MISION €]]</f>
        <v>0</v>
      </c>
      <c r="AI42" s="191"/>
      <c r="AJ42" s="188"/>
      <c r="AK42" s="188"/>
      <c r="AL42" s="196"/>
      <c r="AM42" s="196"/>
      <c r="AN42" s="196"/>
      <c r="AO42" s="196"/>
      <c r="AP42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Q42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R42" s="188" t="str">
        <f>IF(PORTEFEUILLE_AUTRE_COMPTABLE[[#This Row],[BONI AAC]]&lt;&gt;0,1,"")</f>
        <v/>
      </c>
      <c r="AS42" s="188" t="str">
        <f>IF(PORTEFEUILLE_AUTRE_COMPTABLE[[#This Row],[MALI AAC]]&lt;&gt;0,1,"")</f>
        <v/>
      </c>
      <c r="AT42" s="225">
        <f>IF(AN42&lt;&gt;"",IF((AN42*Paramètres!$H$4)-PORTEFEUILLE_AUTRE_COMPTABLE[[#This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€]]-(DELPHINE!AN42*Paramètres!$H$4),0),0)</f>
        <v>0</v>
      </c>
      <c r="AU42" s="225">
        <f>IF(AN42&lt;&gt;"",IF(((AN42*Paramètres!$H$4)-PORTEFEUILLE_AUTRE_COMPTABLE[[#This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€]])&gt;0,(AN42*Paramètres!$H$4)-PORTEFEUILLE_AUTRE_COMPTABLE[[#This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V42" s="190" t="str">
        <f>IF(PORTEFEUILLE_AUTRE_COMPTABLE[[#This Row],[BONI COMPTABLE]]&lt;&gt;0,1,"")</f>
        <v/>
      </c>
      <c r="AW42" s="190" t="str">
        <f>IF(PORTEFEUILLE_AUTRE_COMPTABLE[[#This Row],[MALI COMPTABLE]]&lt;&gt;0,1,"")</f>
        <v/>
      </c>
      <c r="AX42" s="196"/>
      <c r="AY42" s="188"/>
      <c r="AZ42" s="188"/>
      <c r="BA42" s="188"/>
      <c r="BB42" s="196"/>
      <c r="BC42" s="196"/>
      <c r="BD42" s="196"/>
      <c r="BE42" s="192"/>
      <c r="BF42" s="194"/>
      <c r="BG42" s="194"/>
      <c r="BH42" s="195"/>
      <c r="BI42" s="194"/>
    </row>
    <row r="43" spans="1:61" x14ac:dyDescent="0.25">
      <c r="A43" s="172"/>
      <c r="B43" s="178"/>
      <c r="C43" s="165"/>
      <c r="D43" s="171"/>
      <c r="E43" s="189"/>
      <c r="F43" s="188"/>
      <c r="G43" s="189"/>
      <c r="H43" s="189"/>
      <c r="I43" s="189"/>
      <c r="J43" s="189"/>
      <c r="K43" s="190" t="str">
        <f t="shared" si="0"/>
        <v/>
      </c>
      <c r="L43" s="190" t="str">
        <f t="shared" si="1"/>
        <v/>
      </c>
      <c r="M43" s="188"/>
      <c r="N43" s="188"/>
      <c r="O43" s="188"/>
      <c r="P43" s="188"/>
      <c r="Q43" s="188"/>
      <c r="R43" s="188"/>
      <c r="S43" s="213"/>
      <c r="T43" s="207"/>
      <c r="U43" s="219"/>
      <c r="V43" s="219"/>
      <c r="W43" s="219"/>
      <c r="X43" s="219"/>
      <c r="Y43" s="219"/>
      <c r="Z43" s="219"/>
      <c r="AA43" s="219"/>
      <c r="AB43" s="219"/>
      <c r="AC43" s="219"/>
      <c r="AD43" s="219"/>
      <c r="AE43" s="219"/>
      <c r="AF43" s="219"/>
      <c r="AG43" s="219"/>
      <c r="AH43" s="225">
        <f>SUM(PORTEFEUILLE_AUTRE_COMPTABLE[[#This Row],[PCR COMPTABLE €]:[MONTANT
RESPONSABLE RELATION CLIENT €]])-PORTEFEUILLE_AUTRE_COMPTABLE[[#This Row],[MONTANT TOTAL LETTRE DE MISION €]]</f>
        <v>0</v>
      </c>
      <c r="AI43" s="191"/>
      <c r="AJ43" s="188"/>
      <c r="AK43" s="188"/>
      <c r="AL43" s="188"/>
      <c r="AM43" s="188"/>
      <c r="AN43" s="188"/>
      <c r="AO43" s="188"/>
      <c r="AP43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Q43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R43" s="188" t="str">
        <f>IF(PORTEFEUILLE_AUTRE_COMPTABLE[[#This Row],[BONI AAC]]&lt;&gt;0,1,"")</f>
        <v/>
      </c>
      <c r="AS43" s="188" t="str">
        <f>IF(PORTEFEUILLE_AUTRE_COMPTABLE[[#This Row],[MALI AAC]]&lt;&gt;0,1,"")</f>
        <v/>
      </c>
      <c r="AT43" s="225">
        <f>IF(AN43&lt;&gt;"",IF((AN43*Paramètres!$H$4)-PORTEFEUILLE_AUTRE_COMPTABLE[[#This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€]]-(DELPHINE!AN43*Paramètres!$H$4),0),0)</f>
        <v>0</v>
      </c>
      <c r="AU43" s="225">
        <f>IF(AN43&lt;&gt;"",IF(((AN43*Paramètres!$H$4)-PORTEFEUILLE_AUTRE_COMPTABLE[[#This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€]])&gt;0,(AN43*Paramètres!$H$4)-PORTEFEUILLE_AUTRE_COMPTABLE[[#This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V43" s="190" t="str">
        <f>IF(PORTEFEUILLE_AUTRE_COMPTABLE[[#This Row],[BONI COMPTABLE]]&lt;&gt;0,1,"")</f>
        <v/>
      </c>
      <c r="AW43" s="190" t="str">
        <f>IF(PORTEFEUILLE_AUTRE_COMPTABLE[[#This Row],[MALI COMPTABLE]]&lt;&gt;0,1,"")</f>
        <v/>
      </c>
      <c r="AX43" s="188"/>
      <c r="AY43" s="188"/>
      <c r="AZ43" s="188"/>
      <c r="BA43" s="188"/>
      <c r="BB43" s="196"/>
      <c r="BC43" s="196"/>
      <c r="BD43" s="196"/>
      <c r="BE43" s="192"/>
      <c r="BF43" s="194"/>
      <c r="BG43" s="194"/>
      <c r="BH43" s="195"/>
      <c r="BI43" s="194"/>
    </row>
    <row r="44" spans="1:61" s="241" customFormat="1" x14ac:dyDescent="0.25">
      <c r="A44" s="172"/>
      <c r="B44" s="181"/>
      <c r="C44" s="165"/>
      <c r="D44" s="165"/>
      <c r="E44" s="189"/>
      <c r="F44" s="188"/>
      <c r="G44" s="189"/>
      <c r="H44" s="189"/>
      <c r="I44" s="189"/>
      <c r="J44" s="199"/>
      <c r="K44" s="190" t="str">
        <f t="shared" si="0"/>
        <v/>
      </c>
      <c r="L44" s="190" t="str">
        <f t="shared" si="1"/>
        <v/>
      </c>
      <c r="M44" s="188"/>
      <c r="N44" s="188"/>
      <c r="O44" s="188"/>
      <c r="P44" s="188"/>
      <c r="Q44" s="188"/>
      <c r="R44" s="188"/>
      <c r="S44" s="213"/>
      <c r="T44" s="207"/>
      <c r="U44" s="219"/>
      <c r="V44" s="219"/>
      <c r="W44" s="219"/>
      <c r="X44" s="219"/>
      <c r="Y44" s="219"/>
      <c r="Z44" s="219"/>
      <c r="AA44" s="219"/>
      <c r="AB44" s="219"/>
      <c r="AC44" s="219"/>
      <c r="AD44" s="219"/>
      <c r="AE44" s="219"/>
      <c r="AF44" s="219"/>
      <c r="AG44" s="219"/>
      <c r="AH44" s="225">
        <f>SUM(PORTEFEUILLE_AUTRE_COMPTABLE[[#This Row],[PCR COMPTABLE €]:[MONTANT
RESPONSABLE RELATION CLIENT €]])-PORTEFEUILLE_AUTRE_COMPTABLE[[#This Row],[MONTANT TOTAL LETTRE DE MISION €]]</f>
        <v>0</v>
      </c>
      <c r="AI44" s="191"/>
      <c r="AJ44" s="188"/>
      <c r="AK44" s="188"/>
      <c r="AL44" s="188"/>
      <c r="AM44" s="188"/>
      <c r="AN44" s="188"/>
      <c r="AO44" s="188"/>
      <c r="AP44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Q44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R44" s="188" t="str">
        <f>IF(PORTEFEUILLE_AUTRE_COMPTABLE[[#This Row],[BONI AAC]]&lt;&gt;0,1,"")</f>
        <v/>
      </c>
      <c r="AS44" s="188" t="str">
        <f>IF(PORTEFEUILLE_AUTRE_COMPTABLE[[#This Row],[MALI AAC]]&lt;&gt;0,1,"")</f>
        <v/>
      </c>
      <c r="AT44" s="225">
        <f>IF(AN44&lt;&gt;"",IF((AN44*Paramètres!$H$4)-PORTEFEUILLE_AUTRE_COMPTABLE[[#This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€]]-(DELPHINE!AN44*Paramètres!$H$4),0),0)</f>
        <v>0</v>
      </c>
      <c r="AU44" s="225">
        <f>IF(AN44&lt;&gt;"",IF(((AN44*Paramètres!$H$4)-PORTEFEUILLE_AUTRE_COMPTABLE[[#This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€]])&gt;0,(AN44*Paramètres!$H$4)-PORTEFEUILLE_AUTRE_COMPTABLE[[#This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V44" s="190" t="str">
        <f>IF(PORTEFEUILLE_AUTRE_COMPTABLE[[#This Row],[BONI COMPTABLE]]&lt;&gt;0,1,"")</f>
        <v/>
      </c>
      <c r="AW44" s="190" t="str">
        <f>IF(PORTEFEUILLE_AUTRE_COMPTABLE[[#This Row],[MALI COMPTABLE]]&lt;&gt;0,1,"")</f>
        <v/>
      </c>
      <c r="AX44" s="188"/>
      <c r="AY44" s="188"/>
      <c r="AZ44" s="188"/>
      <c r="BA44" s="188"/>
      <c r="BB44" s="196"/>
      <c r="BC44" s="196"/>
      <c r="BD44" s="196"/>
      <c r="BE44" s="192"/>
      <c r="BF44" s="194"/>
      <c r="BG44" s="194"/>
      <c r="BH44" s="195"/>
      <c r="BI44" s="194"/>
    </row>
    <row r="45" spans="1:61" x14ac:dyDescent="0.25">
      <c r="A45" s="172"/>
      <c r="B45" s="181"/>
      <c r="C45" s="165"/>
      <c r="D45" s="165"/>
      <c r="E45" s="189"/>
      <c r="F45" s="188"/>
      <c r="G45" s="189"/>
      <c r="H45" s="189"/>
      <c r="I45" s="189"/>
      <c r="J45" s="189"/>
      <c r="K45" s="190" t="str">
        <f t="shared" si="0"/>
        <v/>
      </c>
      <c r="L45" s="190" t="str">
        <f t="shared" si="1"/>
        <v/>
      </c>
      <c r="M45" s="188"/>
      <c r="N45" s="188"/>
      <c r="O45" s="188"/>
      <c r="P45" s="188"/>
      <c r="Q45" s="188"/>
      <c r="R45" s="188"/>
      <c r="S45" s="213"/>
      <c r="T45" s="207"/>
      <c r="U45" s="219"/>
      <c r="V45" s="219"/>
      <c r="W45" s="219"/>
      <c r="X45" s="219"/>
      <c r="Y45" s="219"/>
      <c r="Z45" s="219"/>
      <c r="AA45" s="219"/>
      <c r="AB45" s="219"/>
      <c r="AC45" s="219"/>
      <c r="AD45" s="219"/>
      <c r="AE45" s="219"/>
      <c r="AF45" s="219"/>
      <c r="AG45" s="219"/>
      <c r="AH45" s="225">
        <f>SUM(PORTEFEUILLE_AUTRE_COMPTABLE[[#This Row],[PCR COMPTABLE €]:[MONTANT
RESPONSABLE RELATION CLIENT €]])-PORTEFEUILLE_AUTRE_COMPTABLE[[#This Row],[MONTANT TOTAL LETTRE DE MISION €]]</f>
        <v>0</v>
      </c>
      <c r="AI45" s="191"/>
      <c r="AJ45" s="188"/>
      <c r="AK45" s="188"/>
      <c r="AL45" s="188"/>
      <c r="AM45" s="188"/>
      <c r="AN45" s="188"/>
      <c r="AO45" s="188"/>
      <c r="AP45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Q45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R45" s="188" t="str">
        <f>IF(PORTEFEUILLE_AUTRE_COMPTABLE[[#This Row],[BONI AAC]]&lt;&gt;0,1,"")</f>
        <v/>
      </c>
      <c r="AS45" s="188" t="str">
        <f>IF(PORTEFEUILLE_AUTRE_COMPTABLE[[#This Row],[MALI AAC]]&lt;&gt;0,1,"")</f>
        <v/>
      </c>
      <c r="AT45" s="225">
        <f>IF(AN45&lt;&gt;"",IF((AN45*Paramètres!$H$4)-PORTEFEUILLE_AUTRE_COMPTABLE[[#This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€]]-(DELPHINE!AN45*Paramètres!$H$4),0),0)</f>
        <v>0</v>
      </c>
      <c r="AU45" s="225">
        <f>IF(AN45&lt;&gt;"",IF(((AN45*Paramètres!$H$4)-PORTEFEUILLE_AUTRE_COMPTABLE[[#This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€]])&gt;0,(AN45*Paramètres!$H$4)-PORTEFEUILLE_AUTRE_COMPTABLE[[#This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V45" s="190" t="str">
        <f>IF(PORTEFEUILLE_AUTRE_COMPTABLE[[#This Row],[BONI COMPTABLE]]&lt;&gt;0,1,"")</f>
        <v/>
      </c>
      <c r="AW45" s="190" t="str">
        <f>IF(PORTEFEUILLE_AUTRE_COMPTABLE[[#This Row],[MALI COMPTABLE]]&lt;&gt;0,1,"")</f>
        <v/>
      </c>
      <c r="AX45" s="188"/>
      <c r="AY45" s="188"/>
      <c r="AZ45" s="188"/>
      <c r="BA45" s="188"/>
      <c r="BB45" s="188"/>
      <c r="BC45" s="188"/>
      <c r="BD45" s="188"/>
      <c r="BE45" s="192"/>
      <c r="BF45" s="194"/>
      <c r="BG45" s="194"/>
      <c r="BH45" s="195"/>
      <c r="BI45" s="194"/>
    </row>
    <row r="46" spans="1:61" x14ac:dyDescent="0.25">
      <c r="A46" s="172"/>
      <c r="B46" s="181"/>
      <c r="C46" s="165"/>
      <c r="D46" s="171"/>
      <c r="E46" s="189"/>
      <c r="F46" s="188"/>
      <c r="G46" s="188"/>
      <c r="H46" s="189"/>
      <c r="I46" s="188"/>
      <c r="J46" s="189"/>
      <c r="K46" s="190" t="str">
        <f t="shared" si="0"/>
        <v/>
      </c>
      <c r="L46" s="190" t="str">
        <f t="shared" si="1"/>
        <v/>
      </c>
      <c r="M46" s="188"/>
      <c r="N46" s="188"/>
      <c r="O46" s="188"/>
      <c r="P46" s="188"/>
      <c r="Q46" s="188"/>
      <c r="R46" s="188"/>
      <c r="S46" s="214"/>
      <c r="T46" s="208"/>
      <c r="U46" s="220"/>
      <c r="V46" s="220"/>
      <c r="W46" s="220"/>
      <c r="X46" s="220"/>
      <c r="Y46" s="220"/>
      <c r="Z46" s="220"/>
      <c r="AA46" s="220"/>
      <c r="AB46" s="220"/>
      <c r="AC46" s="220"/>
      <c r="AD46" s="220"/>
      <c r="AE46" s="220"/>
      <c r="AF46" s="220"/>
      <c r="AG46" s="219"/>
      <c r="AH46" s="225">
        <f>SUM(PORTEFEUILLE_AUTRE_COMPTABLE[[#This Row],[PCR COMPTABLE €]:[MONTANT
RESPONSABLE RELATION CLIENT €]])-PORTEFEUILLE_AUTRE_COMPTABLE[[#This Row],[MONTANT TOTAL LETTRE DE MISION €]]</f>
        <v>0</v>
      </c>
      <c r="AI46" s="191"/>
      <c r="AJ46" s="188"/>
      <c r="AK46" s="188"/>
      <c r="AL46" s="196"/>
      <c r="AM46" s="196"/>
      <c r="AN46" s="196"/>
      <c r="AO46" s="196"/>
      <c r="AP46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Q46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R46" s="188" t="str">
        <f>IF(PORTEFEUILLE_AUTRE_COMPTABLE[[#This Row],[BONI AAC]]&lt;&gt;0,1,"")</f>
        <v/>
      </c>
      <c r="AS46" s="188" t="str">
        <f>IF(PORTEFEUILLE_AUTRE_COMPTABLE[[#This Row],[MALI AAC]]&lt;&gt;0,1,"")</f>
        <v/>
      </c>
      <c r="AT46" s="225">
        <f>IF(AN46&lt;&gt;"",IF((AN46*Paramètres!$H$4)-PORTEFEUILLE_AUTRE_COMPTABLE[[#This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€]]-(DELPHINE!AN46*Paramètres!$H$4),0),0)</f>
        <v>0</v>
      </c>
      <c r="AU46" s="225">
        <f>IF(AN46&lt;&gt;"",IF(((AN46*Paramètres!$H$4)-PORTEFEUILLE_AUTRE_COMPTABLE[[#This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€]])&gt;0,(AN46*Paramètres!$H$4)-PORTEFEUILLE_AUTRE_COMPTABLE[[#This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V46" s="190" t="str">
        <f>IF(PORTEFEUILLE_AUTRE_COMPTABLE[[#This Row],[BONI COMPTABLE]]&lt;&gt;0,1,"")</f>
        <v/>
      </c>
      <c r="AW46" s="190" t="str">
        <f>IF(PORTEFEUILLE_AUTRE_COMPTABLE[[#This Row],[MALI COMPTABLE]]&lt;&gt;0,1,"")</f>
        <v/>
      </c>
      <c r="AX46" s="196"/>
      <c r="AY46" s="188"/>
      <c r="AZ46" s="188"/>
      <c r="BA46" s="188"/>
      <c r="BB46" s="188"/>
      <c r="BC46" s="188"/>
      <c r="BD46" s="188"/>
      <c r="BE46" s="192"/>
      <c r="BF46" s="194"/>
      <c r="BG46" s="194"/>
      <c r="BH46" s="195"/>
      <c r="BI46" s="194"/>
    </row>
    <row r="47" spans="1:61" x14ac:dyDescent="0.25">
      <c r="A47" s="172"/>
      <c r="B47" s="181"/>
      <c r="C47" s="165"/>
      <c r="D47" s="171"/>
      <c r="E47" s="189"/>
      <c r="F47" s="188"/>
      <c r="G47" s="189"/>
      <c r="H47" s="189"/>
      <c r="I47" s="189"/>
      <c r="J47" s="189"/>
      <c r="K47" s="190" t="str">
        <f t="shared" si="0"/>
        <v/>
      </c>
      <c r="L47" s="190" t="str">
        <f t="shared" si="1"/>
        <v/>
      </c>
      <c r="M47" s="188"/>
      <c r="N47" s="188"/>
      <c r="O47" s="188"/>
      <c r="P47" s="188"/>
      <c r="Q47" s="188"/>
      <c r="R47" s="188"/>
      <c r="S47" s="213"/>
      <c r="T47" s="207"/>
      <c r="U47" s="219"/>
      <c r="V47" s="219"/>
      <c r="W47" s="219"/>
      <c r="X47" s="219"/>
      <c r="Y47" s="219"/>
      <c r="Z47" s="219"/>
      <c r="AA47" s="219"/>
      <c r="AB47" s="219"/>
      <c r="AC47" s="219"/>
      <c r="AD47" s="219"/>
      <c r="AE47" s="219"/>
      <c r="AF47" s="219"/>
      <c r="AG47" s="219"/>
      <c r="AH47" s="225">
        <f>SUM(PORTEFEUILLE_AUTRE_COMPTABLE[[#This Row],[PCR COMPTABLE €]:[MONTANT
RESPONSABLE RELATION CLIENT €]])-PORTEFEUILLE_AUTRE_COMPTABLE[[#This Row],[MONTANT TOTAL LETTRE DE MISION €]]</f>
        <v>0</v>
      </c>
      <c r="AI47" s="191"/>
      <c r="AJ47" s="188"/>
      <c r="AK47" s="188"/>
      <c r="AL47" s="188"/>
      <c r="AM47" s="188"/>
      <c r="AN47" s="188"/>
      <c r="AO47" s="188"/>
      <c r="AP47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Q47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R47" s="188" t="str">
        <f>IF(PORTEFEUILLE_AUTRE_COMPTABLE[[#This Row],[BONI AAC]]&lt;&gt;0,1,"")</f>
        <v/>
      </c>
      <c r="AS47" s="188" t="str">
        <f>IF(PORTEFEUILLE_AUTRE_COMPTABLE[[#This Row],[MALI AAC]]&lt;&gt;0,1,"")</f>
        <v/>
      </c>
      <c r="AT47" s="225">
        <f>IF(AN47&lt;&gt;"",IF((AN47*Paramètres!$H$4)-PORTEFEUILLE_AUTRE_COMPTABLE[[#This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€]]-(DELPHINE!AN47*Paramètres!$H$4),0),0)</f>
        <v>0</v>
      </c>
      <c r="AU47" s="225">
        <f>IF(AN47&lt;&gt;"",IF(((AN47*Paramètres!$H$4)-PORTEFEUILLE_AUTRE_COMPTABLE[[#This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€]])&gt;0,(AN47*Paramètres!$H$4)-PORTEFEUILLE_AUTRE_COMPTABLE[[#This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V47" s="190" t="str">
        <f>IF(PORTEFEUILLE_AUTRE_COMPTABLE[[#This Row],[BONI COMPTABLE]]&lt;&gt;0,1,"")</f>
        <v/>
      </c>
      <c r="AW47" s="190" t="str">
        <f>IF(PORTEFEUILLE_AUTRE_COMPTABLE[[#This Row],[MALI COMPTABLE]]&lt;&gt;0,1,"")</f>
        <v/>
      </c>
      <c r="AX47" s="188"/>
      <c r="AY47" s="188"/>
      <c r="AZ47" s="188"/>
      <c r="BA47" s="188"/>
      <c r="BB47" s="188"/>
      <c r="BC47" s="188"/>
      <c r="BD47" s="188"/>
      <c r="BE47" s="192"/>
      <c r="BF47" s="194"/>
      <c r="BG47" s="194"/>
      <c r="BH47" s="195"/>
      <c r="BI47" s="194"/>
    </row>
    <row r="48" spans="1:61" x14ac:dyDescent="0.25">
      <c r="A48" s="172"/>
      <c r="B48" s="180"/>
      <c r="C48" s="165"/>
      <c r="D48" s="171"/>
      <c r="E48" s="189"/>
      <c r="F48" s="188"/>
      <c r="G48" s="188"/>
      <c r="H48" s="189"/>
      <c r="I48" s="189"/>
      <c r="J48" s="189"/>
      <c r="K48" s="190" t="str">
        <f t="shared" si="0"/>
        <v/>
      </c>
      <c r="L48" s="190" t="str">
        <f t="shared" si="1"/>
        <v/>
      </c>
      <c r="M48" s="188"/>
      <c r="N48" s="188"/>
      <c r="O48" s="188"/>
      <c r="P48" s="188"/>
      <c r="Q48" s="188"/>
      <c r="R48" s="188"/>
      <c r="S48" s="214"/>
      <c r="T48" s="208"/>
      <c r="U48" s="220"/>
      <c r="V48" s="220"/>
      <c r="W48" s="220"/>
      <c r="X48" s="220"/>
      <c r="Y48" s="220"/>
      <c r="Z48" s="220"/>
      <c r="AA48" s="220"/>
      <c r="AB48" s="220"/>
      <c r="AC48" s="220"/>
      <c r="AD48" s="220"/>
      <c r="AE48" s="220"/>
      <c r="AF48" s="220"/>
      <c r="AG48" s="219"/>
      <c r="AH48" s="225">
        <f>SUM(PORTEFEUILLE_AUTRE_COMPTABLE[[#This Row],[PCR COMPTABLE €]:[MONTANT
RESPONSABLE RELATION CLIENT €]])-PORTEFEUILLE_AUTRE_COMPTABLE[[#This Row],[MONTANT TOTAL LETTRE DE MISION €]]</f>
        <v>0</v>
      </c>
      <c r="AI48" s="191"/>
      <c r="AJ48" s="188"/>
      <c r="AK48" s="188"/>
      <c r="AL48" s="196"/>
      <c r="AM48" s="196"/>
      <c r="AN48" s="196"/>
      <c r="AO48" s="196"/>
      <c r="AP48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Q48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R48" s="188" t="str">
        <f>IF(PORTEFEUILLE_AUTRE_COMPTABLE[[#This Row],[BONI AAC]]&lt;&gt;0,1,"")</f>
        <v/>
      </c>
      <c r="AS48" s="188" t="str">
        <f>IF(PORTEFEUILLE_AUTRE_COMPTABLE[[#This Row],[MALI AAC]]&lt;&gt;0,1,"")</f>
        <v/>
      </c>
      <c r="AT48" s="225">
        <f>IF(AN48&lt;&gt;"",IF((AN48*Paramètres!$H$4)-PORTEFEUILLE_AUTRE_COMPTABLE[[#This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€]]-(DELPHINE!AN48*Paramètres!$H$4),0),0)</f>
        <v>0</v>
      </c>
      <c r="AU48" s="225">
        <f>IF(AN48&lt;&gt;"",IF(((AN48*Paramètres!$H$4)-PORTEFEUILLE_AUTRE_COMPTABLE[[#This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€]])&gt;0,(AN48*Paramètres!$H$4)-PORTEFEUILLE_AUTRE_COMPTABLE[[#This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V48" s="190" t="str">
        <f>IF(PORTEFEUILLE_AUTRE_COMPTABLE[[#This Row],[BONI COMPTABLE]]&lt;&gt;0,1,"")</f>
        <v/>
      </c>
      <c r="AW48" s="190" t="str">
        <f>IF(PORTEFEUILLE_AUTRE_COMPTABLE[[#This Row],[MALI COMPTABLE]]&lt;&gt;0,1,"")</f>
        <v/>
      </c>
      <c r="AX48" s="196"/>
      <c r="AY48" s="188"/>
      <c r="AZ48" s="188"/>
      <c r="BA48" s="188"/>
      <c r="BB48" s="188"/>
      <c r="BC48" s="188"/>
      <c r="BD48" s="188"/>
      <c r="BE48" s="192"/>
      <c r="BF48" s="194"/>
      <c r="BG48" s="194"/>
      <c r="BH48" s="195"/>
      <c r="BI48" s="194"/>
    </row>
    <row r="49" spans="1:61" x14ac:dyDescent="0.25">
      <c r="A49" s="172"/>
      <c r="B49" s="180"/>
      <c r="C49" s="165"/>
      <c r="D49" s="171"/>
      <c r="E49" s="189"/>
      <c r="F49" s="188"/>
      <c r="G49" s="189"/>
      <c r="H49" s="189"/>
      <c r="I49" s="189"/>
      <c r="J49" s="189"/>
      <c r="K49" s="190" t="str">
        <f t="shared" si="0"/>
        <v/>
      </c>
      <c r="L49" s="190" t="str">
        <f t="shared" si="1"/>
        <v/>
      </c>
      <c r="M49" s="188"/>
      <c r="N49" s="188"/>
      <c r="O49" s="188"/>
      <c r="P49" s="188"/>
      <c r="Q49" s="188"/>
      <c r="R49" s="188"/>
      <c r="S49" s="213"/>
      <c r="T49" s="207"/>
      <c r="U49" s="219"/>
      <c r="V49" s="219"/>
      <c r="W49" s="219"/>
      <c r="X49" s="219"/>
      <c r="Y49" s="219"/>
      <c r="Z49" s="219"/>
      <c r="AA49" s="219"/>
      <c r="AB49" s="219"/>
      <c r="AC49" s="219"/>
      <c r="AD49" s="219"/>
      <c r="AE49" s="219"/>
      <c r="AF49" s="219"/>
      <c r="AG49" s="219"/>
      <c r="AH49" s="225">
        <f>SUM(PORTEFEUILLE_AUTRE_COMPTABLE[[#This Row],[PCR COMPTABLE €]:[MONTANT
RESPONSABLE RELATION CLIENT €]])-PORTEFEUILLE_AUTRE_COMPTABLE[[#This Row],[MONTANT TOTAL LETTRE DE MISION €]]</f>
        <v>0</v>
      </c>
      <c r="AI49" s="191"/>
      <c r="AJ49" s="188"/>
      <c r="AK49" s="188"/>
      <c r="AL49" s="188"/>
      <c r="AM49" s="188"/>
      <c r="AN49" s="188"/>
      <c r="AO49" s="188"/>
      <c r="AP49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Q49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R49" s="188" t="str">
        <f>IF(PORTEFEUILLE_AUTRE_COMPTABLE[[#This Row],[BONI AAC]]&lt;&gt;0,1,"")</f>
        <v/>
      </c>
      <c r="AS49" s="188" t="str">
        <f>IF(PORTEFEUILLE_AUTRE_COMPTABLE[[#This Row],[MALI AAC]]&lt;&gt;0,1,"")</f>
        <v/>
      </c>
      <c r="AT49" s="225">
        <f>IF(AN49&lt;&gt;"",IF((AN49*Paramètres!$H$4)-PORTEFEUILLE_AUTRE_COMPTABLE[[#This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€]]-(DELPHINE!AN49*Paramètres!$H$4),0),0)</f>
        <v>0</v>
      </c>
      <c r="AU49" s="225">
        <f>IF(AN49&lt;&gt;"",IF(((AN49*Paramètres!$H$4)-PORTEFEUILLE_AUTRE_COMPTABLE[[#This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€]])&gt;0,(AN49*Paramètres!$H$4)-PORTEFEUILLE_AUTRE_COMPTABLE[[#This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V49" s="190" t="str">
        <f>IF(PORTEFEUILLE_AUTRE_COMPTABLE[[#This Row],[BONI COMPTABLE]]&lt;&gt;0,1,"")</f>
        <v/>
      </c>
      <c r="AW49" s="190" t="str">
        <f>IF(PORTEFEUILLE_AUTRE_COMPTABLE[[#This Row],[MALI COMPTABLE]]&lt;&gt;0,1,"")</f>
        <v/>
      </c>
      <c r="AX49" s="188"/>
      <c r="AY49" s="188"/>
      <c r="AZ49" s="188"/>
      <c r="BA49" s="188"/>
      <c r="BB49" s="196"/>
      <c r="BC49" s="188"/>
      <c r="BD49" s="188"/>
      <c r="BE49" s="192"/>
      <c r="BF49" s="194"/>
      <c r="BG49" s="194"/>
      <c r="BH49" s="195"/>
      <c r="BI49" s="194"/>
    </row>
    <row r="50" spans="1:61" x14ac:dyDescent="0.25">
      <c r="A50" s="172"/>
      <c r="B50" s="170"/>
      <c r="C50" s="165"/>
      <c r="D50" s="171"/>
      <c r="E50" s="189"/>
      <c r="F50" s="188"/>
      <c r="G50" s="188"/>
      <c r="H50" s="189"/>
      <c r="I50" s="188"/>
      <c r="J50" s="188"/>
      <c r="K50" s="190" t="str">
        <f t="shared" si="0"/>
        <v/>
      </c>
      <c r="L50" s="190" t="str">
        <f t="shared" si="1"/>
        <v/>
      </c>
      <c r="M50" s="188"/>
      <c r="N50" s="188"/>
      <c r="O50" s="188"/>
      <c r="P50" s="188"/>
      <c r="Q50" s="188"/>
      <c r="R50" s="188"/>
      <c r="S50" s="214"/>
      <c r="T50" s="208"/>
      <c r="U50" s="220"/>
      <c r="V50" s="220"/>
      <c r="W50" s="220"/>
      <c r="X50" s="220"/>
      <c r="Y50" s="220"/>
      <c r="Z50" s="220"/>
      <c r="AA50" s="220"/>
      <c r="AB50" s="220"/>
      <c r="AC50" s="220"/>
      <c r="AD50" s="220"/>
      <c r="AE50" s="220"/>
      <c r="AF50" s="220"/>
      <c r="AG50" s="219"/>
      <c r="AH50" s="225">
        <f>SUM(PORTEFEUILLE_AUTRE_COMPTABLE[[#This Row],[PCR COMPTABLE €]:[MONTANT
RESPONSABLE RELATION CLIENT €]])-PORTEFEUILLE_AUTRE_COMPTABLE[[#This Row],[MONTANT TOTAL LETTRE DE MISION €]]</f>
        <v>0</v>
      </c>
      <c r="AI50" s="191"/>
      <c r="AJ50" s="188"/>
      <c r="AK50" s="188"/>
      <c r="AL50" s="196"/>
      <c r="AM50" s="196"/>
      <c r="AN50" s="196"/>
      <c r="AO50" s="196"/>
      <c r="AP50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Q50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R50" s="188" t="str">
        <f>IF(PORTEFEUILLE_AUTRE_COMPTABLE[[#This Row],[BONI AAC]]&lt;&gt;0,1,"")</f>
        <v/>
      </c>
      <c r="AS50" s="188" t="str">
        <f>IF(PORTEFEUILLE_AUTRE_COMPTABLE[[#This Row],[MALI AAC]]&lt;&gt;0,1,"")</f>
        <v/>
      </c>
      <c r="AT50" s="225">
        <f>IF(AN50&lt;&gt;"",IF((AN50*Paramètres!$H$4)-PORTEFEUILLE_AUTRE_COMPTABLE[[#This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€]]-(DELPHINE!AN50*Paramètres!$H$4),0),0)</f>
        <v>0</v>
      </c>
      <c r="AU50" s="225">
        <f>IF(AN50&lt;&gt;"",IF(((AN50*Paramètres!$H$4)-PORTEFEUILLE_AUTRE_COMPTABLE[[#This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€]])&gt;0,(AN50*Paramètres!$H$4)-PORTEFEUILLE_AUTRE_COMPTABLE[[#This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V50" s="190" t="str">
        <f>IF(PORTEFEUILLE_AUTRE_COMPTABLE[[#This Row],[BONI COMPTABLE]]&lt;&gt;0,1,"")</f>
        <v/>
      </c>
      <c r="AW50" s="190" t="str">
        <f>IF(PORTEFEUILLE_AUTRE_COMPTABLE[[#This Row],[MALI COMPTABLE]]&lt;&gt;0,1,"")</f>
        <v/>
      </c>
      <c r="AX50" s="196"/>
      <c r="AY50" s="188"/>
      <c r="AZ50" s="188"/>
      <c r="BA50" s="188"/>
      <c r="BB50" s="196"/>
      <c r="BC50" s="196"/>
      <c r="BD50" s="196"/>
      <c r="BE50" s="192"/>
      <c r="BF50" s="194"/>
      <c r="BG50" s="194"/>
      <c r="BH50" s="195"/>
      <c r="BI50" s="194"/>
    </row>
    <row r="51" spans="1:61" x14ac:dyDescent="0.25">
      <c r="A51" s="172"/>
      <c r="B51" s="170"/>
      <c r="C51" s="165"/>
      <c r="D51" s="171"/>
      <c r="E51" s="189"/>
      <c r="F51" s="188"/>
      <c r="G51" s="188"/>
      <c r="H51" s="189"/>
      <c r="I51" s="188"/>
      <c r="J51" s="189"/>
      <c r="K51" s="190" t="str">
        <f t="shared" si="0"/>
        <v/>
      </c>
      <c r="L51" s="190" t="str">
        <f t="shared" si="1"/>
        <v/>
      </c>
      <c r="M51" s="188"/>
      <c r="N51" s="188"/>
      <c r="O51" s="188"/>
      <c r="P51" s="188"/>
      <c r="Q51" s="188"/>
      <c r="R51" s="188"/>
      <c r="S51" s="214"/>
      <c r="T51" s="208"/>
      <c r="U51" s="220"/>
      <c r="V51" s="220"/>
      <c r="W51" s="220"/>
      <c r="X51" s="220"/>
      <c r="Y51" s="220"/>
      <c r="Z51" s="220"/>
      <c r="AA51" s="220"/>
      <c r="AB51" s="220"/>
      <c r="AC51" s="220"/>
      <c r="AD51" s="220"/>
      <c r="AE51" s="220"/>
      <c r="AF51" s="220"/>
      <c r="AG51" s="219"/>
      <c r="AH51" s="225">
        <f>SUM(PORTEFEUILLE_AUTRE_COMPTABLE[[#This Row],[PCR COMPTABLE €]:[MONTANT
RESPONSABLE RELATION CLIENT €]])-PORTEFEUILLE_AUTRE_COMPTABLE[[#This Row],[MONTANT TOTAL LETTRE DE MISION €]]</f>
        <v>0</v>
      </c>
      <c r="AI51" s="191"/>
      <c r="AJ51" s="188"/>
      <c r="AK51" s="188"/>
      <c r="AL51" s="196"/>
      <c r="AM51" s="196"/>
      <c r="AN51" s="196"/>
      <c r="AO51" s="196"/>
      <c r="AP51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Q51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R51" s="188" t="str">
        <f>IF(PORTEFEUILLE_AUTRE_COMPTABLE[[#This Row],[BONI AAC]]&lt;&gt;0,1,"")</f>
        <v/>
      </c>
      <c r="AS51" s="188" t="str">
        <f>IF(PORTEFEUILLE_AUTRE_COMPTABLE[[#This Row],[MALI AAC]]&lt;&gt;0,1,"")</f>
        <v/>
      </c>
      <c r="AT51" s="225">
        <f>IF(AN51&lt;&gt;"",IF((AN51*Paramètres!$H$4)-PORTEFEUILLE_AUTRE_COMPTABLE[[#This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€]]-(DELPHINE!AN51*Paramètres!$H$4),0),0)</f>
        <v>0</v>
      </c>
      <c r="AU51" s="225">
        <f>IF(AN51&lt;&gt;"",IF(((AN51*Paramètres!$H$4)-PORTEFEUILLE_AUTRE_COMPTABLE[[#This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€]])&gt;0,(AN51*Paramètres!$H$4)-PORTEFEUILLE_AUTRE_COMPTABLE[[#This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V51" s="190" t="str">
        <f>IF(PORTEFEUILLE_AUTRE_COMPTABLE[[#This Row],[BONI COMPTABLE]]&lt;&gt;0,1,"")</f>
        <v/>
      </c>
      <c r="AW51" s="190" t="str">
        <f>IF(PORTEFEUILLE_AUTRE_COMPTABLE[[#This Row],[MALI COMPTABLE]]&lt;&gt;0,1,"")</f>
        <v/>
      </c>
      <c r="AX51" s="196"/>
      <c r="AY51" s="188"/>
      <c r="AZ51" s="188"/>
      <c r="BA51" s="188"/>
      <c r="BB51" s="196"/>
      <c r="BC51" s="196"/>
      <c r="BD51" s="196"/>
      <c r="BE51" s="192"/>
      <c r="BF51" s="194"/>
      <c r="BG51" s="194"/>
      <c r="BH51" s="195"/>
      <c r="BI51" s="194"/>
    </row>
    <row r="52" spans="1:61" x14ac:dyDescent="0.25">
      <c r="A52" s="172"/>
      <c r="B52" s="170"/>
      <c r="C52" s="165"/>
      <c r="D52" s="171"/>
      <c r="E52" s="189"/>
      <c r="F52" s="188"/>
      <c r="G52" s="188"/>
      <c r="H52" s="189"/>
      <c r="I52" s="188"/>
      <c r="J52" s="189"/>
      <c r="K52" s="190" t="str">
        <f t="shared" si="0"/>
        <v/>
      </c>
      <c r="L52" s="190" t="str">
        <f t="shared" si="1"/>
        <v/>
      </c>
      <c r="M52" s="188"/>
      <c r="N52" s="188"/>
      <c r="O52" s="188"/>
      <c r="P52" s="188"/>
      <c r="Q52" s="188"/>
      <c r="R52" s="188"/>
      <c r="S52" s="214"/>
      <c r="T52" s="208"/>
      <c r="U52" s="220"/>
      <c r="V52" s="220"/>
      <c r="W52" s="220"/>
      <c r="X52" s="220"/>
      <c r="Y52" s="220"/>
      <c r="Z52" s="220"/>
      <c r="AA52" s="220"/>
      <c r="AB52" s="220"/>
      <c r="AC52" s="220"/>
      <c r="AD52" s="220"/>
      <c r="AE52" s="220"/>
      <c r="AF52" s="220"/>
      <c r="AG52" s="219"/>
      <c r="AH52" s="225">
        <f>SUM(PORTEFEUILLE_AUTRE_COMPTABLE[[#This Row],[PCR COMPTABLE €]:[MONTANT
RESPONSABLE RELATION CLIENT €]])-PORTEFEUILLE_AUTRE_COMPTABLE[[#This Row],[MONTANT TOTAL LETTRE DE MISION €]]</f>
        <v>0</v>
      </c>
      <c r="AI52" s="191"/>
      <c r="AJ52" s="188"/>
      <c r="AK52" s="188"/>
      <c r="AL52" s="196"/>
      <c r="AM52" s="196"/>
      <c r="AN52" s="196"/>
      <c r="AO52" s="196"/>
      <c r="AP52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Q52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R52" s="188" t="str">
        <f>IF(PORTEFEUILLE_AUTRE_COMPTABLE[[#This Row],[BONI AAC]]&lt;&gt;0,1,"")</f>
        <v/>
      </c>
      <c r="AS52" s="188" t="str">
        <f>IF(PORTEFEUILLE_AUTRE_COMPTABLE[[#This Row],[MALI AAC]]&lt;&gt;0,1,"")</f>
        <v/>
      </c>
      <c r="AT52" s="225">
        <f>IF(AN52&lt;&gt;"",IF((AN52*Paramètres!$H$4)-PORTEFEUILLE_AUTRE_COMPTABLE[[#This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€]]-(DELPHINE!AN52*Paramètres!$H$4),0),0)</f>
        <v>0</v>
      </c>
      <c r="AU52" s="225">
        <f>IF(AN52&lt;&gt;"",IF(((AN52*Paramètres!$H$4)-PORTEFEUILLE_AUTRE_COMPTABLE[[#This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€]])&gt;0,(AN52*Paramètres!$H$4)-PORTEFEUILLE_AUTRE_COMPTABLE[[#This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V52" s="190" t="str">
        <f>IF(PORTEFEUILLE_AUTRE_COMPTABLE[[#This Row],[BONI COMPTABLE]]&lt;&gt;0,1,"")</f>
        <v/>
      </c>
      <c r="AW52" s="190" t="str">
        <f>IF(PORTEFEUILLE_AUTRE_COMPTABLE[[#This Row],[MALI COMPTABLE]]&lt;&gt;0,1,"")</f>
        <v/>
      </c>
      <c r="AX52" s="196"/>
      <c r="AY52" s="188"/>
      <c r="AZ52" s="188"/>
      <c r="BA52" s="188"/>
      <c r="BB52" s="196"/>
      <c r="BC52" s="196"/>
      <c r="BD52" s="196"/>
      <c r="BE52" s="192"/>
      <c r="BF52" s="194"/>
      <c r="BG52" s="194"/>
      <c r="BH52" s="195"/>
      <c r="BI52" s="194"/>
    </row>
    <row r="53" spans="1:61" x14ac:dyDescent="0.25">
      <c r="A53" s="172"/>
      <c r="B53" s="182"/>
      <c r="C53" s="183"/>
      <c r="D53" s="184"/>
      <c r="E53" s="200"/>
      <c r="F53" s="201"/>
      <c r="G53" s="201"/>
      <c r="H53" s="189"/>
      <c r="I53" s="201"/>
      <c r="J53" s="201"/>
      <c r="K53" s="190" t="str">
        <f t="shared" si="0"/>
        <v/>
      </c>
      <c r="L53" s="190" t="str">
        <f t="shared" si="1"/>
        <v/>
      </c>
      <c r="M53" s="188"/>
      <c r="N53" s="188"/>
      <c r="O53" s="188"/>
      <c r="P53" s="188"/>
      <c r="Q53" s="188"/>
      <c r="R53" s="188"/>
      <c r="S53" s="216"/>
      <c r="T53" s="210"/>
      <c r="U53" s="222"/>
      <c r="V53" s="222"/>
      <c r="W53" s="222"/>
      <c r="X53" s="222"/>
      <c r="Y53" s="222"/>
      <c r="Z53" s="222"/>
      <c r="AA53" s="222"/>
      <c r="AB53" s="222"/>
      <c r="AC53" s="222"/>
      <c r="AD53" s="222"/>
      <c r="AE53" s="222"/>
      <c r="AF53" s="222"/>
      <c r="AG53" s="219"/>
      <c r="AH53" s="225">
        <f>SUM(PORTEFEUILLE_AUTRE_COMPTABLE[[#This Row],[PCR COMPTABLE €]:[MONTANT
RESPONSABLE RELATION CLIENT €]])-PORTEFEUILLE_AUTRE_COMPTABLE[[#This Row],[MONTANT TOTAL LETTRE DE MISION €]]</f>
        <v>0</v>
      </c>
      <c r="AI53" s="191"/>
      <c r="AJ53" s="188"/>
      <c r="AK53" s="201"/>
      <c r="AL53" s="202"/>
      <c r="AM53" s="202"/>
      <c r="AN53" s="202"/>
      <c r="AO53" s="202"/>
      <c r="AP53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Q53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R53" s="188" t="str">
        <f>IF(PORTEFEUILLE_AUTRE_COMPTABLE[[#This Row],[BONI AAC]]&lt;&gt;0,1,"")</f>
        <v/>
      </c>
      <c r="AS53" s="188" t="str">
        <f>IF(PORTEFEUILLE_AUTRE_COMPTABLE[[#This Row],[MALI AAC]]&lt;&gt;0,1,"")</f>
        <v/>
      </c>
      <c r="AT53" s="225">
        <f>IF(AN53&lt;&gt;"",IF((AN53*Paramètres!$H$4)-PORTEFEUILLE_AUTRE_COMPTABLE[[#This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€]]-(DELPHINE!AN53*Paramètres!$H$4),0),0)</f>
        <v>0</v>
      </c>
      <c r="AU53" s="225">
        <f>IF(AN53&lt;&gt;"",IF(((AN53*Paramètres!$H$4)-PORTEFEUILLE_AUTRE_COMPTABLE[[#This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€]])&gt;0,(AN53*Paramètres!$H$4)-PORTEFEUILLE_AUTRE_COMPTABLE[[#This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V53" s="190" t="str">
        <f>IF(PORTEFEUILLE_AUTRE_COMPTABLE[[#This Row],[BONI COMPTABLE]]&lt;&gt;0,1,"")</f>
        <v/>
      </c>
      <c r="AW53" s="190" t="str">
        <f>IF(PORTEFEUILLE_AUTRE_COMPTABLE[[#This Row],[MALI COMPTABLE]]&lt;&gt;0,1,"")</f>
        <v/>
      </c>
      <c r="AX53" s="202"/>
      <c r="AY53" s="188"/>
      <c r="AZ53" s="188"/>
      <c r="BA53" s="188"/>
      <c r="BB53" s="202"/>
      <c r="BC53" s="202"/>
      <c r="BD53" s="202"/>
      <c r="BE53" s="192"/>
      <c r="BF53" s="194"/>
      <c r="BG53" s="194"/>
      <c r="BH53" s="195"/>
      <c r="BI53" s="194"/>
    </row>
    <row r="54" spans="1:61" x14ac:dyDescent="0.25">
      <c r="A54" s="172"/>
      <c r="B54" s="185"/>
      <c r="C54" s="172"/>
      <c r="D54" s="172"/>
      <c r="E54" s="203"/>
      <c r="F54" s="194"/>
      <c r="G54" s="194"/>
      <c r="H54" s="189"/>
      <c r="I54" s="194"/>
      <c r="J54" s="194"/>
      <c r="K54" s="190" t="str">
        <f t="shared" si="0"/>
        <v/>
      </c>
      <c r="L54" s="190" t="str">
        <f t="shared" si="1"/>
        <v/>
      </c>
      <c r="M54" s="188"/>
      <c r="N54" s="188"/>
      <c r="O54" s="188"/>
      <c r="P54" s="188"/>
      <c r="Q54" s="188"/>
      <c r="R54" s="188"/>
      <c r="S54" s="217"/>
      <c r="T54" s="211"/>
      <c r="U54" s="223"/>
      <c r="V54" s="223"/>
      <c r="W54" s="223"/>
      <c r="X54" s="223"/>
      <c r="Y54" s="223"/>
      <c r="Z54" s="223"/>
      <c r="AA54" s="223"/>
      <c r="AB54" s="223"/>
      <c r="AC54" s="223"/>
      <c r="AD54" s="223"/>
      <c r="AE54" s="223"/>
      <c r="AF54" s="223"/>
      <c r="AG54" s="219"/>
      <c r="AH54" s="225">
        <f>SUM(PORTEFEUILLE_AUTRE_COMPTABLE[[#This Row],[PCR COMPTABLE €]:[MONTANT
RESPONSABLE RELATION CLIENT €]])-PORTEFEUILLE_AUTRE_COMPTABLE[[#This Row],[MONTANT TOTAL LETTRE DE MISION €]]</f>
        <v>0</v>
      </c>
      <c r="AI54" s="191"/>
      <c r="AJ54" s="188"/>
      <c r="AK54" s="188"/>
      <c r="AL54" s="194"/>
      <c r="AM54" s="194"/>
      <c r="AN54" s="194"/>
      <c r="AO54" s="194"/>
      <c r="AP54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Q54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R54" s="188" t="str">
        <f>IF(PORTEFEUILLE_AUTRE_COMPTABLE[[#This Row],[BONI AAC]]&lt;&gt;0,1,"")</f>
        <v/>
      </c>
      <c r="AS54" s="188" t="str">
        <f>IF(PORTEFEUILLE_AUTRE_COMPTABLE[[#This Row],[MALI AAC]]&lt;&gt;0,1,"")</f>
        <v/>
      </c>
      <c r="AT54" s="225">
        <f>IF(AN54&lt;&gt;"",IF((AN54*Paramètres!$H$4)-PORTEFEUILLE_AUTRE_COMPTABLE[[#This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€]]-(DELPHINE!AN54*Paramètres!$H$4),0),0)</f>
        <v>0</v>
      </c>
      <c r="AU54" s="225">
        <f>IF(AN54&lt;&gt;"",IF(((AN54*Paramètres!$H$4)-PORTEFEUILLE_AUTRE_COMPTABLE[[#This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€]])&gt;0,(AN54*Paramètres!$H$4)-PORTEFEUILLE_AUTRE_COMPTABLE[[#This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V54" s="190" t="str">
        <f>IF(PORTEFEUILLE_AUTRE_COMPTABLE[[#This Row],[BONI COMPTABLE]]&lt;&gt;0,1,"")</f>
        <v/>
      </c>
      <c r="AW54" s="190" t="str">
        <f>IF(PORTEFEUILLE_AUTRE_COMPTABLE[[#This Row],[MALI COMPTABLE]]&lt;&gt;0,1,"")</f>
        <v/>
      </c>
      <c r="AX54" s="194"/>
      <c r="AY54" s="188"/>
      <c r="AZ54" s="188"/>
      <c r="BA54" s="188"/>
      <c r="BB54" s="194"/>
      <c r="BC54" s="194"/>
      <c r="BD54" s="194"/>
      <c r="BE54" s="192"/>
      <c r="BF54" s="194"/>
      <c r="BG54" s="194"/>
      <c r="BH54" s="195"/>
      <c r="BI54" s="194"/>
    </row>
    <row r="55" spans="1:61" x14ac:dyDescent="0.25">
      <c r="A55" s="172"/>
      <c r="B55" s="185"/>
      <c r="C55" s="172"/>
      <c r="D55" s="172"/>
      <c r="E55" s="203"/>
      <c r="F55" s="194"/>
      <c r="G55" s="194"/>
      <c r="H55" s="189"/>
      <c r="I55" s="194"/>
      <c r="J55" s="194"/>
      <c r="K55" s="190" t="str">
        <f t="shared" si="0"/>
        <v/>
      </c>
      <c r="L55" s="190" t="str">
        <f t="shared" si="1"/>
        <v/>
      </c>
      <c r="M55" s="188"/>
      <c r="N55" s="188"/>
      <c r="O55" s="188"/>
      <c r="P55" s="188"/>
      <c r="Q55" s="188"/>
      <c r="R55" s="188"/>
      <c r="S55" s="217"/>
      <c r="T55" s="211"/>
      <c r="U55" s="223"/>
      <c r="V55" s="223"/>
      <c r="W55" s="223"/>
      <c r="X55" s="223"/>
      <c r="Y55" s="223"/>
      <c r="Z55" s="223"/>
      <c r="AA55" s="223"/>
      <c r="AB55" s="223"/>
      <c r="AC55" s="223"/>
      <c r="AD55" s="223"/>
      <c r="AE55" s="223"/>
      <c r="AF55" s="223"/>
      <c r="AG55" s="219"/>
      <c r="AH55" s="225">
        <f>SUM(PORTEFEUILLE_AUTRE_COMPTABLE[[#This Row],[PCR COMPTABLE €]:[MONTANT
RESPONSABLE RELATION CLIENT €]])-PORTEFEUILLE_AUTRE_COMPTABLE[[#This Row],[MONTANT TOTAL LETTRE DE MISION €]]</f>
        <v>0</v>
      </c>
      <c r="AI55" s="191"/>
      <c r="AJ55" s="188"/>
      <c r="AK55" s="188"/>
      <c r="AL55" s="194"/>
      <c r="AM55" s="194"/>
      <c r="AN55" s="194"/>
      <c r="AO55" s="194"/>
      <c r="AP55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Q55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R55" s="188" t="str">
        <f>IF(PORTEFEUILLE_AUTRE_COMPTABLE[[#This Row],[BONI AAC]]&lt;&gt;0,1,"")</f>
        <v/>
      </c>
      <c r="AS55" s="188" t="str">
        <f>IF(PORTEFEUILLE_AUTRE_COMPTABLE[[#This Row],[MALI AAC]]&lt;&gt;0,1,"")</f>
        <v/>
      </c>
      <c r="AT55" s="225">
        <f>IF(AN55&lt;&gt;"",IF((AN55*Paramètres!$H$4)-PORTEFEUILLE_AUTRE_COMPTABLE[[#This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€]]-(DELPHINE!AN55*Paramètres!$H$4),0),0)</f>
        <v>0</v>
      </c>
      <c r="AU55" s="225">
        <f>IF(AN55&lt;&gt;"",IF(((AN55*Paramètres!$H$4)-PORTEFEUILLE_AUTRE_COMPTABLE[[#This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€]])&gt;0,(AN55*Paramètres!$H$4)-PORTEFEUILLE_AUTRE_COMPTABLE[[#This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V55" s="190" t="str">
        <f>IF(PORTEFEUILLE_AUTRE_COMPTABLE[[#This Row],[BONI COMPTABLE]]&lt;&gt;0,1,"")</f>
        <v/>
      </c>
      <c r="AW55" s="190" t="str">
        <f>IF(PORTEFEUILLE_AUTRE_COMPTABLE[[#This Row],[MALI COMPTABLE]]&lt;&gt;0,1,"")</f>
        <v/>
      </c>
      <c r="AX55" s="194"/>
      <c r="AY55" s="188"/>
      <c r="AZ55" s="188"/>
      <c r="BA55" s="188"/>
      <c r="BB55" s="194"/>
      <c r="BC55" s="194"/>
      <c r="BD55" s="194"/>
      <c r="BE55" s="192"/>
      <c r="BF55" s="194"/>
      <c r="BG55" s="194"/>
      <c r="BH55" s="195"/>
      <c r="BI55" s="194"/>
    </row>
    <row r="56" spans="1:61" x14ac:dyDescent="0.25">
      <c r="A56" s="172"/>
      <c r="B56" s="185"/>
      <c r="C56" s="172"/>
      <c r="D56" s="172"/>
      <c r="E56" s="203"/>
      <c r="F56" s="194"/>
      <c r="G56" s="194"/>
      <c r="H56" s="189"/>
      <c r="I56" s="194"/>
      <c r="J56" s="194"/>
      <c r="K56" s="190" t="str">
        <f t="shared" si="0"/>
        <v/>
      </c>
      <c r="L56" s="190" t="str">
        <f t="shared" si="1"/>
        <v/>
      </c>
      <c r="M56" s="188"/>
      <c r="N56" s="188"/>
      <c r="O56" s="188"/>
      <c r="P56" s="188"/>
      <c r="Q56" s="188"/>
      <c r="R56" s="188"/>
      <c r="S56" s="217"/>
      <c r="T56" s="211"/>
      <c r="U56" s="223"/>
      <c r="V56" s="223"/>
      <c r="W56" s="223"/>
      <c r="X56" s="223"/>
      <c r="Y56" s="223"/>
      <c r="Z56" s="223"/>
      <c r="AA56" s="223"/>
      <c r="AB56" s="223"/>
      <c r="AC56" s="223"/>
      <c r="AD56" s="223"/>
      <c r="AE56" s="223"/>
      <c r="AF56" s="223"/>
      <c r="AG56" s="219"/>
      <c r="AH56" s="225">
        <f>SUM(PORTEFEUILLE_AUTRE_COMPTABLE[[#This Row],[PCR COMPTABLE €]:[MONTANT
RESPONSABLE RELATION CLIENT €]])-PORTEFEUILLE_AUTRE_COMPTABLE[[#This Row],[MONTANT TOTAL LETTRE DE MISION €]]</f>
        <v>0</v>
      </c>
      <c r="AI56" s="191"/>
      <c r="AJ56" s="188"/>
      <c r="AK56" s="188"/>
      <c r="AL56" s="194"/>
      <c r="AM56" s="194"/>
      <c r="AN56" s="194"/>
      <c r="AO56" s="194"/>
      <c r="AP56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Q56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R56" s="188" t="str">
        <f>IF(PORTEFEUILLE_AUTRE_COMPTABLE[[#This Row],[BONI AAC]]&lt;&gt;0,1,"")</f>
        <v/>
      </c>
      <c r="AS56" s="188" t="str">
        <f>IF(PORTEFEUILLE_AUTRE_COMPTABLE[[#This Row],[MALI AAC]]&lt;&gt;0,1,"")</f>
        <v/>
      </c>
      <c r="AT56" s="225">
        <f>IF(AN56&lt;&gt;"",IF((AN56*Paramètres!$H$4)-PORTEFEUILLE_AUTRE_COMPTABLE[[#This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€]]-(DELPHINE!AN56*Paramètres!$H$4),0),0)</f>
        <v>0</v>
      </c>
      <c r="AU56" s="225">
        <f>IF(AN56&lt;&gt;"",IF(((AN56*Paramètres!$H$4)-PORTEFEUILLE_AUTRE_COMPTABLE[[#This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€]])&gt;0,(AN56*Paramètres!$H$4)-PORTEFEUILLE_AUTRE_COMPTABLE[[#This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V56" s="190" t="str">
        <f>IF(PORTEFEUILLE_AUTRE_COMPTABLE[[#This Row],[BONI COMPTABLE]]&lt;&gt;0,1,"")</f>
        <v/>
      </c>
      <c r="AW56" s="190" t="str">
        <f>IF(PORTEFEUILLE_AUTRE_COMPTABLE[[#This Row],[MALI COMPTABLE]]&lt;&gt;0,1,"")</f>
        <v/>
      </c>
      <c r="AX56" s="194"/>
      <c r="AY56" s="188"/>
      <c r="AZ56" s="188"/>
      <c r="BA56" s="188"/>
      <c r="BB56" s="194"/>
      <c r="BC56" s="194"/>
      <c r="BD56" s="194"/>
      <c r="BE56" s="192"/>
      <c r="BF56" s="194"/>
      <c r="BG56" s="194"/>
      <c r="BH56" s="195"/>
      <c r="BI56" s="194"/>
    </row>
    <row r="57" spans="1:61" x14ac:dyDescent="0.25">
      <c r="A57" s="172"/>
      <c r="B57" s="185"/>
      <c r="C57" s="172"/>
      <c r="D57" s="172"/>
      <c r="E57" s="203"/>
      <c r="F57" s="194"/>
      <c r="G57" s="194"/>
      <c r="H57" s="189"/>
      <c r="I57" s="194"/>
      <c r="J57" s="194"/>
      <c r="K57" s="190" t="str">
        <f t="shared" si="0"/>
        <v/>
      </c>
      <c r="L57" s="190" t="str">
        <f t="shared" si="1"/>
        <v/>
      </c>
      <c r="M57" s="188"/>
      <c r="N57" s="188"/>
      <c r="O57" s="188"/>
      <c r="P57" s="188"/>
      <c r="Q57" s="188"/>
      <c r="R57" s="188"/>
      <c r="S57" s="217"/>
      <c r="T57" s="211"/>
      <c r="U57" s="223"/>
      <c r="V57" s="223"/>
      <c r="W57" s="223"/>
      <c r="X57" s="223"/>
      <c r="Y57" s="223"/>
      <c r="Z57" s="223"/>
      <c r="AA57" s="223"/>
      <c r="AB57" s="223"/>
      <c r="AC57" s="223"/>
      <c r="AD57" s="223"/>
      <c r="AE57" s="223"/>
      <c r="AF57" s="223"/>
      <c r="AG57" s="219"/>
      <c r="AH57" s="225">
        <f>SUM(PORTEFEUILLE_AUTRE_COMPTABLE[[#This Row],[PCR COMPTABLE €]:[MONTANT
RESPONSABLE RELATION CLIENT €]])-PORTEFEUILLE_AUTRE_COMPTABLE[[#This Row],[MONTANT TOTAL LETTRE DE MISION €]]</f>
        <v>0</v>
      </c>
      <c r="AI57" s="191"/>
      <c r="AJ57" s="188"/>
      <c r="AK57" s="188"/>
      <c r="AL57" s="194"/>
      <c r="AM57" s="194"/>
      <c r="AN57" s="194"/>
      <c r="AO57" s="194"/>
      <c r="AP57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Q57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R57" s="188" t="str">
        <f>IF(PORTEFEUILLE_AUTRE_COMPTABLE[[#This Row],[BONI AAC]]&lt;&gt;0,1,"")</f>
        <v/>
      </c>
      <c r="AS57" s="188" t="str">
        <f>IF(PORTEFEUILLE_AUTRE_COMPTABLE[[#This Row],[MALI AAC]]&lt;&gt;0,1,"")</f>
        <v/>
      </c>
      <c r="AT57" s="225">
        <f>IF(AN57&lt;&gt;"",IF((AN57*Paramètres!$H$4)-PORTEFEUILLE_AUTRE_COMPTABLE[[#This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€]]-(DELPHINE!AN57*Paramètres!$H$4),0),0)</f>
        <v>0</v>
      </c>
      <c r="AU57" s="225">
        <f>IF(AN57&lt;&gt;"",IF(((AN57*Paramètres!$H$4)-PORTEFEUILLE_AUTRE_COMPTABLE[[#This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€]])&gt;0,(AN57*Paramètres!$H$4)-PORTEFEUILLE_AUTRE_COMPTABLE[[#This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V57" s="190" t="str">
        <f>IF(PORTEFEUILLE_AUTRE_COMPTABLE[[#This Row],[BONI COMPTABLE]]&lt;&gt;0,1,"")</f>
        <v/>
      </c>
      <c r="AW57" s="190" t="str">
        <f>IF(PORTEFEUILLE_AUTRE_COMPTABLE[[#This Row],[MALI COMPTABLE]]&lt;&gt;0,1,"")</f>
        <v/>
      </c>
      <c r="AX57" s="194"/>
      <c r="AY57" s="188"/>
      <c r="AZ57" s="188"/>
      <c r="BA57" s="188"/>
      <c r="BB57" s="194"/>
      <c r="BC57" s="194"/>
      <c r="BD57" s="194"/>
      <c r="BE57" s="192"/>
      <c r="BF57" s="194"/>
      <c r="BG57" s="194"/>
      <c r="BH57" s="195"/>
      <c r="BI57" s="194"/>
    </row>
    <row r="58" spans="1:61" x14ac:dyDescent="0.25">
      <c r="A58" s="172"/>
      <c r="B58" s="179"/>
      <c r="C58" s="176"/>
      <c r="D58" s="172"/>
      <c r="E58" s="203"/>
      <c r="F58" s="194"/>
      <c r="G58" s="194"/>
      <c r="H58" s="189"/>
      <c r="I58" s="194"/>
      <c r="J58" s="194"/>
      <c r="K58" s="190" t="str">
        <f t="shared" si="0"/>
        <v/>
      </c>
      <c r="L58" s="190" t="str">
        <f t="shared" si="1"/>
        <v/>
      </c>
      <c r="M58" s="188"/>
      <c r="N58" s="188"/>
      <c r="O58" s="188"/>
      <c r="P58" s="188"/>
      <c r="Q58" s="188"/>
      <c r="R58" s="188"/>
      <c r="S58" s="217"/>
      <c r="T58" s="211"/>
      <c r="U58" s="223"/>
      <c r="V58" s="223"/>
      <c r="W58" s="223"/>
      <c r="X58" s="223"/>
      <c r="Y58" s="223"/>
      <c r="Z58" s="223"/>
      <c r="AA58" s="223"/>
      <c r="AB58" s="223"/>
      <c r="AC58" s="223"/>
      <c r="AD58" s="223"/>
      <c r="AE58" s="223"/>
      <c r="AF58" s="223"/>
      <c r="AG58" s="219"/>
      <c r="AH58" s="225">
        <f>SUM(PORTEFEUILLE_AUTRE_COMPTABLE[[#This Row],[PCR COMPTABLE €]:[MONTANT
RESPONSABLE RELATION CLIENT €]])-PORTEFEUILLE_AUTRE_COMPTABLE[[#This Row],[MONTANT TOTAL LETTRE DE MISION €]]</f>
        <v>0</v>
      </c>
      <c r="AI58" s="191"/>
      <c r="AJ58" s="188"/>
      <c r="AK58" s="188"/>
      <c r="AL58" s="194"/>
      <c r="AM58" s="194"/>
      <c r="AN58" s="194"/>
      <c r="AO58" s="194"/>
      <c r="AP58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Q58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R58" s="188" t="str">
        <f>IF(PORTEFEUILLE_AUTRE_COMPTABLE[[#This Row],[BONI AAC]]&lt;&gt;0,1,"")</f>
        <v/>
      </c>
      <c r="AS58" s="188" t="str">
        <f>IF(PORTEFEUILLE_AUTRE_COMPTABLE[[#This Row],[MALI AAC]]&lt;&gt;0,1,"")</f>
        <v/>
      </c>
      <c r="AT58" s="225">
        <f>IF(AN58&lt;&gt;"",IF((AN58*Paramètres!$H$4)-PORTEFEUILLE_AUTRE_COMPTABLE[[#This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€]]-(DELPHINE!AN58*Paramètres!$H$4),0),0)</f>
        <v>0</v>
      </c>
      <c r="AU58" s="225">
        <f>IF(AN58&lt;&gt;"",IF(((AN58*Paramètres!$H$4)-PORTEFEUILLE_AUTRE_COMPTABLE[[#This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€]])&gt;0,(AN58*Paramètres!$H$4)-PORTEFEUILLE_AUTRE_COMPTABLE[[#This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V58" s="190" t="str">
        <f>IF(PORTEFEUILLE_AUTRE_COMPTABLE[[#This Row],[BONI COMPTABLE]]&lt;&gt;0,1,"")</f>
        <v/>
      </c>
      <c r="AW58" s="190" t="str">
        <f>IF(PORTEFEUILLE_AUTRE_COMPTABLE[[#This Row],[MALI COMPTABLE]]&lt;&gt;0,1,"")</f>
        <v/>
      </c>
      <c r="AX58" s="194"/>
      <c r="AY58" s="188"/>
      <c r="AZ58" s="188"/>
      <c r="BA58" s="188"/>
      <c r="BB58" s="194"/>
      <c r="BC58" s="194"/>
      <c r="BD58" s="194"/>
      <c r="BE58" s="192"/>
      <c r="BF58" s="194"/>
      <c r="BG58" s="194"/>
      <c r="BH58" s="195"/>
      <c r="BI58" s="194"/>
    </row>
    <row r="59" spans="1:61" x14ac:dyDescent="0.25">
      <c r="A59" s="172"/>
      <c r="B59" s="179"/>
      <c r="C59" s="176"/>
      <c r="D59" s="172"/>
      <c r="E59" s="203"/>
      <c r="F59" s="194"/>
      <c r="G59" s="194"/>
      <c r="H59" s="189"/>
      <c r="I59" s="194"/>
      <c r="J59" s="194"/>
      <c r="K59" s="190" t="str">
        <f t="shared" si="0"/>
        <v/>
      </c>
      <c r="L59" s="190" t="str">
        <f t="shared" si="1"/>
        <v/>
      </c>
      <c r="M59" s="188"/>
      <c r="N59" s="188"/>
      <c r="O59" s="188"/>
      <c r="P59" s="188"/>
      <c r="Q59" s="188"/>
      <c r="R59" s="188"/>
      <c r="S59" s="217"/>
      <c r="T59" s="211"/>
      <c r="U59" s="223"/>
      <c r="V59" s="223"/>
      <c r="W59" s="223"/>
      <c r="X59" s="223"/>
      <c r="Y59" s="223"/>
      <c r="Z59" s="223"/>
      <c r="AA59" s="223"/>
      <c r="AB59" s="223"/>
      <c r="AC59" s="223"/>
      <c r="AD59" s="223"/>
      <c r="AE59" s="223"/>
      <c r="AF59" s="223"/>
      <c r="AG59" s="219"/>
      <c r="AH59" s="225">
        <f>SUM(PORTEFEUILLE_AUTRE_COMPTABLE[[#This Row],[PCR COMPTABLE €]:[MONTANT
RESPONSABLE RELATION CLIENT €]])-PORTEFEUILLE_AUTRE_COMPTABLE[[#This Row],[MONTANT TOTAL LETTRE DE MISION €]]</f>
        <v>0</v>
      </c>
      <c r="AI59" s="191"/>
      <c r="AJ59" s="188"/>
      <c r="AK59" s="188"/>
      <c r="AL59" s="194"/>
      <c r="AM59" s="194"/>
      <c r="AN59" s="194"/>
      <c r="AO59" s="194"/>
      <c r="AP59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Q59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R59" s="188" t="str">
        <f>IF(PORTEFEUILLE_AUTRE_COMPTABLE[[#This Row],[BONI AAC]]&lt;&gt;0,1,"")</f>
        <v/>
      </c>
      <c r="AS59" s="188" t="str">
        <f>IF(PORTEFEUILLE_AUTRE_COMPTABLE[[#This Row],[MALI AAC]]&lt;&gt;0,1,"")</f>
        <v/>
      </c>
      <c r="AT59" s="225">
        <f>IF(AN59&lt;&gt;"",IF((AN59*Paramètres!$H$4)-PORTEFEUILLE_AUTRE_COMPTABLE[[#This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€]]-(DELPHINE!AN59*Paramètres!$H$4),0),0)</f>
        <v>0</v>
      </c>
      <c r="AU59" s="225">
        <f>IF(AN59&lt;&gt;"",IF(((AN59*Paramètres!$H$4)-PORTEFEUILLE_AUTRE_COMPTABLE[[#This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€]])&gt;0,(AN59*Paramètres!$H$4)-PORTEFEUILLE_AUTRE_COMPTABLE[[#This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V59" s="190" t="str">
        <f>IF(PORTEFEUILLE_AUTRE_COMPTABLE[[#This Row],[BONI COMPTABLE]]&lt;&gt;0,1,"")</f>
        <v/>
      </c>
      <c r="AW59" s="190" t="str">
        <f>IF(PORTEFEUILLE_AUTRE_COMPTABLE[[#This Row],[MALI COMPTABLE]]&lt;&gt;0,1,"")</f>
        <v/>
      </c>
      <c r="AX59" s="194"/>
      <c r="AY59" s="188"/>
      <c r="AZ59" s="188"/>
      <c r="BA59" s="188"/>
      <c r="BB59" s="194"/>
      <c r="BC59" s="194"/>
      <c r="BD59" s="194"/>
      <c r="BE59" s="192"/>
      <c r="BF59" s="194"/>
      <c r="BG59" s="194"/>
      <c r="BH59" s="195"/>
      <c r="BI59" s="194"/>
    </row>
    <row r="60" spans="1:61" x14ac:dyDescent="0.25">
      <c r="A60" s="186"/>
      <c r="B60" s="187"/>
      <c r="C60" s="186"/>
      <c r="D60" s="186"/>
      <c r="E60" s="204"/>
      <c r="F60" s="205"/>
      <c r="G60" s="205"/>
      <c r="H60" s="189"/>
      <c r="I60" s="205"/>
      <c r="J60" s="205"/>
      <c r="K60" s="190" t="str">
        <f t="shared" si="0"/>
        <v/>
      </c>
      <c r="L60" s="190" t="str">
        <f t="shared" si="1"/>
        <v/>
      </c>
      <c r="M60" s="188"/>
      <c r="N60" s="188"/>
      <c r="O60" s="188"/>
      <c r="P60" s="188"/>
      <c r="Q60" s="188"/>
      <c r="R60" s="188"/>
      <c r="S60" s="218"/>
      <c r="T60" s="212"/>
      <c r="U60" s="224"/>
      <c r="V60" s="224"/>
      <c r="W60" s="224"/>
      <c r="X60" s="224"/>
      <c r="Y60" s="224"/>
      <c r="Z60" s="224"/>
      <c r="AA60" s="224"/>
      <c r="AB60" s="224"/>
      <c r="AC60" s="224"/>
      <c r="AD60" s="224"/>
      <c r="AE60" s="224"/>
      <c r="AF60" s="224"/>
      <c r="AG60" s="219"/>
      <c r="AH60" s="225">
        <f>SUM(PORTEFEUILLE_AUTRE_COMPTABLE[[#This Row],[PCR COMPTABLE €]:[MONTANT
RESPONSABLE RELATION CLIENT €]])-PORTEFEUILLE_AUTRE_COMPTABLE[[#This Row],[MONTANT TOTAL LETTRE DE MISION €]]</f>
        <v>0</v>
      </c>
      <c r="AI60" s="191"/>
      <c r="AJ60" s="188"/>
      <c r="AK60" s="201"/>
      <c r="AL60" s="205"/>
      <c r="AM60" s="205"/>
      <c r="AN60" s="205"/>
      <c r="AO60" s="205"/>
      <c r="AP60" s="225">
        <f>IF(PORTEFEUILLE_AUTRE_COMPTABLE[[#This Row],[TPS PASSE 
AAC H]]&lt;&gt;"",IF((PORTEFEUILLE_AUTRE_COMPTABLE[[#This Row],[TPS PASSE 
AAC H]]*Paramètres!$I$4)&lt;(PORTEFEUILLE_AUTRE_COMPTABLE[[#This Row],[SAISIE PAR UNE AAC €]]+PORTEFEUILLE_AUTRE_COMPTABLE[[#This Row],[DECLARATION TVA AAC €]]),PORTEFEUILLE_AUTRE_COMPTABLE[[#This Row],[SAISIE PAR UNE AAC €]]+PORTEFEUILLE_AUTRE_COMPTABLE[[#This Row],[DECLARATION TVA AAC €]]-(PORTEFEUILLE_AUTRE_COMPTABLE[[#This Row],[TPS PASSE 
AAC H]]*Paramètres!$I$4),0),0)</f>
        <v>0</v>
      </c>
      <c r="AQ60" s="225">
        <f>IF(PORTEFEUILLE_AUTRE_COMPTABLE[[#This Row],[TPS PASSE 
AAC H]]&lt;&gt;"",IF((Paramètres!$I$4*PORTEFEUILLE_AUTRE_COMPTABLE[[#This Row],[TPS PASSE 
AAC H]])&gt;(PORTEFEUILLE_AUTRE_COMPTABLE[[#This Row],[SAISIE PAR UNE AAC €]]+PORTEFEUILLE_AUTRE_COMPTABLE[[#This Row],[DECLARATION TVA AAC €]]),(PORTEFEUILLE_AUTRE_COMPTABLE[[#This Row],[TPS PASSE 
AAC H]]*Paramètres!$I$4)-(PORTEFEUILLE_AUTRE_COMPTABLE[[#This Row],[SAISIE PAR UNE AAC €]]+PORTEFEUILLE_AUTRE_COMPTABLE[[#This Row],[DECLARATION TVA AAC €]]),0),0)</f>
        <v>0</v>
      </c>
      <c r="AR60" s="188" t="str">
        <f>IF(PORTEFEUILLE_AUTRE_COMPTABLE[[#This Row],[BONI AAC]]&lt;&gt;0,1,"")</f>
        <v/>
      </c>
      <c r="AS60" s="188" t="str">
        <f>IF(PORTEFEUILLE_AUTRE_COMPTABLE[[#This Row],[MALI AAC]]&lt;&gt;0,1,"")</f>
        <v/>
      </c>
      <c r="AT60" s="225">
        <f>IF(AN60&lt;&gt;"",IF((AN60*Paramètres!$H$4)-PORTEFEUILLE_AUTRE_COMPTABLE[[#This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€]]&lt;0,PORTEFEUILLE_AUTRE_COMPTABLE[[#This Row],[PCR COMPTABLE €]]+PORTEFEUILLE_AUTRE_COMPTABLE[[#This Row],[RA FAIT PAR LE
COMPTABLE €]]+PORTEFEUILLE_AUTRE_COMPTABLE[[#This Row],[AGOA COMPTABLE €]]+PORTEFEUILLE_AUTRE_COMPTABLE[[#This Row],[SAISIE PAR LE COMPTABLE €]]+PORTEFEUILLE_AUTRE_COMPTABLE[[#This Row],[TRAVAUX 
DE REVISION €]]+PORTEFEUILLE_AUTRE_COMPTABLE[[#This Row],[DECLARATION TVA COMPTABLE €]]+PORTEFEUILLE_AUTRE_COMPTABLE[[#This Row],[MONTANT
RESPONSABLE RELATION CLIENT €]]-(DELPHINE!AN60*Paramètres!$H$4),0),0)</f>
        <v>0</v>
      </c>
      <c r="AU60" s="225">
        <f>IF(AN60&lt;&gt;"",IF(((AN60*Paramètres!$H$4)-PORTEFEUILLE_AUTRE_COMPTABLE[[#This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€]])&gt;0,(AN60*Paramètres!$H$4)-PORTEFEUILLE_AUTRE_COMPTABLE[[#This Row],[PCR COMPTABLE €]]-PORTEFEUILLE_AUTRE_COMPTABLE[[#This Row],[RA FAIT PAR LE
COMPTABLE €]]-PORTEFEUILLE_AUTRE_COMPTABLE[[#This Row],[AGOA COMPTABLE €]]-PORTEFEUILLE_AUTRE_COMPTABLE[[#This Row],[SAISIE PAR LE COMPTABLE €]]-PORTEFEUILLE_AUTRE_COMPTABLE[[#This Row],[TRAVAUX 
DE REVISION €]]-PORTEFEUILLE_AUTRE_COMPTABLE[[#This Row],[DECLARATION TVA COMPTABLE €]]-PORTEFEUILLE_AUTRE_COMPTABLE[[#This Row],[MONTANT
RESPONSABLE RELATION CLIENT €]],0),0)</f>
        <v>0</v>
      </c>
      <c r="AV60" s="190" t="str">
        <f>IF(PORTEFEUILLE_AUTRE_COMPTABLE[[#This Row],[BONI COMPTABLE]]&lt;&gt;0,1,"")</f>
        <v/>
      </c>
      <c r="AW60" s="190" t="str">
        <f>IF(PORTEFEUILLE_AUTRE_COMPTABLE[[#This Row],[MALI COMPTABLE]]&lt;&gt;0,1,"")</f>
        <v/>
      </c>
      <c r="AX60" s="205"/>
      <c r="AY60" s="188"/>
      <c r="AZ60" s="188"/>
      <c r="BA60" s="188"/>
      <c r="BB60" s="205"/>
      <c r="BC60" s="205"/>
      <c r="BD60" s="205"/>
      <c r="BE60" s="192"/>
      <c r="BF60" s="205"/>
      <c r="BG60" s="205"/>
      <c r="BH60" s="206"/>
      <c r="BI60" s="205"/>
    </row>
    <row r="63" spans="1:61" x14ac:dyDescent="0.25">
      <c r="B63" s="89" t="s">
        <v>120</v>
      </c>
    </row>
    <row r="65" spans="2:50" x14ac:dyDescent="0.25">
      <c r="B65" s="274" t="s">
        <v>120</v>
      </c>
      <c r="C65" s="122"/>
      <c r="D65" s="122"/>
      <c r="E65" s="125" t="s">
        <v>112</v>
      </c>
      <c r="F65" s="121" t="s">
        <v>115</v>
      </c>
      <c r="G65" s="126" t="s">
        <v>118</v>
      </c>
      <c r="H65" s="127" t="s">
        <v>116</v>
      </c>
      <c r="I65" s="127" t="s">
        <v>136</v>
      </c>
      <c r="J65" s="128" t="s">
        <v>125</v>
      </c>
      <c r="K65" s="128" t="s">
        <v>110</v>
      </c>
      <c r="L65" s="128" t="s">
        <v>119</v>
      </c>
      <c r="M65" s="128" t="s">
        <v>126</v>
      </c>
      <c r="N65" s="128" t="s">
        <v>127</v>
      </c>
      <c r="O65" s="128" t="s">
        <v>128</v>
      </c>
      <c r="P65" s="128" t="s">
        <v>129</v>
      </c>
      <c r="Q65" s="128" t="s">
        <v>130</v>
      </c>
      <c r="R65" s="128" t="s">
        <v>137</v>
      </c>
      <c r="S65" s="128"/>
      <c r="T65" s="121"/>
      <c r="U65" s="164"/>
      <c r="V65" s="164"/>
      <c r="W65" s="164"/>
      <c r="X65" s="164"/>
      <c r="Y65" s="164"/>
      <c r="Z65" s="164"/>
      <c r="AA65" s="164"/>
      <c r="AB65" s="164"/>
      <c r="AC65" s="164"/>
      <c r="AE65" s="164"/>
      <c r="AF65" s="164"/>
      <c r="AG65" s="164"/>
      <c r="AH65" s="164"/>
      <c r="AI65" s="164"/>
      <c r="AJ65" s="164"/>
      <c r="AK65" s="164"/>
      <c r="AL65" s="164"/>
      <c r="AM65" s="164"/>
      <c r="AN65" s="164"/>
      <c r="AO65" s="164"/>
      <c r="AP65" s="164"/>
      <c r="AQ65" s="164"/>
      <c r="AR65" s="164"/>
      <c r="AS65" s="164"/>
      <c r="AT65" s="164"/>
      <c r="AU65" s="164"/>
      <c r="AV65" s="164"/>
      <c r="AW65" s="164"/>
      <c r="AX65" s="164"/>
    </row>
    <row r="66" spans="2:50" x14ac:dyDescent="0.25">
      <c r="B66" s="275"/>
      <c r="C66" s="120" t="s">
        <v>109</v>
      </c>
      <c r="D66" s="122">
        <f>COUNTIF($D$3:$D$60,"ACS")</f>
        <v>3</v>
      </c>
      <c r="E66" s="129">
        <f>+COUNTIF($F$3:$F$60,"SARL")</f>
        <v>1</v>
      </c>
      <c r="F66" s="121">
        <f>+COUNTIF($F$3:$F$60,"EURL")</f>
        <v>1</v>
      </c>
      <c r="G66" s="124">
        <f>COUNTIFS($F$3:$F$60,"SAS",$D$3:$D$60,"ACS")</f>
        <v>0</v>
      </c>
      <c r="H66" s="122">
        <f>COUNTIFS($F$3:$F$60,"INDIVIDUEL",$D$3:$D$60,"ACS")</f>
        <v>0</v>
      </c>
      <c r="I66" s="122">
        <f>COUNTIF($F$3:$F$60,"ASSOCIATION")</f>
        <v>0</v>
      </c>
      <c r="J66" s="122"/>
      <c r="K66" s="122">
        <f>COUNTIF($F$3:$F$60,"SNC")</f>
        <v>0</v>
      </c>
      <c r="L66" s="122">
        <f>+COUNTIF($F$3:$F$60,"SCI")</f>
        <v>0</v>
      </c>
      <c r="M66" s="130"/>
      <c r="N66" s="131"/>
      <c r="O66" s="132"/>
      <c r="P66" s="122">
        <f>+COUNTIF($F$3:$F$60,"GROUPEMENT")</f>
        <v>0</v>
      </c>
      <c r="Q66" s="121">
        <f>COUNTIF($F$3:$F$60,"EIRL")</f>
        <v>1</v>
      </c>
      <c r="R66" s="121">
        <f>COUNTIF($F$3:$F$60,"AUTRE")</f>
        <v>0</v>
      </c>
      <c r="S66" s="121"/>
      <c r="T66" s="122">
        <f>+SUM(E66:P66)</f>
        <v>2</v>
      </c>
      <c r="U66" s="164"/>
      <c r="V66" s="164"/>
      <c r="W66" s="164"/>
      <c r="X66" s="164"/>
      <c r="Y66" s="164"/>
      <c r="Z66" s="164"/>
      <c r="AA66" s="164"/>
      <c r="AB66" s="164"/>
      <c r="AC66" s="164"/>
      <c r="AE66" s="164"/>
      <c r="AF66" s="164"/>
      <c r="AG66" s="164"/>
      <c r="AH66" s="164"/>
      <c r="AI66" s="164"/>
      <c r="AJ66" s="164"/>
      <c r="AK66" s="164"/>
      <c r="AL66" s="164"/>
      <c r="AM66" s="164"/>
      <c r="AN66" s="164"/>
      <c r="AO66" s="164"/>
      <c r="AP66" s="164"/>
      <c r="AQ66" s="164"/>
      <c r="AR66" s="164"/>
      <c r="AS66" s="164"/>
      <c r="AT66" s="164"/>
      <c r="AU66" s="164"/>
      <c r="AV66" s="164"/>
      <c r="AW66" s="164"/>
      <c r="AX66" s="164"/>
    </row>
    <row r="67" spans="2:50" x14ac:dyDescent="0.25">
      <c r="B67" s="275"/>
      <c r="C67" s="120" t="s">
        <v>121</v>
      </c>
      <c r="D67" s="122">
        <f>COUNTIF($D$3:$D$60,"BNC")</f>
        <v>0</v>
      </c>
      <c r="E67" s="133"/>
      <c r="F67" s="121"/>
      <c r="G67" s="134"/>
      <c r="H67" s="135"/>
      <c r="I67" s="132"/>
      <c r="J67" s="122">
        <f>+COUNTIF($F$3:$F$60,"PROFESSION LIBERALE")</f>
        <v>0</v>
      </c>
      <c r="K67" s="122"/>
      <c r="L67" s="122"/>
      <c r="M67" s="122"/>
      <c r="N67" s="122"/>
      <c r="O67" s="122"/>
      <c r="P67" s="122"/>
      <c r="Q67" s="121"/>
      <c r="R67" s="121"/>
      <c r="S67" s="121"/>
      <c r="T67" s="122">
        <f>+SUM(E67:P67)</f>
        <v>0</v>
      </c>
      <c r="U67" s="164"/>
      <c r="V67" s="164"/>
      <c r="W67" s="164"/>
      <c r="X67" s="164"/>
      <c r="Y67" s="164"/>
      <c r="Z67" s="164"/>
      <c r="AA67" s="164"/>
      <c r="AB67" s="164"/>
      <c r="AC67" s="164"/>
      <c r="AE67" s="164"/>
      <c r="AF67" s="164"/>
      <c r="AG67" s="164"/>
      <c r="AH67" s="164"/>
      <c r="AI67" s="164"/>
      <c r="AJ67" s="164"/>
      <c r="AK67" s="164"/>
      <c r="AL67" s="164"/>
      <c r="AM67" s="164"/>
      <c r="AN67" s="164"/>
      <c r="AO67" s="164"/>
      <c r="AP67" s="164"/>
      <c r="AQ67" s="164"/>
      <c r="AR67" s="164"/>
      <c r="AS67" s="164"/>
      <c r="AT67" s="164"/>
      <c r="AU67" s="164"/>
      <c r="AV67" s="164"/>
      <c r="AW67" s="164"/>
      <c r="AX67" s="164"/>
    </row>
    <row r="68" spans="2:50" x14ac:dyDescent="0.25">
      <c r="B68" s="276"/>
      <c r="C68" s="122" t="s">
        <v>122</v>
      </c>
      <c r="D68" s="122">
        <f>COUNTIF($D$3:$D$60,"AGRI")</f>
        <v>0</v>
      </c>
      <c r="E68" s="129"/>
      <c r="F68" s="121"/>
      <c r="G68" s="124">
        <f>COUNTIFS($F$3:$F$60,"SAS",$D$3:$D$60,"AGRI")</f>
        <v>0</v>
      </c>
      <c r="H68" s="122">
        <f>COUNTIFS($F$3:$F$60,"INDIVIDUEL",$D$3:$D$60,"AGRI")</f>
        <v>0</v>
      </c>
      <c r="I68" s="122"/>
      <c r="J68" s="122"/>
      <c r="K68" s="122"/>
      <c r="L68" s="122"/>
      <c r="M68" s="122">
        <f>COUNTIF($F$5:$F$62,"EARL")</f>
        <v>0</v>
      </c>
      <c r="N68" s="122">
        <f>COUNTIF($F$5:$F$62,"ETA")</f>
        <v>0</v>
      </c>
      <c r="O68" s="122">
        <f>COUNTIF($F$5:$F$62,"SCEA")</f>
        <v>0</v>
      </c>
      <c r="P68" s="122"/>
      <c r="Q68" s="121"/>
      <c r="R68" s="121"/>
      <c r="S68" s="121"/>
      <c r="T68" s="122">
        <f>+SUM(E68:P68)</f>
        <v>0</v>
      </c>
      <c r="U68" s="164"/>
      <c r="V68" s="164"/>
      <c r="W68" s="164"/>
      <c r="X68" s="164"/>
      <c r="Y68" s="164"/>
      <c r="Z68" s="164"/>
      <c r="AA68" s="164"/>
      <c r="AB68" s="164"/>
      <c r="AC68" s="164"/>
      <c r="AE68" s="164"/>
      <c r="AF68" s="164"/>
      <c r="AG68" s="164"/>
      <c r="AH68" s="164"/>
      <c r="AI68" s="164"/>
      <c r="AJ68" s="164"/>
      <c r="AK68" s="164"/>
      <c r="AL68" s="164"/>
      <c r="AM68" s="164"/>
      <c r="AN68" s="164"/>
      <c r="AO68" s="164"/>
      <c r="AP68" s="164"/>
      <c r="AQ68" s="164"/>
      <c r="AR68" s="164"/>
      <c r="AS68" s="164"/>
      <c r="AT68" s="164"/>
      <c r="AU68" s="164"/>
      <c r="AV68" s="164"/>
      <c r="AW68" s="164"/>
      <c r="AX68" s="164"/>
    </row>
    <row r="69" spans="2:50" x14ac:dyDescent="0.25">
      <c r="B69" s="277" t="s">
        <v>123</v>
      </c>
      <c r="C69" s="277"/>
      <c r="D69" s="122">
        <f>+SUM(D66:D68)</f>
        <v>3</v>
      </c>
      <c r="E69" s="129">
        <f>+SUM(E66:E68)</f>
        <v>1</v>
      </c>
      <c r="F69" s="129">
        <f t="shared" ref="F69:R69" si="2">+SUM(F66:F68)</f>
        <v>1</v>
      </c>
      <c r="G69" s="129">
        <f t="shared" si="2"/>
        <v>0</v>
      </c>
      <c r="H69" s="129">
        <f t="shared" si="2"/>
        <v>0</v>
      </c>
      <c r="I69" s="129">
        <f t="shared" si="2"/>
        <v>0</v>
      </c>
      <c r="J69" s="129">
        <f t="shared" si="2"/>
        <v>0</v>
      </c>
      <c r="K69" s="129">
        <f t="shared" si="2"/>
        <v>0</v>
      </c>
      <c r="L69" s="129">
        <f t="shared" si="2"/>
        <v>0</v>
      </c>
      <c r="M69" s="129">
        <f t="shared" si="2"/>
        <v>0</v>
      </c>
      <c r="N69" s="129">
        <f t="shared" si="2"/>
        <v>0</v>
      </c>
      <c r="O69" s="129">
        <f t="shared" si="2"/>
        <v>0</v>
      </c>
      <c r="P69" s="129">
        <f t="shared" si="2"/>
        <v>0</v>
      </c>
      <c r="Q69" s="129">
        <f t="shared" si="2"/>
        <v>1</v>
      </c>
      <c r="R69" s="129">
        <f t="shared" si="2"/>
        <v>0</v>
      </c>
      <c r="S69" s="129"/>
      <c r="T69" s="122">
        <f>+SUM(T66:T68)</f>
        <v>2</v>
      </c>
      <c r="U69" s="164"/>
      <c r="V69" s="164"/>
      <c r="W69" s="164"/>
      <c r="X69" s="164"/>
      <c r="Y69" s="164"/>
      <c r="Z69" s="164"/>
      <c r="AA69" s="164"/>
      <c r="AB69" s="164"/>
      <c r="AC69" s="164"/>
      <c r="AE69" s="164"/>
      <c r="AF69" s="164"/>
      <c r="AG69" s="164"/>
      <c r="AH69" s="164"/>
      <c r="AI69" s="164"/>
      <c r="AJ69" s="164"/>
      <c r="AK69" s="164"/>
      <c r="AL69" s="164"/>
      <c r="AM69" s="164"/>
      <c r="AN69" s="164"/>
      <c r="AO69" s="164"/>
      <c r="AP69" s="164"/>
      <c r="AQ69" s="164"/>
      <c r="AR69" s="164"/>
      <c r="AS69" s="164"/>
      <c r="AT69" s="164"/>
      <c r="AU69" s="164"/>
      <c r="AV69" s="164"/>
      <c r="AW69" s="164"/>
      <c r="AX69" s="164"/>
    </row>
    <row r="70" spans="2:50" x14ac:dyDescent="0.25">
      <c r="B70" s="90"/>
      <c r="C70" s="90"/>
      <c r="D70" s="90"/>
      <c r="E70" s="90"/>
      <c r="G70" s="90"/>
      <c r="H70" s="90"/>
      <c r="I70" s="90"/>
      <c r="J70" s="90"/>
      <c r="K70" s="90"/>
      <c r="L70" s="90"/>
      <c r="M70" s="90"/>
      <c r="N70" s="90"/>
      <c r="O70" s="90"/>
      <c r="P70" s="90"/>
      <c r="T70" s="90"/>
      <c r="U70" s="164"/>
      <c r="V70" s="164"/>
      <c r="W70" s="164"/>
      <c r="X70" s="164"/>
      <c r="Y70" s="164"/>
      <c r="Z70" s="164"/>
      <c r="AA70" s="164"/>
      <c r="AB70" s="164"/>
      <c r="AC70" s="164"/>
      <c r="AE70" s="164"/>
      <c r="AF70" s="164"/>
      <c r="AG70" s="164"/>
      <c r="AH70" s="164"/>
      <c r="AI70" s="164"/>
      <c r="AJ70" s="164"/>
      <c r="AK70" s="164"/>
      <c r="AL70" s="164"/>
      <c r="AM70" s="164"/>
      <c r="AN70" s="164"/>
      <c r="AO70" s="164"/>
      <c r="AP70" s="164"/>
      <c r="AQ70" s="164"/>
      <c r="AR70" s="164"/>
      <c r="AS70" s="164"/>
      <c r="AT70" s="164"/>
      <c r="AU70" s="164"/>
      <c r="AV70" s="164"/>
      <c r="AW70" s="164"/>
      <c r="AX70" s="164"/>
    </row>
    <row r="71" spans="2:50" x14ac:dyDescent="0.25">
      <c r="B71" s="278">
        <v>44196</v>
      </c>
      <c r="C71" s="122"/>
      <c r="D71" s="122"/>
      <c r="E71" s="125" t="str">
        <f t="shared" ref="E71:R71" si="3">E65</f>
        <v>SARL</v>
      </c>
      <c r="F71" s="122" t="str">
        <f t="shared" si="3"/>
        <v>EURL</v>
      </c>
      <c r="G71" s="126" t="str">
        <f t="shared" si="3"/>
        <v>SAS</v>
      </c>
      <c r="H71" s="127" t="str">
        <f t="shared" si="3"/>
        <v>INDIVIDUEL</v>
      </c>
      <c r="I71" s="127" t="str">
        <f t="shared" si="3"/>
        <v>ASSOCIATION</v>
      </c>
      <c r="J71" s="128" t="str">
        <f t="shared" si="3"/>
        <v>PROFESSION LIBERALE</v>
      </c>
      <c r="K71" s="128" t="str">
        <f t="shared" si="3"/>
        <v>SNC</v>
      </c>
      <c r="L71" s="128" t="str">
        <f t="shared" si="3"/>
        <v>SCI</v>
      </c>
      <c r="M71" s="128" t="str">
        <f t="shared" si="3"/>
        <v>EARL</v>
      </c>
      <c r="N71" s="128" t="str">
        <f t="shared" si="3"/>
        <v>ETA</v>
      </c>
      <c r="O71" s="128" t="str">
        <f t="shared" si="3"/>
        <v>SCEA</v>
      </c>
      <c r="P71" s="128" t="str">
        <f t="shared" si="3"/>
        <v>GROUPEMENT</v>
      </c>
      <c r="Q71" s="122" t="str">
        <f t="shared" si="3"/>
        <v>EIRL</v>
      </c>
      <c r="R71" s="122" t="str">
        <f t="shared" si="3"/>
        <v>AUTRES</v>
      </c>
      <c r="S71" s="122"/>
      <c r="T71" s="128" t="s">
        <v>86</v>
      </c>
      <c r="U71" s="164"/>
      <c r="V71" s="164"/>
      <c r="W71" s="164"/>
      <c r="X71" s="164"/>
      <c r="Y71" s="164"/>
      <c r="Z71" s="164"/>
      <c r="AA71" s="164"/>
      <c r="AB71" s="164"/>
      <c r="AC71" s="164"/>
      <c r="AE71" s="164"/>
      <c r="AF71" s="164"/>
      <c r="AG71" s="164"/>
      <c r="AH71" s="164"/>
      <c r="AI71" s="164"/>
      <c r="AJ71" s="164"/>
      <c r="AK71" s="164"/>
      <c r="AL71" s="164"/>
      <c r="AM71" s="164"/>
      <c r="AN71" s="164"/>
      <c r="AO71" s="164"/>
      <c r="AP71" s="164"/>
      <c r="AQ71" s="164"/>
      <c r="AR71" s="164"/>
      <c r="AS71" s="164"/>
      <c r="AT71" s="164"/>
      <c r="AU71" s="164"/>
      <c r="AV71" s="164"/>
      <c r="AW71" s="164"/>
      <c r="AX71" s="164"/>
    </row>
    <row r="72" spans="2:50" x14ac:dyDescent="0.25">
      <c r="B72" s="275"/>
      <c r="C72" s="120" t="s">
        <v>109</v>
      </c>
      <c r="D72" s="122">
        <f>COUNTIFS($E$3:$E$60,DATE(Paramètres!A4,Paramètres!D15,Paramètres!C15),$D$3:$D$60,"ACS")</f>
        <v>3</v>
      </c>
      <c r="E72" s="129">
        <f>COUNTIFS($E$3:$E$60,DATE(Paramètres!A4,Paramètres!D15,Paramètres!C15),$F$3:$F$60,"SARL")</f>
        <v>1</v>
      </c>
      <c r="F72" s="122">
        <f>+COUNTIFS($E$3:$E$60,DATE(Paramètres!A4,Paramètres!D15,Paramètres!C15),$F$3:$F$60,"EURL")</f>
        <v>1</v>
      </c>
      <c r="G72" s="124">
        <f>COUNTIFS($E$3:$E$60,DATE(Paramètres!A4,Paramètres!D15,Paramètres!C15),$F$3:$F$60,"SAS",$D$3:$D$60,"ACS")</f>
        <v>0</v>
      </c>
      <c r="H72" s="122">
        <f>COUNTIFS($E$3:$E$60,DATE(Paramètres!A4,Paramètres!D15,Paramètres!C15),$F$3:$F$60,"INDIVIDUEL",$D$3:$D$60,"ACS")</f>
        <v>0</v>
      </c>
      <c r="I72" s="122">
        <f>+COUNTIFS($E$3:$E$60,DATE(Paramètres!A4,Paramètres!D15,Paramètres!C15),$F$3:$F$60,"ASSOCIATION")</f>
        <v>0</v>
      </c>
      <c r="J72" s="122"/>
      <c r="K72" s="122">
        <f>COUNTIFS($E$3:$E$60,DATE(Paramètres!A4,Paramètres!D15,Paramètres!C15),$F$3:$F$60,"SNC")</f>
        <v>0</v>
      </c>
      <c r="L72" s="122">
        <f>COUNTIFS($E$3:$E$60,DATE(Paramètres!A4,Paramètres!D15,Paramètres!C15),$F$3:$F$60,"SCI")</f>
        <v>0</v>
      </c>
      <c r="M72" s="130"/>
      <c r="N72" s="131"/>
      <c r="O72" s="132"/>
      <c r="P72" s="122">
        <f>COUNTIFS($E$3:$E$60,DATE(Paramètres!A4,Paramètres!D15,Paramètres!C15),$F$3:$F$60,"GROUPEMENT")</f>
        <v>0</v>
      </c>
      <c r="Q72" s="122">
        <f>+COUNTIFS($E$3:$E$60,DATE(Paramètres!A4,Paramètres!D15,Paramètres!C15),$F$3:$F$60,"EIRL")</f>
        <v>1</v>
      </c>
      <c r="R72" s="122">
        <f>+COUNTIFS($E$3:$E$60,DATE(Paramètres!B4,Paramètres!E15,Paramètres!D15),$F$3:$F$60,"AUTRES")</f>
        <v>0</v>
      </c>
      <c r="S72" s="122"/>
      <c r="T72" s="122">
        <f>+SUM(E72:P72)</f>
        <v>2</v>
      </c>
      <c r="U72" s="164"/>
      <c r="V72" s="164"/>
      <c r="W72" s="164"/>
      <c r="X72" s="164"/>
      <c r="Y72" s="164"/>
      <c r="Z72" s="164"/>
      <c r="AA72" s="164"/>
      <c r="AB72" s="164"/>
      <c r="AC72" s="164"/>
      <c r="AE72" s="164"/>
      <c r="AF72" s="164"/>
      <c r="AG72" s="164"/>
      <c r="AH72" s="164"/>
      <c r="AI72" s="164"/>
      <c r="AJ72" s="164"/>
      <c r="AK72" s="164"/>
      <c r="AL72" s="164"/>
      <c r="AM72" s="164"/>
      <c r="AN72" s="164"/>
      <c r="AO72" s="164"/>
      <c r="AP72" s="164"/>
      <c r="AQ72" s="164"/>
      <c r="AR72" s="164"/>
      <c r="AS72" s="164"/>
      <c r="AT72" s="164"/>
      <c r="AU72" s="164"/>
      <c r="AV72" s="164"/>
      <c r="AW72" s="164"/>
      <c r="AX72" s="164"/>
    </row>
    <row r="73" spans="2:50" x14ac:dyDescent="0.25">
      <c r="B73" s="275"/>
      <c r="C73" s="120" t="s">
        <v>121</v>
      </c>
      <c r="D73" s="122">
        <f>COUNTIFS($E$3:$E$60,DATE(Paramètres!A4,Paramètres!D15,Paramètres!C15),$D$3:$D$60,"BNC")</f>
        <v>0</v>
      </c>
      <c r="E73" s="133"/>
      <c r="F73" s="122"/>
      <c r="G73" s="134"/>
      <c r="H73" s="135"/>
      <c r="I73" s="132"/>
      <c r="J73" s="122">
        <f>COUNTIFS($E$3:$E$60,DATE(Paramètres!A4,Paramètres!D15,Paramètres!C15),$D$3:$D$60,"BNC")</f>
        <v>0</v>
      </c>
      <c r="K73" s="130"/>
      <c r="L73" s="131"/>
      <c r="M73" s="131"/>
      <c r="N73" s="131"/>
      <c r="O73" s="131"/>
      <c r="P73" s="132"/>
      <c r="Q73" s="122"/>
      <c r="R73" s="122"/>
      <c r="S73" s="122"/>
      <c r="T73" s="122">
        <f>+SUM(E73:P73)</f>
        <v>0</v>
      </c>
      <c r="U73" s="164"/>
      <c r="V73" s="164"/>
      <c r="W73" s="164"/>
      <c r="X73" s="164"/>
      <c r="Y73" s="164"/>
      <c r="Z73" s="164"/>
      <c r="AA73" s="164"/>
      <c r="AB73" s="164"/>
      <c r="AC73" s="164"/>
      <c r="AE73" s="164"/>
      <c r="AF73" s="164"/>
      <c r="AG73" s="164"/>
      <c r="AH73" s="164"/>
      <c r="AI73" s="164"/>
      <c r="AJ73" s="164"/>
      <c r="AK73" s="164"/>
      <c r="AL73" s="164"/>
      <c r="AM73" s="164"/>
      <c r="AN73" s="164"/>
      <c r="AO73" s="164"/>
      <c r="AP73" s="164"/>
      <c r="AQ73" s="164"/>
      <c r="AR73" s="164"/>
      <c r="AS73" s="164"/>
      <c r="AT73" s="164"/>
      <c r="AU73" s="164"/>
      <c r="AV73" s="164"/>
      <c r="AW73" s="164"/>
      <c r="AX73" s="164"/>
    </row>
    <row r="74" spans="2:50" x14ac:dyDescent="0.25">
      <c r="B74" s="276"/>
      <c r="C74" s="122" t="s">
        <v>122</v>
      </c>
      <c r="D74" s="122">
        <f>COUNTIFS($E$3:$E$60,DATE(Paramètres!A4,Paramètres!D15,Paramètres!C15),$D$3:$D$60,"AGRI")</f>
        <v>0</v>
      </c>
      <c r="E74" s="133"/>
      <c r="F74" s="122"/>
      <c r="G74" s="134">
        <f>COUNTIFS($E$3:$E$60,DATE(Paramètres!A4,Paramètres!D15,Paramètres!C15),$F$3:$F$60,"SAS",$D$3:$D$60,"AGRI")</f>
        <v>0</v>
      </c>
      <c r="H74" s="122">
        <f>COUNTIFS($E$3:$E$60,DATE(Paramètres!A4,Paramètres!D15,Paramètres!C15),$F$3:$F$60,"INDIVIDUEL",$D$3:$D$60,"AGRI")</f>
        <v>0</v>
      </c>
      <c r="I74" s="136"/>
      <c r="J74" s="131"/>
      <c r="K74" s="131"/>
      <c r="L74" s="132"/>
      <c r="M74" s="122">
        <f>COUNTIFS($E$3:$E$60,DATE(Paramètres!A4,Paramètres!D15,Paramètres!C15),$F$3:$F$60,"EARL")</f>
        <v>0</v>
      </c>
      <c r="N74" s="122">
        <f>COUNTIFS($E$3:$E$60,DATE(Paramètres!A4,Paramètres!D15,Paramètres!C15),$F$3:$F$60,"ETA")</f>
        <v>0</v>
      </c>
      <c r="O74" s="122">
        <f>COUNTIFS($E$3:$E$60,DATE(Paramètres!A4,Paramètres!D15,Paramètres!C15),$F$3:$F$60,"SCEA")</f>
        <v>0</v>
      </c>
      <c r="P74" s="122"/>
      <c r="Q74" s="122"/>
      <c r="R74" s="122"/>
      <c r="S74" s="122"/>
      <c r="T74" s="122">
        <f>+SUM(E74:P74)</f>
        <v>0</v>
      </c>
      <c r="U74" s="164"/>
      <c r="V74" s="164"/>
      <c r="W74" s="164"/>
      <c r="X74" s="164"/>
      <c r="Y74" s="164"/>
      <c r="Z74" s="164"/>
      <c r="AA74" s="164"/>
      <c r="AB74" s="164"/>
      <c r="AC74" s="164"/>
      <c r="AE74" s="164"/>
      <c r="AF74" s="164"/>
      <c r="AG74" s="164"/>
      <c r="AH74" s="164"/>
      <c r="AI74" s="164"/>
      <c r="AJ74" s="164"/>
      <c r="AK74" s="164"/>
      <c r="AL74" s="164"/>
      <c r="AM74" s="164"/>
      <c r="AN74" s="164"/>
      <c r="AO74" s="164"/>
      <c r="AP74" s="164"/>
      <c r="AQ74" s="164"/>
      <c r="AR74" s="164"/>
      <c r="AS74" s="164"/>
      <c r="AT74" s="164"/>
      <c r="AU74" s="164"/>
      <c r="AV74" s="164"/>
      <c r="AW74" s="164"/>
      <c r="AX74" s="164"/>
    </row>
    <row r="75" spans="2:50" x14ac:dyDescent="0.25">
      <c r="B75" s="277" t="s">
        <v>123</v>
      </c>
      <c r="C75" s="277"/>
      <c r="D75" s="122">
        <f>+SUM(D72:D74)</f>
        <v>3</v>
      </c>
      <c r="E75" s="129">
        <f>+SUM(E72:E74)</f>
        <v>1</v>
      </c>
      <c r="F75" s="129">
        <f>+SUM(F72:F74)</f>
        <v>1</v>
      </c>
      <c r="G75" s="124">
        <f>+SUM(G72:G74)</f>
        <v>0</v>
      </c>
      <c r="H75" s="122">
        <f>+SUM(H72:H74)</f>
        <v>0</v>
      </c>
      <c r="I75" s="122">
        <f t="shared" ref="I75:R75" si="4">+SUM(I72:I74)</f>
        <v>0</v>
      </c>
      <c r="J75" s="122">
        <f t="shared" si="4"/>
        <v>0</v>
      </c>
      <c r="K75" s="122">
        <f t="shared" si="4"/>
        <v>0</v>
      </c>
      <c r="L75" s="122">
        <f t="shared" si="4"/>
        <v>0</v>
      </c>
      <c r="M75" s="122">
        <f t="shared" si="4"/>
        <v>0</v>
      </c>
      <c r="N75" s="122">
        <f t="shared" si="4"/>
        <v>0</v>
      </c>
      <c r="O75" s="122">
        <f t="shared" si="4"/>
        <v>0</v>
      </c>
      <c r="P75" s="122">
        <f t="shared" si="4"/>
        <v>0</v>
      </c>
      <c r="Q75" s="122">
        <f t="shared" si="4"/>
        <v>1</v>
      </c>
      <c r="R75" s="122">
        <f t="shared" si="4"/>
        <v>0</v>
      </c>
      <c r="S75" s="122"/>
      <c r="T75" s="122">
        <f>+SUM(E75:R75)</f>
        <v>3</v>
      </c>
      <c r="U75" s="164"/>
      <c r="V75" s="164"/>
      <c r="W75" s="164"/>
      <c r="X75" s="164"/>
      <c r="Y75" s="164"/>
      <c r="Z75" s="164"/>
      <c r="AA75" s="164"/>
      <c r="AB75" s="164"/>
      <c r="AC75" s="164"/>
      <c r="AE75" s="164"/>
      <c r="AF75" s="164"/>
      <c r="AG75" s="164"/>
      <c r="AH75" s="164"/>
      <c r="AI75" s="164"/>
      <c r="AJ75" s="164"/>
      <c r="AK75" s="164"/>
      <c r="AL75" s="164"/>
      <c r="AM75" s="164"/>
      <c r="AN75" s="164"/>
      <c r="AO75" s="164"/>
      <c r="AP75" s="164"/>
      <c r="AQ75" s="164"/>
      <c r="AR75" s="164"/>
      <c r="AS75" s="164"/>
      <c r="AT75" s="164"/>
      <c r="AU75" s="164"/>
      <c r="AV75" s="164"/>
      <c r="AW75" s="164"/>
      <c r="AX75" s="164"/>
    </row>
    <row r="76" spans="2:50" x14ac:dyDescent="0.25">
      <c r="B76" s="90"/>
      <c r="C76" s="90"/>
      <c r="D76" s="90"/>
      <c r="E76" s="90"/>
      <c r="G76" s="90"/>
      <c r="H76" s="90"/>
      <c r="I76" s="90"/>
      <c r="J76" s="90"/>
      <c r="K76" s="90"/>
      <c r="L76" s="90"/>
      <c r="M76" s="90"/>
      <c r="N76" s="90"/>
      <c r="O76" s="90"/>
      <c r="P76" s="90"/>
      <c r="T76" s="90"/>
      <c r="U76" s="164"/>
      <c r="V76" s="164"/>
      <c r="W76" s="164"/>
      <c r="X76" s="164"/>
      <c r="Y76" s="164"/>
      <c r="Z76" s="164"/>
      <c r="AA76" s="164"/>
      <c r="AB76" s="164"/>
      <c r="AC76" s="164"/>
      <c r="AE76" s="164"/>
      <c r="AF76" s="164"/>
      <c r="AG76" s="164"/>
      <c r="AH76" s="164"/>
      <c r="AI76" s="164"/>
      <c r="AJ76" s="164"/>
      <c r="AK76" s="164"/>
      <c r="AL76" s="164"/>
      <c r="AM76" s="164"/>
      <c r="AN76" s="164"/>
      <c r="AO76" s="164"/>
      <c r="AP76" s="164"/>
      <c r="AQ76" s="164"/>
      <c r="AR76" s="164"/>
      <c r="AS76" s="164"/>
      <c r="AT76" s="164"/>
      <c r="AU76" s="164"/>
      <c r="AV76" s="164"/>
      <c r="AW76" s="164"/>
      <c r="AX76" s="164"/>
    </row>
    <row r="77" spans="2:50" x14ac:dyDescent="0.25">
      <c r="B77" s="278" t="s">
        <v>40</v>
      </c>
      <c r="C77" s="122"/>
      <c r="D77" s="122"/>
      <c r="E77" s="125" t="s">
        <v>112</v>
      </c>
      <c r="F77" s="121" t="s">
        <v>115</v>
      </c>
      <c r="G77" s="126" t="s">
        <v>118</v>
      </c>
      <c r="H77" s="127" t="s">
        <v>116</v>
      </c>
      <c r="I77" s="127" t="s">
        <v>124</v>
      </c>
      <c r="J77" s="128" t="s">
        <v>125</v>
      </c>
      <c r="K77" s="128" t="s">
        <v>110</v>
      </c>
      <c r="L77" s="128" t="s">
        <v>119</v>
      </c>
      <c r="M77" s="128" t="s">
        <v>126</v>
      </c>
      <c r="N77" s="128" t="s">
        <v>127</v>
      </c>
      <c r="O77" s="128" t="s">
        <v>128</v>
      </c>
      <c r="P77" s="128" t="s">
        <v>129</v>
      </c>
      <c r="Q77" s="128" t="s">
        <v>130</v>
      </c>
      <c r="R77" s="128" t="s">
        <v>131</v>
      </c>
      <c r="S77" s="128"/>
      <c r="T77" s="128" t="s">
        <v>86</v>
      </c>
      <c r="U77" s="164"/>
      <c r="V77" s="164"/>
      <c r="W77" s="164"/>
      <c r="X77" s="164"/>
      <c r="Y77" s="164"/>
      <c r="Z77" s="164"/>
      <c r="AA77" s="164"/>
      <c r="AB77" s="164"/>
      <c r="AC77" s="164"/>
      <c r="AE77" s="164"/>
      <c r="AF77" s="164"/>
      <c r="AG77" s="164"/>
      <c r="AH77" s="164"/>
      <c r="AI77" s="164"/>
      <c r="AJ77" s="164"/>
      <c r="AK77" s="164"/>
      <c r="AL77" s="164"/>
      <c r="AM77" s="164"/>
      <c r="AN77" s="164"/>
      <c r="AO77" s="164"/>
      <c r="AP77" s="164"/>
      <c r="AQ77" s="164"/>
      <c r="AR77" s="164"/>
      <c r="AS77" s="164"/>
      <c r="AT77" s="164"/>
      <c r="AU77" s="164"/>
      <c r="AV77" s="164"/>
      <c r="AW77" s="164"/>
      <c r="AX77" s="164"/>
    </row>
    <row r="78" spans="2:50" x14ac:dyDescent="0.25">
      <c r="B78" s="275"/>
      <c r="C78" s="120" t="s">
        <v>109</v>
      </c>
      <c r="D78" s="122">
        <f>+D66-D72</f>
        <v>0</v>
      </c>
      <c r="E78" s="122">
        <f>+E66-E72</f>
        <v>0</v>
      </c>
      <c r="F78" s="122">
        <f t="shared" ref="F78:R78" si="5">+F66-F72</f>
        <v>0</v>
      </c>
      <c r="G78" s="122">
        <f t="shared" si="5"/>
        <v>0</v>
      </c>
      <c r="H78" s="122">
        <f t="shared" si="5"/>
        <v>0</v>
      </c>
      <c r="I78" s="122">
        <f t="shared" si="5"/>
        <v>0</v>
      </c>
      <c r="J78" s="122">
        <f t="shared" si="5"/>
        <v>0</v>
      </c>
      <c r="K78" s="122">
        <f t="shared" si="5"/>
        <v>0</v>
      </c>
      <c r="L78" s="122">
        <f t="shared" si="5"/>
        <v>0</v>
      </c>
      <c r="M78" s="122">
        <f t="shared" si="5"/>
        <v>0</v>
      </c>
      <c r="N78" s="122">
        <f t="shared" si="5"/>
        <v>0</v>
      </c>
      <c r="O78" s="122">
        <f t="shared" si="5"/>
        <v>0</v>
      </c>
      <c r="P78" s="122">
        <f t="shared" si="5"/>
        <v>0</v>
      </c>
      <c r="Q78" s="122">
        <f t="shared" si="5"/>
        <v>0</v>
      </c>
      <c r="R78" s="122">
        <f t="shared" si="5"/>
        <v>0</v>
      </c>
      <c r="S78" s="122"/>
      <c r="T78" s="122">
        <f>+SUM(E78:P78)</f>
        <v>0</v>
      </c>
      <c r="U78" s="164"/>
      <c r="V78" s="164"/>
      <c r="W78" s="164"/>
      <c r="X78" s="164"/>
      <c r="Y78" s="164"/>
      <c r="Z78" s="164"/>
      <c r="AA78" s="164"/>
      <c r="AB78" s="164"/>
      <c r="AC78" s="164"/>
      <c r="AE78" s="164"/>
      <c r="AF78" s="164"/>
      <c r="AG78" s="164"/>
      <c r="AH78" s="164"/>
      <c r="AI78" s="164"/>
      <c r="AJ78" s="164"/>
      <c r="AK78" s="164"/>
      <c r="AL78" s="164"/>
      <c r="AM78" s="164"/>
      <c r="AN78" s="164"/>
      <c r="AO78" s="164"/>
      <c r="AP78" s="164"/>
      <c r="AQ78" s="164"/>
      <c r="AR78" s="164"/>
      <c r="AS78" s="164"/>
      <c r="AT78" s="164"/>
      <c r="AU78" s="164"/>
      <c r="AV78" s="164"/>
      <c r="AW78" s="164"/>
      <c r="AX78" s="164"/>
    </row>
    <row r="79" spans="2:50" x14ac:dyDescent="0.25">
      <c r="B79" s="275"/>
      <c r="C79" s="120" t="s">
        <v>121</v>
      </c>
      <c r="D79" s="122">
        <f>+D67-D73</f>
        <v>0</v>
      </c>
      <c r="E79" s="122">
        <f t="shared" ref="E79:R81" si="6">+E67-E73</f>
        <v>0</v>
      </c>
      <c r="F79" s="122">
        <f t="shared" si="6"/>
        <v>0</v>
      </c>
      <c r="G79" s="122">
        <f t="shared" si="6"/>
        <v>0</v>
      </c>
      <c r="H79" s="122">
        <f t="shared" si="6"/>
        <v>0</v>
      </c>
      <c r="I79" s="122">
        <f t="shared" si="6"/>
        <v>0</v>
      </c>
      <c r="J79" s="122">
        <f t="shared" si="6"/>
        <v>0</v>
      </c>
      <c r="K79" s="122">
        <f t="shared" si="6"/>
        <v>0</v>
      </c>
      <c r="L79" s="122">
        <f t="shared" si="6"/>
        <v>0</v>
      </c>
      <c r="M79" s="122">
        <f t="shared" si="6"/>
        <v>0</v>
      </c>
      <c r="N79" s="122">
        <f t="shared" si="6"/>
        <v>0</v>
      </c>
      <c r="O79" s="122">
        <f t="shared" si="6"/>
        <v>0</v>
      </c>
      <c r="P79" s="122">
        <f t="shared" si="6"/>
        <v>0</v>
      </c>
      <c r="Q79" s="122">
        <f t="shared" si="6"/>
        <v>0</v>
      </c>
      <c r="R79" s="122">
        <f t="shared" si="6"/>
        <v>0</v>
      </c>
      <c r="S79" s="122"/>
      <c r="T79" s="122">
        <f>+SUM(E79:P79)</f>
        <v>0</v>
      </c>
      <c r="U79" s="164"/>
      <c r="V79" s="164"/>
      <c r="W79" s="164"/>
      <c r="X79" s="164"/>
      <c r="Y79" s="164"/>
      <c r="Z79" s="164"/>
      <c r="AA79" s="164"/>
      <c r="AB79" s="164"/>
      <c r="AC79" s="164"/>
      <c r="AE79" s="164"/>
      <c r="AF79" s="164"/>
      <c r="AG79" s="164"/>
      <c r="AH79" s="164"/>
      <c r="AI79" s="164"/>
      <c r="AJ79" s="164"/>
      <c r="AK79" s="164"/>
      <c r="AL79" s="164"/>
      <c r="AM79" s="164"/>
      <c r="AN79" s="164"/>
      <c r="AO79" s="164"/>
      <c r="AP79" s="164"/>
      <c r="AQ79" s="164"/>
      <c r="AR79" s="164"/>
      <c r="AS79" s="164"/>
      <c r="AT79" s="164"/>
      <c r="AU79" s="164"/>
      <c r="AV79" s="164"/>
      <c r="AW79" s="164"/>
      <c r="AX79" s="164"/>
    </row>
    <row r="80" spans="2:50" x14ac:dyDescent="0.25">
      <c r="B80" s="276"/>
      <c r="C80" s="122" t="s">
        <v>122</v>
      </c>
      <c r="D80" s="122">
        <f>+D68-D74</f>
        <v>0</v>
      </c>
      <c r="E80" s="122">
        <f t="shared" si="6"/>
        <v>0</v>
      </c>
      <c r="F80" s="122">
        <f t="shared" si="6"/>
        <v>0</v>
      </c>
      <c r="G80" s="122">
        <f t="shared" si="6"/>
        <v>0</v>
      </c>
      <c r="H80" s="122">
        <f t="shared" si="6"/>
        <v>0</v>
      </c>
      <c r="I80" s="122">
        <f t="shared" si="6"/>
        <v>0</v>
      </c>
      <c r="J80" s="122">
        <f t="shared" si="6"/>
        <v>0</v>
      </c>
      <c r="K80" s="122">
        <f t="shared" si="6"/>
        <v>0</v>
      </c>
      <c r="L80" s="122">
        <f t="shared" si="6"/>
        <v>0</v>
      </c>
      <c r="M80" s="122">
        <f t="shared" si="6"/>
        <v>0</v>
      </c>
      <c r="N80" s="122">
        <f t="shared" si="6"/>
        <v>0</v>
      </c>
      <c r="O80" s="122">
        <f t="shared" si="6"/>
        <v>0</v>
      </c>
      <c r="P80" s="122">
        <f t="shared" si="6"/>
        <v>0</v>
      </c>
      <c r="Q80" s="122">
        <f t="shared" si="6"/>
        <v>0</v>
      </c>
      <c r="R80" s="122">
        <f t="shared" si="6"/>
        <v>0</v>
      </c>
      <c r="S80" s="122"/>
      <c r="T80" s="122">
        <f>+SUM(E80:P80)</f>
        <v>0</v>
      </c>
      <c r="U80" s="164"/>
      <c r="V80" s="164"/>
      <c r="W80" s="164"/>
      <c r="X80" s="164"/>
      <c r="Y80" s="164"/>
      <c r="Z80" s="164"/>
      <c r="AA80" s="164"/>
      <c r="AB80" s="164"/>
      <c r="AC80" s="164"/>
      <c r="AE80" s="164"/>
      <c r="AF80" s="164"/>
      <c r="AG80" s="164"/>
      <c r="AH80" s="164"/>
      <c r="AI80" s="164"/>
      <c r="AJ80" s="164"/>
      <c r="AK80" s="164"/>
      <c r="AL80" s="164"/>
      <c r="AM80" s="164"/>
      <c r="AN80" s="164"/>
      <c r="AO80" s="164"/>
      <c r="AP80" s="164"/>
      <c r="AQ80" s="164"/>
      <c r="AR80" s="164"/>
      <c r="AS80" s="164"/>
      <c r="AT80" s="164"/>
      <c r="AU80" s="164"/>
      <c r="AV80" s="164"/>
      <c r="AW80" s="164"/>
      <c r="AX80" s="164"/>
    </row>
    <row r="81" spans="2:50" x14ac:dyDescent="0.25">
      <c r="B81" s="277" t="s">
        <v>123</v>
      </c>
      <c r="C81" s="277"/>
      <c r="D81" s="122">
        <f>+D69-D75</f>
        <v>0</v>
      </c>
      <c r="E81" s="122">
        <f t="shared" si="6"/>
        <v>0</v>
      </c>
      <c r="F81" s="122">
        <f t="shared" si="6"/>
        <v>0</v>
      </c>
      <c r="G81" s="122">
        <f t="shared" si="6"/>
        <v>0</v>
      </c>
      <c r="H81" s="122">
        <f t="shared" si="6"/>
        <v>0</v>
      </c>
      <c r="I81" s="122">
        <f t="shared" si="6"/>
        <v>0</v>
      </c>
      <c r="J81" s="122">
        <f t="shared" si="6"/>
        <v>0</v>
      </c>
      <c r="K81" s="122">
        <f t="shared" si="6"/>
        <v>0</v>
      </c>
      <c r="L81" s="122">
        <f t="shared" si="6"/>
        <v>0</v>
      </c>
      <c r="M81" s="122">
        <f t="shared" si="6"/>
        <v>0</v>
      </c>
      <c r="N81" s="122">
        <f t="shared" si="6"/>
        <v>0</v>
      </c>
      <c r="O81" s="122">
        <f t="shared" si="6"/>
        <v>0</v>
      </c>
      <c r="P81" s="122">
        <f t="shared" si="6"/>
        <v>0</v>
      </c>
      <c r="Q81" s="122">
        <f t="shared" si="6"/>
        <v>0</v>
      </c>
      <c r="R81" s="122">
        <f t="shared" si="6"/>
        <v>0</v>
      </c>
      <c r="S81" s="122"/>
      <c r="T81" s="122">
        <f>+SUM(T78:T80)</f>
        <v>0</v>
      </c>
      <c r="U81" s="164"/>
      <c r="V81" s="164"/>
      <c r="W81" s="164"/>
      <c r="X81" s="164"/>
      <c r="Y81" s="164"/>
      <c r="Z81" s="164"/>
      <c r="AA81" s="164"/>
      <c r="AB81" s="164"/>
      <c r="AC81" s="164"/>
      <c r="AE81" s="164"/>
      <c r="AF81" s="164"/>
      <c r="AG81" s="164"/>
      <c r="AH81" s="164"/>
      <c r="AI81" s="164"/>
      <c r="AJ81" s="164"/>
      <c r="AK81" s="164"/>
      <c r="AL81" s="164"/>
      <c r="AM81" s="164"/>
      <c r="AN81" s="164"/>
      <c r="AO81" s="164"/>
      <c r="AP81" s="164"/>
      <c r="AQ81" s="164"/>
      <c r="AR81" s="164"/>
      <c r="AS81" s="164"/>
      <c r="AT81" s="164"/>
      <c r="AU81" s="164"/>
      <c r="AV81" s="164"/>
      <c r="AW81" s="164"/>
      <c r="AX81" s="164"/>
    </row>
    <row r="82" spans="2:50" x14ac:dyDescent="0.25">
      <c r="U82" s="164"/>
      <c r="V82" s="164"/>
      <c r="W82" s="164"/>
      <c r="X82" s="164"/>
      <c r="Y82" s="164"/>
      <c r="Z82" s="164"/>
      <c r="AA82" s="164"/>
      <c r="AB82" s="164"/>
      <c r="AC82" s="164"/>
      <c r="AE82" s="164"/>
      <c r="AF82" s="164"/>
      <c r="AG82" s="164"/>
      <c r="AH82" s="164"/>
      <c r="AI82" s="164"/>
      <c r="AJ82" s="164"/>
      <c r="AK82" s="164"/>
      <c r="AL82" s="164"/>
      <c r="AM82" s="164"/>
      <c r="AN82" s="164"/>
      <c r="AO82" s="164"/>
      <c r="AP82" s="164"/>
      <c r="AQ82" s="164"/>
      <c r="AR82" s="164"/>
      <c r="AS82" s="164"/>
      <c r="AT82" s="164"/>
      <c r="AU82" s="164"/>
      <c r="AV82" s="164"/>
      <c r="AW82" s="164"/>
      <c r="AX82" s="164"/>
    </row>
    <row r="83" spans="2:50" x14ac:dyDescent="0.25">
      <c r="B83" s="137" t="s">
        <v>132</v>
      </c>
      <c r="C83" s="137"/>
      <c r="D83" s="137"/>
      <c r="E83" s="137"/>
      <c r="F83" s="137"/>
      <c r="G83" s="137"/>
      <c r="H83" s="137"/>
      <c r="I83" s="137"/>
      <c r="J83" s="137"/>
      <c r="K83" s="137"/>
      <c r="L83" s="137"/>
      <c r="M83" s="137"/>
      <c r="N83" s="137"/>
      <c r="O83" s="137"/>
      <c r="P83" s="137"/>
      <c r="Q83" s="137"/>
      <c r="R83" s="138"/>
      <c r="S83" s="139"/>
      <c r="T83" s="137"/>
      <c r="U83" s="164"/>
      <c r="V83" s="164"/>
      <c r="W83" s="164"/>
      <c r="X83" s="164"/>
      <c r="Y83" s="164"/>
      <c r="Z83" s="164"/>
      <c r="AA83" s="164"/>
      <c r="AB83" s="164"/>
      <c r="AC83" s="164"/>
      <c r="AE83" s="164"/>
      <c r="AF83" s="164"/>
      <c r="AG83" s="164"/>
      <c r="AH83" s="164"/>
      <c r="AI83" s="164"/>
      <c r="AJ83" s="164"/>
      <c r="AK83" s="164"/>
      <c r="AL83" s="164"/>
      <c r="AM83" s="164"/>
      <c r="AN83" s="164"/>
      <c r="AO83" s="164"/>
      <c r="AP83" s="164"/>
      <c r="AQ83" s="164"/>
      <c r="AR83" s="164"/>
      <c r="AS83" s="164"/>
      <c r="AT83" s="164"/>
      <c r="AU83" s="164"/>
      <c r="AV83" s="164"/>
      <c r="AW83" s="164"/>
      <c r="AX83" s="164"/>
    </row>
    <row r="84" spans="2:50" x14ac:dyDescent="0.25">
      <c r="B84" s="279" t="s">
        <v>120</v>
      </c>
      <c r="C84" s="138"/>
      <c r="D84" s="138"/>
      <c r="E84" s="140" t="str">
        <f t="shared" ref="E84:R84" si="7">E65</f>
        <v>SARL</v>
      </c>
      <c r="F84" s="138" t="str">
        <f t="shared" si="7"/>
        <v>EURL</v>
      </c>
      <c r="G84" s="141" t="str">
        <f t="shared" si="7"/>
        <v>SAS</v>
      </c>
      <c r="H84" s="142" t="str">
        <f t="shared" si="7"/>
        <v>INDIVIDUEL</v>
      </c>
      <c r="I84" s="142" t="str">
        <f t="shared" si="7"/>
        <v>ASSOCIATION</v>
      </c>
      <c r="J84" s="240" t="str">
        <f t="shared" si="7"/>
        <v>PROFESSION LIBERALE</v>
      </c>
      <c r="K84" s="240" t="str">
        <f t="shared" si="7"/>
        <v>SNC</v>
      </c>
      <c r="L84" s="240" t="str">
        <f t="shared" si="7"/>
        <v>SCI</v>
      </c>
      <c r="M84" s="240" t="str">
        <f t="shared" si="7"/>
        <v>EARL</v>
      </c>
      <c r="N84" s="240" t="str">
        <f t="shared" si="7"/>
        <v>ETA</v>
      </c>
      <c r="O84" s="240" t="str">
        <f t="shared" si="7"/>
        <v>SCEA</v>
      </c>
      <c r="P84" s="240" t="str">
        <f t="shared" si="7"/>
        <v>GROUPEMENT</v>
      </c>
      <c r="Q84" s="240" t="str">
        <f t="shared" si="7"/>
        <v>EIRL</v>
      </c>
      <c r="R84" s="240" t="str">
        <f t="shared" si="7"/>
        <v>AUTRES</v>
      </c>
      <c r="S84" s="144"/>
      <c r="T84" s="145" t="s">
        <v>86</v>
      </c>
      <c r="U84" s="164"/>
      <c r="V84" s="164"/>
      <c r="W84" s="164"/>
      <c r="X84" s="164"/>
      <c r="Y84" s="164"/>
      <c r="Z84" s="164"/>
      <c r="AA84" s="164"/>
      <c r="AB84" s="164"/>
      <c r="AC84" s="164"/>
      <c r="AE84" s="164"/>
      <c r="AF84" s="164"/>
      <c r="AG84" s="164"/>
      <c r="AH84" s="164"/>
      <c r="AI84" s="164"/>
      <c r="AJ84" s="164"/>
      <c r="AK84" s="164"/>
      <c r="AL84" s="164"/>
      <c r="AM84" s="164"/>
      <c r="AN84" s="164"/>
      <c r="AO84" s="164"/>
      <c r="AP84" s="164"/>
      <c r="AQ84" s="164"/>
      <c r="AR84" s="164"/>
      <c r="AS84" s="164"/>
      <c r="AT84" s="164"/>
      <c r="AU84" s="164"/>
      <c r="AV84" s="164"/>
      <c r="AW84" s="164"/>
      <c r="AX84" s="164"/>
    </row>
    <row r="85" spans="2:50" x14ac:dyDescent="0.25">
      <c r="B85" s="280"/>
      <c r="C85" s="146" t="s">
        <v>109</v>
      </c>
      <c r="D85" s="138">
        <f>COUNTIFS($I$3:$I$60,"&lt;&gt;",$D$3:$D$60,"ACS")</f>
        <v>2</v>
      </c>
      <c r="E85" s="147">
        <f>+COUNTIFS($I$3:$I$60,"&lt;&gt;",$F$3:$F$60,"SARL")</f>
        <v>1</v>
      </c>
      <c r="F85" s="138">
        <f>+COUNTIFS($I3:$I60,"&lt;&gt;",$F$3:$F$60,"EURL")</f>
        <v>1</v>
      </c>
      <c r="G85" s="148">
        <f>COUNTIFS($I$3:$I$60,"&lt;&gt;",$F$3:$F$60,"SAS",$D$3:$D$60,"ACS")</f>
        <v>0</v>
      </c>
      <c r="H85" s="138">
        <f>COUNTIFS($I$3:$I$60,"&lt;&gt;",$F$3:$F$60,"INDIVIDUEL",$D$3:$D$60,"ACS")</f>
        <v>0</v>
      </c>
      <c r="I85" s="138">
        <f>COUNTIFS($I$3:$I$60,"&lt;&gt;",$F$3:$F$60,"ASSOCIATION")</f>
        <v>0</v>
      </c>
      <c r="J85" s="138"/>
      <c r="K85" s="138">
        <f>COUNTIFS($I$3:$I$60,"&lt;&gt;",$F$3:$F$60,"SNC")</f>
        <v>0</v>
      </c>
      <c r="L85" s="138">
        <f>COUNTIFS($I$3:$I$60,"&lt;&gt;",$F$3:$F$60,"SCI")</f>
        <v>0</v>
      </c>
      <c r="M85" s="149"/>
      <c r="N85" s="150"/>
      <c r="O85" s="151"/>
      <c r="P85" s="138">
        <f>COUNTIFS($I$3:$I$60,"&lt;&gt;",$F$3:$F$60,"GROUPEMENT")</f>
        <v>0</v>
      </c>
      <c r="Q85" s="152">
        <f>COUNTIFS($I$3:$I$60,"&lt;&gt;",$F$3:$F$60,"EIRL")</f>
        <v>0</v>
      </c>
      <c r="R85" s="138">
        <f>COUNTIFS($I$3:$I$60,"&lt;&gt;",$F$3:$F$60,"AUTRES")</f>
        <v>0</v>
      </c>
      <c r="S85" s="148"/>
      <c r="T85" s="148">
        <f>+SUM(E85:P85)</f>
        <v>2</v>
      </c>
      <c r="U85" s="164"/>
      <c r="V85" s="164"/>
      <c r="W85" s="164"/>
      <c r="X85" s="164"/>
      <c r="Y85" s="164"/>
      <c r="Z85" s="164"/>
      <c r="AA85" s="164"/>
      <c r="AB85" s="164"/>
      <c r="AC85" s="164"/>
      <c r="AE85" s="164"/>
      <c r="AF85" s="164"/>
      <c r="AG85" s="164"/>
      <c r="AH85" s="164"/>
      <c r="AI85" s="164"/>
      <c r="AJ85" s="164"/>
      <c r="AK85" s="164"/>
      <c r="AL85" s="164"/>
      <c r="AM85" s="164"/>
      <c r="AN85" s="164"/>
      <c r="AO85" s="164"/>
      <c r="AP85" s="164"/>
      <c r="AQ85" s="164"/>
      <c r="AR85" s="164"/>
      <c r="AS85" s="164"/>
      <c r="AT85" s="164"/>
      <c r="AU85" s="164"/>
      <c r="AV85" s="164"/>
      <c r="AW85" s="164"/>
      <c r="AX85" s="164"/>
    </row>
    <row r="86" spans="2:50" x14ac:dyDescent="0.25">
      <c r="B86" s="280"/>
      <c r="C86" s="146" t="s">
        <v>121</v>
      </c>
      <c r="D86" s="138">
        <f>COUNTIFS($I$3:$I$60,"&lt;&gt;",$D$3:$D$60,"BNC")</f>
        <v>0</v>
      </c>
      <c r="E86" s="153"/>
      <c r="F86" s="138"/>
      <c r="G86" s="154"/>
      <c r="H86" s="155"/>
      <c r="I86" s="151"/>
      <c r="J86" s="138">
        <f>COUNTIFS($I$3:$I$60,"&lt;&gt;",$D$3:$D$60,"BNC")</f>
        <v>0</v>
      </c>
      <c r="K86" s="138"/>
      <c r="L86" s="138"/>
      <c r="M86" s="138"/>
      <c r="N86" s="138"/>
      <c r="O86" s="138"/>
      <c r="P86" s="138"/>
      <c r="Q86" s="152"/>
      <c r="R86" s="138"/>
      <c r="S86" s="148"/>
      <c r="T86" s="148">
        <f>+SUM(E86:P86)</f>
        <v>0</v>
      </c>
      <c r="U86" s="164"/>
      <c r="V86" s="164"/>
      <c r="W86" s="164"/>
      <c r="X86" s="164"/>
      <c r="Y86" s="164"/>
      <c r="Z86" s="164"/>
      <c r="AA86" s="164"/>
      <c r="AB86" s="164"/>
      <c r="AC86" s="164"/>
      <c r="AE86" s="164"/>
      <c r="AF86" s="164"/>
      <c r="AG86" s="164"/>
      <c r="AH86" s="164"/>
      <c r="AI86" s="164"/>
      <c r="AJ86" s="164"/>
      <c r="AK86" s="164"/>
      <c r="AL86" s="164"/>
      <c r="AM86" s="164"/>
      <c r="AN86" s="164"/>
      <c r="AO86" s="164"/>
      <c r="AP86" s="164"/>
      <c r="AQ86" s="164"/>
      <c r="AR86" s="164"/>
      <c r="AS86" s="164"/>
      <c r="AT86" s="164"/>
      <c r="AU86" s="164"/>
      <c r="AV86" s="164"/>
      <c r="AW86" s="164"/>
      <c r="AX86" s="164"/>
    </row>
    <row r="87" spans="2:50" x14ac:dyDescent="0.25">
      <c r="B87" s="280"/>
      <c r="C87" s="138" t="s">
        <v>122</v>
      </c>
      <c r="D87" s="138">
        <f>COUNTIFS($I$3:$I$60,"&lt;&gt;",$D$3:$D$60,"AGRI")</f>
        <v>0</v>
      </c>
      <c r="E87" s="152"/>
      <c r="F87" s="138"/>
      <c r="G87" s="148">
        <f>COUNTIFS($I$3:$I$60,"&lt;&gt;",$F$3:$F$60,"SAS",$D$3:$D$60,"AGRI")</f>
        <v>0</v>
      </c>
      <c r="H87" s="138">
        <f>COUNTIFS($F$3:$F$60,"INDIVIDUEL",$D$3:$D$60,"AGRI",$I3:$I$60,"&lt;&gt;")</f>
        <v>0</v>
      </c>
      <c r="I87" s="138"/>
      <c r="J87" s="138"/>
      <c r="K87" s="138"/>
      <c r="L87" s="138"/>
      <c r="M87" s="138">
        <f>COUNTIFS($I$3:$I$60,"&lt;&gt;",$F$5:$F$62,"EARL")</f>
        <v>0</v>
      </c>
      <c r="N87" s="138">
        <f>COUNTIFS($I$3:$I$60,"&lt;&gt;",$F$5:$F$62,"ETA")</f>
        <v>0</v>
      </c>
      <c r="O87" s="138">
        <f>COUNTIFS($I$3:$I$60,"&lt;&gt;",$F$5:$F$62,"SCEA")</f>
        <v>0</v>
      </c>
      <c r="P87" s="138"/>
      <c r="Q87" s="152"/>
      <c r="R87" s="138"/>
      <c r="S87" s="148"/>
      <c r="T87" s="148">
        <f>+SUM(E87:P87)</f>
        <v>0</v>
      </c>
      <c r="U87" s="164"/>
      <c r="V87" s="164"/>
      <c r="W87" s="164"/>
      <c r="X87" s="164"/>
      <c r="Y87" s="164"/>
      <c r="Z87" s="164"/>
      <c r="AA87" s="164"/>
      <c r="AB87" s="164"/>
      <c r="AC87" s="164"/>
      <c r="AE87" s="164"/>
      <c r="AF87" s="164"/>
      <c r="AG87" s="164"/>
      <c r="AH87" s="164"/>
      <c r="AI87" s="164"/>
      <c r="AJ87" s="164"/>
      <c r="AK87" s="164"/>
      <c r="AL87" s="164"/>
      <c r="AM87" s="164"/>
      <c r="AN87" s="164"/>
      <c r="AO87" s="164"/>
      <c r="AP87" s="164"/>
      <c r="AQ87" s="164"/>
      <c r="AR87" s="164"/>
      <c r="AS87" s="164"/>
      <c r="AT87" s="164"/>
      <c r="AU87" s="164"/>
      <c r="AV87" s="164"/>
      <c r="AW87" s="164"/>
      <c r="AX87" s="164"/>
    </row>
    <row r="88" spans="2:50" x14ac:dyDescent="0.25">
      <c r="B88" s="280" t="s">
        <v>123</v>
      </c>
      <c r="C88" s="280"/>
      <c r="D88" s="138">
        <f t="shared" ref="D88:R88" si="8">+SUM(D85:D87)</f>
        <v>2</v>
      </c>
      <c r="E88" s="152">
        <f t="shared" si="8"/>
        <v>1</v>
      </c>
      <c r="F88" s="152">
        <f t="shared" si="8"/>
        <v>1</v>
      </c>
      <c r="G88" s="152">
        <f t="shared" si="8"/>
        <v>0</v>
      </c>
      <c r="H88" s="152">
        <f t="shared" si="8"/>
        <v>0</v>
      </c>
      <c r="I88" s="152">
        <f t="shared" si="8"/>
        <v>0</v>
      </c>
      <c r="J88" s="152">
        <f t="shared" si="8"/>
        <v>0</v>
      </c>
      <c r="K88" s="152">
        <f t="shared" si="8"/>
        <v>0</v>
      </c>
      <c r="L88" s="152">
        <f t="shared" si="8"/>
        <v>0</v>
      </c>
      <c r="M88" s="152">
        <f t="shared" si="8"/>
        <v>0</v>
      </c>
      <c r="N88" s="152">
        <f t="shared" si="8"/>
        <v>0</v>
      </c>
      <c r="O88" s="152">
        <f t="shared" si="8"/>
        <v>0</v>
      </c>
      <c r="P88" s="152">
        <f t="shared" si="8"/>
        <v>0</v>
      </c>
      <c r="Q88" s="152">
        <f t="shared" si="8"/>
        <v>0</v>
      </c>
      <c r="R88" s="152">
        <f t="shared" si="8"/>
        <v>0</v>
      </c>
      <c r="S88" s="156"/>
      <c r="T88" s="148">
        <f>+SUM(T85:T87)</f>
        <v>2</v>
      </c>
      <c r="U88" s="164"/>
      <c r="V88" s="164"/>
      <c r="W88" s="164"/>
      <c r="X88" s="164"/>
      <c r="Y88" s="164"/>
      <c r="Z88" s="164"/>
      <c r="AA88" s="164"/>
      <c r="AB88" s="164"/>
      <c r="AC88" s="164"/>
      <c r="AE88" s="164"/>
      <c r="AF88" s="164"/>
      <c r="AG88" s="164"/>
      <c r="AH88" s="164"/>
      <c r="AI88" s="164"/>
      <c r="AJ88" s="164"/>
      <c r="AK88" s="164"/>
      <c r="AL88" s="164"/>
      <c r="AM88" s="164"/>
      <c r="AN88" s="164"/>
      <c r="AO88" s="164"/>
      <c r="AP88" s="164"/>
      <c r="AQ88" s="164"/>
      <c r="AR88" s="164"/>
      <c r="AS88" s="164"/>
      <c r="AT88" s="164"/>
      <c r="AU88" s="164"/>
      <c r="AV88" s="164"/>
      <c r="AW88" s="164"/>
      <c r="AX88" s="164"/>
    </row>
    <row r="89" spans="2:50" x14ac:dyDescent="0.25">
      <c r="B89" s="137"/>
      <c r="C89" s="137"/>
      <c r="D89" s="137"/>
      <c r="E89" s="137"/>
      <c r="F89" s="137"/>
      <c r="G89" s="137"/>
      <c r="H89" s="137"/>
      <c r="I89" s="137"/>
      <c r="J89" s="137"/>
      <c r="K89" s="137"/>
      <c r="L89" s="137"/>
      <c r="M89" s="137"/>
      <c r="N89" s="137"/>
      <c r="O89" s="137"/>
      <c r="P89" s="137"/>
      <c r="Q89" s="137"/>
      <c r="R89" s="137"/>
      <c r="S89" s="137"/>
      <c r="T89" s="137"/>
      <c r="U89" s="164"/>
      <c r="V89" s="164"/>
      <c r="W89" s="164"/>
      <c r="X89" s="164"/>
      <c r="Y89" s="164"/>
      <c r="Z89" s="164"/>
      <c r="AA89" s="164"/>
      <c r="AB89" s="164"/>
      <c r="AC89" s="164"/>
      <c r="AE89" s="164"/>
      <c r="AF89" s="164"/>
      <c r="AG89" s="164"/>
      <c r="AH89" s="164"/>
      <c r="AI89" s="164"/>
      <c r="AJ89" s="164"/>
      <c r="AK89" s="164"/>
      <c r="AL89" s="164"/>
      <c r="AM89" s="164"/>
      <c r="AN89" s="164"/>
      <c r="AO89" s="164"/>
      <c r="AP89" s="164"/>
      <c r="AQ89" s="164"/>
      <c r="AR89" s="164"/>
      <c r="AS89" s="164"/>
      <c r="AT89" s="164"/>
      <c r="AU89" s="164"/>
      <c r="AV89" s="164"/>
      <c r="AW89" s="164"/>
      <c r="AX89" s="164"/>
    </row>
    <row r="90" spans="2:50" x14ac:dyDescent="0.25">
      <c r="B90" s="281">
        <v>44196</v>
      </c>
      <c r="C90" s="138"/>
      <c r="D90" s="138"/>
      <c r="E90" s="140" t="str">
        <f t="shared" ref="E90:R90" si="9">E65</f>
        <v>SARL</v>
      </c>
      <c r="F90" s="138" t="str">
        <f t="shared" si="9"/>
        <v>EURL</v>
      </c>
      <c r="G90" s="141" t="str">
        <f t="shared" si="9"/>
        <v>SAS</v>
      </c>
      <c r="H90" s="142" t="str">
        <f t="shared" si="9"/>
        <v>INDIVIDUEL</v>
      </c>
      <c r="I90" s="142" t="str">
        <f t="shared" si="9"/>
        <v>ASSOCIATION</v>
      </c>
      <c r="J90" s="240" t="str">
        <f t="shared" si="9"/>
        <v>PROFESSION LIBERALE</v>
      </c>
      <c r="K90" s="240" t="str">
        <f t="shared" si="9"/>
        <v>SNC</v>
      </c>
      <c r="L90" s="240" t="str">
        <f t="shared" si="9"/>
        <v>SCI</v>
      </c>
      <c r="M90" s="240" t="str">
        <f t="shared" si="9"/>
        <v>EARL</v>
      </c>
      <c r="N90" s="240" t="str">
        <f t="shared" si="9"/>
        <v>ETA</v>
      </c>
      <c r="O90" s="240" t="str">
        <f t="shared" si="9"/>
        <v>SCEA</v>
      </c>
      <c r="P90" s="240" t="str">
        <f t="shared" si="9"/>
        <v>GROUPEMENT</v>
      </c>
      <c r="Q90" s="138" t="str">
        <f t="shared" si="9"/>
        <v>EIRL</v>
      </c>
      <c r="R90" s="138" t="str">
        <f t="shared" si="9"/>
        <v>AUTRES</v>
      </c>
      <c r="S90" s="138"/>
      <c r="T90" s="240" t="s">
        <v>86</v>
      </c>
      <c r="U90" s="164"/>
      <c r="V90" s="164"/>
      <c r="W90" s="164"/>
      <c r="X90" s="164"/>
      <c r="Y90" s="164"/>
      <c r="Z90" s="164"/>
      <c r="AA90" s="164"/>
      <c r="AB90" s="164"/>
      <c r="AC90" s="164"/>
      <c r="AE90" s="164"/>
      <c r="AF90" s="164"/>
      <c r="AG90" s="164"/>
      <c r="AH90" s="164"/>
      <c r="AI90" s="164"/>
      <c r="AJ90" s="164"/>
      <c r="AK90" s="164"/>
      <c r="AL90" s="164"/>
      <c r="AM90" s="164"/>
      <c r="AN90" s="164"/>
      <c r="AO90" s="164"/>
      <c r="AP90" s="164"/>
      <c r="AQ90" s="164"/>
      <c r="AR90" s="164"/>
      <c r="AS90" s="164"/>
      <c r="AT90" s="164"/>
      <c r="AU90" s="164"/>
      <c r="AV90" s="164"/>
      <c r="AW90" s="164"/>
      <c r="AX90" s="164"/>
    </row>
    <row r="91" spans="2:50" x14ac:dyDescent="0.25">
      <c r="B91" s="280"/>
      <c r="C91" s="146" t="s">
        <v>109</v>
      </c>
      <c r="D91" s="138">
        <f>COUNTIFS($I$3:$I$60,"&lt;&gt;",$E$3:$E$60,DATE(Paramètres!A4,Paramètres!D15,Paramètres!C15),$D$3:$D$60,"ACS")</f>
        <v>2</v>
      </c>
      <c r="E91" s="147">
        <f>COUNTIFS($I$3:$I$60,"&lt;&gt;",$E$3:$E$60,DATE(Paramètres!A4,Paramètres!D15,Paramètres!C15),$F$3:$F$60,"SARL")</f>
        <v>1</v>
      </c>
      <c r="F91" s="138">
        <f>+COUNTIFS($I$3:$I$60,"&lt;&gt;",$E$3:$E$60,DATE(Paramètres!A4,Paramètres!D15,Paramètres!C15),$F$3:$F$60,"EURL")</f>
        <v>1</v>
      </c>
      <c r="G91" s="148">
        <f>COUNTIFS($I$3:$I$60,"&lt;&gt;",$E$3:$E$60,DATE(Paramètres!A4,Paramètres!D15,Paramètres!C15),$F$3:$F$60,"SAS",$D$3:$D$60,"ACS")</f>
        <v>0</v>
      </c>
      <c r="H91" s="138">
        <f>COUNTIFS($I$3:$I$60,"&lt;&gt;",$E$3:$E$60,DATE(Paramètres!A4,Paramètres!D15,Paramètres!C15),$F$3:$F$60,"INDIVIDUEL",$D$3:$D$60,"ACS")</f>
        <v>0</v>
      </c>
      <c r="I91" s="138">
        <f>+COUNTIFS($I$3:$I$60,"&lt;&gt;",$E$3:$E$60,DATE(Paramètres!A4,Paramètres!D15,Paramètres!C15),$F$3:$F$60,"ASSOCIATION")</f>
        <v>0</v>
      </c>
      <c r="J91" s="138"/>
      <c r="K91" s="138">
        <f>COUNTIFS($I$3:$I$60,"&lt;&gt;",$E$3:$E$60,DATE(Paramètres!A4,Paramètres!D15,Paramètres!C15),$F$3:$F$60,"SNC")</f>
        <v>0</v>
      </c>
      <c r="L91" s="138">
        <f>COUNTIFS($I$3:$I$60,"&lt;&gt;",$E$3:$E$60,DATE(Paramètres!A4,Paramètres!D15,Paramètres!C15),$F$3:$F$60,"SCI")</f>
        <v>0</v>
      </c>
      <c r="M91" s="149"/>
      <c r="N91" s="150"/>
      <c r="O91" s="151"/>
      <c r="P91" s="138">
        <f>COUNTIFS($I$3:$I$60,"&lt;&gt;",$E$3:$E$60,DATE(Paramètres!A4,Paramètres!D15,Paramètres!C15),$F$3:$F$60,"GROUPEMENT")</f>
        <v>0</v>
      </c>
      <c r="Q91" s="138">
        <f>COUNTIFS($I$3:$I$60,"&lt;&gt;",$E$3:$E$60,DATE(Paramètres!A4,Paramètres!D15,Paramètres!C15),$F$3:$F$60,"EIRL")</f>
        <v>0</v>
      </c>
      <c r="R91" s="138">
        <f>COUNTIFS($I$3:$I$60,"&lt;&gt;",$E$3:$E$60,DATE(Paramètres!A4,Paramètres!D15,Paramètres!C15),$F$3:$F$60,"AUTRES")</f>
        <v>0</v>
      </c>
      <c r="S91" s="138"/>
      <c r="T91" s="138">
        <f>+SUM(E91:P91)</f>
        <v>2</v>
      </c>
      <c r="U91" s="164"/>
      <c r="V91" s="164"/>
      <c r="W91" s="164"/>
      <c r="X91" s="164"/>
      <c r="Y91" s="164"/>
      <c r="Z91" s="164"/>
      <c r="AA91" s="164"/>
      <c r="AB91" s="164"/>
      <c r="AC91" s="164"/>
      <c r="AE91" s="164"/>
      <c r="AF91" s="164"/>
      <c r="AG91" s="164"/>
      <c r="AH91" s="164"/>
      <c r="AI91" s="164"/>
      <c r="AJ91" s="164"/>
      <c r="AK91" s="164"/>
      <c r="AL91" s="164"/>
      <c r="AM91" s="164"/>
      <c r="AN91" s="164"/>
      <c r="AO91" s="164"/>
      <c r="AP91" s="164"/>
      <c r="AQ91" s="164"/>
      <c r="AR91" s="164"/>
      <c r="AS91" s="164"/>
      <c r="AT91" s="164"/>
      <c r="AU91" s="164"/>
      <c r="AV91" s="164"/>
      <c r="AW91" s="164"/>
      <c r="AX91" s="164"/>
    </row>
    <row r="92" spans="2:50" x14ac:dyDescent="0.25">
      <c r="B92" s="280"/>
      <c r="C92" s="146" t="s">
        <v>121</v>
      </c>
      <c r="D92" s="138">
        <f>COUNTIFS($I$3:$I$60,"&lt;&gt;",$E$3:$E$60,DATE(Paramètres!A4,Paramètres!D15,Paramètres!C15),$D$3:$D$60,"BNC")</f>
        <v>0</v>
      </c>
      <c r="E92" s="153"/>
      <c r="F92" s="138"/>
      <c r="G92" s="154"/>
      <c r="H92" s="155"/>
      <c r="I92" s="151"/>
      <c r="J92" s="138">
        <f>COUNTIFS($I$3:$I$60,"&lt;&gt;",$E$3:$E$60,DATE(Paramètres!A4,Paramètres!D15,Paramètres!C15),$D$3:$D$60,"BNC")</f>
        <v>0</v>
      </c>
      <c r="K92" s="149"/>
      <c r="L92" s="150"/>
      <c r="M92" s="150"/>
      <c r="N92" s="150"/>
      <c r="O92" s="150"/>
      <c r="P92" s="151"/>
      <c r="Q92" s="138"/>
      <c r="R92" s="138"/>
      <c r="S92" s="138"/>
      <c r="T92" s="138">
        <f>+SUM(E92:P92)</f>
        <v>0</v>
      </c>
      <c r="U92" s="164"/>
      <c r="V92" s="164"/>
      <c r="W92" s="164"/>
      <c r="X92" s="164"/>
      <c r="Y92" s="164"/>
      <c r="Z92" s="164"/>
      <c r="AA92" s="164"/>
      <c r="AB92" s="164"/>
      <c r="AC92" s="164"/>
      <c r="AE92" s="164"/>
      <c r="AF92" s="164"/>
      <c r="AG92" s="164"/>
      <c r="AH92" s="164"/>
      <c r="AI92" s="164"/>
      <c r="AJ92" s="164"/>
      <c r="AK92" s="164"/>
      <c r="AL92" s="164"/>
      <c r="AM92" s="164"/>
      <c r="AN92" s="164"/>
      <c r="AO92" s="164"/>
      <c r="AP92" s="164"/>
      <c r="AQ92" s="164"/>
      <c r="AR92" s="164"/>
      <c r="AS92" s="164"/>
      <c r="AT92" s="164"/>
      <c r="AU92" s="164"/>
      <c r="AV92" s="164"/>
      <c r="AW92" s="164"/>
      <c r="AX92" s="164"/>
    </row>
    <row r="93" spans="2:50" x14ac:dyDescent="0.25">
      <c r="B93" s="280"/>
      <c r="C93" s="138" t="s">
        <v>122</v>
      </c>
      <c r="D93" s="138">
        <f>COUNTIFS($I$3:$I$60,"&lt;&gt;",$E$3:$E$60,DATE(Paramètres!A4,Paramètres!D15,Paramètres!C15),$D$3:$D$60,"AGRI")</f>
        <v>0</v>
      </c>
      <c r="E93" s="153"/>
      <c r="F93" s="138"/>
      <c r="G93" s="154">
        <f>COUNTIFS($I$3:$I$60,"&lt;&gt;",$E$3:$E$60,DATE(Paramètres!A4,Paramètres!D15,Paramètres!C15),$F$3:$F$60,"SAS",$D$3:$D$60,"AGRI")</f>
        <v>0</v>
      </c>
      <c r="H93" s="138">
        <f>COUNTIFS($I$3:$I$60,"&lt;&gt;",$E$3:$E$60,DATE(Paramètres!A4,Paramètres!D15,Paramètres!C15),$F$3:$F$60,"INDIVIDUEL",$D$3:$D$60,"AGRI")</f>
        <v>0</v>
      </c>
      <c r="I93" s="152"/>
      <c r="J93" s="149"/>
      <c r="K93" s="150"/>
      <c r="L93" s="151"/>
      <c r="M93" s="138">
        <f>COUNTIFS($I$3:$I$60,"&lt;&gt;",$AZ$3:$AZ$60,"X",$E$3:$E$60,DATE(Paramètres!A4,Paramètres!D15,Paramètres!C15),$F$3:$F$60,"EARL")</f>
        <v>0</v>
      </c>
      <c r="N93" s="138">
        <f>COUNTIFS($I$3:$I$60,"&lt;&gt;",$E$3:$E$60,DATE(Paramètres!A4,Paramètres!D15,Paramètres!C15),$F$3:$F$60,"ETA")</f>
        <v>0</v>
      </c>
      <c r="O93" s="138">
        <f>COUNTIFS($I$3:$I$60,"&lt;&gt;",$E$3:$E$60,DATE(Paramètres!A4,Paramètres!D15,Paramètres!C15),$F$3:$F$60,"SCEA")</f>
        <v>0</v>
      </c>
      <c r="P93" s="138"/>
      <c r="Q93" s="138"/>
      <c r="R93" s="138"/>
      <c r="S93" s="138"/>
      <c r="T93" s="138">
        <f>+SUM(E93:P93)</f>
        <v>0</v>
      </c>
      <c r="U93" s="164"/>
      <c r="V93" s="164"/>
      <c r="W93" s="164"/>
      <c r="X93" s="164"/>
      <c r="Y93" s="164"/>
      <c r="Z93" s="164"/>
      <c r="AA93" s="164"/>
      <c r="AB93" s="164"/>
      <c r="AC93" s="164"/>
      <c r="AE93" s="164"/>
      <c r="AF93" s="164"/>
      <c r="AG93" s="164"/>
      <c r="AH93" s="164"/>
      <c r="AI93" s="164"/>
      <c r="AJ93" s="164"/>
      <c r="AK93" s="164"/>
      <c r="AL93" s="164"/>
      <c r="AM93" s="164"/>
      <c r="AN93" s="164"/>
      <c r="AO93" s="164"/>
      <c r="AP93" s="164"/>
      <c r="AQ93" s="164"/>
      <c r="AR93" s="164"/>
      <c r="AS93" s="164"/>
      <c r="AT93" s="164"/>
      <c r="AU93" s="164"/>
      <c r="AV93" s="164"/>
      <c r="AW93" s="164"/>
      <c r="AX93" s="164"/>
    </row>
    <row r="94" spans="2:50" x14ac:dyDescent="0.25">
      <c r="B94" s="280" t="s">
        <v>123</v>
      </c>
      <c r="C94" s="280"/>
      <c r="D94" s="138">
        <f t="shared" ref="D94:R94" si="10">+SUM(D91:D93)</f>
        <v>2</v>
      </c>
      <c r="E94" s="152">
        <f t="shared" si="10"/>
        <v>1</v>
      </c>
      <c r="F94" s="152">
        <f t="shared" si="10"/>
        <v>1</v>
      </c>
      <c r="G94" s="152">
        <f t="shared" si="10"/>
        <v>0</v>
      </c>
      <c r="H94" s="152">
        <f t="shared" si="10"/>
        <v>0</v>
      </c>
      <c r="I94" s="152">
        <f t="shared" si="10"/>
        <v>0</v>
      </c>
      <c r="J94" s="152">
        <f t="shared" si="10"/>
        <v>0</v>
      </c>
      <c r="K94" s="152">
        <f t="shared" si="10"/>
        <v>0</v>
      </c>
      <c r="L94" s="152">
        <f t="shared" si="10"/>
        <v>0</v>
      </c>
      <c r="M94" s="152">
        <f t="shared" si="10"/>
        <v>0</v>
      </c>
      <c r="N94" s="152">
        <f t="shared" si="10"/>
        <v>0</v>
      </c>
      <c r="O94" s="152">
        <f t="shared" si="10"/>
        <v>0</v>
      </c>
      <c r="P94" s="152">
        <f t="shared" si="10"/>
        <v>0</v>
      </c>
      <c r="Q94" s="152">
        <f t="shared" si="10"/>
        <v>0</v>
      </c>
      <c r="R94" s="152">
        <f t="shared" si="10"/>
        <v>0</v>
      </c>
      <c r="S94" s="152"/>
      <c r="T94" s="138">
        <f>+SUM(T91:T93)</f>
        <v>2</v>
      </c>
      <c r="U94" s="164"/>
      <c r="V94" s="164"/>
      <c r="W94" s="164"/>
      <c r="X94" s="164"/>
      <c r="Y94" s="164"/>
      <c r="Z94" s="164"/>
      <c r="AA94" s="164"/>
      <c r="AB94" s="164"/>
      <c r="AC94" s="164"/>
      <c r="AE94" s="164"/>
      <c r="AF94" s="164"/>
      <c r="AG94" s="164"/>
      <c r="AH94" s="164"/>
      <c r="AI94" s="164"/>
      <c r="AJ94" s="164"/>
      <c r="AK94" s="164"/>
      <c r="AL94" s="164"/>
      <c r="AM94" s="164"/>
      <c r="AN94" s="164"/>
      <c r="AO94" s="164"/>
      <c r="AP94" s="164"/>
      <c r="AQ94" s="164"/>
      <c r="AR94" s="164"/>
      <c r="AS94" s="164"/>
      <c r="AT94" s="164"/>
      <c r="AU94" s="164"/>
      <c r="AV94" s="164"/>
      <c r="AW94" s="164"/>
      <c r="AX94" s="164"/>
    </row>
    <row r="95" spans="2:50" x14ac:dyDescent="0.25">
      <c r="B95" s="137"/>
      <c r="C95" s="137"/>
      <c r="D95" s="137"/>
      <c r="E95" s="137"/>
      <c r="F95" s="137"/>
      <c r="G95" s="137"/>
      <c r="H95" s="137"/>
      <c r="I95" s="137"/>
      <c r="J95" s="137"/>
      <c r="K95" s="137"/>
      <c r="L95" s="137"/>
      <c r="M95" s="137"/>
      <c r="N95" s="137"/>
      <c r="O95" s="137"/>
      <c r="P95" s="137"/>
      <c r="Q95" s="137"/>
      <c r="R95" s="137"/>
      <c r="S95" s="137"/>
      <c r="T95" s="137"/>
      <c r="U95" s="164"/>
      <c r="V95" s="164"/>
      <c r="W95" s="164"/>
      <c r="X95" s="164"/>
      <c r="Y95" s="164"/>
      <c r="Z95" s="164"/>
      <c r="AA95" s="164"/>
      <c r="AB95" s="164"/>
      <c r="AC95" s="164"/>
      <c r="AE95" s="164"/>
      <c r="AF95" s="164"/>
      <c r="AG95" s="164"/>
      <c r="AH95" s="164"/>
      <c r="AI95" s="164"/>
      <c r="AJ95" s="164"/>
      <c r="AK95" s="164"/>
      <c r="AL95" s="164"/>
      <c r="AM95" s="164"/>
      <c r="AN95" s="164"/>
      <c r="AO95" s="164"/>
      <c r="AP95" s="164"/>
      <c r="AQ95" s="164"/>
      <c r="AR95" s="164"/>
      <c r="AS95" s="164"/>
      <c r="AT95" s="164"/>
      <c r="AU95" s="164"/>
      <c r="AV95" s="164"/>
      <c r="AW95" s="164"/>
      <c r="AX95" s="164"/>
    </row>
    <row r="96" spans="2:50" x14ac:dyDescent="0.25">
      <c r="B96" s="280" t="s">
        <v>40</v>
      </c>
      <c r="C96" s="138"/>
      <c r="D96" s="138"/>
      <c r="E96" s="140" t="str">
        <f t="shared" ref="E96:R96" si="11">E65</f>
        <v>SARL</v>
      </c>
      <c r="F96" s="138" t="str">
        <f t="shared" si="11"/>
        <v>EURL</v>
      </c>
      <c r="G96" s="141" t="str">
        <f t="shared" si="11"/>
        <v>SAS</v>
      </c>
      <c r="H96" s="142" t="str">
        <f t="shared" si="11"/>
        <v>INDIVIDUEL</v>
      </c>
      <c r="I96" s="142" t="str">
        <f t="shared" si="11"/>
        <v>ASSOCIATION</v>
      </c>
      <c r="J96" s="240" t="str">
        <f t="shared" si="11"/>
        <v>PROFESSION LIBERALE</v>
      </c>
      <c r="K96" s="240" t="str">
        <f t="shared" si="11"/>
        <v>SNC</v>
      </c>
      <c r="L96" s="240" t="str">
        <f t="shared" si="11"/>
        <v>SCI</v>
      </c>
      <c r="M96" s="240" t="str">
        <f t="shared" si="11"/>
        <v>EARL</v>
      </c>
      <c r="N96" s="240" t="str">
        <f t="shared" si="11"/>
        <v>ETA</v>
      </c>
      <c r="O96" s="240" t="str">
        <f t="shared" si="11"/>
        <v>SCEA</v>
      </c>
      <c r="P96" s="240" t="str">
        <f t="shared" si="11"/>
        <v>GROUPEMENT</v>
      </c>
      <c r="Q96" s="138" t="str">
        <f t="shared" si="11"/>
        <v>EIRL</v>
      </c>
      <c r="R96" s="138" t="str">
        <f t="shared" si="11"/>
        <v>AUTRES</v>
      </c>
      <c r="S96" s="138"/>
      <c r="T96" s="240" t="s">
        <v>86</v>
      </c>
      <c r="U96" s="164"/>
      <c r="V96" s="164"/>
      <c r="W96" s="164"/>
      <c r="X96" s="164"/>
      <c r="Y96" s="164"/>
      <c r="Z96" s="164"/>
      <c r="AA96" s="164"/>
      <c r="AB96" s="164"/>
      <c r="AC96" s="164"/>
      <c r="AE96" s="164"/>
      <c r="AF96" s="164"/>
      <c r="AG96" s="164"/>
      <c r="AH96" s="164"/>
      <c r="AI96" s="164"/>
      <c r="AJ96" s="164"/>
      <c r="AK96" s="164"/>
      <c r="AL96" s="164"/>
      <c r="AM96" s="164"/>
      <c r="AN96" s="164"/>
      <c r="AO96" s="164"/>
      <c r="AP96" s="164"/>
      <c r="AQ96" s="164"/>
      <c r="AR96" s="164"/>
      <c r="AS96" s="164"/>
      <c r="AT96" s="164"/>
      <c r="AU96" s="164"/>
      <c r="AV96" s="164"/>
      <c r="AW96" s="164"/>
      <c r="AX96" s="164"/>
    </row>
    <row r="97" spans="2:50" x14ac:dyDescent="0.25">
      <c r="B97" s="280"/>
      <c r="C97" s="146" t="s">
        <v>109</v>
      </c>
      <c r="D97" s="138">
        <f>+D85-D91</f>
        <v>0</v>
      </c>
      <c r="E97" s="152">
        <f>+E85-E91</f>
        <v>0</v>
      </c>
      <c r="F97" s="152">
        <f t="shared" ref="F97:R97" si="12">+F85-F91</f>
        <v>0</v>
      </c>
      <c r="G97" s="152">
        <f t="shared" si="12"/>
        <v>0</v>
      </c>
      <c r="H97" s="152">
        <f t="shared" si="12"/>
        <v>0</v>
      </c>
      <c r="I97" s="152">
        <f t="shared" si="12"/>
        <v>0</v>
      </c>
      <c r="J97" s="152">
        <f t="shared" si="12"/>
        <v>0</v>
      </c>
      <c r="K97" s="152">
        <f t="shared" si="12"/>
        <v>0</v>
      </c>
      <c r="L97" s="152">
        <f t="shared" si="12"/>
        <v>0</v>
      </c>
      <c r="M97" s="152">
        <f t="shared" si="12"/>
        <v>0</v>
      </c>
      <c r="N97" s="152">
        <f t="shared" si="12"/>
        <v>0</v>
      </c>
      <c r="O97" s="152">
        <f t="shared" si="12"/>
        <v>0</v>
      </c>
      <c r="P97" s="152">
        <f t="shared" si="12"/>
        <v>0</v>
      </c>
      <c r="Q97" s="152">
        <f t="shared" si="12"/>
        <v>0</v>
      </c>
      <c r="R97" s="152">
        <f t="shared" si="12"/>
        <v>0</v>
      </c>
      <c r="S97" s="152"/>
      <c r="T97" s="138">
        <f>+SUM(E97:P97)</f>
        <v>0</v>
      </c>
      <c r="U97" s="164"/>
      <c r="V97" s="164"/>
      <c r="W97" s="164"/>
      <c r="X97" s="164"/>
      <c r="Y97" s="164"/>
      <c r="Z97" s="164"/>
      <c r="AA97" s="164"/>
      <c r="AB97" s="164"/>
      <c r="AC97" s="164"/>
      <c r="AE97" s="164"/>
      <c r="AF97" s="164"/>
      <c r="AG97" s="164"/>
      <c r="AH97" s="164"/>
      <c r="AI97" s="164"/>
      <c r="AJ97" s="164"/>
      <c r="AK97" s="164"/>
      <c r="AL97" s="164"/>
      <c r="AM97" s="164"/>
      <c r="AN97" s="164"/>
      <c r="AO97" s="164"/>
      <c r="AP97" s="164"/>
      <c r="AQ97" s="164"/>
      <c r="AR97" s="164"/>
      <c r="AS97" s="164"/>
      <c r="AT97" s="164"/>
      <c r="AU97" s="164"/>
      <c r="AV97" s="164"/>
      <c r="AW97" s="164"/>
      <c r="AX97" s="164"/>
    </row>
    <row r="98" spans="2:50" x14ac:dyDescent="0.25">
      <c r="B98" s="280"/>
      <c r="C98" s="146" t="s">
        <v>121</v>
      </c>
      <c r="D98" s="138">
        <f>+D86-D92</f>
        <v>0</v>
      </c>
      <c r="E98" s="138">
        <f t="shared" ref="E98:R100" si="13">+E86-E92</f>
        <v>0</v>
      </c>
      <c r="F98" s="138">
        <f t="shared" si="13"/>
        <v>0</v>
      </c>
      <c r="G98" s="138">
        <f t="shared" si="13"/>
        <v>0</v>
      </c>
      <c r="H98" s="138">
        <f t="shared" si="13"/>
        <v>0</v>
      </c>
      <c r="I98" s="138">
        <f t="shared" si="13"/>
        <v>0</v>
      </c>
      <c r="J98" s="138">
        <f t="shared" si="13"/>
        <v>0</v>
      </c>
      <c r="K98" s="138">
        <f t="shared" si="13"/>
        <v>0</v>
      </c>
      <c r="L98" s="138">
        <f t="shared" si="13"/>
        <v>0</v>
      </c>
      <c r="M98" s="138">
        <f t="shared" si="13"/>
        <v>0</v>
      </c>
      <c r="N98" s="138">
        <f t="shared" si="13"/>
        <v>0</v>
      </c>
      <c r="O98" s="138">
        <f t="shared" si="13"/>
        <v>0</v>
      </c>
      <c r="P98" s="138">
        <f t="shared" si="13"/>
        <v>0</v>
      </c>
      <c r="Q98" s="138">
        <f t="shared" si="13"/>
        <v>0</v>
      </c>
      <c r="R98" s="138">
        <f t="shared" si="13"/>
        <v>0</v>
      </c>
      <c r="S98" s="138"/>
      <c r="T98" s="138">
        <f>+SUM(E98:P98)</f>
        <v>0</v>
      </c>
      <c r="U98" s="164"/>
      <c r="V98" s="164"/>
      <c r="W98" s="164"/>
      <c r="X98" s="164"/>
      <c r="Y98" s="164"/>
      <c r="Z98" s="164"/>
      <c r="AA98" s="164"/>
      <c r="AB98" s="164"/>
      <c r="AC98" s="164"/>
      <c r="AE98" s="164"/>
      <c r="AF98" s="164"/>
      <c r="AG98" s="164"/>
      <c r="AH98" s="164"/>
      <c r="AI98" s="164"/>
      <c r="AJ98" s="164"/>
      <c r="AK98" s="164"/>
      <c r="AL98" s="164"/>
      <c r="AM98" s="164"/>
      <c r="AN98" s="164"/>
      <c r="AO98" s="164"/>
      <c r="AP98" s="164"/>
      <c r="AQ98" s="164"/>
      <c r="AR98" s="164"/>
      <c r="AS98" s="164"/>
      <c r="AT98" s="164"/>
      <c r="AU98" s="164"/>
      <c r="AV98" s="164"/>
      <c r="AW98" s="164"/>
      <c r="AX98" s="164"/>
    </row>
    <row r="99" spans="2:50" x14ac:dyDescent="0.25">
      <c r="B99" s="280"/>
      <c r="C99" s="138" t="s">
        <v>122</v>
      </c>
      <c r="D99" s="138">
        <f>+D87-D93</f>
        <v>0</v>
      </c>
      <c r="E99" s="138">
        <f t="shared" si="13"/>
        <v>0</v>
      </c>
      <c r="F99" s="138">
        <f t="shared" si="13"/>
        <v>0</v>
      </c>
      <c r="G99" s="138">
        <f t="shared" si="13"/>
        <v>0</v>
      </c>
      <c r="H99" s="138">
        <f t="shared" si="13"/>
        <v>0</v>
      </c>
      <c r="I99" s="138">
        <f t="shared" si="13"/>
        <v>0</v>
      </c>
      <c r="J99" s="138">
        <f t="shared" si="13"/>
        <v>0</v>
      </c>
      <c r="K99" s="138">
        <f t="shared" si="13"/>
        <v>0</v>
      </c>
      <c r="L99" s="138">
        <f t="shared" si="13"/>
        <v>0</v>
      </c>
      <c r="M99" s="138">
        <f t="shared" si="13"/>
        <v>0</v>
      </c>
      <c r="N99" s="138">
        <f t="shared" si="13"/>
        <v>0</v>
      </c>
      <c r="O99" s="138">
        <f t="shared" si="13"/>
        <v>0</v>
      </c>
      <c r="P99" s="138">
        <f t="shared" si="13"/>
        <v>0</v>
      </c>
      <c r="Q99" s="138">
        <f t="shared" si="13"/>
        <v>0</v>
      </c>
      <c r="R99" s="138">
        <f t="shared" si="13"/>
        <v>0</v>
      </c>
      <c r="S99" s="138"/>
      <c r="T99" s="138">
        <f>+SUM(E99:P99)</f>
        <v>0</v>
      </c>
      <c r="U99" s="164"/>
      <c r="V99" s="164"/>
      <c r="W99" s="164"/>
      <c r="X99" s="164"/>
      <c r="Y99" s="164"/>
      <c r="Z99" s="164"/>
      <c r="AA99" s="164"/>
      <c r="AB99" s="164"/>
      <c r="AC99" s="164"/>
      <c r="AE99" s="164"/>
      <c r="AF99" s="164"/>
      <c r="AG99" s="164"/>
      <c r="AH99" s="164"/>
      <c r="AI99" s="164"/>
      <c r="AJ99" s="164"/>
      <c r="AK99" s="164"/>
      <c r="AL99" s="164"/>
      <c r="AM99" s="164"/>
      <c r="AN99" s="164"/>
      <c r="AO99" s="164"/>
      <c r="AP99" s="164"/>
      <c r="AQ99" s="164"/>
      <c r="AR99" s="164"/>
      <c r="AS99" s="164"/>
      <c r="AT99" s="164"/>
      <c r="AU99" s="164"/>
      <c r="AV99" s="164"/>
      <c r="AW99" s="164"/>
      <c r="AX99" s="164"/>
    </row>
    <row r="100" spans="2:50" x14ac:dyDescent="0.25">
      <c r="B100" s="280" t="s">
        <v>123</v>
      </c>
      <c r="C100" s="280"/>
      <c r="D100" s="138">
        <f>+D88-D94</f>
        <v>0</v>
      </c>
      <c r="E100" s="138">
        <f t="shared" si="13"/>
        <v>0</v>
      </c>
      <c r="F100" s="138">
        <f t="shared" si="13"/>
        <v>0</v>
      </c>
      <c r="G100" s="138">
        <f t="shared" si="13"/>
        <v>0</v>
      </c>
      <c r="H100" s="138">
        <f t="shared" si="13"/>
        <v>0</v>
      </c>
      <c r="I100" s="138">
        <f t="shared" si="13"/>
        <v>0</v>
      </c>
      <c r="J100" s="138">
        <f t="shared" si="13"/>
        <v>0</v>
      </c>
      <c r="K100" s="138">
        <f t="shared" si="13"/>
        <v>0</v>
      </c>
      <c r="L100" s="138">
        <f t="shared" si="13"/>
        <v>0</v>
      </c>
      <c r="M100" s="138">
        <f t="shared" si="13"/>
        <v>0</v>
      </c>
      <c r="N100" s="138">
        <f t="shared" si="13"/>
        <v>0</v>
      </c>
      <c r="O100" s="138">
        <f t="shared" si="13"/>
        <v>0</v>
      </c>
      <c r="P100" s="138">
        <f t="shared" si="13"/>
        <v>0</v>
      </c>
      <c r="Q100" s="138">
        <f t="shared" si="13"/>
        <v>0</v>
      </c>
      <c r="R100" s="138">
        <f t="shared" si="13"/>
        <v>0</v>
      </c>
      <c r="S100" s="138"/>
      <c r="T100" s="138">
        <f>+SUM(T97:T99)</f>
        <v>0</v>
      </c>
      <c r="U100" s="164"/>
      <c r="V100" s="164"/>
      <c r="W100" s="164"/>
      <c r="X100" s="164"/>
      <c r="Y100" s="164"/>
      <c r="Z100" s="164"/>
      <c r="AA100" s="164"/>
      <c r="AB100" s="164"/>
      <c r="AC100" s="164"/>
      <c r="AE100" s="164"/>
      <c r="AF100" s="164"/>
      <c r="AG100" s="164"/>
      <c r="AH100" s="164"/>
      <c r="AI100" s="164"/>
      <c r="AJ100" s="164"/>
      <c r="AK100" s="164"/>
      <c r="AL100" s="164"/>
      <c r="AM100" s="164"/>
      <c r="AN100" s="164"/>
      <c r="AO100" s="164"/>
      <c r="AP100" s="164"/>
      <c r="AQ100" s="164"/>
      <c r="AR100" s="164"/>
      <c r="AS100" s="164"/>
      <c r="AT100" s="164"/>
      <c r="AU100" s="164"/>
      <c r="AV100" s="164"/>
      <c r="AW100" s="164"/>
      <c r="AX100" s="164"/>
    </row>
    <row r="101" spans="2:50" x14ac:dyDescent="0.25">
      <c r="U101" s="164"/>
      <c r="V101" s="164"/>
      <c r="W101" s="164"/>
      <c r="X101" s="164"/>
      <c r="Y101" s="164"/>
      <c r="Z101" s="164"/>
      <c r="AA101" s="164"/>
      <c r="AB101" s="164"/>
      <c r="AC101" s="164"/>
      <c r="AE101" s="164"/>
      <c r="AF101" s="164"/>
      <c r="AG101" s="164"/>
      <c r="AH101" s="164"/>
      <c r="AI101" s="164"/>
      <c r="AJ101" s="164"/>
      <c r="AK101" s="164"/>
      <c r="AL101" s="164"/>
      <c r="AM101" s="164"/>
      <c r="AN101" s="164"/>
      <c r="AO101" s="164"/>
      <c r="AP101" s="164"/>
      <c r="AQ101" s="164"/>
      <c r="AR101" s="164"/>
      <c r="AS101" s="164"/>
      <c r="AT101" s="164"/>
      <c r="AU101" s="164"/>
      <c r="AV101" s="164"/>
      <c r="AW101" s="164"/>
      <c r="AX101" s="164"/>
    </row>
    <row r="102" spans="2:50" x14ac:dyDescent="0.25">
      <c r="B102" s="89" t="s">
        <v>133</v>
      </c>
      <c r="U102" s="164"/>
      <c r="V102" s="164"/>
      <c r="W102" s="164"/>
      <c r="X102" s="164"/>
      <c r="Y102" s="164"/>
      <c r="Z102" s="164"/>
      <c r="AA102" s="164"/>
      <c r="AB102" s="164"/>
      <c r="AC102" s="164"/>
      <c r="AE102" s="164"/>
      <c r="AF102" s="164"/>
      <c r="AG102" s="164"/>
      <c r="AH102" s="164"/>
      <c r="AI102" s="164"/>
      <c r="AJ102" s="164"/>
      <c r="AK102" s="164"/>
      <c r="AL102" s="164"/>
      <c r="AM102" s="164"/>
      <c r="AN102" s="164"/>
      <c r="AO102" s="164"/>
      <c r="AP102" s="164"/>
      <c r="AQ102" s="164"/>
      <c r="AR102" s="164"/>
      <c r="AS102" s="164"/>
      <c r="AT102" s="164"/>
      <c r="AU102" s="164"/>
      <c r="AV102" s="164"/>
      <c r="AW102" s="164"/>
      <c r="AX102" s="164"/>
    </row>
    <row r="103" spans="2:50" x14ac:dyDescent="0.25">
      <c r="U103" s="164"/>
      <c r="V103" s="164"/>
      <c r="W103" s="164"/>
      <c r="X103" s="164"/>
      <c r="Y103" s="164"/>
      <c r="Z103" s="164"/>
      <c r="AA103" s="164"/>
      <c r="AB103" s="164"/>
      <c r="AC103" s="164"/>
      <c r="AE103" s="164"/>
      <c r="AF103" s="164"/>
      <c r="AG103" s="164"/>
      <c r="AH103" s="164"/>
      <c r="AI103" s="164"/>
      <c r="AJ103" s="164"/>
      <c r="AK103" s="164"/>
      <c r="AL103" s="164"/>
      <c r="AM103" s="164"/>
      <c r="AN103" s="164"/>
      <c r="AO103" s="164"/>
      <c r="AP103" s="164"/>
      <c r="AQ103" s="164"/>
      <c r="AR103" s="164"/>
      <c r="AS103" s="164"/>
      <c r="AT103" s="164"/>
      <c r="AU103" s="164"/>
      <c r="AV103" s="164"/>
      <c r="AW103" s="164"/>
      <c r="AX103" s="164"/>
    </row>
    <row r="104" spans="2:50" x14ac:dyDescent="0.25">
      <c r="B104" s="274" t="s">
        <v>120</v>
      </c>
      <c r="C104" s="122"/>
      <c r="D104" s="122"/>
      <c r="E104" s="157" t="str">
        <f t="shared" ref="E104:R104" si="14">E65</f>
        <v>SARL</v>
      </c>
      <c r="F104" s="121" t="str">
        <f t="shared" si="14"/>
        <v>EURL</v>
      </c>
      <c r="G104" s="158" t="str">
        <f t="shared" si="14"/>
        <v>SAS</v>
      </c>
      <c r="H104" s="158" t="str">
        <f t="shared" si="14"/>
        <v>INDIVIDUEL</v>
      </c>
      <c r="I104" s="158" t="str">
        <f t="shared" si="14"/>
        <v>ASSOCIATION</v>
      </c>
      <c r="J104" s="157" t="str">
        <f t="shared" si="14"/>
        <v>PROFESSION LIBERALE</v>
      </c>
      <c r="K104" s="157" t="str">
        <f t="shared" si="14"/>
        <v>SNC</v>
      </c>
      <c r="L104" s="157" t="str">
        <f t="shared" si="14"/>
        <v>SCI</v>
      </c>
      <c r="M104" s="157" t="str">
        <f t="shared" si="14"/>
        <v>EARL</v>
      </c>
      <c r="N104" s="157" t="str">
        <f t="shared" si="14"/>
        <v>ETA</v>
      </c>
      <c r="O104" s="157" t="str">
        <f t="shared" si="14"/>
        <v>SCEA</v>
      </c>
      <c r="P104" s="157" t="str">
        <f t="shared" si="14"/>
        <v>GROUPEMENT</v>
      </c>
      <c r="Q104" s="121" t="str">
        <f t="shared" si="14"/>
        <v>EIRL</v>
      </c>
      <c r="R104" s="121" t="str">
        <f t="shared" si="14"/>
        <v>AUTRES</v>
      </c>
      <c r="S104" s="121"/>
      <c r="T104" s="157" t="s">
        <v>86</v>
      </c>
      <c r="U104" s="164"/>
      <c r="V104" s="164"/>
      <c r="W104" s="164"/>
      <c r="X104" s="164"/>
      <c r="Y104" s="164"/>
      <c r="Z104" s="164"/>
      <c r="AA104" s="164"/>
      <c r="AB104" s="164"/>
      <c r="AC104" s="164"/>
      <c r="AE104" s="164"/>
      <c r="AF104" s="164"/>
      <c r="AG104" s="164"/>
      <c r="AH104" s="164"/>
      <c r="AI104" s="164"/>
      <c r="AJ104" s="164"/>
      <c r="AK104" s="164"/>
      <c r="AL104" s="164"/>
      <c r="AM104" s="164"/>
      <c r="AN104" s="164"/>
      <c r="AO104" s="164"/>
      <c r="AP104" s="164"/>
      <c r="AQ104" s="164"/>
      <c r="AR104" s="164"/>
      <c r="AS104" s="164"/>
      <c r="AT104" s="164"/>
      <c r="AU104" s="164"/>
      <c r="AV104" s="164"/>
      <c r="AW104" s="164"/>
      <c r="AX104" s="164"/>
    </row>
    <row r="105" spans="2:50" x14ac:dyDescent="0.25">
      <c r="B105" s="275"/>
      <c r="C105" s="120" t="s">
        <v>109</v>
      </c>
      <c r="D105" s="122">
        <f>+D66-D85</f>
        <v>1</v>
      </c>
      <c r="E105" s="122">
        <f t="shared" ref="E105:R107" si="15">+E66-E85</f>
        <v>0</v>
      </c>
      <c r="F105" s="122">
        <f t="shared" si="15"/>
        <v>0</v>
      </c>
      <c r="G105" s="122">
        <f t="shared" si="15"/>
        <v>0</v>
      </c>
      <c r="H105" s="122">
        <f t="shared" si="15"/>
        <v>0</v>
      </c>
      <c r="I105" s="122">
        <f t="shared" si="15"/>
        <v>0</v>
      </c>
      <c r="J105" s="122">
        <f t="shared" si="15"/>
        <v>0</v>
      </c>
      <c r="K105" s="122">
        <f t="shared" si="15"/>
        <v>0</v>
      </c>
      <c r="L105" s="122">
        <f t="shared" si="15"/>
        <v>0</v>
      </c>
      <c r="M105" s="122">
        <f t="shared" si="15"/>
        <v>0</v>
      </c>
      <c r="N105" s="122">
        <f t="shared" si="15"/>
        <v>0</v>
      </c>
      <c r="O105" s="122">
        <f t="shared" si="15"/>
        <v>0</v>
      </c>
      <c r="P105" s="122">
        <f t="shared" si="15"/>
        <v>0</v>
      </c>
      <c r="Q105" s="122">
        <f t="shared" si="15"/>
        <v>1</v>
      </c>
      <c r="R105" s="122">
        <f t="shared" si="15"/>
        <v>0</v>
      </c>
      <c r="S105" s="122"/>
      <c r="T105" s="122">
        <f>+SUM(E105:P105)</f>
        <v>0</v>
      </c>
      <c r="U105" s="164"/>
      <c r="V105" s="164"/>
      <c r="W105" s="164"/>
      <c r="X105" s="164"/>
      <c r="Y105" s="164"/>
      <c r="Z105" s="164"/>
      <c r="AA105" s="164"/>
      <c r="AB105" s="164"/>
      <c r="AC105" s="164"/>
      <c r="AE105" s="164"/>
      <c r="AF105" s="164"/>
      <c r="AG105" s="164"/>
      <c r="AH105" s="164"/>
      <c r="AI105" s="164"/>
      <c r="AJ105" s="164"/>
      <c r="AK105" s="164"/>
      <c r="AL105" s="164"/>
      <c r="AM105" s="164"/>
      <c r="AN105" s="164"/>
      <c r="AO105" s="164"/>
      <c r="AP105" s="164"/>
      <c r="AQ105" s="164"/>
      <c r="AR105" s="164"/>
      <c r="AS105" s="164"/>
      <c r="AT105" s="164"/>
      <c r="AU105" s="164"/>
      <c r="AV105" s="164"/>
      <c r="AW105" s="164"/>
      <c r="AX105" s="164"/>
    </row>
    <row r="106" spans="2:50" x14ac:dyDescent="0.25">
      <c r="B106" s="275"/>
      <c r="C106" s="120" t="s">
        <v>121</v>
      </c>
      <c r="D106" s="122">
        <f>+D67-D86</f>
        <v>0</v>
      </c>
      <c r="E106" s="122">
        <f t="shared" si="15"/>
        <v>0</v>
      </c>
      <c r="F106" s="122">
        <f t="shared" si="15"/>
        <v>0</v>
      </c>
      <c r="G106" s="122">
        <f t="shared" si="15"/>
        <v>0</v>
      </c>
      <c r="H106" s="122">
        <f t="shared" si="15"/>
        <v>0</v>
      </c>
      <c r="I106" s="122">
        <f t="shared" si="15"/>
        <v>0</v>
      </c>
      <c r="J106" s="122">
        <f t="shared" si="15"/>
        <v>0</v>
      </c>
      <c r="K106" s="122">
        <f t="shared" si="15"/>
        <v>0</v>
      </c>
      <c r="L106" s="122">
        <f t="shared" si="15"/>
        <v>0</v>
      </c>
      <c r="M106" s="122">
        <f t="shared" si="15"/>
        <v>0</v>
      </c>
      <c r="N106" s="122">
        <f t="shared" si="15"/>
        <v>0</v>
      </c>
      <c r="O106" s="122">
        <f t="shared" si="15"/>
        <v>0</v>
      </c>
      <c r="P106" s="122">
        <f t="shared" si="15"/>
        <v>0</v>
      </c>
      <c r="Q106" s="122">
        <f t="shared" si="15"/>
        <v>0</v>
      </c>
      <c r="R106" s="122">
        <f t="shared" si="15"/>
        <v>0</v>
      </c>
      <c r="S106" s="122"/>
      <c r="T106" s="122">
        <f>+SUM(E106:P106)</f>
        <v>0</v>
      </c>
      <c r="U106" s="164"/>
      <c r="V106" s="164"/>
      <c r="W106" s="164"/>
      <c r="X106" s="164"/>
      <c r="Y106" s="164"/>
      <c r="Z106" s="164"/>
      <c r="AA106" s="164"/>
      <c r="AB106" s="164"/>
      <c r="AC106" s="164"/>
      <c r="AE106" s="164"/>
      <c r="AF106" s="164"/>
      <c r="AG106" s="164"/>
      <c r="AH106" s="164"/>
      <c r="AI106" s="164"/>
      <c r="AJ106" s="164"/>
      <c r="AK106" s="164"/>
      <c r="AL106" s="164"/>
      <c r="AM106" s="164"/>
      <c r="AN106" s="164"/>
      <c r="AO106" s="164"/>
      <c r="AP106" s="164"/>
      <c r="AQ106" s="164"/>
      <c r="AR106" s="164"/>
      <c r="AS106" s="164"/>
      <c r="AT106" s="164"/>
      <c r="AU106" s="164"/>
      <c r="AV106" s="164"/>
      <c r="AW106" s="164"/>
      <c r="AX106" s="164"/>
    </row>
    <row r="107" spans="2:50" x14ac:dyDescent="0.25">
      <c r="B107" s="276"/>
      <c r="C107" s="122" t="s">
        <v>122</v>
      </c>
      <c r="D107" s="122">
        <f>+D68-D87</f>
        <v>0</v>
      </c>
      <c r="E107" s="122">
        <f t="shared" si="15"/>
        <v>0</v>
      </c>
      <c r="F107" s="122">
        <f t="shared" si="15"/>
        <v>0</v>
      </c>
      <c r="G107" s="122">
        <f t="shared" si="15"/>
        <v>0</v>
      </c>
      <c r="H107" s="122">
        <f t="shared" si="15"/>
        <v>0</v>
      </c>
      <c r="I107" s="122">
        <f t="shared" si="15"/>
        <v>0</v>
      </c>
      <c r="J107" s="122">
        <f t="shared" si="15"/>
        <v>0</v>
      </c>
      <c r="K107" s="122">
        <f t="shared" si="15"/>
        <v>0</v>
      </c>
      <c r="L107" s="122">
        <f t="shared" si="15"/>
        <v>0</v>
      </c>
      <c r="M107" s="122">
        <f t="shared" si="15"/>
        <v>0</v>
      </c>
      <c r="N107" s="122">
        <f t="shared" si="15"/>
        <v>0</v>
      </c>
      <c r="O107" s="122">
        <f t="shared" si="15"/>
        <v>0</v>
      </c>
      <c r="P107" s="122">
        <f t="shared" si="15"/>
        <v>0</v>
      </c>
      <c r="Q107" s="122">
        <f t="shared" si="15"/>
        <v>0</v>
      </c>
      <c r="R107" s="122">
        <f t="shared" si="15"/>
        <v>0</v>
      </c>
      <c r="S107" s="122"/>
      <c r="T107" s="122">
        <f>+SUM(E107:P107)</f>
        <v>0</v>
      </c>
      <c r="U107" s="164"/>
      <c r="V107" s="164"/>
      <c r="W107" s="164"/>
      <c r="X107" s="164"/>
      <c r="Y107" s="164"/>
      <c r="Z107" s="164"/>
      <c r="AA107" s="164"/>
      <c r="AB107" s="164"/>
      <c r="AC107" s="164"/>
      <c r="AE107" s="164"/>
      <c r="AF107" s="164"/>
      <c r="AG107" s="164"/>
      <c r="AH107" s="164"/>
      <c r="AI107" s="164"/>
      <c r="AJ107" s="164"/>
      <c r="AK107" s="164"/>
      <c r="AL107" s="164"/>
      <c r="AM107" s="164"/>
      <c r="AN107" s="164"/>
      <c r="AO107" s="164"/>
      <c r="AP107" s="164"/>
      <c r="AQ107" s="164"/>
      <c r="AR107" s="164"/>
      <c r="AS107" s="164"/>
      <c r="AT107" s="164"/>
      <c r="AU107" s="164"/>
      <c r="AV107" s="164"/>
      <c r="AW107" s="164"/>
      <c r="AX107" s="164"/>
    </row>
    <row r="108" spans="2:50" x14ac:dyDescent="0.25">
      <c r="B108" s="277" t="s">
        <v>123</v>
      </c>
      <c r="C108" s="277"/>
      <c r="D108" s="122">
        <f t="shared" ref="D108:R108" si="16">+SUM(D105:D107)</f>
        <v>1</v>
      </c>
      <c r="E108" s="122">
        <f t="shared" si="16"/>
        <v>0</v>
      </c>
      <c r="F108" s="122">
        <f t="shared" si="16"/>
        <v>0</v>
      </c>
      <c r="G108" s="122">
        <f t="shared" si="16"/>
        <v>0</v>
      </c>
      <c r="H108" s="122">
        <f t="shared" si="16"/>
        <v>0</v>
      </c>
      <c r="I108" s="122">
        <f t="shared" si="16"/>
        <v>0</v>
      </c>
      <c r="J108" s="122">
        <f t="shared" si="16"/>
        <v>0</v>
      </c>
      <c r="K108" s="122">
        <f t="shared" si="16"/>
        <v>0</v>
      </c>
      <c r="L108" s="122">
        <f t="shared" si="16"/>
        <v>0</v>
      </c>
      <c r="M108" s="122">
        <f t="shared" si="16"/>
        <v>0</v>
      </c>
      <c r="N108" s="122">
        <f t="shared" si="16"/>
        <v>0</v>
      </c>
      <c r="O108" s="122">
        <f t="shared" si="16"/>
        <v>0</v>
      </c>
      <c r="P108" s="122">
        <f t="shared" si="16"/>
        <v>0</v>
      </c>
      <c r="Q108" s="122">
        <f t="shared" si="16"/>
        <v>1</v>
      </c>
      <c r="R108" s="122">
        <f t="shared" si="16"/>
        <v>0</v>
      </c>
      <c r="S108" s="122"/>
      <c r="T108" s="122">
        <f>+SUM(T105:T107)</f>
        <v>0</v>
      </c>
      <c r="U108" s="164"/>
      <c r="V108" s="164"/>
      <c r="W108" s="164"/>
      <c r="X108" s="164"/>
      <c r="Y108" s="164"/>
      <c r="Z108" s="164"/>
      <c r="AA108" s="164"/>
      <c r="AB108" s="164"/>
      <c r="AC108" s="164"/>
      <c r="AE108" s="164"/>
      <c r="AF108" s="164"/>
      <c r="AG108" s="164"/>
      <c r="AH108" s="164"/>
      <c r="AI108" s="164"/>
      <c r="AJ108" s="164"/>
      <c r="AK108" s="164"/>
      <c r="AL108" s="164"/>
      <c r="AM108" s="164"/>
      <c r="AN108" s="164"/>
      <c r="AO108" s="164"/>
      <c r="AP108" s="164"/>
      <c r="AQ108" s="164"/>
      <c r="AR108" s="164"/>
      <c r="AS108" s="164"/>
      <c r="AT108" s="164"/>
      <c r="AU108" s="164"/>
      <c r="AV108" s="164"/>
      <c r="AW108" s="164"/>
      <c r="AX108" s="164"/>
    </row>
    <row r="109" spans="2:50" x14ac:dyDescent="0.25">
      <c r="B109" s="90"/>
      <c r="C109" s="90"/>
      <c r="D109" s="90"/>
      <c r="E109" s="90"/>
      <c r="G109" s="90"/>
      <c r="H109" s="90"/>
      <c r="I109" s="90"/>
      <c r="J109" s="90"/>
      <c r="K109" s="90"/>
      <c r="L109" s="90"/>
      <c r="M109" s="90"/>
      <c r="N109" s="90"/>
      <c r="O109" s="90"/>
      <c r="P109" s="90"/>
      <c r="T109" s="90"/>
      <c r="U109" s="164"/>
      <c r="V109" s="164"/>
      <c r="W109" s="164"/>
      <c r="X109" s="164"/>
      <c r="Y109" s="164"/>
      <c r="Z109" s="164"/>
      <c r="AA109" s="164"/>
      <c r="AB109" s="164"/>
      <c r="AC109" s="164"/>
      <c r="AE109" s="164"/>
      <c r="AF109" s="164"/>
      <c r="AG109" s="164"/>
      <c r="AH109" s="164"/>
      <c r="AI109" s="164"/>
      <c r="AJ109" s="164"/>
      <c r="AK109" s="164"/>
      <c r="AL109" s="164"/>
      <c r="AM109" s="164"/>
      <c r="AN109" s="164"/>
      <c r="AO109" s="164"/>
      <c r="AP109" s="164"/>
      <c r="AQ109" s="164"/>
      <c r="AR109" s="164"/>
      <c r="AS109" s="164"/>
      <c r="AT109" s="164"/>
      <c r="AU109" s="164"/>
      <c r="AV109" s="164"/>
      <c r="AW109" s="164"/>
      <c r="AX109" s="164"/>
    </row>
    <row r="110" spans="2:50" x14ac:dyDescent="0.25">
      <c r="B110" s="278">
        <v>44196</v>
      </c>
      <c r="C110" s="122"/>
      <c r="D110" s="122"/>
      <c r="E110" s="128" t="str">
        <f t="shared" ref="E110:R110" si="17">E65</f>
        <v>SARL</v>
      </c>
      <c r="F110" s="121" t="str">
        <f t="shared" si="17"/>
        <v>EURL</v>
      </c>
      <c r="G110" s="127" t="str">
        <f t="shared" si="17"/>
        <v>SAS</v>
      </c>
      <c r="H110" s="127" t="str">
        <f t="shared" si="17"/>
        <v>INDIVIDUEL</v>
      </c>
      <c r="I110" s="127" t="str">
        <f t="shared" si="17"/>
        <v>ASSOCIATION</v>
      </c>
      <c r="J110" s="128" t="str">
        <f t="shared" si="17"/>
        <v>PROFESSION LIBERALE</v>
      </c>
      <c r="K110" s="128" t="str">
        <f t="shared" si="17"/>
        <v>SNC</v>
      </c>
      <c r="L110" s="128" t="str">
        <f t="shared" si="17"/>
        <v>SCI</v>
      </c>
      <c r="M110" s="128" t="str">
        <f t="shared" si="17"/>
        <v>EARL</v>
      </c>
      <c r="N110" s="128" t="str">
        <f t="shared" si="17"/>
        <v>ETA</v>
      </c>
      <c r="O110" s="128" t="str">
        <f t="shared" si="17"/>
        <v>SCEA</v>
      </c>
      <c r="P110" s="128" t="str">
        <f t="shared" si="17"/>
        <v>GROUPEMENT</v>
      </c>
      <c r="Q110" s="128" t="str">
        <f t="shared" si="17"/>
        <v>EIRL</v>
      </c>
      <c r="R110" s="121" t="str">
        <f t="shared" si="17"/>
        <v>AUTRES</v>
      </c>
      <c r="S110" s="121"/>
      <c r="T110" s="128" t="s">
        <v>86</v>
      </c>
      <c r="U110" s="164"/>
      <c r="V110" s="164"/>
      <c r="W110" s="164"/>
      <c r="X110" s="164"/>
      <c r="Y110" s="164"/>
      <c r="Z110" s="164"/>
      <c r="AA110" s="164"/>
      <c r="AB110" s="164"/>
      <c r="AC110" s="164"/>
      <c r="AE110" s="164"/>
      <c r="AF110" s="164"/>
      <c r="AG110" s="164"/>
      <c r="AH110" s="164"/>
      <c r="AI110" s="164"/>
      <c r="AJ110" s="164"/>
      <c r="AK110" s="164"/>
      <c r="AL110" s="164"/>
      <c r="AM110" s="164"/>
      <c r="AN110" s="164"/>
      <c r="AO110" s="164"/>
      <c r="AP110" s="164"/>
      <c r="AQ110" s="164"/>
      <c r="AR110" s="164"/>
      <c r="AS110" s="164"/>
      <c r="AT110" s="164"/>
      <c r="AU110" s="164"/>
      <c r="AV110" s="164"/>
      <c r="AW110" s="164"/>
      <c r="AX110" s="164"/>
    </row>
    <row r="111" spans="2:50" x14ac:dyDescent="0.25">
      <c r="B111" s="275"/>
      <c r="C111" s="120" t="s">
        <v>109</v>
      </c>
      <c r="D111" s="122">
        <f>+D72-D91</f>
        <v>1</v>
      </c>
      <c r="E111" s="122">
        <f t="shared" ref="E111:R113" si="18">+E72-E91</f>
        <v>0</v>
      </c>
      <c r="F111" s="122">
        <f t="shared" si="18"/>
        <v>0</v>
      </c>
      <c r="G111" s="122">
        <f t="shared" si="18"/>
        <v>0</v>
      </c>
      <c r="H111" s="122">
        <f t="shared" si="18"/>
        <v>0</v>
      </c>
      <c r="I111" s="122">
        <f t="shared" si="18"/>
        <v>0</v>
      </c>
      <c r="J111" s="122">
        <f t="shared" si="18"/>
        <v>0</v>
      </c>
      <c r="K111" s="122">
        <f t="shared" si="18"/>
        <v>0</v>
      </c>
      <c r="L111" s="122">
        <f t="shared" si="18"/>
        <v>0</v>
      </c>
      <c r="M111" s="122">
        <f t="shared" si="18"/>
        <v>0</v>
      </c>
      <c r="N111" s="122">
        <f t="shared" si="18"/>
        <v>0</v>
      </c>
      <c r="O111" s="122">
        <f t="shared" si="18"/>
        <v>0</v>
      </c>
      <c r="P111" s="122">
        <f t="shared" si="18"/>
        <v>0</v>
      </c>
      <c r="Q111" s="122">
        <f t="shared" si="18"/>
        <v>1</v>
      </c>
      <c r="R111" s="122">
        <f t="shared" si="18"/>
        <v>0</v>
      </c>
      <c r="S111" s="122"/>
      <c r="T111" s="122">
        <f>+SUM(E111:P111)</f>
        <v>0</v>
      </c>
      <c r="U111" s="164"/>
      <c r="V111" s="164"/>
      <c r="W111" s="164"/>
      <c r="X111" s="164"/>
      <c r="Y111" s="164"/>
      <c r="Z111" s="164"/>
      <c r="AA111" s="164"/>
      <c r="AB111" s="164"/>
      <c r="AC111" s="164"/>
      <c r="AE111" s="164"/>
      <c r="AF111" s="164"/>
      <c r="AG111" s="164"/>
      <c r="AH111" s="164"/>
      <c r="AI111" s="164"/>
      <c r="AJ111" s="164"/>
      <c r="AK111" s="164"/>
      <c r="AL111" s="164"/>
      <c r="AM111" s="164"/>
      <c r="AN111" s="164"/>
      <c r="AO111" s="164"/>
      <c r="AP111" s="164"/>
      <c r="AQ111" s="164"/>
      <c r="AR111" s="164"/>
      <c r="AS111" s="164"/>
      <c r="AT111" s="164"/>
      <c r="AU111" s="164"/>
      <c r="AV111" s="164"/>
      <c r="AW111" s="164"/>
      <c r="AX111" s="164"/>
    </row>
    <row r="112" spans="2:50" x14ac:dyDescent="0.25">
      <c r="B112" s="275"/>
      <c r="C112" s="120" t="s">
        <v>121</v>
      </c>
      <c r="D112" s="122">
        <f>+D73-D92</f>
        <v>0</v>
      </c>
      <c r="E112" s="122">
        <f t="shared" si="18"/>
        <v>0</v>
      </c>
      <c r="F112" s="122">
        <f t="shared" si="18"/>
        <v>0</v>
      </c>
      <c r="G112" s="122">
        <f t="shared" si="18"/>
        <v>0</v>
      </c>
      <c r="H112" s="122">
        <f t="shared" si="18"/>
        <v>0</v>
      </c>
      <c r="I112" s="122">
        <f t="shared" si="18"/>
        <v>0</v>
      </c>
      <c r="J112" s="122">
        <f t="shared" si="18"/>
        <v>0</v>
      </c>
      <c r="K112" s="122">
        <f t="shared" si="18"/>
        <v>0</v>
      </c>
      <c r="L112" s="122">
        <f t="shared" si="18"/>
        <v>0</v>
      </c>
      <c r="M112" s="122">
        <f t="shared" si="18"/>
        <v>0</v>
      </c>
      <c r="N112" s="122">
        <f t="shared" si="18"/>
        <v>0</v>
      </c>
      <c r="O112" s="122">
        <f t="shared" si="18"/>
        <v>0</v>
      </c>
      <c r="P112" s="122">
        <f t="shared" si="18"/>
        <v>0</v>
      </c>
      <c r="Q112" s="122">
        <f t="shared" si="18"/>
        <v>0</v>
      </c>
      <c r="R112" s="122">
        <f t="shared" si="18"/>
        <v>0</v>
      </c>
      <c r="S112" s="122"/>
      <c r="T112" s="122">
        <f>+SUM(E112:P112)</f>
        <v>0</v>
      </c>
      <c r="U112" s="164"/>
      <c r="V112" s="164"/>
      <c r="W112" s="164"/>
      <c r="X112" s="164"/>
      <c r="Y112" s="164"/>
      <c r="Z112" s="164"/>
      <c r="AA112" s="164"/>
      <c r="AB112" s="164"/>
      <c r="AC112" s="164"/>
      <c r="AE112" s="164"/>
      <c r="AF112" s="164"/>
      <c r="AG112" s="164"/>
      <c r="AH112" s="164"/>
      <c r="AI112" s="164"/>
      <c r="AJ112" s="164"/>
      <c r="AK112" s="164"/>
      <c r="AL112" s="164"/>
      <c r="AM112" s="164"/>
      <c r="AN112" s="164"/>
      <c r="AO112" s="164"/>
      <c r="AP112" s="164"/>
      <c r="AQ112" s="164"/>
      <c r="AR112" s="164"/>
      <c r="AS112" s="164"/>
      <c r="AT112" s="164"/>
      <c r="AU112" s="164"/>
      <c r="AV112" s="164"/>
      <c r="AW112" s="164"/>
      <c r="AX112" s="164"/>
    </row>
    <row r="113" spans="2:50" x14ac:dyDescent="0.25">
      <c r="B113" s="276"/>
      <c r="C113" s="122" t="s">
        <v>122</v>
      </c>
      <c r="D113" s="122">
        <f>+D74-D93</f>
        <v>0</v>
      </c>
      <c r="E113" s="122">
        <f t="shared" si="18"/>
        <v>0</v>
      </c>
      <c r="F113" s="122">
        <f t="shared" si="18"/>
        <v>0</v>
      </c>
      <c r="G113" s="122">
        <f t="shared" si="18"/>
        <v>0</v>
      </c>
      <c r="H113" s="122">
        <f t="shared" si="18"/>
        <v>0</v>
      </c>
      <c r="I113" s="122">
        <f t="shared" si="18"/>
        <v>0</v>
      </c>
      <c r="J113" s="122">
        <f t="shared" si="18"/>
        <v>0</v>
      </c>
      <c r="K113" s="122">
        <f t="shared" si="18"/>
        <v>0</v>
      </c>
      <c r="L113" s="122">
        <f t="shared" si="18"/>
        <v>0</v>
      </c>
      <c r="M113" s="122">
        <f t="shared" si="18"/>
        <v>0</v>
      </c>
      <c r="N113" s="122">
        <f t="shared" si="18"/>
        <v>0</v>
      </c>
      <c r="O113" s="122">
        <f t="shared" si="18"/>
        <v>0</v>
      </c>
      <c r="P113" s="122">
        <f t="shared" si="18"/>
        <v>0</v>
      </c>
      <c r="Q113" s="122">
        <f t="shared" si="18"/>
        <v>0</v>
      </c>
      <c r="R113" s="122">
        <f t="shared" si="18"/>
        <v>0</v>
      </c>
      <c r="S113" s="122"/>
      <c r="T113" s="122">
        <f>+SUM(E113:P113)</f>
        <v>0</v>
      </c>
      <c r="U113" s="164"/>
      <c r="V113" s="164"/>
      <c r="W113" s="164"/>
      <c r="X113" s="164"/>
      <c r="Y113" s="164"/>
      <c r="Z113" s="164"/>
      <c r="AA113" s="164"/>
      <c r="AB113" s="164"/>
      <c r="AC113" s="164"/>
      <c r="AE113" s="164"/>
      <c r="AF113" s="164"/>
      <c r="AG113" s="164"/>
      <c r="AH113" s="164"/>
      <c r="AI113" s="164"/>
      <c r="AJ113" s="164"/>
      <c r="AK113" s="164"/>
      <c r="AL113" s="164"/>
      <c r="AM113" s="164"/>
      <c r="AN113" s="164"/>
      <c r="AO113" s="164"/>
      <c r="AP113" s="164"/>
      <c r="AQ113" s="164"/>
      <c r="AR113" s="164"/>
      <c r="AS113" s="164"/>
      <c r="AT113" s="164"/>
      <c r="AU113" s="164"/>
      <c r="AV113" s="164"/>
      <c r="AW113" s="164"/>
      <c r="AX113" s="164"/>
    </row>
    <row r="114" spans="2:50" x14ac:dyDescent="0.25">
      <c r="B114" s="277" t="s">
        <v>123</v>
      </c>
      <c r="C114" s="277"/>
      <c r="D114" s="122">
        <f t="shared" ref="D114:R114" si="19">+SUM(D111:D113)</f>
        <v>1</v>
      </c>
      <c r="E114" s="122">
        <f t="shared" si="19"/>
        <v>0</v>
      </c>
      <c r="F114" s="122">
        <f t="shared" si="19"/>
        <v>0</v>
      </c>
      <c r="G114" s="122">
        <f t="shared" si="19"/>
        <v>0</v>
      </c>
      <c r="H114" s="122">
        <f t="shared" si="19"/>
        <v>0</v>
      </c>
      <c r="I114" s="122">
        <f t="shared" si="19"/>
        <v>0</v>
      </c>
      <c r="J114" s="122">
        <f t="shared" si="19"/>
        <v>0</v>
      </c>
      <c r="K114" s="122">
        <f t="shared" si="19"/>
        <v>0</v>
      </c>
      <c r="L114" s="122">
        <f t="shared" si="19"/>
        <v>0</v>
      </c>
      <c r="M114" s="122">
        <f t="shared" si="19"/>
        <v>0</v>
      </c>
      <c r="N114" s="122">
        <f t="shared" si="19"/>
        <v>0</v>
      </c>
      <c r="O114" s="122">
        <f t="shared" si="19"/>
        <v>0</v>
      </c>
      <c r="P114" s="122">
        <f t="shared" si="19"/>
        <v>0</v>
      </c>
      <c r="Q114" s="122">
        <f t="shared" si="19"/>
        <v>1</v>
      </c>
      <c r="R114" s="122">
        <f t="shared" si="19"/>
        <v>0</v>
      </c>
      <c r="S114" s="122"/>
      <c r="T114" s="122">
        <f>+SUM(T111:T113)</f>
        <v>0</v>
      </c>
      <c r="U114" s="164"/>
      <c r="V114" s="164"/>
      <c r="W114" s="164"/>
      <c r="X114" s="164"/>
      <c r="Y114" s="164"/>
      <c r="Z114" s="164"/>
      <c r="AA114" s="164"/>
      <c r="AB114" s="164"/>
      <c r="AC114" s="164"/>
      <c r="AE114" s="164"/>
      <c r="AF114" s="164"/>
      <c r="AG114" s="164"/>
      <c r="AH114" s="164"/>
      <c r="AI114" s="164"/>
      <c r="AJ114" s="164"/>
      <c r="AK114" s="164"/>
      <c r="AL114" s="164"/>
      <c r="AM114" s="164"/>
      <c r="AN114" s="164"/>
      <c r="AO114" s="164"/>
      <c r="AP114" s="164"/>
      <c r="AQ114" s="164"/>
      <c r="AR114" s="164"/>
      <c r="AS114" s="164"/>
      <c r="AT114" s="164"/>
      <c r="AU114" s="164"/>
      <c r="AV114" s="164"/>
      <c r="AW114" s="164"/>
      <c r="AX114" s="164"/>
    </row>
    <row r="115" spans="2:50" x14ac:dyDescent="0.25">
      <c r="B115" s="90"/>
      <c r="C115" s="90"/>
      <c r="D115" s="90"/>
      <c r="E115" s="90"/>
      <c r="G115" s="90"/>
      <c r="H115" s="90"/>
      <c r="I115" s="90"/>
      <c r="J115" s="90"/>
      <c r="K115" s="90"/>
      <c r="L115" s="90"/>
      <c r="M115" s="90"/>
      <c r="N115" s="90"/>
      <c r="O115" s="90"/>
      <c r="P115" s="90"/>
      <c r="T115" s="90"/>
      <c r="U115" s="164"/>
      <c r="V115" s="164"/>
      <c r="W115" s="164"/>
      <c r="X115" s="164"/>
      <c r="Y115" s="164"/>
      <c r="Z115" s="164"/>
      <c r="AA115" s="164"/>
      <c r="AB115" s="164"/>
      <c r="AC115" s="164"/>
      <c r="AE115" s="164"/>
      <c r="AF115" s="164"/>
      <c r="AG115" s="164"/>
      <c r="AH115" s="164"/>
      <c r="AI115" s="164"/>
      <c r="AJ115" s="164"/>
      <c r="AK115" s="164"/>
      <c r="AL115" s="164"/>
      <c r="AM115" s="164"/>
      <c r="AN115" s="164"/>
      <c r="AO115" s="164"/>
      <c r="AP115" s="164"/>
      <c r="AQ115" s="164"/>
      <c r="AR115" s="164"/>
      <c r="AS115" s="164"/>
      <c r="AT115" s="164"/>
      <c r="AU115" s="164"/>
      <c r="AV115" s="164"/>
      <c r="AW115" s="164"/>
      <c r="AX115" s="164"/>
    </row>
    <row r="116" spans="2:50" x14ac:dyDescent="0.25">
      <c r="B116" s="278" t="s">
        <v>40</v>
      </c>
      <c r="C116" s="122"/>
      <c r="D116" s="122"/>
      <c r="E116" s="125" t="str">
        <f t="shared" ref="E116:R116" si="20">E65</f>
        <v>SARL</v>
      </c>
      <c r="F116" s="121" t="str">
        <f t="shared" si="20"/>
        <v>EURL</v>
      </c>
      <c r="G116" s="126" t="str">
        <f t="shared" si="20"/>
        <v>SAS</v>
      </c>
      <c r="H116" s="127" t="str">
        <f t="shared" si="20"/>
        <v>INDIVIDUEL</v>
      </c>
      <c r="I116" s="127" t="str">
        <f t="shared" si="20"/>
        <v>ASSOCIATION</v>
      </c>
      <c r="J116" s="128" t="str">
        <f t="shared" si="20"/>
        <v>PROFESSION LIBERALE</v>
      </c>
      <c r="K116" s="128" t="str">
        <f t="shared" si="20"/>
        <v>SNC</v>
      </c>
      <c r="L116" s="128" t="str">
        <f t="shared" si="20"/>
        <v>SCI</v>
      </c>
      <c r="M116" s="128" t="str">
        <f t="shared" si="20"/>
        <v>EARL</v>
      </c>
      <c r="N116" s="128" t="str">
        <f t="shared" si="20"/>
        <v>ETA</v>
      </c>
      <c r="O116" s="128" t="str">
        <f t="shared" si="20"/>
        <v>SCEA</v>
      </c>
      <c r="P116" s="128" t="str">
        <f t="shared" si="20"/>
        <v>GROUPEMENT</v>
      </c>
      <c r="Q116" s="128" t="str">
        <f t="shared" si="20"/>
        <v>EIRL</v>
      </c>
      <c r="R116" s="121" t="str">
        <f t="shared" si="20"/>
        <v>AUTRES</v>
      </c>
      <c r="S116" s="121"/>
      <c r="T116" s="128" t="s">
        <v>86</v>
      </c>
      <c r="U116" s="164"/>
      <c r="V116" s="164"/>
      <c r="W116" s="164"/>
      <c r="X116" s="164"/>
      <c r="Y116" s="164"/>
      <c r="Z116" s="164"/>
      <c r="AA116" s="164"/>
      <c r="AB116" s="164"/>
      <c r="AC116" s="164"/>
      <c r="AE116" s="164"/>
      <c r="AF116" s="164"/>
      <c r="AG116" s="164"/>
      <c r="AH116" s="164"/>
      <c r="AI116" s="164"/>
      <c r="AJ116" s="164"/>
      <c r="AK116" s="164"/>
      <c r="AL116" s="164"/>
      <c r="AM116" s="164"/>
      <c r="AN116" s="164"/>
      <c r="AO116" s="164"/>
      <c r="AP116" s="164"/>
      <c r="AQ116" s="164"/>
      <c r="AR116" s="164"/>
      <c r="AS116" s="164"/>
      <c r="AT116" s="164"/>
      <c r="AU116" s="164"/>
      <c r="AV116" s="164"/>
      <c r="AW116" s="164"/>
      <c r="AX116" s="164"/>
    </row>
    <row r="117" spans="2:50" x14ac:dyDescent="0.25">
      <c r="B117" s="275"/>
      <c r="C117" s="120" t="s">
        <v>109</v>
      </c>
      <c r="D117" s="122">
        <f>+D105-D111</f>
        <v>0</v>
      </c>
      <c r="E117" s="122">
        <f t="shared" ref="E117:R120" si="21">+E105-E111</f>
        <v>0</v>
      </c>
      <c r="F117" s="122">
        <f t="shared" si="21"/>
        <v>0</v>
      </c>
      <c r="G117" s="122">
        <f t="shared" si="21"/>
        <v>0</v>
      </c>
      <c r="H117" s="122">
        <f t="shared" si="21"/>
        <v>0</v>
      </c>
      <c r="I117" s="122">
        <f t="shared" si="21"/>
        <v>0</v>
      </c>
      <c r="J117" s="122">
        <f t="shared" si="21"/>
        <v>0</v>
      </c>
      <c r="K117" s="122">
        <f t="shared" si="21"/>
        <v>0</v>
      </c>
      <c r="L117" s="122">
        <f t="shared" si="21"/>
        <v>0</v>
      </c>
      <c r="M117" s="122">
        <f t="shared" si="21"/>
        <v>0</v>
      </c>
      <c r="N117" s="122">
        <f t="shared" si="21"/>
        <v>0</v>
      </c>
      <c r="O117" s="122">
        <f t="shared" si="21"/>
        <v>0</v>
      </c>
      <c r="P117" s="122">
        <f t="shared" si="21"/>
        <v>0</v>
      </c>
      <c r="Q117" s="122">
        <f t="shared" si="21"/>
        <v>0</v>
      </c>
      <c r="R117" s="122">
        <f t="shared" si="21"/>
        <v>0</v>
      </c>
      <c r="S117" s="122"/>
      <c r="T117" s="122">
        <f>+SUM(E117:P117)</f>
        <v>0</v>
      </c>
      <c r="U117" s="164"/>
      <c r="V117" s="164"/>
      <c r="W117" s="164"/>
      <c r="X117" s="164"/>
      <c r="Y117" s="164"/>
      <c r="Z117" s="164"/>
      <c r="AA117" s="164"/>
      <c r="AB117" s="164"/>
      <c r="AC117" s="164"/>
      <c r="AE117" s="164"/>
      <c r="AF117" s="164"/>
      <c r="AG117" s="164"/>
      <c r="AH117" s="164"/>
      <c r="AI117" s="164"/>
      <c r="AJ117" s="164"/>
      <c r="AK117" s="164"/>
      <c r="AL117" s="164"/>
      <c r="AM117" s="164"/>
      <c r="AN117" s="164"/>
      <c r="AO117" s="164"/>
      <c r="AP117" s="164"/>
      <c r="AQ117" s="164"/>
      <c r="AR117" s="164"/>
      <c r="AS117" s="164"/>
      <c r="AT117" s="164"/>
      <c r="AU117" s="164"/>
      <c r="AV117" s="164"/>
      <c r="AW117" s="164"/>
      <c r="AX117" s="164"/>
    </row>
    <row r="118" spans="2:50" x14ac:dyDescent="0.25">
      <c r="B118" s="275"/>
      <c r="C118" s="120" t="s">
        <v>121</v>
      </c>
      <c r="D118" s="122">
        <f>+D106-D112</f>
        <v>0</v>
      </c>
      <c r="E118" s="122">
        <f t="shared" si="21"/>
        <v>0</v>
      </c>
      <c r="F118" s="122">
        <f t="shared" si="21"/>
        <v>0</v>
      </c>
      <c r="G118" s="122">
        <f t="shared" si="21"/>
        <v>0</v>
      </c>
      <c r="H118" s="122">
        <f t="shared" si="21"/>
        <v>0</v>
      </c>
      <c r="I118" s="122">
        <f t="shared" si="21"/>
        <v>0</v>
      </c>
      <c r="J118" s="122">
        <f t="shared" si="21"/>
        <v>0</v>
      </c>
      <c r="K118" s="122">
        <f t="shared" si="21"/>
        <v>0</v>
      </c>
      <c r="L118" s="122">
        <f t="shared" si="21"/>
        <v>0</v>
      </c>
      <c r="M118" s="122">
        <f t="shared" si="21"/>
        <v>0</v>
      </c>
      <c r="N118" s="122">
        <f t="shared" si="21"/>
        <v>0</v>
      </c>
      <c r="O118" s="122">
        <f t="shared" si="21"/>
        <v>0</v>
      </c>
      <c r="P118" s="122">
        <f t="shared" si="21"/>
        <v>0</v>
      </c>
      <c r="Q118" s="122">
        <f t="shared" si="21"/>
        <v>0</v>
      </c>
      <c r="R118" s="122">
        <f t="shared" si="21"/>
        <v>0</v>
      </c>
      <c r="S118" s="122"/>
      <c r="T118" s="122">
        <f>+SUM(E118:P118)</f>
        <v>0</v>
      </c>
      <c r="U118" s="164"/>
      <c r="V118" s="164"/>
      <c r="W118" s="164"/>
      <c r="X118" s="164"/>
      <c r="Y118" s="164"/>
      <c r="Z118" s="164"/>
      <c r="AA118" s="164"/>
      <c r="AB118" s="164"/>
      <c r="AC118" s="164"/>
      <c r="AE118" s="164"/>
      <c r="AF118" s="164"/>
      <c r="AG118" s="164"/>
      <c r="AH118" s="164"/>
      <c r="AI118" s="164"/>
      <c r="AJ118" s="164"/>
      <c r="AK118" s="164"/>
      <c r="AL118" s="164"/>
      <c r="AM118" s="164"/>
      <c r="AN118" s="164"/>
      <c r="AO118" s="164"/>
      <c r="AP118" s="164"/>
      <c r="AQ118" s="164"/>
      <c r="AR118" s="164"/>
      <c r="AS118" s="164"/>
      <c r="AT118" s="164"/>
      <c r="AU118" s="164"/>
      <c r="AV118" s="164"/>
      <c r="AW118" s="164"/>
      <c r="AX118" s="164"/>
    </row>
    <row r="119" spans="2:50" x14ac:dyDescent="0.25">
      <c r="B119" s="276"/>
      <c r="C119" s="122" t="s">
        <v>122</v>
      </c>
      <c r="D119" s="122">
        <f>+D107-D113</f>
        <v>0</v>
      </c>
      <c r="E119" s="122">
        <f t="shared" si="21"/>
        <v>0</v>
      </c>
      <c r="F119" s="122">
        <f t="shared" si="21"/>
        <v>0</v>
      </c>
      <c r="G119" s="122">
        <f t="shared" si="21"/>
        <v>0</v>
      </c>
      <c r="H119" s="122">
        <f t="shared" si="21"/>
        <v>0</v>
      </c>
      <c r="I119" s="122">
        <f t="shared" si="21"/>
        <v>0</v>
      </c>
      <c r="J119" s="122">
        <f t="shared" si="21"/>
        <v>0</v>
      </c>
      <c r="K119" s="122">
        <f t="shared" si="21"/>
        <v>0</v>
      </c>
      <c r="L119" s="122">
        <f t="shared" si="21"/>
        <v>0</v>
      </c>
      <c r="M119" s="122">
        <f t="shared" si="21"/>
        <v>0</v>
      </c>
      <c r="N119" s="122">
        <f t="shared" si="21"/>
        <v>0</v>
      </c>
      <c r="O119" s="122">
        <f t="shared" si="21"/>
        <v>0</v>
      </c>
      <c r="P119" s="122">
        <f t="shared" si="21"/>
        <v>0</v>
      </c>
      <c r="Q119" s="122">
        <f t="shared" si="21"/>
        <v>0</v>
      </c>
      <c r="R119" s="122">
        <f t="shared" si="21"/>
        <v>0</v>
      </c>
      <c r="S119" s="122"/>
      <c r="T119" s="122">
        <f>+SUM(E119:P119)</f>
        <v>0</v>
      </c>
      <c r="U119" s="164"/>
      <c r="V119" s="164"/>
      <c r="W119" s="164"/>
      <c r="X119" s="164"/>
      <c r="Y119" s="164"/>
      <c r="Z119" s="164"/>
      <c r="AA119" s="164"/>
      <c r="AB119" s="164"/>
      <c r="AC119" s="164"/>
      <c r="AE119" s="164"/>
      <c r="AF119" s="164"/>
      <c r="AG119" s="164"/>
      <c r="AH119" s="164"/>
      <c r="AI119" s="164"/>
      <c r="AJ119" s="164"/>
      <c r="AK119" s="164"/>
      <c r="AL119" s="164"/>
      <c r="AM119" s="164"/>
      <c r="AN119" s="164"/>
      <c r="AO119" s="164"/>
      <c r="AP119" s="164"/>
      <c r="AQ119" s="164"/>
      <c r="AR119" s="164"/>
      <c r="AS119" s="164"/>
      <c r="AT119" s="164"/>
      <c r="AU119" s="164"/>
      <c r="AV119" s="164"/>
      <c r="AW119" s="164"/>
      <c r="AX119" s="164"/>
    </row>
    <row r="120" spans="2:50" x14ac:dyDescent="0.25">
      <c r="B120" s="277" t="s">
        <v>123</v>
      </c>
      <c r="C120" s="277"/>
      <c r="D120" s="122">
        <f>+D108-D114</f>
        <v>0</v>
      </c>
      <c r="E120" s="122">
        <f t="shared" si="21"/>
        <v>0</v>
      </c>
      <c r="F120" s="122">
        <f t="shared" si="21"/>
        <v>0</v>
      </c>
      <c r="G120" s="122">
        <f t="shared" si="21"/>
        <v>0</v>
      </c>
      <c r="H120" s="122">
        <f t="shared" si="21"/>
        <v>0</v>
      </c>
      <c r="I120" s="122">
        <f t="shared" si="21"/>
        <v>0</v>
      </c>
      <c r="J120" s="122">
        <f t="shared" si="21"/>
        <v>0</v>
      </c>
      <c r="K120" s="122">
        <f t="shared" si="21"/>
        <v>0</v>
      </c>
      <c r="L120" s="122">
        <f t="shared" si="21"/>
        <v>0</v>
      </c>
      <c r="M120" s="122">
        <f t="shared" si="21"/>
        <v>0</v>
      </c>
      <c r="N120" s="122">
        <f t="shared" si="21"/>
        <v>0</v>
      </c>
      <c r="O120" s="122">
        <f t="shared" si="21"/>
        <v>0</v>
      </c>
      <c r="P120" s="122">
        <f t="shared" si="21"/>
        <v>0</v>
      </c>
      <c r="Q120" s="122">
        <f t="shared" si="21"/>
        <v>0</v>
      </c>
      <c r="R120" s="122">
        <f t="shared" si="21"/>
        <v>0</v>
      </c>
      <c r="S120" s="122"/>
      <c r="T120" s="122">
        <f>+SUM(T117:T119)</f>
        <v>0</v>
      </c>
      <c r="U120" s="164"/>
      <c r="V120" s="164"/>
      <c r="W120" s="164"/>
      <c r="X120" s="164"/>
      <c r="Y120" s="164"/>
      <c r="Z120" s="164"/>
      <c r="AA120" s="164"/>
      <c r="AB120" s="164"/>
      <c r="AC120" s="164"/>
      <c r="AE120" s="164"/>
      <c r="AF120" s="164"/>
      <c r="AG120" s="164"/>
      <c r="AH120" s="164"/>
      <c r="AI120" s="164"/>
      <c r="AJ120" s="164"/>
      <c r="AK120" s="164"/>
      <c r="AL120" s="164"/>
      <c r="AM120" s="164"/>
      <c r="AN120" s="164"/>
      <c r="AO120" s="164"/>
      <c r="AP120" s="164"/>
      <c r="AQ120" s="164"/>
      <c r="AR120" s="164"/>
      <c r="AS120" s="164"/>
      <c r="AT120" s="164"/>
      <c r="AU120" s="164"/>
      <c r="AV120" s="164"/>
      <c r="AW120" s="164"/>
      <c r="AX120" s="164"/>
    </row>
    <row r="121" spans="2:50" x14ac:dyDescent="0.25">
      <c r="U121" s="164"/>
      <c r="V121" s="164"/>
      <c r="W121" s="164"/>
      <c r="X121" s="164"/>
      <c r="Y121" s="164"/>
      <c r="Z121" s="164"/>
      <c r="AA121" s="164"/>
      <c r="AB121" s="164"/>
      <c r="AC121" s="164"/>
      <c r="AE121" s="164"/>
      <c r="AF121" s="164"/>
      <c r="AG121" s="164"/>
      <c r="AH121" s="164"/>
      <c r="AI121" s="164"/>
      <c r="AJ121" s="164"/>
      <c r="AK121" s="164"/>
      <c r="AL121" s="164"/>
      <c r="AM121" s="164"/>
      <c r="AN121" s="164"/>
      <c r="AO121" s="164"/>
      <c r="AP121" s="164"/>
      <c r="AQ121" s="164"/>
      <c r="AR121" s="164"/>
      <c r="AS121" s="164"/>
      <c r="AT121" s="164"/>
      <c r="AU121" s="164"/>
      <c r="AV121" s="164"/>
      <c r="AW121" s="164"/>
      <c r="AX121" s="164"/>
    </row>
    <row r="122" spans="2:50" x14ac:dyDescent="0.25">
      <c r="U122" s="164"/>
      <c r="V122" s="164"/>
      <c r="W122" s="164"/>
      <c r="X122" s="164"/>
      <c r="Y122" s="164"/>
      <c r="Z122" s="164"/>
      <c r="AA122" s="164"/>
      <c r="AB122" s="164"/>
      <c r="AC122" s="164"/>
      <c r="AE122" s="164"/>
      <c r="AF122" s="164"/>
      <c r="AG122" s="164"/>
      <c r="AH122" s="164"/>
      <c r="AI122" s="164"/>
      <c r="AJ122" s="164"/>
      <c r="AK122" s="164"/>
      <c r="AL122" s="164"/>
      <c r="AM122" s="164"/>
      <c r="AN122" s="164"/>
      <c r="AO122" s="164"/>
      <c r="AP122" s="164"/>
      <c r="AQ122" s="164"/>
      <c r="AR122" s="164"/>
      <c r="AS122" s="164"/>
      <c r="AT122" s="164"/>
      <c r="AU122" s="164"/>
      <c r="AV122" s="164"/>
      <c r="AW122" s="164"/>
      <c r="AX122" s="164"/>
    </row>
    <row r="123" spans="2:50" x14ac:dyDescent="0.25">
      <c r="U123" s="164"/>
      <c r="V123" s="164"/>
      <c r="W123" s="164"/>
      <c r="X123" s="164"/>
      <c r="Y123" s="164"/>
      <c r="Z123" s="164"/>
      <c r="AA123" s="164"/>
      <c r="AB123" s="164"/>
      <c r="AC123" s="164"/>
      <c r="AE123" s="164"/>
      <c r="AF123" s="164"/>
      <c r="AG123" s="164"/>
      <c r="AH123" s="164"/>
      <c r="AI123" s="164"/>
      <c r="AJ123" s="164"/>
      <c r="AK123" s="164"/>
      <c r="AL123" s="164"/>
      <c r="AM123" s="164"/>
      <c r="AN123" s="164"/>
      <c r="AO123" s="164"/>
      <c r="AP123" s="164"/>
      <c r="AQ123" s="164"/>
      <c r="AR123" s="164"/>
      <c r="AS123" s="164"/>
      <c r="AT123" s="164"/>
      <c r="AU123" s="164"/>
      <c r="AV123" s="164"/>
      <c r="AW123" s="164"/>
      <c r="AX123" s="164"/>
    </row>
    <row r="124" spans="2:50" x14ac:dyDescent="0.25">
      <c r="U124" s="164"/>
      <c r="V124" s="164"/>
      <c r="W124" s="164"/>
      <c r="X124" s="164"/>
      <c r="Y124" s="164"/>
      <c r="Z124" s="164"/>
      <c r="AA124" s="164"/>
      <c r="AB124" s="164"/>
      <c r="AC124" s="164"/>
      <c r="AE124" s="164"/>
      <c r="AF124" s="164"/>
      <c r="AG124" s="164"/>
      <c r="AH124" s="164"/>
      <c r="AI124" s="164"/>
      <c r="AJ124" s="164"/>
      <c r="AK124" s="164"/>
      <c r="AL124" s="164"/>
      <c r="AM124" s="164"/>
      <c r="AN124" s="164"/>
      <c r="AO124" s="164"/>
      <c r="AP124" s="164"/>
      <c r="AQ124" s="164"/>
      <c r="AR124" s="164"/>
      <c r="AS124" s="164"/>
      <c r="AT124" s="164"/>
      <c r="AU124" s="164"/>
      <c r="AV124" s="164"/>
      <c r="AW124" s="164"/>
      <c r="AX124" s="164"/>
    </row>
    <row r="125" spans="2:50" x14ac:dyDescent="0.25">
      <c r="U125" s="164"/>
      <c r="V125" s="164"/>
      <c r="W125" s="164"/>
      <c r="X125" s="164"/>
      <c r="Y125" s="164"/>
      <c r="Z125" s="164"/>
      <c r="AA125" s="164"/>
      <c r="AB125" s="164"/>
      <c r="AC125" s="164"/>
      <c r="AE125" s="164"/>
      <c r="AF125" s="164"/>
      <c r="AG125" s="164"/>
      <c r="AH125" s="164"/>
      <c r="AI125" s="164"/>
      <c r="AJ125" s="164"/>
      <c r="AK125" s="164"/>
      <c r="AL125" s="164"/>
      <c r="AM125" s="164"/>
      <c r="AN125" s="164"/>
      <c r="AO125" s="164"/>
      <c r="AP125" s="164"/>
      <c r="AQ125" s="164"/>
      <c r="AR125" s="164"/>
      <c r="AS125" s="164"/>
      <c r="AT125" s="164"/>
      <c r="AU125" s="164"/>
      <c r="AV125" s="164"/>
      <c r="AW125" s="164"/>
      <c r="AX125" s="164"/>
    </row>
    <row r="126" spans="2:50" x14ac:dyDescent="0.25">
      <c r="U126" s="164"/>
      <c r="V126" s="164"/>
      <c r="W126" s="164"/>
      <c r="X126" s="164"/>
      <c r="Y126" s="164"/>
      <c r="Z126" s="164"/>
      <c r="AA126" s="164"/>
      <c r="AB126" s="164"/>
      <c r="AC126" s="164"/>
      <c r="AE126" s="164"/>
      <c r="AF126" s="164"/>
      <c r="AG126" s="164"/>
      <c r="AH126" s="164"/>
      <c r="AI126" s="164"/>
      <c r="AJ126" s="164"/>
      <c r="AK126" s="164"/>
      <c r="AL126" s="164"/>
      <c r="AM126" s="164"/>
      <c r="AN126" s="164"/>
      <c r="AO126" s="164"/>
      <c r="AP126" s="164"/>
      <c r="AQ126" s="164"/>
      <c r="AR126" s="164"/>
      <c r="AS126" s="164"/>
      <c r="AT126" s="164"/>
      <c r="AU126" s="164"/>
      <c r="AV126" s="164"/>
      <c r="AW126" s="164"/>
      <c r="AX126" s="164"/>
    </row>
    <row r="127" spans="2:50" x14ac:dyDescent="0.25">
      <c r="U127" s="164"/>
      <c r="V127" s="164"/>
      <c r="W127" s="164"/>
      <c r="X127" s="164"/>
      <c r="Y127" s="164"/>
      <c r="Z127" s="164"/>
      <c r="AA127" s="164"/>
      <c r="AB127" s="164"/>
      <c r="AC127" s="164"/>
      <c r="AE127" s="164"/>
      <c r="AF127" s="164"/>
      <c r="AG127" s="164"/>
      <c r="AH127" s="164"/>
      <c r="AI127" s="164"/>
      <c r="AJ127" s="164"/>
      <c r="AK127" s="164"/>
      <c r="AL127" s="164"/>
      <c r="AM127" s="164"/>
      <c r="AN127" s="164"/>
      <c r="AO127" s="164"/>
      <c r="AP127" s="164"/>
      <c r="AQ127" s="164"/>
      <c r="AR127" s="164"/>
      <c r="AS127" s="164"/>
      <c r="AT127" s="164"/>
      <c r="AU127" s="164"/>
      <c r="AV127" s="164"/>
      <c r="AW127" s="164"/>
      <c r="AX127" s="164"/>
    </row>
    <row r="128" spans="2:50" x14ac:dyDescent="0.25">
      <c r="U128" s="164"/>
      <c r="V128" s="164"/>
      <c r="W128" s="164"/>
      <c r="X128" s="164"/>
      <c r="Y128" s="164"/>
      <c r="Z128" s="164"/>
      <c r="AA128" s="164"/>
      <c r="AB128" s="164"/>
      <c r="AC128" s="164"/>
      <c r="AE128" s="164"/>
      <c r="AF128" s="164"/>
      <c r="AG128" s="164"/>
      <c r="AH128" s="164"/>
      <c r="AI128" s="164"/>
      <c r="AJ128" s="164"/>
      <c r="AK128" s="164"/>
      <c r="AL128" s="164"/>
      <c r="AM128" s="164"/>
      <c r="AN128" s="164"/>
      <c r="AO128" s="164"/>
      <c r="AP128" s="164"/>
      <c r="AQ128" s="164"/>
      <c r="AR128" s="164"/>
      <c r="AS128" s="164"/>
      <c r="AT128" s="164"/>
      <c r="AU128" s="164"/>
      <c r="AV128" s="164"/>
      <c r="AW128" s="164"/>
      <c r="AX128" s="164"/>
    </row>
    <row r="129" spans="21:50" x14ac:dyDescent="0.25">
      <c r="U129" s="164"/>
      <c r="V129" s="164"/>
      <c r="W129" s="164"/>
      <c r="X129" s="164"/>
      <c r="Y129" s="164"/>
      <c r="Z129" s="164"/>
      <c r="AA129" s="164"/>
      <c r="AB129" s="164"/>
      <c r="AC129" s="164"/>
      <c r="AE129" s="164"/>
      <c r="AF129" s="164"/>
      <c r="AG129" s="164"/>
      <c r="AH129" s="164"/>
      <c r="AI129" s="164"/>
      <c r="AJ129" s="164"/>
      <c r="AK129" s="164"/>
      <c r="AL129" s="164"/>
      <c r="AM129" s="164"/>
      <c r="AN129" s="164"/>
      <c r="AO129" s="164"/>
      <c r="AP129" s="164"/>
      <c r="AQ129" s="164"/>
      <c r="AR129" s="164"/>
      <c r="AS129" s="164"/>
      <c r="AT129" s="164"/>
      <c r="AU129" s="164"/>
      <c r="AV129" s="164"/>
      <c r="AW129" s="164"/>
      <c r="AX129" s="164"/>
    </row>
    <row r="130" spans="21:50" x14ac:dyDescent="0.25">
      <c r="U130" s="164"/>
      <c r="V130" s="164"/>
      <c r="W130" s="164"/>
      <c r="X130" s="164"/>
      <c r="Y130" s="164"/>
      <c r="Z130" s="164"/>
      <c r="AA130" s="164"/>
      <c r="AB130" s="164"/>
      <c r="AC130" s="164"/>
      <c r="AE130" s="164"/>
      <c r="AF130" s="164"/>
      <c r="AG130" s="164"/>
      <c r="AH130" s="164"/>
      <c r="AI130" s="164"/>
      <c r="AJ130" s="164"/>
      <c r="AK130" s="164"/>
      <c r="AL130" s="164"/>
      <c r="AM130" s="164"/>
      <c r="AN130" s="164"/>
      <c r="AO130" s="164"/>
      <c r="AP130" s="164"/>
      <c r="AQ130" s="164"/>
      <c r="AR130" s="164"/>
      <c r="AS130" s="164"/>
      <c r="AT130" s="164"/>
      <c r="AU130" s="164"/>
      <c r="AV130" s="164"/>
      <c r="AW130" s="164"/>
      <c r="AX130" s="164"/>
    </row>
    <row r="131" spans="21:50" x14ac:dyDescent="0.25">
      <c r="U131" s="164"/>
      <c r="V131" s="164"/>
      <c r="W131" s="164"/>
      <c r="X131" s="164"/>
      <c r="Y131" s="164"/>
      <c r="Z131" s="164"/>
      <c r="AA131" s="164"/>
      <c r="AB131" s="164"/>
      <c r="AC131" s="164"/>
      <c r="AE131" s="164"/>
      <c r="AF131" s="164"/>
      <c r="AG131" s="164"/>
      <c r="AH131" s="164"/>
      <c r="AI131" s="164"/>
      <c r="AJ131" s="164"/>
      <c r="AK131" s="164"/>
      <c r="AL131" s="164"/>
      <c r="AM131" s="164"/>
      <c r="AN131" s="164"/>
      <c r="AO131" s="164"/>
      <c r="AP131" s="164"/>
      <c r="AQ131" s="164"/>
      <c r="AR131" s="164"/>
      <c r="AS131" s="164"/>
      <c r="AT131" s="164"/>
      <c r="AU131" s="164"/>
      <c r="AV131" s="164"/>
      <c r="AW131" s="164"/>
      <c r="AX131" s="164"/>
    </row>
    <row r="132" spans="21:50" x14ac:dyDescent="0.25">
      <c r="U132" s="164"/>
      <c r="V132" s="164"/>
      <c r="W132" s="164"/>
      <c r="X132" s="164"/>
      <c r="Y132" s="164"/>
      <c r="Z132" s="164"/>
      <c r="AA132" s="164"/>
      <c r="AB132" s="164"/>
      <c r="AC132" s="164"/>
      <c r="AE132" s="164"/>
      <c r="AF132" s="164"/>
      <c r="AG132" s="164"/>
      <c r="AH132" s="164"/>
      <c r="AI132" s="164"/>
      <c r="AJ132" s="164"/>
      <c r="AK132" s="164"/>
      <c r="AL132" s="164"/>
      <c r="AM132" s="164"/>
      <c r="AN132" s="164"/>
      <c r="AO132" s="164"/>
      <c r="AP132" s="164"/>
      <c r="AQ132" s="164"/>
      <c r="AR132" s="164"/>
      <c r="AS132" s="164"/>
      <c r="AT132" s="164"/>
      <c r="AU132" s="164"/>
      <c r="AV132" s="164"/>
      <c r="AW132" s="164"/>
      <c r="AX132" s="164"/>
    </row>
    <row r="133" spans="21:50" x14ac:dyDescent="0.25">
      <c r="U133" s="164"/>
      <c r="V133" s="164"/>
      <c r="W133" s="164"/>
      <c r="X133" s="164"/>
      <c r="Y133" s="164"/>
      <c r="Z133" s="164"/>
      <c r="AA133" s="164"/>
      <c r="AB133" s="164"/>
      <c r="AC133" s="164"/>
      <c r="AE133" s="164"/>
      <c r="AF133" s="164"/>
      <c r="AG133" s="164"/>
      <c r="AH133" s="164"/>
      <c r="AI133" s="164"/>
      <c r="AJ133" s="164"/>
      <c r="AK133" s="164"/>
      <c r="AL133" s="164"/>
      <c r="AM133" s="164"/>
      <c r="AN133" s="164"/>
      <c r="AO133" s="164"/>
      <c r="AP133" s="164"/>
      <c r="AQ133" s="164"/>
      <c r="AR133" s="164"/>
      <c r="AS133" s="164"/>
      <c r="AT133" s="164"/>
      <c r="AU133" s="164"/>
      <c r="AV133" s="164"/>
      <c r="AW133" s="164"/>
      <c r="AX133" s="164"/>
    </row>
    <row r="134" spans="21:50" x14ac:dyDescent="0.25">
      <c r="U134" s="164"/>
      <c r="V134" s="164"/>
      <c r="W134" s="164"/>
      <c r="X134" s="164"/>
      <c r="Y134" s="164"/>
      <c r="Z134" s="164"/>
      <c r="AA134" s="164"/>
      <c r="AB134" s="164"/>
      <c r="AC134" s="164"/>
      <c r="AE134" s="164"/>
      <c r="AF134" s="164"/>
      <c r="AG134" s="164"/>
      <c r="AH134" s="164"/>
      <c r="AI134" s="164"/>
      <c r="AJ134" s="164"/>
      <c r="AK134" s="164"/>
      <c r="AL134" s="164"/>
      <c r="AM134" s="164"/>
      <c r="AN134" s="164"/>
      <c r="AO134" s="164"/>
      <c r="AP134" s="164"/>
      <c r="AQ134" s="164"/>
      <c r="AR134" s="164"/>
      <c r="AS134" s="164"/>
      <c r="AT134" s="164"/>
      <c r="AU134" s="164"/>
      <c r="AV134" s="164"/>
      <c r="AW134" s="164"/>
      <c r="AX134" s="164"/>
    </row>
    <row r="135" spans="21:50" x14ac:dyDescent="0.25">
      <c r="U135" s="164"/>
      <c r="V135" s="164"/>
      <c r="W135" s="164"/>
      <c r="X135" s="164"/>
      <c r="Y135" s="164"/>
      <c r="Z135" s="164"/>
      <c r="AA135" s="164"/>
      <c r="AB135" s="164"/>
      <c r="AC135" s="164"/>
      <c r="AE135" s="164"/>
      <c r="AF135" s="164"/>
      <c r="AG135" s="164"/>
      <c r="AH135" s="164"/>
      <c r="AI135" s="164"/>
      <c r="AJ135" s="164"/>
      <c r="AK135" s="164"/>
      <c r="AL135" s="164"/>
      <c r="AM135" s="164"/>
      <c r="AN135" s="164"/>
      <c r="AO135" s="164"/>
      <c r="AP135" s="164"/>
      <c r="AQ135" s="164"/>
      <c r="AR135" s="164"/>
      <c r="AS135" s="164"/>
      <c r="AT135" s="164"/>
      <c r="AU135" s="164"/>
      <c r="AV135" s="164"/>
      <c r="AW135" s="164"/>
      <c r="AX135" s="164"/>
    </row>
    <row r="136" spans="21:50" x14ac:dyDescent="0.25">
      <c r="U136" s="164"/>
      <c r="V136" s="164"/>
      <c r="W136" s="164"/>
      <c r="X136" s="164"/>
      <c r="Y136" s="164"/>
      <c r="Z136" s="164"/>
      <c r="AA136" s="164"/>
      <c r="AB136" s="164"/>
      <c r="AC136" s="164"/>
      <c r="AE136" s="164"/>
      <c r="AF136" s="164"/>
      <c r="AG136" s="164"/>
      <c r="AH136" s="164"/>
      <c r="AI136" s="164"/>
      <c r="AJ136" s="164"/>
      <c r="AK136" s="164"/>
      <c r="AL136" s="164"/>
      <c r="AM136" s="164"/>
      <c r="AN136" s="164"/>
      <c r="AO136" s="164"/>
      <c r="AP136" s="164"/>
      <c r="AQ136" s="164"/>
      <c r="AR136" s="164"/>
      <c r="AS136" s="164"/>
      <c r="AT136" s="164"/>
      <c r="AU136" s="164"/>
      <c r="AV136" s="164"/>
      <c r="AW136" s="164"/>
      <c r="AX136" s="164"/>
    </row>
    <row r="137" spans="21:50" x14ac:dyDescent="0.25">
      <c r="U137" s="164"/>
      <c r="V137" s="164"/>
      <c r="W137" s="164"/>
      <c r="X137" s="164"/>
      <c r="Y137" s="164"/>
      <c r="Z137" s="164"/>
      <c r="AA137" s="164"/>
      <c r="AB137" s="164"/>
      <c r="AC137" s="164"/>
      <c r="AE137" s="164"/>
      <c r="AF137" s="164"/>
      <c r="AG137" s="164"/>
      <c r="AH137" s="164"/>
      <c r="AI137" s="164"/>
      <c r="AJ137" s="164"/>
      <c r="AK137" s="164"/>
      <c r="AL137" s="164"/>
      <c r="AM137" s="164"/>
      <c r="AN137" s="164"/>
      <c r="AO137" s="164"/>
      <c r="AP137" s="164"/>
      <c r="AQ137" s="164"/>
      <c r="AR137" s="164"/>
      <c r="AS137" s="164"/>
      <c r="AT137" s="164"/>
      <c r="AU137" s="164"/>
      <c r="AV137" s="164"/>
      <c r="AW137" s="164"/>
      <c r="AX137" s="164"/>
    </row>
    <row r="138" spans="21:50" x14ac:dyDescent="0.25">
      <c r="U138" s="164"/>
      <c r="V138" s="164"/>
      <c r="W138" s="164"/>
      <c r="X138" s="164"/>
      <c r="Y138" s="164"/>
      <c r="Z138" s="164"/>
      <c r="AA138" s="164"/>
      <c r="AB138" s="164"/>
      <c r="AC138" s="164"/>
      <c r="AE138" s="164"/>
      <c r="AF138" s="164"/>
      <c r="AG138" s="164"/>
      <c r="AH138" s="164"/>
      <c r="AI138" s="164"/>
      <c r="AJ138" s="164"/>
      <c r="AK138" s="164"/>
      <c r="AL138" s="164"/>
      <c r="AM138" s="164"/>
      <c r="AN138" s="164"/>
      <c r="AO138" s="164"/>
      <c r="AP138" s="164"/>
      <c r="AQ138" s="164"/>
      <c r="AR138" s="164"/>
      <c r="AS138" s="164"/>
      <c r="AT138" s="164"/>
      <c r="AU138" s="164"/>
      <c r="AV138" s="164"/>
      <c r="AW138" s="164"/>
      <c r="AX138" s="164"/>
    </row>
    <row r="139" spans="21:50" x14ac:dyDescent="0.25">
      <c r="U139" s="164"/>
      <c r="V139" s="164"/>
      <c r="W139" s="164"/>
      <c r="X139" s="164"/>
      <c r="Y139" s="164"/>
      <c r="Z139" s="164"/>
      <c r="AA139" s="164"/>
      <c r="AB139" s="164"/>
      <c r="AC139" s="164"/>
      <c r="AE139" s="164"/>
      <c r="AF139" s="164"/>
      <c r="AG139" s="164"/>
      <c r="AH139" s="164"/>
      <c r="AI139" s="164"/>
      <c r="AJ139" s="164"/>
      <c r="AK139" s="164"/>
      <c r="AL139" s="164"/>
      <c r="AM139" s="164"/>
      <c r="AN139" s="164"/>
      <c r="AO139" s="164"/>
      <c r="AP139" s="164"/>
      <c r="AQ139" s="164"/>
      <c r="AR139" s="164"/>
      <c r="AS139" s="164"/>
      <c r="AT139" s="164"/>
      <c r="AU139" s="164"/>
      <c r="AV139" s="164"/>
      <c r="AW139" s="164"/>
      <c r="AX139" s="164"/>
    </row>
    <row r="140" spans="21:50" x14ac:dyDescent="0.25">
      <c r="U140" s="164"/>
      <c r="V140" s="164"/>
      <c r="W140" s="164"/>
      <c r="X140" s="164"/>
      <c r="Y140" s="164"/>
      <c r="Z140" s="164"/>
      <c r="AA140" s="164"/>
      <c r="AB140" s="164"/>
      <c r="AC140" s="164"/>
      <c r="AE140" s="164"/>
      <c r="AF140" s="164"/>
      <c r="AG140" s="164"/>
      <c r="AH140" s="164"/>
      <c r="AI140" s="164"/>
      <c r="AJ140" s="164"/>
      <c r="AK140" s="164"/>
      <c r="AL140" s="164"/>
      <c r="AM140" s="164"/>
      <c r="AN140" s="164"/>
      <c r="AO140" s="164"/>
      <c r="AP140" s="164"/>
      <c r="AQ140" s="164"/>
      <c r="AR140" s="164"/>
      <c r="AS140" s="164"/>
      <c r="AT140" s="164"/>
      <c r="AU140" s="164"/>
      <c r="AV140" s="164"/>
      <c r="AW140" s="164"/>
      <c r="AX140" s="164"/>
    </row>
    <row r="141" spans="21:50" x14ac:dyDescent="0.25">
      <c r="U141" s="164"/>
      <c r="V141" s="164"/>
      <c r="W141" s="164"/>
      <c r="X141" s="164"/>
      <c r="Y141" s="164"/>
      <c r="Z141" s="164"/>
      <c r="AA141" s="164"/>
      <c r="AB141" s="164"/>
      <c r="AC141" s="164"/>
      <c r="AE141" s="164"/>
      <c r="AF141" s="164"/>
      <c r="AG141" s="164"/>
      <c r="AH141" s="164"/>
      <c r="AI141" s="164"/>
      <c r="AJ141" s="164"/>
      <c r="AK141" s="164"/>
      <c r="AL141" s="164"/>
      <c r="AM141" s="164"/>
      <c r="AN141" s="164"/>
      <c r="AO141" s="164"/>
      <c r="AP141" s="164"/>
      <c r="AQ141" s="164"/>
      <c r="AR141" s="164"/>
      <c r="AS141" s="164"/>
      <c r="AT141" s="164"/>
      <c r="AU141" s="164"/>
      <c r="AV141" s="164"/>
      <c r="AW141" s="164"/>
      <c r="AX141" s="164"/>
    </row>
    <row r="142" spans="21:50" x14ac:dyDescent="0.25">
      <c r="U142" s="164"/>
      <c r="V142" s="164"/>
      <c r="W142" s="164"/>
      <c r="X142" s="164"/>
      <c r="Y142" s="164"/>
      <c r="Z142" s="164"/>
      <c r="AA142" s="164"/>
      <c r="AB142" s="164"/>
      <c r="AC142" s="164"/>
      <c r="AE142" s="164"/>
      <c r="AF142" s="164"/>
      <c r="AG142" s="164"/>
      <c r="AH142" s="164"/>
      <c r="AI142" s="164"/>
      <c r="AJ142" s="164"/>
      <c r="AK142" s="164"/>
      <c r="AL142" s="164"/>
      <c r="AM142" s="164"/>
      <c r="AN142" s="164"/>
      <c r="AO142" s="164"/>
      <c r="AP142" s="164"/>
      <c r="AQ142" s="164"/>
      <c r="AR142" s="164"/>
      <c r="AS142" s="164"/>
      <c r="AT142" s="164"/>
      <c r="AU142" s="164"/>
      <c r="AV142" s="164"/>
      <c r="AW142" s="164"/>
      <c r="AX142" s="164"/>
    </row>
    <row r="143" spans="21:50" x14ac:dyDescent="0.25">
      <c r="U143" s="164"/>
      <c r="V143" s="164"/>
      <c r="W143" s="164"/>
      <c r="X143" s="164"/>
      <c r="Y143" s="164"/>
      <c r="Z143" s="164"/>
      <c r="AA143" s="164"/>
      <c r="AB143" s="164"/>
      <c r="AC143" s="164"/>
      <c r="AE143" s="164"/>
      <c r="AF143" s="164"/>
      <c r="AG143" s="164"/>
      <c r="AH143" s="164"/>
      <c r="AI143" s="164"/>
      <c r="AJ143" s="164"/>
      <c r="AK143" s="164"/>
      <c r="AL143" s="164"/>
      <c r="AM143" s="164"/>
      <c r="AN143" s="164"/>
      <c r="AO143" s="164"/>
      <c r="AP143" s="164"/>
      <c r="AQ143" s="164"/>
      <c r="AR143" s="164"/>
      <c r="AS143" s="164"/>
      <c r="AT143" s="164"/>
      <c r="AU143" s="164"/>
      <c r="AV143" s="164"/>
      <c r="AW143" s="164"/>
      <c r="AX143" s="164"/>
    </row>
    <row r="144" spans="21:50" x14ac:dyDescent="0.25">
      <c r="U144" s="164"/>
      <c r="V144" s="164"/>
      <c r="W144" s="164"/>
      <c r="X144" s="164"/>
      <c r="Y144" s="164"/>
      <c r="Z144" s="164"/>
      <c r="AA144" s="164"/>
      <c r="AB144" s="164"/>
      <c r="AC144" s="164"/>
      <c r="AE144" s="164"/>
      <c r="AF144" s="164"/>
      <c r="AG144" s="164"/>
      <c r="AH144" s="164"/>
      <c r="AI144" s="164"/>
      <c r="AJ144" s="164"/>
      <c r="AK144" s="164"/>
      <c r="AL144" s="164"/>
      <c r="AM144" s="164"/>
      <c r="AN144" s="164"/>
      <c r="AO144" s="164"/>
      <c r="AP144" s="164"/>
      <c r="AQ144" s="164"/>
      <c r="AR144" s="164"/>
      <c r="AS144" s="164"/>
      <c r="AT144" s="164"/>
      <c r="AU144" s="164"/>
      <c r="AV144" s="164"/>
      <c r="AW144" s="164"/>
      <c r="AX144" s="164"/>
    </row>
    <row r="145" spans="21:50" x14ac:dyDescent="0.25">
      <c r="U145" s="164"/>
      <c r="V145" s="164"/>
      <c r="W145" s="164"/>
      <c r="X145" s="164"/>
      <c r="Y145" s="164"/>
      <c r="Z145" s="164"/>
      <c r="AA145" s="164"/>
      <c r="AB145" s="164"/>
      <c r="AC145" s="164"/>
      <c r="AE145" s="164"/>
      <c r="AF145" s="164"/>
      <c r="AG145" s="164"/>
      <c r="AH145" s="164"/>
      <c r="AI145" s="164"/>
      <c r="AJ145" s="164"/>
      <c r="AK145" s="164"/>
      <c r="AL145" s="164"/>
      <c r="AM145" s="164"/>
      <c r="AN145" s="164"/>
      <c r="AO145" s="164"/>
      <c r="AP145" s="164"/>
      <c r="AQ145" s="164"/>
      <c r="AR145" s="164"/>
      <c r="AS145" s="164"/>
      <c r="AT145" s="164"/>
      <c r="AU145" s="164"/>
      <c r="AV145" s="164"/>
      <c r="AW145" s="164"/>
      <c r="AX145" s="164"/>
    </row>
    <row r="146" spans="21:50" x14ac:dyDescent="0.25">
      <c r="U146" s="164"/>
      <c r="V146" s="164"/>
      <c r="W146" s="164"/>
      <c r="X146" s="164"/>
      <c r="Y146" s="164"/>
      <c r="Z146" s="164"/>
      <c r="AA146" s="164"/>
      <c r="AB146" s="164"/>
      <c r="AC146" s="164"/>
      <c r="AE146" s="164"/>
      <c r="AF146" s="164"/>
      <c r="AG146" s="164"/>
      <c r="AH146" s="164"/>
      <c r="AI146" s="164"/>
      <c r="AJ146" s="164"/>
      <c r="AK146" s="164"/>
      <c r="AL146" s="164"/>
      <c r="AM146" s="164"/>
      <c r="AN146" s="164"/>
      <c r="AO146" s="164"/>
      <c r="AP146" s="164"/>
      <c r="AQ146" s="164"/>
      <c r="AR146" s="164"/>
      <c r="AS146" s="164"/>
      <c r="AT146" s="164"/>
      <c r="AU146" s="164"/>
      <c r="AV146" s="164"/>
      <c r="AW146" s="164"/>
      <c r="AX146" s="164"/>
    </row>
    <row r="147" spans="21:50" x14ac:dyDescent="0.25">
      <c r="U147" s="164"/>
      <c r="V147" s="164"/>
      <c r="W147" s="164"/>
      <c r="X147" s="164"/>
      <c r="Y147" s="164"/>
      <c r="Z147" s="164"/>
      <c r="AA147" s="164"/>
      <c r="AB147" s="164"/>
      <c r="AC147" s="164"/>
      <c r="AE147" s="164"/>
      <c r="AF147" s="164"/>
      <c r="AG147" s="164"/>
      <c r="AH147" s="164"/>
      <c r="AI147" s="164"/>
      <c r="AJ147" s="164"/>
      <c r="AK147" s="164"/>
      <c r="AL147" s="164"/>
      <c r="AM147" s="164"/>
      <c r="AN147" s="164"/>
      <c r="AO147" s="164"/>
      <c r="AP147" s="164"/>
      <c r="AQ147" s="164"/>
      <c r="AR147" s="164"/>
      <c r="AS147" s="164"/>
      <c r="AT147" s="164"/>
      <c r="AU147" s="164"/>
      <c r="AV147" s="164"/>
      <c r="AW147" s="164"/>
      <c r="AX147" s="164"/>
    </row>
    <row r="148" spans="21:50" x14ac:dyDescent="0.25">
      <c r="U148" s="164"/>
      <c r="V148" s="164"/>
      <c r="W148" s="164"/>
      <c r="X148" s="164"/>
      <c r="Y148" s="164"/>
      <c r="Z148" s="164"/>
      <c r="AA148" s="164"/>
      <c r="AB148" s="164"/>
      <c r="AC148" s="164"/>
      <c r="AE148" s="164"/>
      <c r="AF148" s="164"/>
      <c r="AG148" s="164"/>
      <c r="AH148" s="164"/>
      <c r="AI148" s="164"/>
      <c r="AJ148" s="164"/>
      <c r="AK148" s="164"/>
      <c r="AL148" s="164"/>
      <c r="AM148" s="164"/>
      <c r="AN148" s="164"/>
      <c r="AO148" s="164"/>
      <c r="AP148" s="164"/>
      <c r="AQ148" s="164"/>
      <c r="AR148" s="164"/>
      <c r="AS148" s="164"/>
      <c r="AT148" s="164"/>
      <c r="AU148" s="164"/>
      <c r="AV148" s="164"/>
      <c r="AW148" s="164"/>
      <c r="AX148" s="164"/>
    </row>
    <row r="149" spans="21:50" x14ac:dyDescent="0.25">
      <c r="U149" s="164"/>
      <c r="V149" s="164"/>
      <c r="W149" s="164"/>
      <c r="X149" s="164"/>
      <c r="Y149" s="164"/>
      <c r="Z149" s="164"/>
      <c r="AA149" s="164"/>
      <c r="AB149" s="164"/>
      <c r="AC149" s="164"/>
      <c r="AE149" s="164"/>
      <c r="AF149" s="164"/>
      <c r="AG149" s="164"/>
      <c r="AH149" s="164"/>
      <c r="AI149" s="164"/>
      <c r="AJ149" s="164"/>
      <c r="AK149" s="164"/>
      <c r="AL149" s="164"/>
      <c r="AM149" s="164"/>
      <c r="AN149" s="164"/>
      <c r="AO149" s="164"/>
      <c r="AP149" s="164"/>
      <c r="AQ149" s="164"/>
      <c r="AR149" s="164"/>
      <c r="AS149" s="164"/>
      <c r="AT149" s="164"/>
      <c r="AU149" s="164"/>
      <c r="AV149" s="164"/>
      <c r="AW149" s="164"/>
      <c r="AX149" s="164"/>
    </row>
    <row r="150" spans="21:50" x14ac:dyDescent="0.25">
      <c r="U150" s="164"/>
      <c r="V150" s="164"/>
      <c r="W150" s="164"/>
      <c r="X150" s="164"/>
      <c r="Y150" s="164"/>
      <c r="Z150" s="164"/>
      <c r="AA150" s="164"/>
      <c r="AB150" s="164"/>
      <c r="AC150" s="164"/>
      <c r="AE150" s="164"/>
      <c r="AF150" s="164"/>
      <c r="AG150" s="164"/>
      <c r="AH150" s="164"/>
      <c r="AI150" s="164"/>
      <c r="AJ150" s="164"/>
      <c r="AK150" s="164"/>
      <c r="AL150" s="164"/>
      <c r="AM150" s="164"/>
      <c r="AN150" s="164"/>
      <c r="AO150" s="164"/>
      <c r="AP150" s="164"/>
      <c r="AQ150" s="164"/>
      <c r="AR150" s="164"/>
      <c r="AS150" s="164"/>
      <c r="AT150" s="164"/>
      <c r="AU150" s="164"/>
      <c r="AV150" s="164"/>
      <c r="AW150" s="164"/>
      <c r="AX150" s="164"/>
    </row>
    <row r="151" spans="21:50" x14ac:dyDescent="0.25">
      <c r="U151" s="164"/>
      <c r="V151" s="164"/>
      <c r="W151" s="164"/>
      <c r="X151" s="164"/>
      <c r="Y151" s="164"/>
      <c r="Z151" s="164"/>
      <c r="AA151" s="164"/>
      <c r="AB151" s="164"/>
      <c r="AC151" s="164"/>
      <c r="AE151" s="164"/>
      <c r="AF151" s="164"/>
      <c r="AG151" s="164"/>
      <c r="AH151" s="164"/>
      <c r="AI151" s="164"/>
      <c r="AJ151" s="164"/>
      <c r="AK151" s="164"/>
      <c r="AL151" s="164"/>
      <c r="AM151" s="164"/>
      <c r="AN151" s="164"/>
      <c r="AO151" s="164"/>
      <c r="AP151" s="164"/>
      <c r="AQ151" s="164"/>
      <c r="AR151" s="164"/>
      <c r="AS151" s="164"/>
      <c r="AT151" s="164"/>
      <c r="AU151" s="164"/>
      <c r="AV151" s="164"/>
      <c r="AW151" s="164"/>
      <c r="AX151" s="164"/>
    </row>
    <row r="152" spans="21:50" x14ac:dyDescent="0.25">
      <c r="U152" s="164"/>
      <c r="V152" s="164"/>
      <c r="W152" s="164"/>
      <c r="X152" s="164"/>
      <c r="Y152" s="164"/>
      <c r="Z152" s="164"/>
      <c r="AA152" s="164"/>
      <c r="AB152" s="164"/>
      <c r="AC152" s="164"/>
      <c r="AE152" s="164"/>
      <c r="AF152" s="164"/>
      <c r="AG152" s="164"/>
      <c r="AH152" s="164"/>
      <c r="AI152" s="164"/>
      <c r="AJ152" s="164"/>
      <c r="AK152" s="164"/>
      <c r="AL152" s="164"/>
      <c r="AM152" s="164"/>
      <c r="AN152" s="164"/>
      <c r="AO152" s="164"/>
      <c r="AP152" s="164"/>
      <c r="AQ152" s="164"/>
      <c r="AR152" s="164"/>
      <c r="AS152" s="164"/>
      <c r="AT152" s="164"/>
      <c r="AU152" s="164"/>
      <c r="AV152" s="164"/>
      <c r="AW152" s="164"/>
      <c r="AX152" s="164"/>
    </row>
    <row r="153" spans="21:50" x14ac:dyDescent="0.25">
      <c r="U153" s="164"/>
      <c r="V153" s="164"/>
      <c r="W153" s="164"/>
      <c r="X153" s="164"/>
      <c r="Y153" s="164"/>
      <c r="Z153" s="164"/>
      <c r="AA153" s="164"/>
      <c r="AB153" s="164"/>
      <c r="AC153" s="164"/>
      <c r="AE153" s="164"/>
      <c r="AF153" s="164"/>
      <c r="AG153" s="164"/>
      <c r="AH153" s="164"/>
      <c r="AI153" s="164"/>
      <c r="AJ153" s="164"/>
      <c r="AK153" s="164"/>
      <c r="AL153" s="164"/>
      <c r="AM153" s="164"/>
      <c r="AN153" s="164"/>
      <c r="AO153" s="164"/>
      <c r="AP153" s="164"/>
      <c r="AQ153" s="164"/>
      <c r="AR153" s="164"/>
      <c r="AS153" s="164"/>
      <c r="AT153" s="164"/>
      <c r="AU153" s="164"/>
      <c r="AV153" s="164"/>
      <c r="AW153" s="164"/>
      <c r="AX153" s="164"/>
    </row>
    <row r="154" spans="21:50" x14ac:dyDescent="0.25">
      <c r="U154" s="164"/>
      <c r="V154" s="164"/>
      <c r="W154" s="164"/>
      <c r="X154" s="164"/>
      <c r="Y154" s="164"/>
      <c r="Z154" s="164"/>
      <c r="AA154" s="164"/>
      <c r="AB154" s="164"/>
      <c r="AC154" s="164"/>
      <c r="AE154" s="164"/>
      <c r="AF154" s="164"/>
      <c r="AG154" s="164"/>
      <c r="AH154" s="164"/>
      <c r="AI154" s="164"/>
      <c r="AJ154" s="164"/>
      <c r="AK154" s="164"/>
      <c r="AL154" s="164"/>
      <c r="AM154" s="164"/>
      <c r="AN154" s="164"/>
      <c r="AO154" s="164"/>
      <c r="AP154" s="164"/>
      <c r="AQ154" s="164"/>
      <c r="AR154" s="164"/>
      <c r="AS154" s="164"/>
      <c r="AT154" s="164"/>
      <c r="AU154" s="164"/>
      <c r="AV154" s="164"/>
      <c r="AW154" s="164"/>
      <c r="AX154" s="164"/>
    </row>
    <row r="155" spans="21:50" x14ac:dyDescent="0.25">
      <c r="U155" s="164"/>
      <c r="V155" s="164"/>
      <c r="W155" s="164"/>
      <c r="X155" s="164"/>
      <c r="Y155" s="164"/>
      <c r="Z155" s="164"/>
      <c r="AA155" s="164"/>
      <c r="AB155" s="164"/>
      <c r="AC155" s="164"/>
      <c r="AE155" s="164"/>
      <c r="AF155" s="164"/>
      <c r="AG155" s="164"/>
      <c r="AH155" s="164"/>
      <c r="AI155" s="164"/>
      <c r="AJ155" s="164"/>
      <c r="AK155" s="164"/>
      <c r="AL155" s="164"/>
      <c r="AM155" s="164"/>
      <c r="AN155" s="164"/>
      <c r="AO155" s="164"/>
      <c r="AP155" s="164"/>
      <c r="AQ155" s="164"/>
      <c r="AR155" s="164"/>
      <c r="AS155" s="164"/>
      <c r="AT155" s="164"/>
      <c r="AU155" s="164"/>
      <c r="AV155" s="164"/>
      <c r="AW155" s="164"/>
      <c r="AX155" s="164"/>
    </row>
    <row r="156" spans="21:50" x14ac:dyDescent="0.25">
      <c r="U156" s="164"/>
      <c r="V156" s="164"/>
      <c r="W156" s="164"/>
      <c r="X156" s="164"/>
      <c r="Y156" s="164"/>
      <c r="Z156" s="164"/>
      <c r="AA156" s="164"/>
      <c r="AB156" s="164"/>
      <c r="AC156" s="164"/>
      <c r="AE156" s="164"/>
      <c r="AF156" s="164"/>
      <c r="AG156" s="164"/>
      <c r="AH156" s="164"/>
      <c r="AI156" s="164"/>
      <c r="AJ156" s="164"/>
      <c r="AK156" s="164"/>
      <c r="AL156" s="164"/>
      <c r="AM156" s="164"/>
      <c r="AN156" s="164"/>
      <c r="AO156" s="164"/>
      <c r="AP156" s="164"/>
      <c r="AQ156" s="164"/>
      <c r="AR156" s="164"/>
      <c r="AS156" s="164"/>
      <c r="AT156" s="164"/>
      <c r="AU156" s="164"/>
      <c r="AV156" s="164"/>
      <c r="AW156" s="164"/>
      <c r="AX156" s="164"/>
    </row>
    <row r="157" spans="21:50" x14ac:dyDescent="0.25">
      <c r="U157" s="164"/>
      <c r="V157" s="164"/>
      <c r="W157" s="164"/>
      <c r="X157" s="164"/>
      <c r="Y157" s="164"/>
      <c r="Z157" s="164"/>
      <c r="AA157" s="164"/>
      <c r="AB157" s="164"/>
      <c r="AC157" s="164"/>
      <c r="AE157" s="164"/>
      <c r="AF157" s="164"/>
      <c r="AG157" s="164"/>
      <c r="AH157" s="164"/>
      <c r="AI157" s="164"/>
      <c r="AJ157" s="164"/>
      <c r="AK157" s="164"/>
      <c r="AL157" s="164"/>
      <c r="AM157" s="164"/>
      <c r="AN157" s="164"/>
      <c r="AO157" s="164"/>
      <c r="AP157" s="164"/>
      <c r="AQ157" s="164"/>
      <c r="AR157" s="164"/>
      <c r="AS157" s="164"/>
      <c r="AT157" s="164"/>
      <c r="AU157" s="164"/>
      <c r="AV157" s="164"/>
      <c r="AW157" s="164"/>
      <c r="AX157" s="164"/>
    </row>
    <row r="158" spans="21:50" x14ac:dyDescent="0.25">
      <c r="U158" s="164"/>
      <c r="V158" s="164"/>
      <c r="W158" s="164"/>
      <c r="X158" s="164"/>
      <c r="Y158" s="164"/>
      <c r="Z158" s="164"/>
      <c r="AA158" s="164"/>
      <c r="AB158" s="164"/>
      <c r="AC158" s="164"/>
      <c r="AE158" s="164"/>
      <c r="AF158" s="164"/>
      <c r="AG158" s="164"/>
      <c r="AH158" s="164"/>
      <c r="AI158" s="164"/>
      <c r="AJ158" s="164"/>
      <c r="AK158" s="164"/>
      <c r="AL158" s="164"/>
      <c r="AM158" s="164"/>
      <c r="AN158" s="164"/>
      <c r="AO158" s="164"/>
      <c r="AP158" s="164"/>
      <c r="AQ158" s="164"/>
      <c r="AR158" s="164"/>
      <c r="AS158" s="164"/>
      <c r="AT158" s="164"/>
      <c r="AU158" s="164"/>
      <c r="AV158" s="164"/>
      <c r="AW158" s="164"/>
      <c r="AX158" s="164"/>
    </row>
    <row r="159" spans="21:50" x14ac:dyDescent="0.25">
      <c r="U159" s="164"/>
      <c r="V159" s="164"/>
      <c r="W159" s="164"/>
      <c r="X159" s="164"/>
      <c r="Y159" s="164"/>
      <c r="Z159" s="164"/>
      <c r="AA159" s="164"/>
      <c r="AB159" s="164"/>
      <c r="AC159" s="164"/>
      <c r="AE159" s="164"/>
      <c r="AF159" s="164"/>
      <c r="AG159" s="164"/>
      <c r="AH159" s="164"/>
      <c r="AI159" s="164"/>
      <c r="AJ159" s="164"/>
      <c r="AK159" s="164"/>
      <c r="AL159" s="164"/>
      <c r="AM159" s="164"/>
      <c r="AN159" s="164"/>
      <c r="AO159" s="164"/>
      <c r="AP159" s="164"/>
      <c r="AQ159" s="164"/>
      <c r="AR159" s="164"/>
      <c r="AS159" s="164"/>
      <c r="AT159" s="164"/>
      <c r="AU159" s="164"/>
      <c r="AV159" s="164"/>
      <c r="AW159" s="164"/>
      <c r="AX159" s="164"/>
    </row>
    <row r="160" spans="21:50" x14ac:dyDescent="0.25">
      <c r="U160" s="164"/>
      <c r="V160" s="164"/>
      <c r="W160" s="164"/>
      <c r="X160" s="164"/>
      <c r="Y160" s="164"/>
      <c r="Z160" s="164"/>
      <c r="AA160" s="164"/>
      <c r="AB160" s="164"/>
      <c r="AC160" s="164"/>
      <c r="AE160" s="164"/>
      <c r="AF160" s="164"/>
      <c r="AG160" s="164"/>
      <c r="AH160" s="164"/>
      <c r="AI160" s="164"/>
      <c r="AJ160" s="164"/>
      <c r="AK160" s="164"/>
      <c r="AL160" s="164"/>
      <c r="AM160" s="164"/>
      <c r="AN160" s="164"/>
      <c r="AO160" s="164"/>
      <c r="AP160" s="164"/>
      <c r="AQ160" s="164"/>
      <c r="AR160" s="164"/>
      <c r="AS160" s="164"/>
      <c r="AT160" s="164"/>
      <c r="AU160" s="164"/>
      <c r="AV160" s="164"/>
      <c r="AW160" s="164"/>
      <c r="AX160" s="164"/>
    </row>
    <row r="161" spans="21:50" x14ac:dyDescent="0.25">
      <c r="U161" s="164"/>
      <c r="V161" s="164"/>
      <c r="W161" s="164"/>
      <c r="X161" s="164"/>
      <c r="Y161" s="164"/>
      <c r="Z161" s="164"/>
      <c r="AA161" s="164"/>
      <c r="AB161" s="164"/>
      <c r="AC161" s="164"/>
      <c r="AE161" s="164"/>
      <c r="AF161" s="164"/>
      <c r="AG161" s="164"/>
      <c r="AH161" s="164"/>
      <c r="AI161" s="164"/>
      <c r="AJ161" s="164"/>
      <c r="AK161" s="164"/>
      <c r="AL161" s="164"/>
      <c r="AM161" s="164"/>
      <c r="AN161" s="164"/>
      <c r="AO161" s="164"/>
      <c r="AP161" s="164"/>
      <c r="AQ161" s="164"/>
      <c r="AR161" s="164"/>
      <c r="AS161" s="164"/>
      <c r="AT161" s="164"/>
      <c r="AU161" s="164"/>
      <c r="AV161" s="164"/>
      <c r="AW161" s="164"/>
      <c r="AX161" s="164"/>
    </row>
    <row r="162" spans="21:50" x14ac:dyDescent="0.25">
      <c r="U162" s="164"/>
      <c r="V162" s="164"/>
      <c r="W162" s="164"/>
      <c r="X162" s="164"/>
      <c r="Y162" s="164"/>
      <c r="Z162" s="164"/>
      <c r="AA162" s="164"/>
      <c r="AB162" s="164"/>
      <c r="AC162" s="164"/>
      <c r="AE162" s="164"/>
      <c r="AF162" s="164"/>
      <c r="AG162" s="164"/>
      <c r="AH162" s="164"/>
      <c r="AI162" s="164"/>
      <c r="AJ162" s="164"/>
      <c r="AK162" s="164"/>
      <c r="AL162" s="164"/>
      <c r="AM162" s="164"/>
      <c r="AN162" s="164"/>
      <c r="AO162" s="164"/>
      <c r="AP162" s="164"/>
      <c r="AQ162" s="164"/>
      <c r="AR162" s="164"/>
      <c r="AS162" s="164"/>
      <c r="AT162" s="164"/>
      <c r="AU162" s="164"/>
      <c r="AV162" s="164"/>
      <c r="AW162" s="164"/>
      <c r="AX162" s="164"/>
    </row>
    <row r="163" spans="21:50" x14ac:dyDescent="0.25">
      <c r="U163" s="164"/>
      <c r="V163" s="164"/>
      <c r="W163" s="164"/>
      <c r="X163" s="164"/>
      <c r="Y163" s="164"/>
      <c r="Z163" s="164"/>
      <c r="AA163" s="164"/>
      <c r="AB163" s="164"/>
      <c r="AC163" s="164"/>
      <c r="AE163" s="164"/>
      <c r="AF163" s="164"/>
      <c r="AG163" s="164"/>
      <c r="AH163" s="164"/>
      <c r="AI163" s="164"/>
      <c r="AJ163" s="164"/>
      <c r="AK163" s="164"/>
      <c r="AL163" s="164"/>
      <c r="AM163" s="164"/>
      <c r="AN163" s="164"/>
      <c r="AO163" s="164"/>
      <c r="AP163" s="164"/>
      <c r="AQ163" s="164"/>
      <c r="AR163" s="164"/>
      <c r="AS163" s="164"/>
      <c r="AT163" s="164"/>
      <c r="AU163" s="164"/>
      <c r="AV163" s="164"/>
      <c r="AW163" s="164"/>
      <c r="AX163" s="164"/>
    </row>
    <row r="164" spans="21:50" x14ac:dyDescent="0.25">
      <c r="U164" s="164"/>
      <c r="V164" s="164"/>
      <c r="W164" s="164"/>
      <c r="X164" s="164"/>
      <c r="Y164" s="164"/>
      <c r="Z164" s="164"/>
      <c r="AA164" s="164"/>
      <c r="AB164" s="164"/>
      <c r="AC164" s="164"/>
      <c r="AE164" s="164"/>
      <c r="AF164" s="164"/>
      <c r="AG164" s="164"/>
      <c r="AH164" s="164"/>
      <c r="AI164" s="164"/>
      <c r="AJ164" s="164"/>
      <c r="AK164" s="164"/>
      <c r="AL164" s="164"/>
      <c r="AM164" s="164"/>
      <c r="AN164" s="164"/>
      <c r="AO164" s="164"/>
      <c r="AP164" s="164"/>
      <c r="AQ164" s="164"/>
      <c r="AR164" s="164"/>
      <c r="AS164" s="164"/>
      <c r="AT164" s="164"/>
      <c r="AU164" s="164"/>
      <c r="AV164" s="164"/>
      <c r="AW164" s="164"/>
      <c r="AX164" s="164"/>
    </row>
    <row r="165" spans="21:50" x14ac:dyDescent="0.25">
      <c r="U165" s="164"/>
      <c r="V165" s="164"/>
      <c r="W165" s="164"/>
      <c r="X165" s="164"/>
      <c r="Y165" s="164"/>
      <c r="Z165" s="164"/>
      <c r="AA165" s="164"/>
      <c r="AB165" s="164"/>
      <c r="AC165" s="164"/>
      <c r="AE165" s="164"/>
      <c r="AF165" s="164"/>
      <c r="AG165" s="164"/>
      <c r="AH165" s="164"/>
      <c r="AI165" s="164"/>
      <c r="AJ165" s="164"/>
      <c r="AK165" s="164"/>
      <c r="AL165" s="164"/>
      <c r="AM165" s="164"/>
      <c r="AN165" s="164"/>
      <c r="AO165" s="164"/>
      <c r="AP165" s="164"/>
      <c r="AQ165" s="164"/>
      <c r="AR165" s="164"/>
      <c r="AS165" s="164"/>
      <c r="AT165" s="164"/>
      <c r="AU165" s="164"/>
      <c r="AV165" s="164"/>
      <c r="AW165" s="164"/>
      <c r="AX165" s="164"/>
    </row>
    <row r="166" spans="21:50" x14ac:dyDescent="0.25">
      <c r="U166" s="164"/>
      <c r="V166" s="164"/>
      <c r="W166" s="164"/>
      <c r="X166" s="164"/>
      <c r="Y166" s="164"/>
      <c r="Z166" s="164"/>
      <c r="AA166" s="164"/>
      <c r="AB166" s="164"/>
      <c r="AC166" s="164"/>
      <c r="AE166" s="164"/>
      <c r="AF166" s="164"/>
      <c r="AG166" s="164"/>
      <c r="AH166" s="164"/>
      <c r="AI166" s="164"/>
      <c r="AJ166" s="164"/>
      <c r="AK166" s="164"/>
      <c r="AL166" s="164"/>
      <c r="AM166" s="164"/>
      <c r="AN166" s="164"/>
      <c r="AO166" s="164"/>
      <c r="AP166" s="164"/>
      <c r="AQ166" s="164"/>
      <c r="AR166" s="164"/>
      <c r="AS166" s="164"/>
      <c r="AT166" s="164"/>
      <c r="AU166" s="164"/>
      <c r="AV166" s="164"/>
      <c r="AW166" s="164"/>
      <c r="AX166" s="164"/>
    </row>
    <row r="167" spans="21:50" x14ac:dyDescent="0.25">
      <c r="U167" s="164"/>
      <c r="V167" s="164"/>
      <c r="W167" s="164"/>
      <c r="X167" s="164"/>
      <c r="Y167" s="164"/>
      <c r="Z167" s="164"/>
      <c r="AA167" s="164"/>
      <c r="AB167" s="164"/>
      <c r="AC167" s="164"/>
      <c r="AE167" s="164"/>
      <c r="AF167" s="164"/>
      <c r="AG167" s="164"/>
      <c r="AH167" s="164"/>
      <c r="AI167" s="164"/>
      <c r="AJ167" s="164"/>
      <c r="AK167" s="164"/>
      <c r="AL167" s="164"/>
      <c r="AM167" s="164"/>
      <c r="AN167" s="164"/>
      <c r="AO167" s="164"/>
      <c r="AP167" s="164"/>
      <c r="AQ167" s="164"/>
      <c r="AR167" s="164"/>
      <c r="AS167" s="164"/>
      <c r="AT167" s="164"/>
      <c r="AU167" s="164"/>
      <c r="AV167" s="164"/>
      <c r="AW167" s="164"/>
      <c r="AX167" s="164"/>
    </row>
    <row r="168" spans="21:50" x14ac:dyDescent="0.25">
      <c r="U168" s="164"/>
      <c r="V168" s="164"/>
      <c r="W168" s="164"/>
      <c r="X168" s="164"/>
      <c r="Y168" s="164"/>
      <c r="Z168" s="164"/>
      <c r="AA168" s="164"/>
      <c r="AB168" s="164"/>
      <c r="AC168" s="164"/>
      <c r="AE168" s="164"/>
      <c r="AF168" s="164"/>
      <c r="AG168" s="164"/>
      <c r="AH168" s="164"/>
      <c r="AI168" s="164"/>
      <c r="AJ168" s="164"/>
      <c r="AK168" s="164"/>
      <c r="AL168" s="164"/>
      <c r="AM168" s="164"/>
      <c r="AN168" s="164"/>
      <c r="AO168" s="164"/>
      <c r="AP168" s="164"/>
      <c r="AQ168" s="164"/>
      <c r="AR168" s="164"/>
      <c r="AS168" s="164"/>
      <c r="AT168" s="164"/>
      <c r="AU168" s="164"/>
      <c r="AV168" s="164"/>
      <c r="AW168" s="164"/>
      <c r="AX168" s="164"/>
    </row>
    <row r="169" spans="21:50" x14ac:dyDescent="0.25">
      <c r="U169" s="164"/>
      <c r="V169" s="164"/>
      <c r="W169" s="164"/>
      <c r="X169" s="164"/>
      <c r="Y169" s="164"/>
      <c r="Z169" s="164"/>
      <c r="AA169" s="164"/>
      <c r="AB169" s="164"/>
      <c r="AC169" s="164"/>
      <c r="AE169" s="164"/>
      <c r="AF169" s="164"/>
      <c r="AG169" s="164"/>
      <c r="AH169" s="164"/>
      <c r="AI169" s="164"/>
      <c r="AJ169" s="164"/>
      <c r="AK169" s="164"/>
      <c r="AL169" s="164"/>
      <c r="AM169" s="164"/>
      <c r="AN169" s="164"/>
      <c r="AO169" s="164"/>
      <c r="AP169" s="164"/>
      <c r="AQ169" s="164"/>
      <c r="AR169" s="164"/>
      <c r="AS169" s="164"/>
      <c r="AT169" s="164"/>
      <c r="AU169" s="164"/>
      <c r="AV169" s="164"/>
      <c r="AW169" s="164"/>
      <c r="AX169" s="164"/>
    </row>
    <row r="170" spans="21:50" x14ac:dyDescent="0.25">
      <c r="U170" s="164"/>
      <c r="V170" s="164"/>
      <c r="W170" s="164"/>
      <c r="X170" s="164"/>
      <c r="Y170" s="164"/>
      <c r="Z170" s="164"/>
      <c r="AA170" s="164"/>
      <c r="AB170" s="164"/>
      <c r="AC170" s="164"/>
      <c r="AE170" s="164"/>
      <c r="AF170" s="164"/>
      <c r="AG170" s="164"/>
      <c r="AH170" s="164"/>
      <c r="AI170" s="164"/>
      <c r="AJ170" s="164"/>
      <c r="AK170" s="164"/>
      <c r="AL170" s="164"/>
      <c r="AM170" s="164"/>
      <c r="AN170" s="164"/>
      <c r="AO170" s="164"/>
      <c r="AP170" s="164"/>
      <c r="AQ170" s="164"/>
      <c r="AR170" s="164"/>
      <c r="AS170" s="164"/>
      <c r="AT170" s="164"/>
      <c r="AU170" s="164"/>
      <c r="AV170" s="164"/>
      <c r="AW170" s="164"/>
      <c r="AX170" s="164"/>
    </row>
    <row r="171" spans="21:50" x14ac:dyDescent="0.25">
      <c r="U171" s="164"/>
      <c r="V171" s="164"/>
      <c r="W171" s="164"/>
      <c r="X171" s="164"/>
      <c r="Y171" s="164"/>
      <c r="Z171" s="164"/>
      <c r="AA171" s="164"/>
      <c r="AB171" s="164"/>
      <c r="AC171" s="164"/>
      <c r="AE171" s="164"/>
      <c r="AF171" s="164"/>
      <c r="AG171" s="164"/>
      <c r="AH171" s="164"/>
      <c r="AI171" s="164"/>
      <c r="AJ171" s="164"/>
      <c r="AK171" s="164"/>
      <c r="AL171" s="164"/>
      <c r="AM171" s="164"/>
      <c r="AN171" s="164"/>
      <c r="AO171" s="164"/>
      <c r="AP171" s="164"/>
      <c r="AQ171" s="164"/>
      <c r="AR171" s="164"/>
      <c r="AS171" s="164"/>
      <c r="AT171" s="164"/>
      <c r="AU171" s="164"/>
      <c r="AV171" s="164"/>
      <c r="AW171" s="164"/>
      <c r="AX171" s="164"/>
    </row>
    <row r="172" spans="21:50" x14ac:dyDescent="0.25">
      <c r="U172" s="164"/>
      <c r="V172" s="164"/>
      <c r="W172" s="164"/>
      <c r="X172" s="164"/>
      <c r="Y172" s="164"/>
      <c r="Z172" s="164"/>
      <c r="AA172" s="164"/>
      <c r="AB172" s="164"/>
      <c r="AC172" s="164"/>
      <c r="AE172" s="164"/>
      <c r="AF172" s="164"/>
      <c r="AG172" s="164"/>
      <c r="AH172" s="164"/>
      <c r="AI172" s="164"/>
      <c r="AJ172" s="164"/>
      <c r="AK172" s="164"/>
      <c r="AL172" s="164"/>
      <c r="AM172" s="164"/>
      <c r="AN172" s="164"/>
      <c r="AO172" s="164"/>
      <c r="AP172" s="164"/>
      <c r="AQ172" s="164"/>
      <c r="AR172" s="164"/>
      <c r="AS172" s="164"/>
      <c r="AT172" s="164"/>
      <c r="AU172" s="164"/>
      <c r="AV172" s="164"/>
      <c r="AW172" s="164"/>
      <c r="AX172" s="164"/>
    </row>
    <row r="173" spans="21:50" x14ac:dyDescent="0.25">
      <c r="U173" s="164"/>
      <c r="V173" s="164"/>
      <c r="W173" s="164"/>
      <c r="X173" s="164"/>
      <c r="Y173" s="164"/>
      <c r="Z173" s="164"/>
      <c r="AA173" s="164"/>
      <c r="AB173" s="164"/>
      <c r="AC173" s="164"/>
      <c r="AE173" s="164"/>
      <c r="AF173" s="164"/>
      <c r="AG173" s="164"/>
      <c r="AH173" s="164"/>
      <c r="AI173" s="164"/>
      <c r="AJ173" s="164"/>
      <c r="AK173" s="164"/>
      <c r="AL173" s="164"/>
      <c r="AM173" s="164"/>
      <c r="AN173" s="164"/>
      <c r="AO173" s="164"/>
      <c r="AP173" s="164"/>
      <c r="AQ173" s="164"/>
      <c r="AR173" s="164"/>
      <c r="AS173" s="164"/>
      <c r="AT173" s="164"/>
      <c r="AU173" s="164"/>
      <c r="AV173" s="164"/>
      <c r="AW173" s="164"/>
      <c r="AX173" s="164"/>
    </row>
    <row r="174" spans="21:50" x14ac:dyDescent="0.25">
      <c r="U174" s="164"/>
      <c r="V174" s="164"/>
      <c r="W174" s="164"/>
      <c r="X174" s="164"/>
      <c r="Y174" s="164"/>
      <c r="Z174" s="164"/>
      <c r="AA174" s="164"/>
      <c r="AB174" s="164"/>
      <c r="AC174" s="164"/>
      <c r="AE174" s="164"/>
      <c r="AF174" s="164"/>
      <c r="AG174" s="164"/>
      <c r="AH174" s="164"/>
      <c r="AI174" s="164"/>
      <c r="AJ174" s="164"/>
      <c r="AK174" s="164"/>
      <c r="AL174" s="164"/>
      <c r="AM174" s="164"/>
      <c r="AN174" s="164"/>
      <c r="AO174" s="164"/>
      <c r="AP174" s="164"/>
      <c r="AQ174" s="164"/>
      <c r="AR174" s="164"/>
      <c r="AS174" s="164"/>
      <c r="AT174" s="164"/>
      <c r="AU174" s="164"/>
      <c r="AV174" s="164"/>
      <c r="AW174" s="164"/>
      <c r="AX174" s="164"/>
    </row>
    <row r="175" spans="21:50" x14ac:dyDescent="0.25">
      <c r="U175" s="164"/>
      <c r="V175" s="164"/>
      <c r="W175" s="164"/>
      <c r="X175" s="164"/>
      <c r="Y175" s="164"/>
      <c r="Z175" s="164"/>
      <c r="AA175" s="164"/>
      <c r="AB175" s="164"/>
      <c r="AC175" s="164"/>
      <c r="AE175" s="164"/>
      <c r="AF175" s="164"/>
      <c r="AG175" s="164"/>
      <c r="AH175" s="164"/>
      <c r="AI175" s="164"/>
      <c r="AJ175" s="164"/>
      <c r="AK175" s="164"/>
      <c r="AL175" s="164"/>
      <c r="AM175" s="164"/>
      <c r="AN175" s="164"/>
      <c r="AO175" s="164"/>
      <c r="AP175" s="164"/>
      <c r="AQ175" s="164"/>
      <c r="AR175" s="164"/>
      <c r="AS175" s="164"/>
      <c r="AT175" s="164"/>
      <c r="AU175" s="164"/>
      <c r="AV175" s="164"/>
      <c r="AW175" s="164"/>
      <c r="AX175" s="164"/>
    </row>
    <row r="176" spans="21:50" x14ac:dyDescent="0.25">
      <c r="U176" s="164"/>
      <c r="V176" s="164"/>
      <c r="W176" s="164"/>
      <c r="X176" s="164"/>
      <c r="Y176" s="164"/>
      <c r="Z176" s="164"/>
      <c r="AA176" s="164"/>
      <c r="AB176" s="164"/>
      <c r="AC176" s="164"/>
      <c r="AE176" s="164"/>
      <c r="AF176" s="164"/>
      <c r="AG176" s="164"/>
      <c r="AH176" s="164"/>
      <c r="AI176" s="164"/>
      <c r="AJ176" s="164"/>
      <c r="AK176" s="164"/>
      <c r="AL176" s="164"/>
      <c r="AM176" s="164"/>
      <c r="AN176" s="164"/>
      <c r="AO176" s="164"/>
      <c r="AP176" s="164"/>
      <c r="AQ176" s="164"/>
      <c r="AR176" s="164"/>
      <c r="AS176" s="164"/>
      <c r="AT176" s="164"/>
      <c r="AU176" s="164"/>
      <c r="AV176" s="164"/>
      <c r="AW176" s="164"/>
      <c r="AX176" s="164"/>
    </row>
    <row r="177" spans="21:50" x14ac:dyDescent="0.25">
      <c r="U177" s="164"/>
      <c r="V177" s="164"/>
      <c r="W177" s="164"/>
      <c r="X177" s="164"/>
      <c r="Y177" s="164"/>
      <c r="Z177" s="164"/>
      <c r="AA177" s="164"/>
      <c r="AB177" s="164"/>
      <c r="AC177" s="164"/>
      <c r="AE177" s="164"/>
      <c r="AF177" s="164"/>
      <c r="AG177" s="164"/>
      <c r="AH177" s="164"/>
      <c r="AI177" s="164"/>
      <c r="AJ177" s="164"/>
      <c r="AK177" s="164"/>
      <c r="AL177" s="164"/>
      <c r="AM177" s="164"/>
      <c r="AN177" s="164"/>
      <c r="AO177" s="164"/>
      <c r="AP177" s="164"/>
      <c r="AQ177" s="164"/>
      <c r="AR177" s="164"/>
      <c r="AS177" s="164"/>
      <c r="AT177" s="164"/>
      <c r="AU177" s="164"/>
      <c r="AV177" s="164"/>
      <c r="AW177" s="164"/>
      <c r="AX177" s="164"/>
    </row>
    <row r="178" spans="21:50" x14ac:dyDescent="0.25">
      <c r="U178" s="164"/>
      <c r="V178" s="164"/>
      <c r="W178" s="164"/>
      <c r="X178" s="164"/>
      <c r="Y178" s="164"/>
      <c r="Z178" s="164"/>
      <c r="AA178" s="164"/>
      <c r="AB178" s="164"/>
      <c r="AC178" s="164"/>
      <c r="AE178" s="164"/>
      <c r="AF178" s="164"/>
      <c r="AG178" s="164"/>
      <c r="AH178" s="164"/>
      <c r="AI178" s="164"/>
      <c r="AJ178" s="164"/>
      <c r="AK178" s="164"/>
      <c r="AL178" s="164"/>
      <c r="AM178" s="164"/>
      <c r="AN178" s="164"/>
      <c r="AO178" s="164"/>
      <c r="AP178" s="164"/>
      <c r="AQ178" s="164"/>
      <c r="AR178" s="164"/>
      <c r="AS178" s="164"/>
      <c r="AT178" s="164"/>
      <c r="AU178" s="164"/>
      <c r="AV178" s="164"/>
      <c r="AW178" s="164"/>
      <c r="AX178" s="164"/>
    </row>
    <row r="179" spans="21:50" x14ac:dyDescent="0.25">
      <c r="U179" s="164"/>
      <c r="V179" s="164"/>
      <c r="W179" s="164"/>
      <c r="X179" s="164"/>
      <c r="Y179" s="164"/>
      <c r="Z179" s="164"/>
      <c r="AA179" s="164"/>
      <c r="AB179" s="164"/>
      <c r="AC179" s="164"/>
      <c r="AE179" s="164"/>
      <c r="AF179" s="164"/>
      <c r="AG179" s="164"/>
      <c r="AH179" s="164"/>
      <c r="AI179" s="164"/>
      <c r="AJ179" s="164"/>
      <c r="AK179" s="164"/>
      <c r="AL179" s="164"/>
      <c r="AM179" s="164"/>
      <c r="AN179" s="164"/>
      <c r="AO179" s="164"/>
      <c r="AP179" s="164"/>
      <c r="AQ179" s="164"/>
      <c r="AR179" s="164"/>
      <c r="AS179" s="164"/>
      <c r="AT179" s="164"/>
      <c r="AU179" s="164"/>
      <c r="AV179" s="164"/>
      <c r="AW179" s="164"/>
      <c r="AX179" s="164"/>
    </row>
    <row r="180" spans="21:50" x14ac:dyDescent="0.25">
      <c r="U180" s="164"/>
      <c r="V180" s="164"/>
      <c r="W180" s="164"/>
      <c r="X180" s="164"/>
      <c r="Y180" s="164"/>
      <c r="Z180" s="164"/>
      <c r="AA180" s="164"/>
      <c r="AB180" s="164"/>
      <c r="AC180" s="164"/>
      <c r="AE180" s="164"/>
      <c r="AF180" s="164"/>
      <c r="AG180" s="164"/>
      <c r="AH180" s="164"/>
      <c r="AI180" s="164"/>
      <c r="AJ180" s="164"/>
      <c r="AK180" s="164"/>
      <c r="AL180" s="164"/>
      <c r="AM180" s="164"/>
      <c r="AN180" s="164"/>
      <c r="AO180" s="164"/>
      <c r="AP180" s="164"/>
      <c r="AQ180" s="164"/>
      <c r="AR180" s="164"/>
      <c r="AS180" s="164"/>
      <c r="AT180" s="164"/>
      <c r="AU180" s="164"/>
      <c r="AV180" s="164"/>
      <c r="AW180" s="164"/>
      <c r="AX180" s="164"/>
    </row>
    <row r="181" spans="21:50" x14ac:dyDescent="0.25">
      <c r="U181" s="164"/>
      <c r="V181" s="164"/>
      <c r="W181" s="164"/>
      <c r="X181" s="164"/>
      <c r="Y181" s="164"/>
      <c r="Z181" s="164"/>
      <c r="AA181" s="164"/>
      <c r="AB181" s="164"/>
      <c r="AC181" s="164"/>
      <c r="AE181" s="164"/>
      <c r="AF181" s="164"/>
      <c r="AG181" s="164"/>
      <c r="AH181" s="164"/>
      <c r="AI181" s="164"/>
      <c r="AJ181" s="164"/>
      <c r="AK181" s="164"/>
      <c r="AL181" s="164"/>
      <c r="AM181" s="164"/>
      <c r="AN181" s="164"/>
      <c r="AO181" s="164"/>
      <c r="AP181" s="164"/>
      <c r="AQ181" s="164"/>
      <c r="AR181" s="164"/>
      <c r="AS181" s="164"/>
      <c r="AT181" s="164"/>
      <c r="AU181" s="164"/>
      <c r="AV181" s="164"/>
      <c r="AW181" s="164"/>
      <c r="AX181" s="164"/>
    </row>
    <row r="182" spans="21:50" x14ac:dyDescent="0.25">
      <c r="U182" s="164"/>
      <c r="V182" s="164"/>
      <c r="W182" s="164"/>
      <c r="X182" s="164"/>
      <c r="Y182" s="164"/>
      <c r="Z182" s="164"/>
      <c r="AA182" s="164"/>
      <c r="AB182" s="164"/>
      <c r="AC182" s="164"/>
      <c r="AE182" s="164"/>
      <c r="AF182" s="164"/>
      <c r="AG182" s="164"/>
      <c r="AH182" s="164"/>
      <c r="AI182" s="164"/>
      <c r="AJ182" s="164"/>
      <c r="AK182" s="164"/>
      <c r="AL182" s="164"/>
      <c r="AM182" s="164"/>
      <c r="AN182" s="164"/>
      <c r="AO182" s="164"/>
      <c r="AP182" s="164"/>
      <c r="AQ182" s="164"/>
      <c r="AR182" s="164"/>
      <c r="AS182" s="164"/>
      <c r="AT182" s="164"/>
      <c r="AU182" s="164"/>
      <c r="AV182" s="164"/>
      <c r="AW182" s="164"/>
      <c r="AX182" s="164"/>
    </row>
    <row r="183" spans="21:50" x14ac:dyDescent="0.25">
      <c r="U183" s="164"/>
      <c r="V183" s="164"/>
      <c r="W183" s="164"/>
      <c r="X183" s="164"/>
      <c r="Y183" s="164"/>
      <c r="Z183" s="164"/>
      <c r="AA183" s="164"/>
      <c r="AB183" s="164"/>
      <c r="AC183" s="164"/>
      <c r="AE183" s="164"/>
      <c r="AF183" s="164"/>
      <c r="AG183" s="164"/>
      <c r="AH183" s="164"/>
      <c r="AI183" s="164"/>
      <c r="AJ183" s="164"/>
      <c r="AK183" s="164"/>
      <c r="AL183" s="164"/>
      <c r="AM183" s="164"/>
      <c r="AN183" s="164"/>
      <c r="AO183" s="164"/>
      <c r="AP183" s="164"/>
      <c r="AQ183" s="164"/>
      <c r="AR183" s="164"/>
      <c r="AS183" s="164"/>
      <c r="AT183" s="164"/>
      <c r="AU183" s="164"/>
      <c r="AV183" s="164"/>
      <c r="AW183" s="164"/>
      <c r="AX183" s="164"/>
    </row>
  </sheetData>
  <sheetProtection formatColumns="0" deleteColumns="0" deleteRows="0" selectLockedCells="1"/>
  <mergeCells count="18">
    <mergeCell ref="B81:C81"/>
    <mergeCell ref="B65:B68"/>
    <mergeCell ref="B69:C69"/>
    <mergeCell ref="B71:B74"/>
    <mergeCell ref="B75:C75"/>
    <mergeCell ref="B77:B80"/>
    <mergeCell ref="B120:C120"/>
    <mergeCell ref="B84:B87"/>
    <mergeCell ref="B88:C88"/>
    <mergeCell ref="B90:B93"/>
    <mergeCell ref="B94:C94"/>
    <mergeCell ref="B96:B99"/>
    <mergeCell ref="B100:C100"/>
    <mergeCell ref="B104:B107"/>
    <mergeCell ref="B108:C108"/>
    <mergeCell ref="B110:B113"/>
    <mergeCell ref="B114:C114"/>
    <mergeCell ref="B116:B119"/>
  </mergeCells>
  <conditionalFormatting sqref="P3:P60">
    <cfRule type="expression" dxfId="85" priority="2">
      <formula>AND(P3&lt;&gt;"",P3&lt;&gt;"OUI")</formula>
    </cfRule>
  </conditionalFormatting>
  <conditionalFormatting sqref="AL3:AM60 S3:AH60">
    <cfRule type="expression" dxfId="84" priority="1" stopIfTrue="1">
      <formula>$AH3&lt;&gt;0</formula>
    </cfRule>
  </conditionalFormatting>
  <conditionalFormatting sqref="A3:E60">
    <cfRule type="expression" dxfId="83" priority="3" stopIfTrue="1">
      <formula>AND($I3&lt;&gt;"",AND($J3="",AND($AY3="",$AZ3="")))</formula>
    </cfRule>
    <cfRule type="expression" dxfId="82" priority="4" stopIfTrue="1">
      <formula>AND($J3&lt;&gt;"",AND($AY3="",$AZ3=""))</formula>
    </cfRule>
    <cfRule type="expression" dxfId="81" priority="5" stopIfTrue="1">
      <formula>AND($AY3&lt;&gt;"",$AZ3="")</formula>
    </cfRule>
    <cfRule type="expression" dxfId="80" priority="6" stopIfTrue="1">
      <formula>$AZ3="X"</formula>
    </cfRule>
  </conditionalFormatting>
  <dataValidations count="11">
    <dataValidation type="list" allowBlank="1" showInputMessage="1" showErrorMessage="1" sqref="H3:H60">
      <formula1>"MENSUELLE,TRIMESTRIELLE,EXERCICE,ANNUELLE"</formula1>
    </dataValidation>
    <dataValidation type="list" allowBlank="1" showInputMessage="1" showErrorMessage="1" sqref="BG3:BI60">
      <formula1>"OUI,NON,N/C"</formula1>
    </dataValidation>
    <dataValidation type="list" allowBlank="1" showInputMessage="1" showErrorMessage="1" sqref="AL3:AL60">
      <formula1>"ABONNE COURT,ABONNE LONG"</formula1>
    </dataValidation>
    <dataValidation type="list" allowBlank="1" showInputMessage="1" showErrorMessage="1" sqref="P3:P60">
      <formula1>"OUI,NON,A TERMINER,A FAIRE"</formula1>
    </dataValidation>
    <dataValidation type="list" allowBlank="1" showInputMessage="1" showErrorMessage="1" sqref="AY3:BA60">
      <formula1>"X"</formula1>
    </dataValidation>
    <dataValidation type="list" allowBlank="1" showInputMessage="1" showErrorMessage="1" sqref="R3:R60">
      <formula1>"OUI,NON,A FAIRE,N/A"</formula1>
    </dataValidation>
    <dataValidation type="list" allowBlank="1" showInputMessage="1" showErrorMessage="1" sqref="Q3:Q60 AM3:AM60">
      <formula1>"OUI,NON"</formula1>
    </dataValidation>
    <dataValidation type="list" allowBlank="1" showInputMessage="1" showErrorMessage="1" sqref="O3:O60">
      <formula1>"COMPTABLE,CONSEILLER"</formula1>
    </dataValidation>
    <dataValidation type="list" allowBlank="1" showInputMessage="1" showErrorMessage="1" sqref="M3:N60">
      <formula1>"OUI,NON,A FAIRE"</formula1>
    </dataValidation>
    <dataValidation type="list" allowBlank="1" showInputMessage="1" showErrorMessage="1" sqref="JW3:JW60 TS3:TS60 ADO3:ADO60 ANK3:ANK60 AXG3:AXG60 BHC3:BHC60 BQY3:BQY60 CAU3:CAU60 CKQ3:CKQ60 CUM3:CUM60 DEI3:DEI60 DOE3:DOE60 DYA3:DYA60 EHW3:EHW60 ERS3:ERS60 FBO3:FBO60 FLK3:FLK60 FVG3:FVG60 GFC3:GFC60 GOY3:GOY60 GYU3:GYU60 HIQ3:HIQ60 HSM3:HSM60 ICI3:ICI60 IME3:IME60 IWA3:IWA60 JFW3:JFW60 JPS3:JPS60 JZO3:JZO60 KJK3:KJK60 KTG3:KTG60 LDC3:LDC60 LMY3:LMY60 LWU3:LWU60 MGQ3:MGQ60 MQM3:MQM60 NAI3:NAI60 NKE3:NKE60 NUA3:NUA60 ODW3:ODW60 ONS3:ONS60 OXO3:OXO60 PHK3:PHK60 PRG3:PRG60 QBC3:QBC60 QKY3:QKY60 QUU3:QUU60 REQ3:REQ60 ROM3:ROM60 RYI3:RYI60 SIE3:SIE60 SSA3:SSA60 TBW3:TBW60 TLS3:TLS60 TVO3:TVO60 UFK3:UFK60 UPG3:UPG60 UZC3:UZC60 VIY3:VIY60 VSU3:VSU60 WCQ3:WCQ60 WMM3:WMM60 WWI3:WWI60 G65539:G65596 JV65539:JV65596 TR65539:TR65596 ADN65539:ADN65596 ANJ65539:ANJ65596 AXF65539:AXF65596 BHB65539:BHB65596 BQX65539:BQX65596 CAT65539:CAT65596 CKP65539:CKP65596 CUL65539:CUL65596 DEH65539:DEH65596 DOD65539:DOD65596 DXZ65539:DXZ65596 EHV65539:EHV65596 ERR65539:ERR65596 FBN65539:FBN65596 FLJ65539:FLJ65596 FVF65539:FVF65596 GFB65539:GFB65596 GOX65539:GOX65596 GYT65539:GYT65596 HIP65539:HIP65596 HSL65539:HSL65596 ICH65539:ICH65596 IMD65539:IMD65596 IVZ65539:IVZ65596 JFV65539:JFV65596 JPR65539:JPR65596 JZN65539:JZN65596 KJJ65539:KJJ65596 KTF65539:KTF65596 LDB65539:LDB65596 LMX65539:LMX65596 LWT65539:LWT65596 MGP65539:MGP65596 MQL65539:MQL65596 NAH65539:NAH65596 NKD65539:NKD65596 NTZ65539:NTZ65596 ODV65539:ODV65596 ONR65539:ONR65596 OXN65539:OXN65596 PHJ65539:PHJ65596 PRF65539:PRF65596 QBB65539:QBB65596 QKX65539:QKX65596 QUT65539:QUT65596 REP65539:REP65596 ROL65539:ROL65596 RYH65539:RYH65596 SID65539:SID65596 SRZ65539:SRZ65596 TBV65539:TBV65596 TLR65539:TLR65596 TVN65539:TVN65596 UFJ65539:UFJ65596 UPF65539:UPF65596 UZB65539:UZB65596 VIX65539:VIX65596 VST65539:VST65596 WCP65539:WCP65596 WML65539:WML65596 WWH65539:WWH65596 G131075:G131132 JV131075:JV131132 TR131075:TR131132 ADN131075:ADN131132 ANJ131075:ANJ131132 AXF131075:AXF131132 BHB131075:BHB131132 BQX131075:BQX131132 CAT131075:CAT131132 CKP131075:CKP131132 CUL131075:CUL131132 DEH131075:DEH131132 DOD131075:DOD131132 DXZ131075:DXZ131132 EHV131075:EHV131132 ERR131075:ERR131132 FBN131075:FBN131132 FLJ131075:FLJ131132 FVF131075:FVF131132 GFB131075:GFB131132 GOX131075:GOX131132 GYT131075:GYT131132 HIP131075:HIP131132 HSL131075:HSL131132 ICH131075:ICH131132 IMD131075:IMD131132 IVZ131075:IVZ131132 JFV131075:JFV131132 JPR131075:JPR131132 JZN131075:JZN131132 KJJ131075:KJJ131132 KTF131075:KTF131132 LDB131075:LDB131132 LMX131075:LMX131132 LWT131075:LWT131132 MGP131075:MGP131132 MQL131075:MQL131132 NAH131075:NAH131132 NKD131075:NKD131132 NTZ131075:NTZ131132 ODV131075:ODV131132 ONR131075:ONR131132 OXN131075:OXN131132 PHJ131075:PHJ131132 PRF131075:PRF131132 QBB131075:QBB131132 QKX131075:QKX131132 QUT131075:QUT131132 REP131075:REP131132 ROL131075:ROL131132 RYH131075:RYH131132 SID131075:SID131132 SRZ131075:SRZ131132 TBV131075:TBV131132 TLR131075:TLR131132 TVN131075:TVN131132 UFJ131075:UFJ131132 UPF131075:UPF131132 UZB131075:UZB131132 VIX131075:VIX131132 VST131075:VST131132 WCP131075:WCP131132 WML131075:WML131132 WWH131075:WWH131132 G196611:G196668 JV196611:JV196668 TR196611:TR196668 ADN196611:ADN196668 ANJ196611:ANJ196668 AXF196611:AXF196668 BHB196611:BHB196668 BQX196611:BQX196668 CAT196611:CAT196668 CKP196611:CKP196668 CUL196611:CUL196668 DEH196611:DEH196668 DOD196611:DOD196668 DXZ196611:DXZ196668 EHV196611:EHV196668 ERR196611:ERR196668 FBN196611:FBN196668 FLJ196611:FLJ196668 FVF196611:FVF196668 GFB196611:GFB196668 GOX196611:GOX196668 GYT196611:GYT196668 HIP196611:HIP196668 HSL196611:HSL196668 ICH196611:ICH196668 IMD196611:IMD196668 IVZ196611:IVZ196668 JFV196611:JFV196668 JPR196611:JPR196668 JZN196611:JZN196668 KJJ196611:KJJ196668 KTF196611:KTF196668 LDB196611:LDB196668 LMX196611:LMX196668 LWT196611:LWT196668 MGP196611:MGP196668 MQL196611:MQL196668 NAH196611:NAH196668 NKD196611:NKD196668 NTZ196611:NTZ196668 ODV196611:ODV196668 ONR196611:ONR196668 OXN196611:OXN196668 PHJ196611:PHJ196668 PRF196611:PRF196668 QBB196611:QBB196668 QKX196611:QKX196668 QUT196611:QUT196668 REP196611:REP196668 ROL196611:ROL196668 RYH196611:RYH196668 SID196611:SID196668 SRZ196611:SRZ196668 TBV196611:TBV196668 TLR196611:TLR196668 TVN196611:TVN196668 UFJ196611:UFJ196668 UPF196611:UPF196668 UZB196611:UZB196668 VIX196611:VIX196668 VST196611:VST196668 WCP196611:WCP196668 WML196611:WML196668 WWH196611:WWH196668 G262147:G262204 JV262147:JV262204 TR262147:TR262204 ADN262147:ADN262204 ANJ262147:ANJ262204 AXF262147:AXF262204 BHB262147:BHB262204 BQX262147:BQX262204 CAT262147:CAT262204 CKP262147:CKP262204 CUL262147:CUL262204 DEH262147:DEH262204 DOD262147:DOD262204 DXZ262147:DXZ262204 EHV262147:EHV262204 ERR262147:ERR262204 FBN262147:FBN262204 FLJ262147:FLJ262204 FVF262147:FVF262204 GFB262147:GFB262204 GOX262147:GOX262204 GYT262147:GYT262204 HIP262147:HIP262204 HSL262147:HSL262204 ICH262147:ICH262204 IMD262147:IMD262204 IVZ262147:IVZ262204 JFV262147:JFV262204 JPR262147:JPR262204 JZN262147:JZN262204 KJJ262147:KJJ262204 KTF262147:KTF262204 LDB262147:LDB262204 LMX262147:LMX262204 LWT262147:LWT262204 MGP262147:MGP262204 MQL262147:MQL262204 NAH262147:NAH262204 NKD262147:NKD262204 NTZ262147:NTZ262204 ODV262147:ODV262204 ONR262147:ONR262204 OXN262147:OXN262204 PHJ262147:PHJ262204 PRF262147:PRF262204 QBB262147:QBB262204 QKX262147:QKX262204 QUT262147:QUT262204 REP262147:REP262204 ROL262147:ROL262204 RYH262147:RYH262204 SID262147:SID262204 SRZ262147:SRZ262204 TBV262147:TBV262204 TLR262147:TLR262204 TVN262147:TVN262204 UFJ262147:UFJ262204 UPF262147:UPF262204 UZB262147:UZB262204 VIX262147:VIX262204 VST262147:VST262204 WCP262147:WCP262204 WML262147:WML262204 WWH262147:WWH262204 G327683:G327740 JV327683:JV327740 TR327683:TR327740 ADN327683:ADN327740 ANJ327683:ANJ327740 AXF327683:AXF327740 BHB327683:BHB327740 BQX327683:BQX327740 CAT327683:CAT327740 CKP327683:CKP327740 CUL327683:CUL327740 DEH327683:DEH327740 DOD327683:DOD327740 DXZ327683:DXZ327740 EHV327683:EHV327740 ERR327683:ERR327740 FBN327683:FBN327740 FLJ327683:FLJ327740 FVF327683:FVF327740 GFB327683:GFB327740 GOX327683:GOX327740 GYT327683:GYT327740 HIP327683:HIP327740 HSL327683:HSL327740 ICH327683:ICH327740 IMD327683:IMD327740 IVZ327683:IVZ327740 JFV327683:JFV327740 JPR327683:JPR327740 JZN327683:JZN327740 KJJ327683:KJJ327740 KTF327683:KTF327740 LDB327683:LDB327740 LMX327683:LMX327740 LWT327683:LWT327740 MGP327683:MGP327740 MQL327683:MQL327740 NAH327683:NAH327740 NKD327683:NKD327740 NTZ327683:NTZ327740 ODV327683:ODV327740 ONR327683:ONR327740 OXN327683:OXN327740 PHJ327683:PHJ327740 PRF327683:PRF327740 QBB327683:QBB327740 QKX327683:QKX327740 QUT327683:QUT327740 REP327683:REP327740 ROL327683:ROL327740 RYH327683:RYH327740 SID327683:SID327740 SRZ327683:SRZ327740 TBV327683:TBV327740 TLR327683:TLR327740 TVN327683:TVN327740 UFJ327683:UFJ327740 UPF327683:UPF327740 UZB327683:UZB327740 VIX327683:VIX327740 VST327683:VST327740 WCP327683:WCP327740 WML327683:WML327740 WWH327683:WWH327740 G393219:G393276 JV393219:JV393276 TR393219:TR393276 ADN393219:ADN393276 ANJ393219:ANJ393276 AXF393219:AXF393276 BHB393219:BHB393276 BQX393219:BQX393276 CAT393219:CAT393276 CKP393219:CKP393276 CUL393219:CUL393276 DEH393219:DEH393276 DOD393219:DOD393276 DXZ393219:DXZ393276 EHV393219:EHV393276 ERR393219:ERR393276 FBN393219:FBN393276 FLJ393219:FLJ393276 FVF393219:FVF393276 GFB393219:GFB393276 GOX393219:GOX393276 GYT393219:GYT393276 HIP393219:HIP393276 HSL393219:HSL393276 ICH393219:ICH393276 IMD393219:IMD393276 IVZ393219:IVZ393276 JFV393219:JFV393276 JPR393219:JPR393276 JZN393219:JZN393276 KJJ393219:KJJ393276 KTF393219:KTF393276 LDB393219:LDB393276 LMX393219:LMX393276 LWT393219:LWT393276 MGP393219:MGP393276 MQL393219:MQL393276 NAH393219:NAH393276 NKD393219:NKD393276 NTZ393219:NTZ393276 ODV393219:ODV393276 ONR393219:ONR393276 OXN393219:OXN393276 PHJ393219:PHJ393276 PRF393219:PRF393276 QBB393219:QBB393276 QKX393219:QKX393276 QUT393219:QUT393276 REP393219:REP393276 ROL393219:ROL393276 RYH393219:RYH393276 SID393219:SID393276 SRZ393219:SRZ393276 TBV393219:TBV393276 TLR393219:TLR393276 TVN393219:TVN393276 UFJ393219:UFJ393276 UPF393219:UPF393276 UZB393219:UZB393276 VIX393219:VIX393276 VST393219:VST393276 WCP393219:WCP393276 WML393219:WML393276 WWH393219:WWH393276 G458755:G458812 JV458755:JV458812 TR458755:TR458812 ADN458755:ADN458812 ANJ458755:ANJ458812 AXF458755:AXF458812 BHB458755:BHB458812 BQX458755:BQX458812 CAT458755:CAT458812 CKP458755:CKP458812 CUL458755:CUL458812 DEH458755:DEH458812 DOD458755:DOD458812 DXZ458755:DXZ458812 EHV458755:EHV458812 ERR458755:ERR458812 FBN458755:FBN458812 FLJ458755:FLJ458812 FVF458755:FVF458812 GFB458755:GFB458812 GOX458755:GOX458812 GYT458755:GYT458812 HIP458755:HIP458812 HSL458755:HSL458812 ICH458755:ICH458812 IMD458755:IMD458812 IVZ458755:IVZ458812 JFV458755:JFV458812 JPR458755:JPR458812 JZN458755:JZN458812 KJJ458755:KJJ458812 KTF458755:KTF458812 LDB458755:LDB458812 LMX458755:LMX458812 LWT458755:LWT458812 MGP458755:MGP458812 MQL458755:MQL458812 NAH458755:NAH458812 NKD458755:NKD458812 NTZ458755:NTZ458812 ODV458755:ODV458812 ONR458755:ONR458812 OXN458755:OXN458812 PHJ458755:PHJ458812 PRF458755:PRF458812 QBB458755:QBB458812 QKX458755:QKX458812 QUT458755:QUT458812 REP458755:REP458812 ROL458755:ROL458812 RYH458755:RYH458812 SID458755:SID458812 SRZ458755:SRZ458812 TBV458755:TBV458812 TLR458755:TLR458812 TVN458755:TVN458812 UFJ458755:UFJ458812 UPF458755:UPF458812 UZB458755:UZB458812 VIX458755:VIX458812 VST458755:VST458812 WCP458755:WCP458812 WML458755:WML458812 WWH458755:WWH458812 G524291:G524348 JV524291:JV524348 TR524291:TR524348 ADN524291:ADN524348 ANJ524291:ANJ524348 AXF524291:AXF524348 BHB524291:BHB524348 BQX524291:BQX524348 CAT524291:CAT524348 CKP524291:CKP524348 CUL524291:CUL524348 DEH524291:DEH524348 DOD524291:DOD524348 DXZ524291:DXZ524348 EHV524291:EHV524348 ERR524291:ERR524348 FBN524291:FBN524348 FLJ524291:FLJ524348 FVF524291:FVF524348 GFB524291:GFB524348 GOX524291:GOX524348 GYT524291:GYT524348 HIP524291:HIP524348 HSL524291:HSL524348 ICH524291:ICH524348 IMD524291:IMD524348 IVZ524291:IVZ524348 JFV524291:JFV524348 JPR524291:JPR524348 JZN524291:JZN524348 KJJ524291:KJJ524348 KTF524291:KTF524348 LDB524291:LDB524348 LMX524291:LMX524348 LWT524291:LWT524348 MGP524291:MGP524348 MQL524291:MQL524348 NAH524291:NAH524348 NKD524291:NKD524348 NTZ524291:NTZ524348 ODV524291:ODV524348 ONR524291:ONR524348 OXN524291:OXN524348 PHJ524291:PHJ524348 PRF524291:PRF524348 QBB524291:QBB524348 QKX524291:QKX524348 QUT524291:QUT524348 REP524291:REP524348 ROL524291:ROL524348 RYH524291:RYH524348 SID524291:SID524348 SRZ524291:SRZ524348 TBV524291:TBV524348 TLR524291:TLR524348 TVN524291:TVN524348 UFJ524291:UFJ524348 UPF524291:UPF524348 UZB524291:UZB524348 VIX524291:VIX524348 VST524291:VST524348 WCP524291:WCP524348 WML524291:WML524348 WWH524291:WWH524348 G589827:G589884 JV589827:JV589884 TR589827:TR589884 ADN589827:ADN589884 ANJ589827:ANJ589884 AXF589827:AXF589884 BHB589827:BHB589884 BQX589827:BQX589884 CAT589827:CAT589884 CKP589827:CKP589884 CUL589827:CUL589884 DEH589827:DEH589884 DOD589827:DOD589884 DXZ589827:DXZ589884 EHV589827:EHV589884 ERR589827:ERR589884 FBN589827:FBN589884 FLJ589827:FLJ589884 FVF589827:FVF589884 GFB589827:GFB589884 GOX589827:GOX589884 GYT589827:GYT589884 HIP589827:HIP589884 HSL589827:HSL589884 ICH589827:ICH589884 IMD589827:IMD589884 IVZ589827:IVZ589884 JFV589827:JFV589884 JPR589827:JPR589884 JZN589827:JZN589884 KJJ589827:KJJ589884 KTF589827:KTF589884 LDB589827:LDB589884 LMX589827:LMX589884 LWT589827:LWT589884 MGP589827:MGP589884 MQL589827:MQL589884 NAH589827:NAH589884 NKD589827:NKD589884 NTZ589827:NTZ589884 ODV589827:ODV589884 ONR589827:ONR589884 OXN589827:OXN589884 PHJ589827:PHJ589884 PRF589827:PRF589884 QBB589827:QBB589884 QKX589827:QKX589884 QUT589827:QUT589884 REP589827:REP589884 ROL589827:ROL589884 RYH589827:RYH589884 SID589827:SID589884 SRZ589827:SRZ589884 TBV589827:TBV589884 TLR589827:TLR589884 TVN589827:TVN589884 UFJ589827:UFJ589884 UPF589827:UPF589884 UZB589827:UZB589884 VIX589827:VIX589884 VST589827:VST589884 WCP589827:WCP589884 WML589827:WML589884 WWH589827:WWH589884 G655363:G655420 JV655363:JV655420 TR655363:TR655420 ADN655363:ADN655420 ANJ655363:ANJ655420 AXF655363:AXF655420 BHB655363:BHB655420 BQX655363:BQX655420 CAT655363:CAT655420 CKP655363:CKP655420 CUL655363:CUL655420 DEH655363:DEH655420 DOD655363:DOD655420 DXZ655363:DXZ655420 EHV655363:EHV655420 ERR655363:ERR655420 FBN655363:FBN655420 FLJ655363:FLJ655420 FVF655363:FVF655420 GFB655363:GFB655420 GOX655363:GOX655420 GYT655363:GYT655420 HIP655363:HIP655420 HSL655363:HSL655420 ICH655363:ICH655420 IMD655363:IMD655420 IVZ655363:IVZ655420 JFV655363:JFV655420 JPR655363:JPR655420 JZN655363:JZN655420 KJJ655363:KJJ655420 KTF655363:KTF655420 LDB655363:LDB655420 LMX655363:LMX655420 LWT655363:LWT655420 MGP655363:MGP655420 MQL655363:MQL655420 NAH655363:NAH655420 NKD655363:NKD655420 NTZ655363:NTZ655420 ODV655363:ODV655420 ONR655363:ONR655420 OXN655363:OXN655420 PHJ655363:PHJ655420 PRF655363:PRF655420 QBB655363:QBB655420 QKX655363:QKX655420 QUT655363:QUT655420 REP655363:REP655420 ROL655363:ROL655420 RYH655363:RYH655420 SID655363:SID655420 SRZ655363:SRZ655420 TBV655363:TBV655420 TLR655363:TLR655420 TVN655363:TVN655420 UFJ655363:UFJ655420 UPF655363:UPF655420 UZB655363:UZB655420 VIX655363:VIX655420 VST655363:VST655420 WCP655363:WCP655420 WML655363:WML655420 WWH655363:WWH655420 G720899:G720956 JV720899:JV720956 TR720899:TR720956 ADN720899:ADN720956 ANJ720899:ANJ720956 AXF720899:AXF720956 BHB720899:BHB720956 BQX720899:BQX720956 CAT720899:CAT720956 CKP720899:CKP720956 CUL720899:CUL720956 DEH720899:DEH720956 DOD720899:DOD720956 DXZ720899:DXZ720956 EHV720899:EHV720956 ERR720899:ERR720956 FBN720899:FBN720956 FLJ720899:FLJ720956 FVF720899:FVF720956 GFB720899:GFB720956 GOX720899:GOX720956 GYT720899:GYT720956 HIP720899:HIP720956 HSL720899:HSL720956 ICH720899:ICH720956 IMD720899:IMD720956 IVZ720899:IVZ720956 JFV720899:JFV720956 JPR720899:JPR720956 JZN720899:JZN720956 KJJ720899:KJJ720956 KTF720899:KTF720956 LDB720899:LDB720956 LMX720899:LMX720956 LWT720899:LWT720956 MGP720899:MGP720956 MQL720899:MQL720956 NAH720899:NAH720956 NKD720899:NKD720956 NTZ720899:NTZ720956 ODV720899:ODV720956 ONR720899:ONR720956 OXN720899:OXN720956 PHJ720899:PHJ720956 PRF720899:PRF720956 QBB720899:QBB720956 QKX720899:QKX720956 QUT720899:QUT720956 REP720899:REP720956 ROL720899:ROL720956 RYH720899:RYH720956 SID720899:SID720956 SRZ720899:SRZ720956 TBV720899:TBV720956 TLR720899:TLR720956 TVN720899:TVN720956 UFJ720899:UFJ720956 UPF720899:UPF720956 UZB720899:UZB720956 VIX720899:VIX720956 VST720899:VST720956 WCP720899:WCP720956 WML720899:WML720956 WWH720899:WWH720956 G786435:G786492 JV786435:JV786492 TR786435:TR786492 ADN786435:ADN786492 ANJ786435:ANJ786492 AXF786435:AXF786492 BHB786435:BHB786492 BQX786435:BQX786492 CAT786435:CAT786492 CKP786435:CKP786492 CUL786435:CUL786492 DEH786435:DEH786492 DOD786435:DOD786492 DXZ786435:DXZ786492 EHV786435:EHV786492 ERR786435:ERR786492 FBN786435:FBN786492 FLJ786435:FLJ786492 FVF786435:FVF786492 GFB786435:GFB786492 GOX786435:GOX786492 GYT786435:GYT786492 HIP786435:HIP786492 HSL786435:HSL786492 ICH786435:ICH786492 IMD786435:IMD786492 IVZ786435:IVZ786492 JFV786435:JFV786492 JPR786435:JPR786492 JZN786435:JZN786492 KJJ786435:KJJ786492 KTF786435:KTF786492 LDB786435:LDB786492 LMX786435:LMX786492 LWT786435:LWT786492 MGP786435:MGP786492 MQL786435:MQL786492 NAH786435:NAH786492 NKD786435:NKD786492 NTZ786435:NTZ786492 ODV786435:ODV786492 ONR786435:ONR786492 OXN786435:OXN786492 PHJ786435:PHJ786492 PRF786435:PRF786492 QBB786435:QBB786492 QKX786435:QKX786492 QUT786435:QUT786492 REP786435:REP786492 ROL786435:ROL786492 RYH786435:RYH786492 SID786435:SID786492 SRZ786435:SRZ786492 TBV786435:TBV786492 TLR786435:TLR786492 TVN786435:TVN786492 UFJ786435:UFJ786492 UPF786435:UPF786492 UZB786435:UZB786492 VIX786435:VIX786492 VST786435:VST786492 WCP786435:WCP786492 WML786435:WML786492 WWH786435:WWH786492 G851971:G852028 JV851971:JV852028 TR851971:TR852028 ADN851971:ADN852028 ANJ851971:ANJ852028 AXF851971:AXF852028 BHB851971:BHB852028 BQX851971:BQX852028 CAT851971:CAT852028 CKP851971:CKP852028 CUL851971:CUL852028 DEH851971:DEH852028 DOD851971:DOD852028 DXZ851971:DXZ852028 EHV851971:EHV852028 ERR851971:ERR852028 FBN851971:FBN852028 FLJ851971:FLJ852028 FVF851971:FVF852028 GFB851971:GFB852028 GOX851971:GOX852028 GYT851971:GYT852028 HIP851971:HIP852028 HSL851971:HSL852028 ICH851971:ICH852028 IMD851971:IMD852028 IVZ851971:IVZ852028 JFV851971:JFV852028 JPR851971:JPR852028 JZN851971:JZN852028 KJJ851971:KJJ852028 KTF851971:KTF852028 LDB851971:LDB852028 LMX851971:LMX852028 LWT851971:LWT852028 MGP851971:MGP852028 MQL851971:MQL852028 NAH851971:NAH852028 NKD851971:NKD852028 NTZ851971:NTZ852028 ODV851971:ODV852028 ONR851971:ONR852028 OXN851971:OXN852028 PHJ851971:PHJ852028 PRF851971:PRF852028 QBB851971:QBB852028 QKX851971:QKX852028 QUT851971:QUT852028 REP851971:REP852028 ROL851971:ROL852028 RYH851971:RYH852028 SID851971:SID852028 SRZ851971:SRZ852028 TBV851971:TBV852028 TLR851971:TLR852028 TVN851971:TVN852028 UFJ851971:UFJ852028 UPF851971:UPF852028 UZB851971:UZB852028 VIX851971:VIX852028 VST851971:VST852028 WCP851971:WCP852028 WML851971:WML852028 WWH851971:WWH852028 G917507:G917564 JV917507:JV917564 TR917507:TR917564 ADN917507:ADN917564 ANJ917507:ANJ917564 AXF917507:AXF917564 BHB917507:BHB917564 BQX917507:BQX917564 CAT917507:CAT917564 CKP917507:CKP917564 CUL917507:CUL917564 DEH917507:DEH917564 DOD917507:DOD917564 DXZ917507:DXZ917564 EHV917507:EHV917564 ERR917507:ERR917564 FBN917507:FBN917564 FLJ917507:FLJ917564 FVF917507:FVF917564 GFB917507:GFB917564 GOX917507:GOX917564 GYT917507:GYT917564 HIP917507:HIP917564 HSL917507:HSL917564 ICH917507:ICH917564 IMD917507:IMD917564 IVZ917507:IVZ917564 JFV917507:JFV917564 JPR917507:JPR917564 JZN917507:JZN917564 KJJ917507:KJJ917564 KTF917507:KTF917564 LDB917507:LDB917564 LMX917507:LMX917564 LWT917507:LWT917564 MGP917507:MGP917564 MQL917507:MQL917564 NAH917507:NAH917564 NKD917507:NKD917564 NTZ917507:NTZ917564 ODV917507:ODV917564 ONR917507:ONR917564 OXN917507:OXN917564 PHJ917507:PHJ917564 PRF917507:PRF917564 QBB917507:QBB917564 QKX917507:QKX917564 QUT917507:QUT917564 REP917507:REP917564 ROL917507:ROL917564 RYH917507:RYH917564 SID917507:SID917564 SRZ917507:SRZ917564 TBV917507:TBV917564 TLR917507:TLR917564 TVN917507:TVN917564 UFJ917507:UFJ917564 UPF917507:UPF917564 UZB917507:UZB917564 VIX917507:VIX917564 VST917507:VST917564 WCP917507:WCP917564 WML917507:WML917564 WWH917507:WWH917564 G983043:G983100 JV983043:JV983100 TR983043:TR983100 ADN983043:ADN983100 ANJ983043:ANJ983100 AXF983043:AXF983100 BHB983043:BHB983100 BQX983043:BQX983100 CAT983043:CAT983100 CKP983043:CKP983100 CUL983043:CUL983100 DEH983043:DEH983100 DOD983043:DOD983100 DXZ983043:DXZ983100 EHV983043:EHV983100 ERR983043:ERR983100 FBN983043:FBN983100 FLJ983043:FLJ983100 FVF983043:FVF983100 GFB983043:GFB983100 GOX983043:GOX983100 GYT983043:GYT983100 HIP983043:HIP983100 HSL983043:HSL983100 ICH983043:ICH983100 IMD983043:IMD983100 IVZ983043:IVZ983100 JFV983043:JFV983100 JPR983043:JPR983100 JZN983043:JZN983100 KJJ983043:KJJ983100 KTF983043:KTF983100 LDB983043:LDB983100 LMX983043:LMX983100 LWT983043:LWT983100 MGP983043:MGP983100 MQL983043:MQL983100 NAH983043:NAH983100 NKD983043:NKD983100 NTZ983043:NTZ983100 ODV983043:ODV983100 ONR983043:ONR983100 OXN983043:OXN983100 PHJ983043:PHJ983100 PRF983043:PRF983100 QBB983043:QBB983100 QKX983043:QKX983100 QUT983043:QUT983100 REP983043:REP983100 ROL983043:ROL983100 RYH983043:RYH983100 SID983043:SID983100 SRZ983043:SRZ983100 TBV983043:TBV983100 TLR983043:TLR983100 TVN983043:TVN983100 UFJ983043:UFJ983100 UPF983043:UPF983100 UZB983043:UZB983100 VIX983043:VIX983100 VST983043:VST983100 WCP983043:WCP983100 WML983043:WML983100 WWH983043:WWH983100 G3:G60">
      <formula1>"IS,IR,"</formula1>
    </dataValidation>
    <dataValidation type="list" allowBlank="1" showInputMessage="1" showErrorMessage="1" sqref="D3:D60 JT3:JT60 TP3:TP60 ADL3:ADL60 ANH3:ANH60 AXD3:AXD60 BGZ3:BGZ60 BQV3:BQV60 CAR3:CAR60 CKN3:CKN60 CUJ3:CUJ60 DEF3:DEF60 DOB3:DOB60 DXX3:DXX60 EHT3:EHT60 ERP3:ERP60 FBL3:FBL60 FLH3:FLH60 FVD3:FVD60 GEZ3:GEZ60 GOV3:GOV60 GYR3:GYR60 HIN3:HIN60 HSJ3:HSJ60 ICF3:ICF60 IMB3:IMB60 IVX3:IVX60 JFT3:JFT60 JPP3:JPP60 JZL3:JZL60 KJH3:KJH60 KTD3:KTD60 LCZ3:LCZ60 LMV3:LMV60 LWR3:LWR60 MGN3:MGN60 MQJ3:MQJ60 NAF3:NAF60 NKB3:NKB60 NTX3:NTX60 ODT3:ODT60 ONP3:ONP60 OXL3:OXL60 PHH3:PHH60 PRD3:PRD60 QAZ3:QAZ60 QKV3:QKV60 QUR3:QUR60 REN3:REN60 ROJ3:ROJ60 RYF3:RYF60 SIB3:SIB60 SRX3:SRX60 TBT3:TBT60 TLP3:TLP60 TVL3:TVL60 UFH3:UFH60 UPD3:UPD60 UYZ3:UYZ60 VIV3:VIV60 VSR3:VSR60 WCN3:WCN60 WMJ3:WMJ60 WWF3:WWF60 D65539:D65596 JS65539:JS65596 TO65539:TO65596 ADK65539:ADK65596 ANG65539:ANG65596 AXC65539:AXC65596 BGY65539:BGY65596 BQU65539:BQU65596 CAQ65539:CAQ65596 CKM65539:CKM65596 CUI65539:CUI65596 DEE65539:DEE65596 DOA65539:DOA65596 DXW65539:DXW65596 EHS65539:EHS65596 ERO65539:ERO65596 FBK65539:FBK65596 FLG65539:FLG65596 FVC65539:FVC65596 GEY65539:GEY65596 GOU65539:GOU65596 GYQ65539:GYQ65596 HIM65539:HIM65596 HSI65539:HSI65596 ICE65539:ICE65596 IMA65539:IMA65596 IVW65539:IVW65596 JFS65539:JFS65596 JPO65539:JPO65596 JZK65539:JZK65596 KJG65539:KJG65596 KTC65539:KTC65596 LCY65539:LCY65596 LMU65539:LMU65596 LWQ65539:LWQ65596 MGM65539:MGM65596 MQI65539:MQI65596 NAE65539:NAE65596 NKA65539:NKA65596 NTW65539:NTW65596 ODS65539:ODS65596 ONO65539:ONO65596 OXK65539:OXK65596 PHG65539:PHG65596 PRC65539:PRC65596 QAY65539:QAY65596 QKU65539:QKU65596 QUQ65539:QUQ65596 REM65539:REM65596 ROI65539:ROI65596 RYE65539:RYE65596 SIA65539:SIA65596 SRW65539:SRW65596 TBS65539:TBS65596 TLO65539:TLO65596 TVK65539:TVK65596 UFG65539:UFG65596 UPC65539:UPC65596 UYY65539:UYY65596 VIU65539:VIU65596 VSQ65539:VSQ65596 WCM65539:WCM65596 WMI65539:WMI65596 WWE65539:WWE65596 D131075:D131132 JS131075:JS131132 TO131075:TO131132 ADK131075:ADK131132 ANG131075:ANG131132 AXC131075:AXC131132 BGY131075:BGY131132 BQU131075:BQU131132 CAQ131075:CAQ131132 CKM131075:CKM131132 CUI131075:CUI131132 DEE131075:DEE131132 DOA131075:DOA131132 DXW131075:DXW131132 EHS131075:EHS131132 ERO131075:ERO131132 FBK131075:FBK131132 FLG131075:FLG131132 FVC131075:FVC131132 GEY131075:GEY131132 GOU131075:GOU131132 GYQ131075:GYQ131132 HIM131075:HIM131132 HSI131075:HSI131132 ICE131075:ICE131132 IMA131075:IMA131132 IVW131075:IVW131132 JFS131075:JFS131132 JPO131075:JPO131132 JZK131075:JZK131132 KJG131075:KJG131132 KTC131075:KTC131132 LCY131075:LCY131132 LMU131075:LMU131132 LWQ131075:LWQ131132 MGM131075:MGM131132 MQI131075:MQI131132 NAE131075:NAE131132 NKA131075:NKA131132 NTW131075:NTW131132 ODS131075:ODS131132 ONO131075:ONO131132 OXK131075:OXK131132 PHG131075:PHG131132 PRC131075:PRC131132 QAY131075:QAY131132 QKU131075:QKU131132 QUQ131075:QUQ131132 REM131075:REM131132 ROI131075:ROI131132 RYE131075:RYE131132 SIA131075:SIA131132 SRW131075:SRW131132 TBS131075:TBS131132 TLO131075:TLO131132 TVK131075:TVK131132 UFG131075:UFG131132 UPC131075:UPC131132 UYY131075:UYY131132 VIU131075:VIU131132 VSQ131075:VSQ131132 WCM131075:WCM131132 WMI131075:WMI131132 WWE131075:WWE131132 D196611:D196668 JS196611:JS196668 TO196611:TO196668 ADK196611:ADK196668 ANG196611:ANG196668 AXC196611:AXC196668 BGY196611:BGY196668 BQU196611:BQU196668 CAQ196611:CAQ196668 CKM196611:CKM196668 CUI196611:CUI196668 DEE196611:DEE196668 DOA196611:DOA196668 DXW196611:DXW196668 EHS196611:EHS196668 ERO196611:ERO196668 FBK196611:FBK196668 FLG196611:FLG196668 FVC196611:FVC196668 GEY196611:GEY196668 GOU196611:GOU196668 GYQ196611:GYQ196668 HIM196611:HIM196668 HSI196611:HSI196668 ICE196611:ICE196668 IMA196611:IMA196668 IVW196611:IVW196668 JFS196611:JFS196668 JPO196611:JPO196668 JZK196611:JZK196668 KJG196611:KJG196668 KTC196611:KTC196668 LCY196611:LCY196668 LMU196611:LMU196668 LWQ196611:LWQ196668 MGM196611:MGM196668 MQI196611:MQI196668 NAE196611:NAE196668 NKA196611:NKA196668 NTW196611:NTW196668 ODS196611:ODS196668 ONO196611:ONO196668 OXK196611:OXK196668 PHG196611:PHG196668 PRC196611:PRC196668 QAY196611:QAY196668 QKU196611:QKU196668 QUQ196611:QUQ196668 REM196611:REM196668 ROI196611:ROI196668 RYE196611:RYE196668 SIA196611:SIA196668 SRW196611:SRW196668 TBS196611:TBS196668 TLO196611:TLO196668 TVK196611:TVK196668 UFG196611:UFG196668 UPC196611:UPC196668 UYY196611:UYY196668 VIU196611:VIU196668 VSQ196611:VSQ196668 WCM196611:WCM196668 WMI196611:WMI196668 WWE196611:WWE196668 D262147:D262204 JS262147:JS262204 TO262147:TO262204 ADK262147:ADK262204 ANG262147:ANG262204 AXC262147:AXC262204 BGY262147:BGY262204 BQU262147:BQU262204 CAQ262147:CAQ262204 CKM262147:CKM262204 CUI262147:CUI262204 DEE262147:DEE262204 DOA262147:DOA262204 DXW262147:DXW262204 EHS262147:EHS262204 ERO262147:ERO262204 FBK262147:FBK262204 FLG262147:FLG262204 FVC262147:FVC262204 GEY262147:GEY262204 GOU262147:GOU262204 GYQ262147:GYQ262204 HIM262147:HIM262204 HSI262147:HSI262204 ICE262147:ICE262204 IMA262147:IMA262204 IVW262147:IVW262204 JFS262147:JFS262204 JPO262147:JPO262204 JZK262147:JZK262204 KJG262147:KJG262204 KTC262147:KTC262204 LCY262147:LCY262204 LMU262147:LMU262204 LWQ262147:LWQ262204 MGM262147:MGM262204 MQI262147:MQI262204 NAE262147:NAE262204 NKA262147:NKA262204 NTW262147:NTW262204 ODS262147:ODS262204 ONO262147:ONO262204 OXK262147:OXK262204 PHG262147:PHG262204 PRC262147:PRC262204 QAY262147:QAY262204 QKU262147:QKU262204 QUQ262147:QUQ262204 REM262147:REM262204 ROI262147:ROI262204 RYE262147:RYE262204 SIA262147:SIA262204 SRW262147:SRW262204 TBS262147:TBS262204 TLO262147:TLO262204 TVK262147:TVK262204 UFG262147:UFG262204 UPC262147:UPC262204 UYY262147:UYY262204 VIU262147:VIU262204 VSQ262147:VSQ262204 WCM262147:WCM262204 WMI262147:WMI262204 WWE262147:WWE262204 D327683:D327740 JS327683:JS327740 TO327683:TO327740 ADK327683:ADK327740 ANG327683:ANG327740 AXC327683:AXC327740 BGY327683:BGY327740 BQU327683:BQU327740 CAQ327683:CAQ327740 CKM327683:CKM327740 CUI327683:CUI327740 DEE327683:DEE327740 DOA327683:DOA327740 DXW327683:DXW327740 EHS327683:EHS327740 ERO327683:ERO327740 FBK327683:FBK327740 FLG327683:FLG327740 FVC327683:FVC327740 GEY327683:GEY327740 GOU327683:GOU327740 GYQ327683:GYQ327740 HIM327683:HIM327740 HSI327683:HSI327740 ICE327683:ICE327740 IMA327683:IMA327740 IVW327683:IVW327740 JFS327683:JFS327740 JPO327683:JPO327740 JZK327683:JZK327740 KJG327683:KJG327740 KTC327683:KTC327740 LCY327683:LCY327740 LMU327683:LMU327740 LWQ327683:LWQ327740 MGM327683:MGM327740 MQI327683:MQI327740 NAE327683:NAE327740 NKA327683:NKA327740 NTW327683:NTW327740 ODS327683:ODS327740 ONO327683:ONO327740 OXK327683:OXK327740 PHG327683:PHG327740 PRC327683:PRC327740 QAY327683:QAY327740 QKU327683:QKU327740 QUQ327683:QUQ327740 REM327683:REM327740 ROI327683:ROI327740 RYE327683:RYE327740 SIA327683:SIA327740 SRW327683:SRW327740 TBS327683:TBS327740 TLO327683:TLO327740 TVK327683:TVK327740 UFG327683:UFG327740 UPC327683:UPC327740 UYY327683:UYY327740 VIU327683:VIU327740 VSQ327683:VSQ327740 WCM327683:WCM327740 WMI327683:WMI327740 WWE327683:WWE327740 D393219:D393276 JS393219:JS393276 TO393219:TO393276 ADK393219:ADK393276 ANG393219:ANG393276 AXC393219:AXC393276 BGY393219:BGY393276 BQU393219:BQU393276 CAQ393219:CAQ393276 CKM393219:CKM393276 CUI393219:CUI393276 DEE393219:DEE393276 DOA393219:DOA393276 DXW393219:DXW393276 EHS393219:EHS393276 ERO393219:ERO393276 FBK393219:FBK393276 FLG393219:FLG393276 FVC393219:FVC393276 GEY393219:GEY393276 GOU393219:GOU393276 GYQ393219:GYQ393276 HIM393219:HIM393276 HSI393219:HSI393276 ICE393219:ICE393276 IMA393219:IMA393276 IVW393219:IVW393276 JFS393219:JFS393276 JPO393219:JPO393276 JZK393219:JZK393276 KJG393219:KJG393276 KTC393219:KTC393276 LCY393219:LCY393276 LMU393219:LMU393276 LWQ393219:LWQ393276 MGM393219:MGM393276 MQI393219:MQI393276 NAE393219:NAE393276 NKA393219:NKA393276 NTW393219:NTW393276 ODS393219:ODS393276 ONO393219:ONO393276 OXK393219:OXK393276 PHG393219:PHG393276 PRC393219:PRC393276 QAY393219:QAY393276 QKU393219:QKU393276 QUQ393219:QUQ393276 REM393219:REM393276 ROI393219:ROI393276 RYE393219:RYE393276 SIA393219:SIA393276 SRW393219:SRW393276 TBS393219:TBS393276 TLO393219:TLO393276 TVK393219:TVK393276 UFG393219:UFG393276 UPC393219:UPC393276 UYY393219:UYY393276 VIU393219:VIU393276 VSQ393219:VSQ393276 WCM393219:WCM393276 WMI393219:WMI393276 WWE393219:WWE393276 D458755:D458812 JS458755:JS458812 TO458755:TO458812 ADK458755:ADK458812 ANG458755:ANG458812 AXC458755:AXC458812 BGY458755:BGY458812 BQU458755:BQU458812 CAQ458755:CAQ458812 CKM458755:CKM458812 CUI458755:CUI458812 DEE458755:DEE458812 DOA458755:DOA458812 DXW458755:DXW458812 EHS458755:EHS458812 ERO458755:ERO458812 FBK458755:FBK458812 FLG458755:FLG458812 FVC458755:FVC458812 GEY458755:GEY458812 GOU458755:GOU458812 GYQ458755:GYQ458812 HIM458755:HIM458812 HSI458755:HSI458812 ICE458755:ICE458812 IMA458755:IMA458812 IVW458755:IVW458812 JFS458755:JFS458812 JPO458755:JPO458812 JZK458755:JZK458812 KJG458755:KJG458812 KTC458755:KTC458812 LCY458755:LCY458812 LMU458755:LMU458812 LWQ458755:LWQ458812 MGM458755:MGM458812 MQI458755:MQI458812 NAE458755:NAE458812 NKA458755:NKA458812 NTW458755:NTW458812 ODS458755:ODS458812 ONO458755:ONO458812 OXK458755:OXK458812 PHG458755:PHG458812 PRC458755:PRC458812 QAY458755:QAY458812 QKU458755:QKU458812 QUQ458755:QUQ458812 REM458755:REM458812 ROI458755:ROI458812 RYE458755:RYE458812 SIA458755:SIA458812 SRW458755:SRW458812 TBS458755:TBS458812 TLO458755:TLO458812 TVK458755:TVK458812 UFG458755:UFG458812 UPC458755:UPC458812 UYY458755:UYY458812 VIU458755:VIU458812 VSQ458755:VSQ458812 WCM458755:WCM458812 WMI458755:WMI458812 WWE458755:WWE458812 D524291:D524348 JS524291:JS524348 TO524291:TO524348 ADK524291:ADK524348 ANG524291:ANG524348 AXC524291:AXC524348 BGY524291:BGY524348 BQU524291:BQU524348 CAQ524291:CAQ524348 CKM524291:CKM524348 CUI524291:CUI524348 DEE524291:DEE524348 DOA524291:DOA524348 DXW524291:DXW524348 EHS524291:EHS524348 ERO524291:ERO524348 FBK524291:FBK524348 FLG524291:FLG524348 FVC524291:FVC524348 GEY524291:GEY524348 GOU524291:GOU524348 GYQ524291:GYQ524348 HIM524291:HIM524348 HSI524291:HSI524348 ICE524291:ICE524348 IMA524291:IMA524348 IVW524291:IVW524348 JFS524291:JFS524348 JPO524291:JPO524348 JZK524291:JZK524348 KJG524291:KJG524348 KTC524291:KTC524348 LCY524291:LCY524348 LMU524291:LMU524348 LWQ524291:LWQ524348 MGM524291:MGM524348 MQI524291:MQI524348 NAE524291:NAE524348 NKA524291:NKA524348 NTW524291:NTW524348 ODS524291:ODS524348 ONO524291:ONO524348 OXK524291:OXK524348 PHG524291:PHG524348 PRC524291:PRC524348 QAY524291:QAY524348 QKU524291:QKU524348 QUQ524291:QUQ524348 REM524291:REM524348 ROI524291:ROI524348 RYE524291:RYE524348 SIA524291:SIA524348 SRW524291:SRW524348 TBS524291:TBS524348 TLO524291:TLO524348 TVK524291:TVK524348 UFG524291:UFG524348 UPC524291:UPC524348 UYY524291:UYY524348 VIU524291:VIU524348 VSQ524291:VSQ524348 WCM524291:WCM524348 WMI524291:WMI524348 WWE524291:WWE524348 D589827:D589884 JS589827:JS589884 TO589827:TO589884 ADK589827:ADK589884 ANG589827:ANG589884 AXC589827:AXC589884 BGY589827:BGY589884 BQU589827:BQU589884 CAQ589827:CAQ589884 CKM589827:CKM589884 CUI589827:CUI589884 DEE589827:DEE589884 DOA589827:DOA589884 DXW589827:DXW589884 EHS589827:EHS589884 ERO589827:ERO589884 FBK589827:FBK589884 FLG589827:FLG589884 FVC589827:FVC589884 GEY589827:GEY589884 GOU589827:GOU589884 GYQ589827:GYQ589884 HIM589827:HIM589884 HSI589827:HSI589884 ICE589827:ICE589884 IMA589827:IMA589884 IVW589827:IVW589884 JFS589827:JFS589884 JPO589827:JPO589884 JZK589827:JZK589884 KJG589827:KJG589884 KTC589827:KTC589884 LCY589827:LCY589884 LMU589827:LMU589884 LWQ589827:LWQ589884 MGM589827:MGM589884 MQI589827:MQI589884 NAE589827:NAE589884 NKA589827:NKA589884 NTW589827:NTW589884 ODS589827:ODS589884 ONO589827:ONO589884 OXK589827:OXK589884 PHG589827:PHG589884 PRC589827:PRC589884 QAY589827:QAY589884 QKU589827:QKU589884 QUQ589827:QUQ589884 REM589827:REM589884 ROI589827:ROI589884 RYE589827:RYE589884 SIA589827:SIA589884 SRW589827:SRW589884 TBS589827:TBS589884 TLO589827:TLO589884 TVK589827:TVK589884 UFG589827:UFG589884 UPC589827:UPC589884 UYY589827:UYY589884 VIU589827:VIU589884 VSQ589827:VSQ589884 WCM589827:WCM589884 WMI589827:WMI589884 WWE589827:WWE589884 D655363:D655420 JS655363:JS655420 TO655363:TO655420 ADK655363:ADK655420 ANG655363:ANG655420 AXC655363:AXC655420 BGY655363:BGY655420 BQU655363:BQU655420 CAQ655363:CAQ655420 CKM655363:CKM655420 CUI655363:CUI655420 DEE655363:DEE655420 DOA655363:DOA655420 DXW655363:DXW655420 EHS655363:EHS655420 ERO655363:ERO655420 FBK655363:FBK655420 FLG655363:FLG655420 FVC655363:FVC655420 GEY655363:GEY655420 GOU655363:GOU655420 GYQ655363:GYQ655420 HIM655363:HIM655420 HSI655363:HSI655420 ICE655363:ICE655420 IMA655363:IMA655420 IVW655363:IVW655420 JFS655363:JFS655420 JPO655363:JPO655420 JZK655363:JZK655420 KJG655363:KJG655420 KTC655363:KTC655420 LCY655363:LCY655420 LMU655363:LMU655420 LWQ655363:LWQ655420 MGM655363:MGM655420 MQI655363:MQI655420 NAE655363:NAE655420 NKA655363:NKA655420 NTW655363:NTW655420 ODS655363:ODS655420 ONO655363:ONO655420 OXK655363:OXK655420 PHG655363:PHG655420 PRC655363:PRC655420 QAY655363:QAY655420 QKU655363:QKU655420 QUQ655363:QUQ655420 REM655363:REM655420 ROI655363:ROI655420 RYE655363:RYE655420 SIA655363:SIA655420 SRW655363:SRW655420 TBS655363:TBS655420 TLO655363:TLO655420 TVK655363:TVK655420 UFG655363:UFG655420 UPC655363:UPC655420 UYY655363:UYY655420 VIU655363:VIU655420 VSQ655363:VSQ655420 WCM655363:WCM655420 WMI655363:WMI655420 WWE655363:WWE655420 D720899:D720956 JS720899:JS720956 TO720899:TO720956 ADK720899:ADK720956 ANG720899:ANG720956 AXC720899:AXC720956 BGY720899:BGY720956 BQU720899:BQU720956 CAQ720899:CAQ720956 CKM720899:CKM720956 CUI720899:CUI720956 DEE720899:DEE720956 DOA720899:DOA720956 DXW720899:DXW720956 EHS720899:EHS720956 ERO720899:ERO720956 FBK720899:FBK720956 FLG720899:FLG720956 FVC720899:FVC720956 GEY720899:GEY720956 GOU720899:GOU720956 GYQ720899:GYQ720956 HIM720899:HIM720956 HSI720899:HSI720956 ICE720899:ICE720956 IMA720899:IMA720956 IVW720899:IVW720956 JFS720899:JFS720956 JPO720899:JPO720956 JZK720899:JZK720956 KJG720899:KJG720956 KTC720899:KTC720956 LCY720899:LCY720956 LMU720899:LMU720956 LWQ720899:LWQ720956 MGM720899:MGM720956 MQI720899:MQI720956 NAE720899:NAE720956 NKA720899:NKA720956 NTW720899:NTW720956 ODS720899:ODS720956 ONO720899:ONO720956 OXK720899:OXK720956 PHG720899:PHG720956 PRC720899:PRC720956 QAY720899:QAY720956 QKU720899:QKU720956 QUQ720899:QUQ720956 REM720899:REM720956 ROI720899:ROI720956 RYE720899:RYE720956 SIA720899:SIA720956 SRW720899:SRW720956 TBS720899:TBS720956 TLO720899:TLO720956 TVK720899:TVK720956 UFG720899:UFG720956 UPC720899:UPC720956 UYY720899:UYY720956 VIU720899:VIU720956 VSQ720899:VSQ720956 WCM720899:WCM720956 WMI720899:WMI720956 WWE720899:WWE720956 D786435:D786492 JS786435:JS786492 TO786435:TO786492 ADK786435:ADK786492 ANG786435:ANG786492 AXC786435:AXC786492 BGY786435:BGY786492 BQU786435:BQU786492 CAQ786435:CAQ786492 CKM786435:CKM786492 CUI786435:CUI786492 DEE786435:DEE786492 DOA786435:DOA786492 DXW786435:DXW786492 EHS786435:EHS786492 ERO786435:ERO786492 FBK786435:FBK786492 FLG786435:FLG786492 FVC786435:FVC786492 GEY786435:GEY786492 GOU786435:GOU786492 GYQ786435:GYQ786492 HIM786435:HIM786492 HSI786435:HSI786492 ICE786435:ICE786492 IMA786435:IMA786492 IVW786435:IVW786492 JFS786435:JFS786492 JPO786435:JPO786492 JZK786435:JZK786492 KJG786435:KJG786492 KTC786435:KTC786492 LCY786435:LCY786492 LMU786435:LMU786492 LWQ786435:LWQ786492 MGM786435:MGM786492 MQI786435:MQI786492 NAE786435:NAE786492 NKA786435:NKA786492 NTW786435:NTW786492 ODS786435:ODS786492 ONO786435:ONO786492 OXK786435:OXK786492 PHG786435:PHG786492 PRC786435:PRC786492 QAY786435:QAY786492 QKU786435:QKU786492 QUQ786435:QUQ786492 REM786435:REM786492 ROI786435:ROI786492 RYE786435:RYE786492 SIA786435:SIA786492 SRW786435:SRW786492 TBS786435:TBS786492 TLO786435:TLO786492 TVK786435:TVK786492 UFG786435:UFG786492 UPC786435:UPC786492 UYY786435:UYY786492 VIU786435:VIU786492 VSQ786435:VSQ786492 WCM786435:WCM786492 WMI786435:WMI786492 WWE786435:WWE786492 D851971:D852028 JS851971:JS852028 TO851971:TO852028 ADK851971:ADK852028 ANG851971:ANG852028 AXC851971:AXC852028 BGY851971:BGY852028 BQU851971:BQU852028 CAQ851971:CAQ852028 CKM851971:CKM852028 CUI851971:CUI852028 DEE851971:DEE852028 DOA851971:DOA852028 DXW851971:DXW852028 EHS851971:EHS852028 ERO851971:ERO852028 FBK851971:FBK852028 FLG851971:FLG852028 FVC851971:FVC852028 GEY851971:GEY852028 GOU851971:GOU852028 GYQ851971:GYQ852028 HIM851971:HIM852028 HSI851971:HSI852028 ICE851971:ICE852028 IMA851971:IMA852028 IVW851971:IVW852028 JFS851971:JFS852028 JPO851971:JPO852028 JZK851971:JZK852028 KJG851971:KJG852028 KTC851971:KTC852028 LCY851971:LCY852028 LMU851971:LMU852028 LWQ851971:LWQ852028 MGM851971:MGM852028 MQI851971:MQI852028 NAE851971:NAE852028 NKA851971:NKA852028 NTW851971:NTW852028 ODS851971:ODS852028 ONO851971:ONO852028 OXK851971:OXK852028 PHG851971:PHG852028 PRC851971:PRC852028 QAY851971:QAY852028 QKU851971:QKU852028 QUQ851971:QUQ852028 REM851971:REM852028 ROI851971:ROI852028 RYE851971:RYE852028 SIA851971:SIA852028 SRW851971:SRW852028 TBS851971:TBS852028 TLO851971:TLO852028 TVK851971:TVK852028 UFG851971:UFG852028 UPC851971:UPC852028 UYY851971:UYY852028 VIU851971:VIU852028 VSQ851971:VSQ852028 WCM851971:WCM852028 WMI851971:WMI852028 WWE851971:WWE852028 D917507:D917564 JS917507:JS917564 TO917507:TO917564 ADK917507:ADK917564 ANG917507:ANG917564 AXC917507:AXC917564 BGY917507:BGY917564 BQU917507:BQU917564 CAQ917507:CAQ917564 CKM917507:CKM917564 CUI917507:CUI917564 DEE917507:DEE917564 DOA917507:DOA917564 DXW917507:DXW917564 EHS917507:EHS917564 ERO917507:ERO917564 FBK917507:FBK917564 FLG917507:FLG917564 FVC917507:FVC917564 GEY917507:GEY917564 GOU917507:GOU917564 GYQ917507:GYQ917564 HIM917507:HIM917564 HSI917507:HSI917564 ICE917507:ICE917564 IMA917507:IMA917564 IVW917507:IVW917564 JFS917507:JFS917564 JPO917507:JPO917564 JZK917507:JZK917564 KJG917507:KJG917564 KTC917507:KTC917564 LCY917507:LCY917564 LMU917507:LMU917564 LWQ917507:LWQ917564 MGM917507:MGM917564 MQI917507:MQI917564 NAE917507:NAE917564 NKA917507:NKA917564 NTW917507:NTW917564 ODS917507:ODS917564 ONO917507:ONO917564 OXK917507:OXK917564 PHG917507:PHG917564 PRC917507:PRC917564 QAY917507:QAY917564 QKU917507:QKU917564 QUQ917507:QUQ917564 REM917507:REM917564 ROI917507:ROI917564 RYE917507:RYE917564 SIA917507:SIA917564 SRW917507:SRW917564 TBS917507:TBS917564 TLO917507:TLO917564 TVK917507:TVK917564 UFG917507:UFG917564 UPC917507:UPC917564 UYY917507:UYY917564 VIU917507:VIU917564 VSQ917507:VSQ917564 WCM917507:WCM917564 WMI917507:WMI917564 WWE917507:WWE917564 D983043:D983100 JS983043:JS983100 TO983043:TO983100 ADK983043:ADK983100 ANG983043:ANG983100 AXC983043:AXC983100 BGY983043:BGY983100 BQU983043:BQU983100 CAQ983043:CAQ983100 CKM983043:CKM983100 CUI983043:CUI983100 DEE983043:DEE983100 DOA983043:DOA983100 DXW983043:DXW983100 EHS983043:EHS983100 ERO983043:ERO983100 FBK983043:FBK983100 FLG983043:FLG983100 FVC983043:FVC983100 GEY983043:GEY983100 GOU983043:GOU983100 GYQ983043:GYQ983100 HIM983043:HIM983100 HSI983043:HSI983100 ICE983043:ICE983100 IMA983043:IMA983100 IVW983043:IVW983100 JFS983043:JFS983100 JPO983043:JPO983100 JZK983043:JZK983100 KJG983043:KJG983100 KTC983043:KTC983100 LCY983043:LCY983100 LMU983043:LMU983100 LWQ983043:LWQ983100 MGM983043:MGM983100 MQI983043:MQI983100 NAE983043:NAE983100 NKA983043:NKA983100 NTW983043:NTW983100 ODS983043:ODS983100 ONO983043:ONO983100 OXK983043:OXK983100 PHG983043:PHG983100 PRC983043:PRC983100 QAY983043:QAY983100 QKU983043:QKU983100 QUQ983043:QUQ983100 REM983043:REM983100 ROI983043:ROI983100 RYE983043:RYE983100 SIA983043:SIA983100 SRW983043:SRW983100 TBS983043:TBS983100 TLO983043:TLO983100 TVK983043:TVK983100 UFG983043:UFG983100 UPC983043:UPC983100 UYY983043:UYY983100 VIU983043:VIU983100 VSQ983043:VSQ983100 WCM983043:WCM983100 WMI983043:WMI983100 WWE983043:WWE983100">
      <formula1>"ACS,AGRI,BNC,"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Paramètres!$O$6:$O$16</xm:f>
          </x14:formula1>
          <xm:sqref>AK3:AK60</xm:sqref>
        </x14:dataValidation>
        <x14:dataValidation type="list" allowBlank="1" showInputMessage="1" showErrorMessage="1">
          <x14:formula1>
            <xm:f>Paramètres!$O$4:$O$16</xm:f>
          </x14:formula1>
          <xm:sqref>BF3:BF60</xm:sqref>
        </x14:dataValidation>
        <x14:dataValidation type="list" allowBlank="1" showInputMessage="1" showErrorMessage="1">
          <x14:formula1>
            <xm:f>Paramètres!$N$4:$N$13</xm:f>
          </x14:formula1>
          <xm:sqref>BE3:BE60</xm:sqref>
        </x14:dataValidation>
        <x14:dataValidation type="list" allowBlank="1" showInputMessage="1" showErrorMessage="1">
          <x14:formula1>
            <xm:f>Paramètres!$K$4:$K$9</xm:f>
          </x14:formula1>
          <xm:sqref>AJ3</xm:sqref>
        </x14:dataValidation>
        <x14:dataValidation type="list" allowBlank="1" showInputMessage="1" showErrorMessage="1">
          <x14:formula1>
            <xm:f>Paramètres!$L$4:$L$11</xm:f>
          </x14:formula1>
          <xm:sqref>A3:A60</xm:sqref>
        </x14:dataValidation>
        <x14:dataValidation type="list" allowBlank="1" showInputMessage="1" showErrorMessage="1">
          <x14:formula1>
            <xm:f>Paramètres!$K$4:$K$8</xm:f>
          </x14:formula1>
          <xm:sqref>AJ4:AJ60</xm:sqref>
        </x14:dataValidation>
        <x14:dataValidation type="list" allowBlank="1" showInputMessage="1" showErrorMessage="1">
          <x14:formula1>
            <xm:f>Paramètres!$J$4:$J$7</xm:f>
          </x14:formula1>
          <xm:sqref>AI3:AI60</xm:sqref>
        </x14:dataValidation>
        <x14:dataValidation type="list" allowBlank="1" showInputMessage="1" showErrorMessage="1">
          <x14:formula1>
            <xm:f>Paramètres!$F$4:$F$17</xm:f>
          </x14:formula1>
          <xm:sqref>F3:F52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13</vt:i4>
      </vt:variant>
    </vt:vector>
  </HeadingPairs>
  <TitlesOfParts>
    <vt:vector size="25" baseType="lpstr">
      <vt:lpstr>Agence Stats Budget</vt:lpstr>
      <vt:lpstr>Agence Stats Visas</vt:lpstr>
      <vt:lpstr>Paramètres</vt:lpstr>
      <vt:lpstr>Menu</vt:lpstr>
      <vt:lpstr>DELPHINE</vt:lpstr>
      <vt:lpstr>FREDERIQUE</vt:lpstr>
      <vt:lpstr>AURELIE_T</vt:lpstr>
      <vt:lpstr>ERIC</vt:lpstr>
      <vt:lpstr>MARIE_PIERRE</vt:lpstr>
      <vt:lpstr>GUILLAUME</vt:lpstr>
      <vt:lpstr>SEBASTIEN</vt:lpstr>
      <vt:lpstr>AUTRE COMPTABLE</vt:lpstr>
      <vt:lpstr>agoasigneeouinonafairena</vt:lpstr>
      <vt:lpstr>crfaitparlecomptableouinon</vt:lpstr>
      <vt:lpstr>crouinonaterminerafaire</vt:lpstr>
      <vt:lpstr>listedossierdelphine</vt:lpstr>
      <vt:lpstr>N°_DOSSIERDELPHINE</vt:lpstr>
      <vt:lpstr>pcrouinonafaire</vt:lpstr>
      <vt:lpstr>prénomsaac</vt:lpstr>
      <vt:lpstr>prenomscomptables</vt:lpstr>
      <vt:lpstr>prenomsconseillers</vt:lpstr>
      <vt:lpstr>quicomptableconseiller</vt:lpstr>
      <vt:lpstr>ranosouinonafaire</vt:lpstr>
      <vt:lpstr>reconductionouinon</vt:lpstr>
      <vt:lpstr>réponsesouinon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Guy Blancher</cp:lastModifiedBy>
  <cp:lastPrinted>2020-04-17T20:35:32Z</cp:lastPrinted>
  <dcterms:created xsi:type="dcterms:W3CDTF">2020-04-09T11:31:02Z</dcterms:created>
  <dcterms:modified xsi:type="dcterms:W3CDTF">2020-04-23T18:51:15Z</dcterms:modified>
</cp:coreProperties>
</file>