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3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drawings/drawing4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drawings/drawing5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drawings/drawing6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7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drawings/drawing8.xml" ContentType="application/vnd.openxmlformats-officedocument.drawing+xml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drawings/drawing9.xml" ContentType="application/vnd.openxmlformats-officedocument.drawing+xml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drawings/drawing10.xml" ContentType="application/vnd.openxmlformats-officedocument.drawing+xml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drawings/drawing11.xml" ContentType="application/vnd.openxmlformats-officedocument.drawing+xml"/>
  <Override PartName="/xl/activeX/activeX23.xml" ContentType="application/vnd.ms-office.activeX+xml"/>
  <Override PartName="/xl/activeX/activeX23.bin" ContentType="application/vnd.ms-office.activeX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53222"/>
  <bookViews>
    <workbookView xWindow="0" yWindow="0" windowWidth="24570" windowHeight="9000" tabRatio="846" activeTab="1"/>
  </bookViews>
  <sheets>
    <sheet name="Infos générales" sheetId="23" r:id="rId1"/>
    <sheet name="Infos joueurs" sheetId="2" r:id="rId2"/>
    <sheet name="FM Poule 3j" sheetId="8" state="hidden" r:id="rId3"/>
    <sheet name="FM Poule 4j" sheetId="10" state="hidden" r:id="rId4"/>
    <sheet name="FM Poule 5j" sheetId="12" state="hidden" r:id="rId5"/>
    <sheet name="FM Poule 6j" sheetId="14" state="hidden" r:id="rId6"/>
    <sheet name="Poule 3j (2)" sheetId="34" r:id="rId7"/>
    <sheet name="Poule 3j" sheetId="9" r:id="rId8"/>
    <sheet name="Poule 4j" sheetId="11" r:id="rId9"/>
    <sheet name="Poule 5j" sheetId="13" r:id="rId10"/>
    <sheet name="Poule 6j" sheetId="15" r:id="rId11"/>
    <sheet name="Classement pour tableau final" sheetId="3" r:id="rId12"/>
    <sheet name="Final 8 joueurs" sheetId="22" state="hidden" r:id="rId13"/>
    <sheet name="Final 16 joueurs" sheetId="21" state="hidden" r:id="rId14"/>
    <sheet name="Final 32 joueurs" sheetId="20" state="hidden" r:id="rId15"/>
  </sheets>
  <externalReferences>
    <externalReference r:id="rId16"/>
    <externalReference r:id="rId17"/>
    <externalReference r:id="rId18"/>
    <externalReference r:id="rId19"/>
  </externalReferences>
  <definedNames>
    <definedName name="_xlnm._FilterDatabase" localSheetId="1" hidden="1">'Infos joueurs'!$B$14:$M$14</definedName>
    <definedName name="Daten" localSheetId="11">[1]Eingabe!$A$4:$E$30</definedName>
    <definedName name="Daten">[2]Eingabe!$A$4:$E$30</definedName>
    <definedName name="Daten___0" localSheetId="11">[1]Eingabe!$A$4:$E$30</definedName>
    <definedName name="Daten___0">[2]Eingabe!$A$4:$E$30</definedName>
    <definedName name="Daten___5" localSheetId="11">[3]Eingabe!$A$4:$E$30</definedName>
    <definedName name="Daten___5">[4]Eingabe!$A$4:$E$30</definedName>
    <definedName name="Daten___6" localSheetId="11">[3]Eingabe!$A$4:$E$30</definedName>
    <definedName name="Daten___6">[4]Eingabe!$A$4:$E$30</definedName>
    <definedName name="Daten___8" localSheetId="11">[3]Eingabe!$A$4:$E$30</definedName>
    <definedName name="Daten___8">[4]Eingabe!$A$4:$E$30</definedName>
    <definedName name="FM_Poule_3j">'FM Poule 3j'!$D$3:$N$17</definedName>
    <definedName name="_xlnm.Print_Area" localSheetId="1">'Infos joueurs'!$A$1:$M$46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2" l="1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15" i="2"/>
  <c r="C1" i="2"/>
  <c r="W43" i="3" l="1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89" i="3"/>
  <c r="W90" i="3"/>
  <c r="W91" i="3"/>
  <c r="W92" i="3"/>
  <c r="W93" i="3"/>
  <c r="W94" i="3"/>
  <c r="W95" i="3"/>
  <c r="W96" i="3"/>
  <c r="W97" i="3"/>
  <c r="W98" i="3"/>
  <c r="W99" i="3"/>
  <c r="W100" i="3"/>
  <c r="W101" i="3"/>
  <c r="W102" i="3"/>
  <c r="W103" i="3"/>
  <c r="W104" i="3"/>
  <c r="W105" i="3"/>
  <c r="W106" i="3"/>
  <c r="W107" i="3"/>
  <c r="W108" i="3"/>
  <c r="W109" i="3"/>
  <c r="W110" i="3"/>
  <c r="W111" i="3"/>
  <c r="W112" i="3"/>
  <c r="W113" i="3"/>
  <c r="W114" i="3"/>
  <c r="W115" i="3"/>
  <c r="W116" i="3"/>
  <c r="W117" i="3"/>
  <c r="W118" i="3"/>
  <c r="W119" i="3"/>
  <c r="W120" i="3"/>
  <c r="W121" i="3"/>
  <c r="W122" i="3"/>
  <c r="W123" i="3"/>
  <c r="W124" i="3"/>
  <c r="W125" i="3"/>
  <c r="W126" i="3"/>
  <c r="W127" i="3"/>
  <c r="W128" i="3"/>
  <c r="W129" i="3"/>
  <c r="W130" i="3"/>
  <c r="W131" i="3"/>
  <c r="W132" i="3"/>
  <c r="W133" i="3"/>
  <c r="W134" i="3"/>
  <c r="W135" i="3"/>
  <c r="W136" i="3"/>
  <c r="W137" i="3"/>
  <c r="W138" i="3"/>
  <c r="W139" i="3"/>
  <c r="W140" i="3"/>
  <c r="W141" i="3"/>
  <c r="W142" i="3"/>
  <c r="W143" i="3"/>
  <c r="W144" i="3"/>
  <c r="W145" i="3"/>
  <c r="W146" i="3"/>
  <c r="W147" i="3"/>
  <c r="W148" i="3"/>
  <c r="W149" i="3"/>
  <c r="W150" i="3"/>
  <c r="W151" i="3"/>
  <c r="W152" i="3"/>
  <c r="W153" i="3"/>
  <c r="W154" i="3"/>
  <c r="W155" i="3"/>
  <c r="W156" i="3"/>
  <c r="W157" i="3"/>
  <c r="W158" i="3"/>
  <c r="W159" i="3"/>
  <c r="W160" i="3"/>
  <c r="W161" i="3"/>
  <c r="W162" i="3"/>
  <c r="W163" i="3"/>
  <c r="W164" i="3"/>
  <c r="W165" i="3"/>
  <c r="W166" i="3"/>
  <c r="W167" i="3"/>
  <c r="W168" i="3"/>
  <c r="W169" i="3"/>
  <c r="W170" i="3"/>
  <c r="W171" i="3"/>
  <c r="W172" i="3"/>
  <c r="W173" i="3"/>
  <c r="W174" i="3"/>
  <c r="W175" i="3"/>
  <c r="W176" i="3"/>
  <c r="W177" i="3"/>
  <c r="W178" i="3"/>
  <c r="W179" i="3"/>
  <c r="W180" i="3"/>
  <c r="W181" i="3"/>
  <c r="W182" i="3"/>
  <c r="W183" i="3"/>
  <c r="W184" i="3"/>
  <c r="W185" i="3"/>
  <c r="W186" i="3"/>
  <c r="W187" i="3"/>
  <c r="W188" i="3"/>
  <c r="W189" i="3"/>
  <c r="W190" i="3"/>
  <c r="W191" i="3"/>
  <c r="W192" i="3"/>
  <c r="W193" i="3"/>
  <c r="W194" i="3"/>
  <c r="W195" i="3"/>
  <c r="W196" i="3"/>
  <c r="W197" i="3"/>
  <c r="W198" i="3"/>
  <c r="W199" i="3"/>
  <c r="W200" i="3"/>
  <c r="W201" i="3"/>
  <c r="W202" i="3"/>
  <c r="W203" i="3"/>
  <c r="W204" i="3"/>
  <c r="W205" i="3"/>
  <c r="W206" i="3"/>
  <c r="W207" i="3"/>
  <c r="W208" i="3"/>
  <c r="W209" i="3"/>
  <c r="W210" i="3"/>
  <c r="W211" i="3"/>
  <c r="W212" i="3"/>
  <c r="W213" i="3"/>
  <c r="W214" i="3"/>
  <c r="W215" i="3"/>
  <c r="W216" i="3"/>
  <c r="W217" i="3"/>
  <c r="W218" i="3"/>
  <c r="W219" i="3"/>
  <c r="W220" i="3"/>
  <c r="W221" i="3"/>
  <c r="W222" i="3"/>
  <c r="W223" i="3"/>
  <c r="W224" i="3"/>
  <c r="W225" i="3"/>
  <c r="W226" i="3"/>
  <c r="W227" i="3"/>
  <c r="W228" i="3"/>
  <c r="W229" i="3"/>
  <c r="W230" i="3"/>
  <c r="W231" i="3"/>
  <c r="W232" i="3"/>
  <c r="W233" i="3"/>
  <c r="W234" i="3"/>
  <c r="W235" i="3"/>
  <c r="W236" i="3"/>
  <c r="W237" i="3"/>
  <c r="W238" i="3"/>
  <c r="W239" i="3"/>
  <c r="W240" i="3"/>
  <c r="W241" i="3"/>
  <c r="W242" i="3"/>
  <c r="W243" i="3"/>
  <c r="W244" i="3"/>
  <c r="W245" i="3"/>
  <c r="W246" i="3"/>
  <c r="W247" i="3"/>
  <c r="W248" i="3"/>
  <c r="W249" i="3"/>
  <c r="W250" i="3"/>
  <c r="W251" i="3"/>
  <c r="W252" i="3"/>
  <c r="W253" i="3"/>
  <c r="W254" i="3"/>
  <c r="W255" i="3"/>
  <c r="W256" i="3"/>
  <c r="W257" i="3"/>
  <c r="W258" i="3"/>
  <c r="W259" i="3"/>
  <c r="W260" i="3"/>
  <c r="W261" i="3"/>
  <c r="W262" i="3"/>
  <c r="W263" i="3"/>
  <c r="W264" i="3"/>
  <c r="W265" i="3"/>
  <c r="W266" i="3"/>
  <c r="C49" i="2" l="1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B8" i="23" l="1"/>
  <c r="D5" i="21"/>
  <c r="D2" i="21"/>
  <c r="N5" i="21"/>
  <c r="N2" i="21"/>
  <c r="Z13" i="21"/>
  <c r="Z10" i="21"/>
  <c r="AC90" i="21"/>
  <c r="Z90" i="21"/>
  <c r="R90" i="21"/>
  <c r="P90" i="21"/>
  <c r="F90" i="21"/>
  <c r="D90" i="21"/>
  <c r="J166" i="20"/>
  <c r="H166" i="20"/>
  <c r="R82" i="20"/>
  <c r="T82" i="20"/>
  <c r="H82" i="20"/>
  <c r="F82" i="20"/>
  <c r="O89" i="22"/>
  <c r="R89" i="22"/>
  <c r="F89" i="22"/>
  <c r="D89" i="22"/>
  <c r="D87" i="20"/>
  <c r="D85" i="20"/>
  <c r="O4" i="20"/>
  <c r="O2" i="20"/>
  <c r="D4" i="20"/>
  <c r="D2" i="20"/>
  <c r="AG90" i="21" l="1"/>
  <c r="H90" i="21"/>
  <c r="V82" i="20"/>
  <c r="T89" i="22"/>
  <c r="T90" i="21"/>
  <c r="L166" i="20"/>
  <c r="J82" i="20"/>
  <c r="H89" i="22"/>
  <c r="B4" i="15"/>
  <c r="B2" i="15"/>
  <c r="B2" i="13"/>
  <c r="B4" i="13"/>
  <c r="B4" i="11"/>
  <c r="B2" i="11"/>
  <c r="A11" i="2"/>
  <c r="A9" i="2"/>
  <c r="W12" i="3" l="1"/>
  <c r="W14" i="3"/>
  <c r="W16" i="3"/>
  <c r="W18" i="3"/>
  <c r="W20" i="3"/>
  <c r="W22" i="3"/>
  <c r="W24" i="3"/>
  <c r="W26" i="3"/>
  <c r="W28" i="3"/>
  <c r="W30" i="3"/>
  <c r="W32" i="3"/>
  <c r="W34" i="3"/>
  <c r="W36" i="3"/>
  <c r="W38" i="3"/>
  <c r="W40" i="3"/>
  <c r="W42" i="3"/>
  <c r="W13" i="3"/>
  <c r="W15" i="3"/>
  <c r="W17" i="3"/>
  <c r="W19" i="3"/>
  <c r="W21" i="3"/>
  <c r="W23" i="3"/>
  <c r="W25" i="3"/>
  <c r="W27" i="3"/>
  <c r="W29" i="3"/>
  <c r="W31" i="3"/>
  <c r="W33" i="3"/>
  <c r="W35" i="3"/>
  <c r="W37" i="3"/>
  <c r="W39" i="3"/>
  <c r="W41" i="3"/>
  <c r="W11" i="3"/>
  <c r="C19" i="14"/>
  <c r="C13" i="14"/>
  <c r="C7" i="14"/>
  <c r="C16" i="12"/>
  <c r="C10" i="12"/>
  <c r="C4" i="12"/>
  <c r="C10" i="10"/>
  <c r="C7" i="10"/>
  <c r="C10" i="8"/>
  <c r="C4" i="8"/>
  <c r="C16" i="14"/>
  <c r="C10" i="14"/>
  <c r="C4" i="14"/>
  <c r="C13" i="12"/>
  <c r="C7" i="12"/>
  <c r="C13" i="10"/>
  <c r="C9" i="10"/>
  <c r="C4" i="10"/>
  <c r="C7" i="8"/>
  <c r="C15" i="14"/>
  <c r="C9" i="14"/>
  <c r="C3" i="14"/>
  <c r="C12" i="12"/>
  <c r="C6" i="12"/>
  <c r="C12" i="10"/>
  <c r="C3" i="10"/>
  <c r="C6" i="8"/>
  <c r="C18" i="14"/>
  <c r="C12" i="14"/>
  <c r="C6" i="14"/>
  <c r="C15" i="12"/>
  <c r="C9" i="12"/>
  <c r="C3" i="12"/>
  <c r="C6" i="10"/>
  <c r="C9" i="8"/>
  <c r="C3" i="8"/>
  <c r="I12" i="23"/>
  <c r="I11" i="23"/>
  <c r="I10" i="23"/>
  <c r="I9" i="23"/>
  <c r="H8" i="23"/>
  <c r="C8" i="23"/>
  <c r="J12" i="23" s="1"/>
  <c r="L12" i="23" s="1"/>
  <c r="H2" i="23"/>
  <c r="C2" i="23"/>
  <c r="I3" i="23" l="1"/>
  <c r="K3" i="23"/>
  <c r="I4" i="23"/>
  <c r="K4" i="23"/>
  <c r="I5" i="23"/>
  <c r="K5" i="23"/>
  <c r="I6" i="23"/>
  <c r="K6" i="23"/>
  <c r="K9" i="23"/>
  <c r="K10" i="23"/>
  <c r="K11" i="23"/>
  <c r="K12" i="23"/>
  <c r="J3" i="23"/>
  <c r="L3" i="23" s="1"/>
  <c r="J4" i="23"/>
  <c r="L4" i="23" s="1"/>
  <c r="J5" i="23"/>
  <c r="L5" i="23" s="1"/>
  <c r="J6" i="23"/>
  <c r="L6" i="23" s="1"/>
  <c r="J9" i="23"/>
  <c r="L9" i="23" s="1"/>
  <c r="J10" i="23"/>
  <c r="L10" i="23" s="1"/>
  <c r="J11" i="23"/>
  <c r="L11" i="23" s="1"/>
  <c r="N84" i="21" l="1"/>
  <c r="P83" i="21"/>
  <c r="N82" i="21"/>
  <c r="R81" i="21"/>
  <c r="U82" i="21"/>
  <c r="N80" i="21"/>
  <c r="W81" i="21"/>
  <c r="P79" i="21"/>
  <c r="U80" i="21"/>
  <c r="N78" i="21"/>
  <c r="AF84" i="21"/>
  <c r="Z84" i="21"/>
  <c r="AF78" i="21"/>
  <c r="Z78" i="21"/>
  <c r="J72" i="21"/>
  <c r="U66" i="21"/>
  <c r="L71" i="21"/>
  <c r="W65" i="21"/>
  <c r="J70" i="21"/>
  <c r="AF72" i="21"/>
  <c r="Z72" i="21"/>
  <c r="U64" i="21"/>
  <c r="AF66" i="21"/>
  <c r="Z66" i="21"/>
  <c r="N55" i="21"/>
  <c r="P54" i="21"/>
  <c r="N53" i="21"/>
  <c r="R52" i="21"/>
  <c r="F59" i="21"/>
  <c r="AF60" i="21"/>
  <c r="Z60" i="21"/>
  <c r="N51" i="21"/>
  <c r="P50" i="21"/>
  <c r="H57" i="21"/>
  <c r="N49" i="21"/>
  <c r="T48" i="21"/>
  <c r="F55" i="21"/>
  <c r="N47" i="21"/>
  <c r="AF54" i="21"/>
  <c r="Z54" i="21"/>
  <c r="P46" i="21"/>
  <c r="J53" i="21"/>
  <c r="N45" i="21"/>
  <c r="R44" i="21"/>
  <c r="F51" i="21"/>
  <c r="N43" i="21"/>
  <c r="P42" i="21"/>
  <c r="H49" i="21"/>
  <c r="AF48" i="21"/>
  <c r="Z48" i="21"/>
  <c r="N41" i="21"/>
  <c r="F47" i="21"/>
  <c r="L45" i="21"/>
  <c r="AF42" i="21"/>
  <c r="Z42" i="21"/>
  <c r="F43" i="21"/>
  <c r="H41" i="21"/>
  <c r="F39" i="21"/>
  <c r="N30" i="21"/>
  <c r="J37" i="21"/>
  <c r="P29" i="21"/>
  <c r="N28" i="21"/>
  <c r="F35" i="21"/>
  <c r="R27" i="21"/>
  <c r="U28" i="21"/>
  <c r="N26" i="21"/>
  <c r="H33" i="21"/>
  <c r="W27" i="21"/>
  <c r="P25" i="21"/>
  <c r="U26" i="21"/>
  <c r="N24" i="21"/>
  <c r="F31" i="21"/>
  <c r="E1" i="10" l="1"/>
  <c r="E1" i="12"/>
  <c r="E1" i="14"/>
  <c r="E1" i="8" l="1"/>
  <c r="AB42" i="20" l="1"/>
  <c r="L162" i="20" l="1"/>
  <c r="N161" i="20"/>
  <c r="L160" i="20"/>
  <c r="AG78" i="20"/>
  <c r="D164" i="20"/>
  <c r="F163" i="20"/>
  <c r="D162" i="20"/>
  <c r="AG74" i="20"/>
  <c r="H161" i="20"/>
  <c r="L148" i="20"/>
  <c r="D160" i="20"/>
  <c r="N147" i="20"/>
  <c r="F159" i="20"/>
  <c r="L146" i="20"/>
  <c r="D158" i="20"/>
  <c r="AG70" i="20"/>
  <c r="AG66" i="20"/>
  <c r="D146" i="20"/>
  <c r="F145" i="20"/>
  <c r="D144" i="20"/>
  <c r="H143" i="20"/>
  <c r="AG62" i="20"/>
  <c r="D142" i="20"/>
  <c r="F141" i="20"/>
  <c r="D140" i="20"/>
  <c r="J139" i="20"/>
  <c r="D138" i="20"/>
  <c r="AG58" i="20"/>
  <c r="F137" i="20"/>
  <c r="D136" i="20"/>
  <c r="H135" i="20"/>
  <c r="D134" i="20"/>
  <c r="F133" i="20"/>
  <c r="AG54" i="20"/>
  <c r="D132" i="20"/>
  <c r="AG50" i="20"/>
  <c r="F123" i="20"/>
  <c r="AG46" i="20"/>
  <c r="H121" i="20"/>
  <c r="F119" i="20"/>
  <c r="AG42" i="20"/>
  <c r="J117" i="20"/>
  <c r="F115" i="20"/>
  <c r="H113" i="20"/>
  <c r="AG38" i="20"/>
  <c r="F111" i="20"/>
  <c r="L109" i="20"/>
  <c r="AG34" i="20"/>
  <c r="F107" i="20"/>
  <c r="H105" i="20"/>
  <c r="F103" i="20"/>
  <c r="AG30" i="20"/>
  <c r="J101" i="20"/>
  <c r="F99" i="20"/>
  <c r="AG26" i="20"/>
  <c r="H97" i="20"/>
  <c r="F95" i="20"/>
  <c r="AG22" i="20"/>
  <c r="AG18" i="20"/>
  <c r="P80" i="20"/>
  <c r="R79" i="20"/>
  <c r="P78" i="20"/>
  <c r="P68" i="20"/>
  <c r="R67" i="20"/>
  <c r="P66" i="20"/>
  <c r="T65" i="20"/>
  <c r="W72" i="20"/>
  <c r="P64" i="20"/>
  <c r="Y71" i="20"/>
  <c r="R63" i="20"/>
  <c r="W70" i="20"/>
  <c r="P62" i="20"/>
  <c r="T37" i="20" l="1"/>
  <c r="AB66" i="20"/>
  <c r="AB74" i="20"/>
  <c r="Y43" i="20"/>
  <c r="AB50" i="20"/>
  <c r="V19" i="20"/>
  <c r="AB58" i="20"/>
  <c r="Y30" i="20"/>
  <c r="N40" i="20"/>
  <c r="AB18" i="20"/>
  <c r="N77" i="20"/>
  <c r="AB26" i="20"/>
  <c r="Y57" i="20"/>
  <c r="T51" i="20"/>
  <c r="W19" i="15" l="1"/>
  <c r="U19" i="15"/>
  <c r="W18" i="15"/>
  <c r="U18" i="15"/>
  <c r="W17" i="15"/>
  <c r="U17" i="15"/>
  <c r="W16" i="15"/>
  <c r="U16" i="15"/>
  <c r="W15" i="15"/>
  <c r="U15" i="15"/>
  <c r="AF20" i="15" l="1"/>
  <c r="E31" i="14"/>
  <c r="E17" i="14"/>
  <c r="E28" i="14"/>
  <c r="E30" i="14"/>
  <c r="E27" i="14"/>
  <c r="W20" i="15"/>
  <c r="U20" i="15"/>
  <c r="AG19" i="15"/>
  <c r="AG18" i="15"/>
  <c r="AG17" i="15"/>
  <c r="B17" i="15"/>
  <c r="AG16" i="15"/>
  <c r="AG15" i="15"/>
  <c r="M34" i="14"/>
  <c r="M33" i="14"/>
  <c r="M31" i="14"/>
  <c r="M30" i="14"/>
  <c r="M28" i="14"/>
  <c r="M27" i="14"/>
  <c r="W23" i="14"/>
  <c r="M23" i="14"/>
  <c r="W22" i="14"/>
  <c r="Q20" i="15" s="1"/>
  <c r="M22" i="14"/>
  <c r="I19" i="15" s="1"/>
  <c r="W20" i="14"/>
  <c r="M20" i="14"/>
  <c r="W19" i="14"/>
  <c r="K18" i="15" s="1"/>
  <c r="M19" i="14"/>
  <c r="H20" i="15" s="1"/>
  <c r="W17" i="14"/>
  <c r="M17" i="14"/>
  <c r="W16" i="14"/>
  <c r="E16" i="15" s="1"/>
  <c r="M16" i="14"/>
  <c r="E18" i="15" s="1"/>
  <c r="B20" i="15"/>
  <c r="R10" i="15" s="1"/>
  <c r="W12" i="14"/>
  <c r="M12" i="14"/>
  <c r="W11" i="14"/>
  <c r="M11" i="14"/>
  <c r="W9" i="14"/>
  <c r="M9" i="14"/>
  <c r="W8" i="14"/>
  <c r="H17" i="15" s="1"/>
  <c r="M8" i="14"/>
  <c r="W6" i="14"/>
  <c r="M6" i="14"/>
  <c r="W5" i="14"/>
  <c r="E20" i="15" s="1"/>
  <c r="M5" i="14"/>
  <c r="E19" i="15" s="1"/>
  <c r="N20" i="15" l="1"/>
  <c r="O20" i="15"/>
  <c r="H15" i="15"/>
  <c r="C16" i="15"/>
  <c r="F19" i="15"/>
  <c r="C17" i="15"/>
  <c r="O18" i="15"/>
  <c r="N15" i="15"/>
  <c r="T15" i="15"/>
  <c r="R16" i="15"/>
  <c r="Q17" i="15"/>
  <c r="C18" i="15"/>
  <c r="R18" i="15"/>
  <c r="K19" i="15"/>
  <c r="F20" i="15"/>
  <c r="C19" i="15"/>
  <c r="Z19" i="15"/>
  <c r="X15" i="15"/>
  <c r="Z15" i="15"/>
  <c r="X19" i="15"/>
  <c r="Z18" i="15"/>
  <c r="X16" i="15"/>
  <c r="Z16" i="15"/>
  <c r="X18" i="15"/>
  <c r="X17" i="15"/>
  <c r="X20" i="15"/>
  <c r="Z17" i="15"/>
  <c r="K15" i="15"/>
  <c r="Q15" i="15"/>
  <c r="O16" i="15"/>
  <c r="E17" i="15"/>
  <c r="N17" i="15"/>
  <c r="I18" i="15"/>
  <c r="H19" i="15"/>
  <c r="T19" i="15"/>
  <c r="C20" i="15"/>
  <c r="L20" i="15"/>
  <c r="AG20" i="15"/>
  <c r="E9" i="14"/>
  <c r="E20" i="14"/>
  <c r="O20" i="14"/>
  <c r="E33" i="14"/>
  <c r="E34" i="14"/>
  <c r="AF16" i="15"/>
  <c r="AF18" i="15"/>
  <c r="B16" i="15"/>
  <c r="F10" i="15" s="1"/>
  <c r="O6" i="14"/>
  <c r="B18" i="15"/>
  <c r="L10" i="15" s="1"/>
  <c r="E12" i="14"/>
  <c r="O17" i="14"/>
  <c r="E19" i="14"/>
  <c r="O23" i="14"/>
  <c r="AF15" i="15"/>
  <c r="E6" i="14"/>
  <c r="E16" i="14"/>
  <c r="O16" i="14"/>
  <c r="O19" i="14"/>
  <c r="E22" i="14"/>
  <c r="O22" i="14"/>
  <c r="E23" i="14"/>
  <c r="H18" i="15"/>
  <c r="N16" i="15"/>
  <c r="Z20" i="15"/>
  <c r="K20" i="15"/>
  <c r="R17" i="15"/>
  <c r="L16" i="15"/>
  <c r="F18" i="15"/>
  <c r="I20" i="15"/>
  <c r="E5" i="14"/>
  <c r="O5" i="14"/>
  <c r="AF17" i="15"/>
  <c r="E11" i="14"/>
  <c r="F17" i="15"/>
  <c r="K16" i="15"/>
  <c r="O9" i="14"/>
  <c r="AF19" i="15"/>
  <c r="O12" i="14"/>
  <c r="L19" i="15"/>
  <c r="Q18" i="15"/>
  <c r="I10" i="15"/>
  <c r="B15" i="15"/>
  <c r="I16" i="15"/>
  <c r="T17" i="15"/>
  <c r="B19" i="15"/>
  <c r="N19" i="15"/>
  <c r="E8" i="14"/>
  <c r="O8" i="14"/>
  <c r="O11" i="14"/>
  <c r="F15" i="15"/>
  <c r="I15" i="15"/>
  <c r="L15" i="15"/>
  <c r="O15" i="15"/>
  <c r="R15" i="15"/>
  <c r="Q16" i="15"/>
  <c r="T16" i="15"/>
  <c r="L17" i="15"/>
  <c r="O17" i="15"/>
  <c r="T18" i="15"/>
  <c r="R19" i="15"/>
  <c r="AH19" i="15" l="1"/>
  <c r="AH16" i="15"/>
  <c r="AH20" i="15"/>
  <c r="AH18" i="15"/>
  <c r="AH15" i="15"/>
  <c r="AH17" i="15"/>
  <c r="AA20" i="15"/>
  <c r="AA19" i="15"/>
  <c r="AC19" i="15"/>
  <c r="AC17" i="15"/>
  <c r="AA16" i="15"/>
  <c r="AC16" i="15"/>
  <c r="AA18" i="15"/>
  <c r="AC18" i="15"/>
  <c r="AA15" i="15"/>
  <c r="AC15" i="15"/>
  <c r="AA17" i="15"/>
  <c r="O10" i="15"/>
  <c r="C10" i="15"/>
  <c r="AC20" i="15"/>
  <c r="AI19" i="15" l="1"/>
  <c r="AI18" i="15"/>
  <c r="AI20" i="15"/>
  <c r="AI16" i="15"/>
  <c r="AI17" i="15"/>
  <c r="AI15" i="15"/>
  <c r="AD16" i="15" l="1"/>
  <c r="AD18" i="15"/>
  <c r="AD17" i="15"/>
  <c r="AD19" i="15"/>
  <c r="AD15" i="15"/>
  <c r="AD20" i="15"/>
  <c r="AM20" i="15" l="1"/>
  <c r="AE20" i="15"/>
  <c r="AM19" i="15"/>
  <c r="AE19" i="15"/>
  <c r="AE16" i="15"/>
  <c r="AE18" i="15"/>
  <c r="AJ19" i="15"/>
  <c r="AJ17" i="15"/>
  <c r="AJ15" i="15"/>
  <c r="AJ20" i="15"/>
  <c r="AJ18" i="15"/>
  <c r="AM15" i="15"/>
  <c r="AE15" i="15"/>
  <c r="AJ16" i="15"/>
  <c r="AM17" i="15"/>
  <c r="AE17" i="15"/>
  <c r="AM16" i="15"/>
  <c r="AM18" i="15"/>
  <c r="AK16" i="15" l="1"/>
  <c r="AL16" i="15"/>
  <c r="AK20" i="15"/>
  <c r="AL20" i="15"/>
  <c r="AL17" i="15"/>
  <c r="AK17" i="15"/>
  <c r="AK18" i="15"/>
  <c r="AL18" i="15"/>
  <c r="AL15" i="15"/>
  <c r="AK15" i="15"/>
  <c r="AL19" i="15"/>
  <c r="AK19" i="15"/>
  <c r="T19" i="13" l="1"/>
  <c r="R19" i="13"/>
  <c r="T18" i="13"/>
  <c r="R18" i="13"/>
  <c r="AC17" i="13"/>
  <c r="T17" i="13"/>
  <c r="R17" i="13"/>
  <c r="T16" i="13"/>
  <c r="R16" i="13"/>
  <c r="T15" i="13"/>
  <c r="R15" i="13"/>
  <c r="M27" i="12"/>
  <c r="M26" i="12"/>
  <c r="M24" i="12"/>
  <c r="M23" i="12"/>
  <c r="W18" i="12"/>
  <c r="M18" i="12"/>
  <c r="W17" i="12"/>
  <c r="F18" i="13" s="1"/>
  <c r="M17" i="12"/>
  <c r="I18" i="13" s="1"/>
  <c r="E17" i="12"/>
  <c r="W15" i="12"/>
  <c r="M15" i="12"/>
  <c r="W14" i="12"/>
  <c r="E19" i="13" s="1"/>
  <c r="M14" i="12"/>
  <c r="C16" i="13" s="1"/>
  <c r="B19" i="13"/>
  <c r="W9" i="12"/>
  <c r="M9" i="12"/>
  <c r="W8" i="12"/>
  <c r="K19" i="13" s="1"/>
  <c r="O8" i="12"/>
  <c r="M8" i="12"/>
  <c r="E8" i="12"/>
  <c r="B17" i="13"/>
  <c r="I10" i="13" s="1"/>
  <c r="W6" i="12"/>
  <c r="M6" i="12"/>
  <c r="E6" i="12"/>
  <c r="W5" i="12"/>
  <c r="M5" i="12"/>
  <c r="B15" i="13"/>
  <c r="C10" i="13" s="1"/>
  <c r="Q16" i="13" l="1"/>
  <c r="C17" i="13"/>
  <c r="W19" i="13"/>
  <c r="C19" i="13"/>
  <c r="U17" i="13"/>
  <c r="AD15" i="13"/>
  <c r="AD19" i="13"/>
  <c r="AD16" i="13"/>
  <c r="I19" i="13"/>
  <c r="W15" i="13"/>
  <c r="I15" i="13"/>
  <c r="E16" i="13"/>
  <c r="O17" i="13"/>
  <c r="H18" i="13"/>
  <c r="U15" i="13"/>
  <c r="E17" i="13"/>
  <c r="H19" i="13"/>
  <c r="F15" i="13"/>
  <c r="O15" i="13"/>
  <c r="N16" i="13"/>
  <c r="W16" i="13"/>
  <c r="L17" i="13"/>
  <c r="AD17" i="13"/>
  <c r="K18" i="13"/>
  <c r="AD18" i="13"/>
  <c r="F19" i="13"/>
  <c r="O15" i="12"/>
  <c r="AC15" i="13"/>
  <c r="E9" i="12"/>
  <c r="E14" i="12"/>
  <c r="O14" i="12"/>
  <c r="E23" i="12"/>
  <c r="E24" i="12"/>
  <c r="E26" i="12"/>
  <c r="AC19" i="13"/>
  <c r="W17" i="13"/>
  <c r="H17" i="13"/>
  <c r="U16" i="13"/>
  <c r="I16" i="13"/>
  <c r="AC18" i="13"/>
  <c r="O5" i="12"/>
  <c r="B18" i="13"/>
  <c r="U19" i="13"/>
  <c r="AE19" i="13" s="1"/>
  <c r="L19" i="13"/>
  <c r="W18" i="13"/>
  <c r="Q18" i="13"/>
  <c r="L15" i="13"/>
  <c r="F17" i="13"/>
  <c r="AC16" i="13"/>
  <c r="E5" i="12"/>
  <c r="C18" i="13"/>
  <c r="N15" i="13"/>
  <c r="E18" i="13"/>
  <c r="E15" i="12"/>
  <c r="O17" i="12"/>
  <c r="E18" i="12"/>
  <c r="O18" i="12"/>
  <c r="E27" i="12"/>
  <c r="O10" i="13"/>
  <c r="B16" i="13"/>
  <c r="K16" i="13"/>
  <c r="O6" i="12"/>
  <c r="O9" i="12"/>
  <c r="H15" i="13"/>
  <c r="K15" i="13"/>
  <c r="Q15" i="13"/>
  <c r="L16" i="13"/>
  <c r="O16" i="13"/>
  <c r="N17" i="13"/>
  <c r="Q17" i="13"/>
  <c r="O18" i="13"/>
  <c r="U18" i="13"/>
  <c r="N19" i="13"/>
  <c r="AE17" i="13" l="1"/>
  <c r="AE18" i="13"/>
  <c r="AE16" i="13"/>
  <c r="Z19" i="13"/>
  <c r="X19" i="13"/>
  <c r="Z16" i="13"/>
  <c r="Z18" i="13"/>
  <c r="X17" i="13"/>
  <c r="X16" i="13"/>
  <c r="Z17" i="13"/>
  <c r="AE15" i="13"/>
  <c r="Z15" i="13"/>
  <c r="X18" i="13"/>
  <c r="AF18" i="13" s="1"/>
  <c r="F10" i="13"/>
  <c r="L10" i="13"/>
  <c r="X15" i="13"/>
  <c r="AF15" i="13" s="1"/>
  <c r="AF19" i="13" l="1"/>
  <c r="AF17" i="13"/>
  <c r="AF16" i="13"/>
  <c r="AA15" i="13" l="1"/>
  <c r="AA17" i="13"/>
  <c r="AA18" i="13"/>
  <c r="AA16" i="13"/>
  <c r="AA19" i="13"/>
  <c r="AG18" i="13" l="1"/>
  <c r="AG19" i="13"/>
  <c r="AJ16" i="13"/>
  <c r="AJ18" i="13"/>
  <c r="AJ19" i="13"/>
  <c r="AJ17" i="13"/>
  <c r="AG15" i="13"/>
  <c r="AJ15" i="13"/>
  <c r="AB17" i="13"/>
  <c r="AB19" i="13"/>
  <c r="AB16" i="13"/>
  <c r="AB18" i="13"/>
  <c r="AG17" i="13"/>
  <c r="AB15" i="13"/>
  <c r="AG16" i="13"/>
  <c r="AI16" i="13" s="1"/>
  <c r="AI19" i="13"/>
  <c r="AI18" i="13"/>
  <c r="AH18" i="13" l="1"/>
  <c r="AH16" i="13"/>
  <c r="AH17" i="13"/>
  <c r="AH15" i="13"/>
  <c r="AI15" i="13"/>
  <c r="AI17" i="13"/>
  <c r="AH19" i="13"/>
  <c r="Q18" i="11"/>
  <c r="O18" i="11"/>
  <c r="Q17" i="11"/>
  <c r="O17" i="11"/>
  <c r="Q16" i="11"/>
  <c r="O16" i="11"/>
  <c r="Q15" i="11"/>
  <c r="O15" i="11"/>
  <c r="M27" i="10"/>
  <c r="M26" i="10"/>
  <c r="M24" i="10"/>
  <c r="M23" i="10"/>
  <c r="M18" i="10"/>
  <c r="M17" i="10"/>
  <c r="M15" i="10"/>
  <c r="M14" i="10"/>
  <c r="M9" i="10"/>
  <c r="R18" i="11" s="1"/>
  <c r="B18" i="11"/>
  <c r="M8" i="10"/>
  <c r="Z17" i="11"/>
  <c r="M6" i="10"/>
  <c r="M5" i="10"/>
  <c r="B16" i="11"/>
  <c r="Z15" i="11"/>
  <c r="H17" i="11" l="1"/>
  <c r="F17" i="11"/>
  <c r="I16" i="11"/>
  <c r="C18" i="11"/>
  <c r="E18" i="11"/>
  <c r="N15" i="11"/>
  <c r="T16" i="11"/>
  <c r="H18" i="11"/>
  <c r="L16" i="11"/>
  <c r="R16" i="11"/>
  <c r="T18" i="11"/>
  <c r="F18" i="11"/>
  <c r="C17" i="11"/>
  <c r="K15" i="11"/>
  <c r="E17" i="11"/>
  <c r="AA16" i="11"/>
  <c r="AA18" i="11"/>
  <c r="AA15" i="11"/>
  <c r="AA17" i="11"/>
  <c r="E8" i="10"/>
  <c r="B17" i="11"/>
  <c r="I10" i="11" s="1"/>
  <c r="E14" i="10"/>
  <c r="E15" i="10"/>
  <c r="E23" i="10"/>
  <c r="E27" i="10"/>
  <c r="B15" i="11"/>
  <c r="C10" i="11" s="1"/>
  <c r="AB18" i="11"/>
  <c r="F10" i="11"/>
  <c r="L10" i="11"/>
  <c r="E17" i="10"/>
  <c r="E18" i="10"/>
  <c r="E24" i="10"/>
  <c r="E26" i="10"/>
  <c r="H15" i="11"/>
  <c r="T15" i="11"/>
  <c r="C16" i="11"/>
  <c r="Z16" i="11"/>
  <c r="N17" i="11"/>
  <c r="T17" i="11"/>
  <c r="I18" i="11"/>
  <c r="Z18" i="11"/>
  <c r="E5" i="10"/>
  <c r="E6" i="10"/>
  <c r="E9" i="10"/>
  <c r="F15" i="11"/>
  <c r="I15" i="11"/>
  <c r="L15" i="11"/>
  <c r="R15" i="11"/>
  <c r="E16" i="11"/>
  <c r="K16" i="11"/>
  <c r="N16" i="11"/>
  <c r="L17" i="11"/>
  <c r="R17" i="11"/>
  <c r="AB17" i="11" s="1"/>
  <c r="K18" i="11"/>
  <c r="U17" i="11" l="1"/>
  <c r="AB16" i="11"/>
  <c r="W18" i="11"/>
  <c r="U18" i="11"/>
  <c r="W17" i="11"/>
  <c r="AC17" i="11" s="1"/>
  <c r="W16" i="11"/>
  <c r="U15" i="11"/>
  <c r="AB15" i="11"/>
  <c r="U16" i="11"/>
  <c r="W15" i="11"/>
  <c r="AC18" i="11" l="1"/>
  <c r="AC16" i="11"/>
  <c r="AC15" i="11"/>
  <c r="X18" i="11" l="1"/>
  <c r="X16" i="11"/>
  <c r="X17" i="11"/>
  <c r="X15" i="11"/>
  <c r="Y15" i="11" l="1"/>
  <c r="AG18" i="11"/>
  <c r="AD17" i="11"/>
  <c r="AF17" i="11" s="1"/>
  <c r="AG16" i="11"/>
  <c r="AG17" i="11"/>
  <c r="AD18" i="11"/>
  <c r="AF18" i="11" s="1"/>
  <c r="Y18" i="11"/>
  <c r="Y17" i="11"/>
  <c r="Y16" i="11"/>
  <c r="AG15" i="11"/>
  <c r="AD15" i="11"/>
  <c r="AD16" i="11"/>
  <c r="AE18" i="11" l="1"/>
  <c r="AF15" i="11"/>
  <c r="AE16" i="11"/>
  <c r="AE17" i="11"/>
  <c r="AE15" i="11"/>
  <c r="AF16" i="11"/>
  <c r="M16" i="8"/>
  <c r="E16" i="8"/>
  <c r="M15" i="8"/>
  <c r="E15" i="8"/>
  <c r="M11" i="8"/>
  <c r="E11" i="8"/>
  <c r="M10" i="8"/>
  <c r="M6" i="8"/>
  <c r="M5" i="8"/>
  <c r="E10" i="8" l="1"/>
  <c r="E5" i="8"/>
  <c r="E6" i="8"/>
  <c r="F266" i="3" l="1"/>
  <c r="E266" i="3"/>
  <c r="D266" i="3"/>
  <c r="C266" i="3"/>
  <c r="F265" i="3"/>
  <c r="E265" i="3"/>
  <c r="D265" i="3"/>
  <c r="C265" i="3"/>
  <c r="F264" i="3"/>
  <c r="E264" i="3"/>
  <c r="D264" i="3"/>
  <c r="C264" i="3"/>
  <c r="F263" i="3"/>
  <c r="E263" i="3"/>
  <c r="D263" i="3"/>
  <c r="C263" i="3"/>
  <c r="F262" i="3"/>
  <c r="E262" i="3"/>
  <c r="D262" i="3"/>
  <c r="C262" i="3"/>
  <c r="F261" i="3"/>
  <c r="E261" i="3"/>
  <c r="D261" i="3"/>
  <c r="C261" i="3"/>
  <c r="F260" i="3"/>
  <c r="E260" i="3"/>
  <c r="D260" i="3"/>
  <c r="C260" i="3"/>
  <c r="F259" i="3"/>
  <c r="E259" i="3"/>
  <c r="D259" i="3"/>
  <c r="C259" i="3"/>
  <c r="F258" i="3"/>
  <c r="E258" i="3"/>
  <c r="D258" i="3"/>
  <c r="C258" i="3"/>
  <c r="F257" i="3"/>
  <c r="E257" i="3"/>
  <c r="D257" i="3"/>
  <c r="C257" i="3"/>
  <c r="F256" i="3"/>
  <c r="E256" i="3"/>
  <c r="D256" i="3"/>
  <c r="C256" i="3"/>
  <c r="F255" i="3"/>
  <c r="E255" i="3"/>
  <c r="D255" i="3"/>
  <c r="C255" i="3"/>
  <c r="F254" i="3"/>
  <c r="E254" i="3"/>
  <c r="D254" i="3"/>
  <c r="C254" i="3"/>
  <c r="F253" i="3"/>
  <c r="E253" i="3"/>
  <c r="D253" i="3"/>
  <c r="C253" i="3"/>
  <c r="F252" i="3"/>
  <c r="E252" i="3"/>
  <c r="D252" i="3"/>
  <c r="C252" i="3"/>
  <c r="F251" i="3"/>
  <c r="E251" i="3"/>
  <c r="D251" i="3"/>
  <c r="C251" i="3"/>
  <c r="F250" i="3"/>
  <c r="E250" i="3"/>
  <c r="D250" i="3"/>
  <c r="C250" i="3"/>
  <c r="F249" i="3"/>
  <c r="E249" i="3"/>
  <c r="D249" i="3"/>
  <c r="C249" i="3"/>
  <c r="F248" i="3"/>
  <c r="E248" i="3"/>
  <c r="D248" i="3"/>
  <c r="C248" i="3"/>
  <c r="F247" i="3"/>
  <c r="E247" i="3"/>
  <c r="D247" i="3"/>
  <c r="C247" i="3"/>
  <c r="F246" i="3"/>
  <c r="E246" i="3"/>
  <c r="D246" i="3"/>
  <c r="C246" i="3"/>
  <c r="F245" i="3"/>
  <c r="E245" i="3"/>
  <c r="D245" i="3"/>
  <c r="C245" i="3"/>
  <c r="F244" i="3"/>
  <c r="E244" i="3"/>
  <c r="D244" i="3"/>
  <c r="C244" i="3"/>
  <c r="F243" i="3"/>
  <c r="E243" i="3"/>
  <c r="D243" i="3"/>
  <c r="C243" i="3"/>
  <c r="F242" i="3"/>
  <c r="E242" i="3"/>
  <c r="D242" i="3"/>
  <c r="C242" i="3"/>
  <c r="F241" i="3"/>
  <c r="E241" i="3"/>
  <c r="D241" i="3"/>
  <c r="C241" i="3"/>
  <c r="F240" i="3"/>
  <c r="E240" i="3"/>
  <c r="D240" i="3"/>
  <c r="C240" i="3"/>
  <c r="F239" i="3"/>
  <c r="E239" i="3"/>
  <c r="D239" i="3"/>
  <c r="C239" i="3"/>
  <c r="F238" i="3"/>
  <c r="E238" i="3"/>
  <c r="D238" i="3"/>
  <c r="C238" i="3"/>
  <c r="F237" i="3"/>
  <c r="E237" i="3"/>
  <c r="D237" i="3"/>
  <c r="C237" i="3"/>
  <c r="F236" i="3"/>
  <c r="E236" i="3"/>
  <c r="D236" i="3"/>
  <c r="C236" i="3"/>
  <c r="F235" i="3"/>
  <c r="E235" i="3"/>
  <c r="D235" i="3"/>
  <c r="C235" i="3"/>
  <c r="F234" i="3"/>
  <c r="E234" i="3"/>
  <c r="D234" i="3"/>
  <c r="C234" i="3"/>
  <c r="F233" i="3"/>
  <c r="E233" i="3"/>
  <c r="D233" i="3"/>
  <c r="C233" i="3"/>
  <c r="F232" i="3"/>
  <c r="E232" i="3"/>
  <c r="D232" i="3"/>
  <c r="C232" i="3"/>
  <c r="F231" i="3"/>
  <c r="E231" i="3"/>
  <c r="D231" i="3"/>
  <c r="C231" i="3"/>
  <c r="F230" i="3"/>
  <c r="E230" i="3"/>
  <c r="D230" i="3"/>
  <c r="C230" i="3"/>
  <c r="F229" i="3"/>
  <c r="E229" i="3"/>
  <c r="D229" i="3"/>
  <c r="C229" i="3"/>
  <c r="F228" i="3"/>
  <c r="E228" i="3"/>
  <c r="D228" i="3"/>
  <c r="C228" i="3"/>
  <c r="F227" i="3"/>
  <c r="E227" i="3"/>
  <c r="D227" i="3"/>
  <c r="C227" i="3"/>
  <c r="F226" i="3"/>
  <c r="E226" i="3"/>
  <c r="D226" i="3"/>
  <c r="C226" i="3"/>
  <c r="F225" i="3"/>
  <c r="E225" i="3"/>
  <c r="D225" i="3"/>
  <c r="C225" i="3"/>
  <c r="F224" i="3"/>
  <c r="E224" i="3"/>
  <c r="D224" i="3"/>
  <c r="C224" i="3"/>
  <c r="F223" i="3"/>
  <c r="E223" i="3"/>
  <c r="D223" i="3"/>
  <c r="C223" i="3"/>
  <c r="F222" i="3"/>
  <c r="E222" i="3"/>
  <c r="D222" i="3"/>
  <c r="C222" i="3"/>
  <c r="F221" i="3"/>
  <c r="E221" i="3"/>
  <c r="D221" i="3"/>
  <c r="C221" i="3"/>
  <c r="F220" i="3"/>
  <c r="E220" i="3"/>
  <c r="D220" i="3"/>
  <c r="C220" i="3"/>
  <c r="F219" i="3"/>
  <c r="E219" i="3"/>
  <c r="D219" i="3"/>
  <c r="C219" i="3"/>
  <c r="F218" i="3"/>
  <c r="E218" i="3"/>
  <c r="D218" i="3"/>
  <c r="C218" i="3"/>
  <c r="F217" i="3"/>
  <c r="E217" i="3"/>
  <c r="D217" i="3"/>
  <c r="C217" i="3"/>
  <c r="F216" i="3"/>
  <c r="E216" i="3"/>
  <c r="D216" i="3"/>
  <c r="C216" i="3"/>
  <c r="F215" i="3"/>
  <c r="E215" i="3"/>
  <c r="D215" i="3"/>
  <c r="C215" i="3"/>
  <c r="F214" i="3"/>
  <c r="E214" i="3"/>
  <c r="D214" i="3"/>
  <c r="C214" i="3"/>
  <c r="F213" i="3"/>
  <c r="E213" i="3"/>
  <c r="D213" i="3"/>
  <c r="C213" i="3"/>
  <c r="F212" i="3"/>
  <c r="E212" i="3"/>
  <c r="D212" i="3"/>
  <c r="C212" i="3"/>
  <c r="F211" i="3"/>
  <c r="E211" i="3"/>
  <c r="D211" i="3"/>
  <c r="C211" i="3"/>
  <c r="F210" i="3"/>
  <c r="E210" i="3"/>
  <c r="D210" i="3"/>
  <c r="C210" i="3"/>
  <c r="F209" i="3"/>
  <c r="E209" i="3"/>
  <c r="D209" i="3"/>
  <c r="C209" i="3"/>
  <c r="F208" i="3"/>
  <c r="E208" i="3"/>
  <c r="D208" i="3"/>
  <c r="C208" i="3"/>
  <c r="F207" i="3"/>
  <c r="E207" i="3"/>
  <c r="D207" i="3"/>
  <c r="C207" i="3"/>
  <c r="F206" i="3"/>
  <c r="E206" i="3"/>
  <c r="D206" i="3"/>
  <c r="C206" i="3"/>
  <c r="F205" i="3"/>
  <c r="E205" i="3"/>
  <c r="D205" i="3"/>
  <c r="C205" i="3"/>
  <c r="F204" i="3"/>
  <c r="E204" i="3"/>
  <c r="D204" i="3"/>
  <c r="C204" i="3"/>
  <c r="F203" i="3"/>
  <c r="E203" i="3"/>
  <c r="D203" i="3"/>
  <c r="C203" i="3"/>
  <c r="F202" i="3"/>
  <c r="E202" i="3"/>
  <c r="D202" i="3"/>
  <c r="C202" i="3"/>
  <c r="F201" i="3"/>
  <c r="E201" i="3"/>
  <c r="D201" i="3"/>
  <c r="C201" i="3"/>
  <c r="F200" i="3"/>
  <c r="E200" i="3"/>
  <c r="D200" i="3"/>
  <c r="C200" i="3"/>
  <c r="F199" i="3"/>
  <c r="E199" i="3"/>
  <c r="D199" i="3"/>
  <c r="C199" i="3"/>
  <c r="F198" i="3"/>
  <c r="E198" i="3"/>
  <c r="D198" i="3"/>
  <c r="C198" i="3"/>
  <c r="F197" i="3"/>
  <c r="E197" i="3"/>
  <c r="D197" i="3"/>
  <c r="C197" i="3"/>
  <c r="F196" i="3"/>
  <c r="E196" i="3"/>
  <c r="D196" i="3"/>
  <c r="C196" i="3"/>
  <c r="F195" i="3"/>
  <c r="E195" i="3"/>
  <c r="D195" i="3"/>
  <c r="C195" i="3"/>
  <c r="F194" i="3"/>
  <c r="E194" i="3"/>
  <c r="D194" i="3"/>
  <c r="C194" i="3"/>
  <c r="F193" i="3"/>
  <c r="E193" i="3"/>
  <c r="D193" i="3"/>
  <c r="C193" i="3"/>
  <c r="F192" i="3"/>
  <c r="E192" i="3"/>
  <c r="D192" i="3"/>
  <c r="C192" i="3"/>
  <c r="F191" i="3"/>
  <c r="E191" i="3"/>
  <c r="D191" i="3"/>
  <c r="C191" i="3"/>
  <c r="F190" i="3"/>
  <c r="E190" i="3"/>
  <c r="D190" i="3"/>
  <c r="C190" i="3"/>
  <c r="F189" i="3"/>
  <c r="E189" i="3"/>
  <c r="D189" i="3"/>
  <c r="C189" i="3"/>
  <c r="F188" i="3"/>
  <c r="E188" i="3"/>
  <c r="D188" i="3"/>
  <c r="C188" i="3"/>
  <c r="F187" i="3"/>
  <c r="E187" i="3"/>
  <c r="D187" i="3"/>
  <c r="C187" i="3"/>
  <c r="F186" i="3"/>
  <c r="E186" i="3"/>
  <c r="D186" i="3"/>
  <c r="C186" i="3"/>
  <c r="F185" i="3"/>
  <c r="E185" i="3"/>
  <c r="D185" i="3"/>
  <c r="C185" i="3"/>
  <c r="F184" i="3"/>
  <c r="E184" i="3"/>
  <c r="D184" i="3"/>
  <c r="C184" i="3"/>
  <c r="F183" i="3"/>
  <c r="E183" i="3"/>
  <c r="D183" i="3"/>
  <c r="C183" i="3"/>
  <c r="F182" i="3"/>
  <c r="E182" i="3"/>
  <c r="D182" i="3"/>
  <c r="C182" i="3"/>
  <c r="F181" i="3"/>
  <c r="E181" i="3"/>
  <c r="D181" i="3"/>
  <c r="C181" i="3"/>
  <c r="F180" i="3"/>
  <c r="E180" i="3"/>
  <c r="D180" i="3"/>
  <c r="C180" i="3"/>
  <c r="F179" i="3"/>
  <c r="E179" i="3"/>
  <c r="D179" i="3"/>
  <c r="C179" i="3"/>
  <c r="F178" i="3"/>
  <c r="E178" i="3"/>
  <c r="D178" i="3"/>
  <c r="C178" i="3"/>
  <c r="F177" i="3"/>
  <c r="E177" i="3"/>
  <c r="D177" i="3"/>
  <c r="C177" i="3"/>
  <c r="F176" i="3"/>
  <c r="E176" i="3"/>
  <c r="D176" i="3"/>
  <c r="C176" i="3"/>
  <c r="F175" i="3"/>
  <c r="E175" i="3"/>
  <c r="D175" i="3"/>
  <c r="C175" i="3"/>
  <c r="F174" i="3"/>
  <c r="E174" i="3"/>
  <c r="D174" i="3"/>
  <c r="C174" i="3"/>
  <c r="F173" i="3"/>
  <c r="E173" i="3"/>
  <c r="D173" i="3"/>
  <c r="C173" i="3"/>
  <c r="F172" i="3"/>
  <c r="E172" i="3"/>
  <c r="D172" i="3"/>
  <c r="C172" i="3"/>
  <c r="F171" i="3"/>
  <c r="E171" i="3"/>
  <c r="D171" i="3"/>
  <c r="C171" i="3"/>
  <c r="F170" i="3"/>
  <c r="E170" i="3"/>
  <c r="D170" i="3"/>
  <c r="C170" i="3"/>
  <c r="F169" i="3"/>
  <c r="E169" i="3"/>
  <c r="D169" i="3"/>
  <c r="C169" i="3"/>
  <c r="F168" i="3"/>
  <c r="E168" i="3"/>
  <c r="D168" i="3"/>
  <c r="C168" i="3"/>
  <c r="F167" i="3"/>
  <c r="E167" i="3"/>
  <c r="D167" i="3"/>
  <c r="C167" i="3"/>
  <c r="F166" i="3"/>
  <c r="E166" i="3"/>
  <c r="D166" i="3"/>
  <c r="C166" i="3"/>
  <c r="F165" i="3"/>
  <c r="E165" i="3"/>
  <c r="D165" i="3"/>
  <c r="C165" i="3"/>
  <c r="F164" i="3"/>
  <c r="E164" i="3"/>
  <c r="D164" i="3"/>
  <c r="C164" i="3"/>
  <c r="F163" i="3"/>
  <c r="E163" i="3"/>
  <c r="D163" i="3"/>
  <c r="C163" i="3"/>
  <c r="F162" i="3"/>
  <c r="E162" i="3"/>
  <c r="D162" i="3"/>
  <c r="C162" i="3"/>
  <c r="F161" i="3"/>
  <c r="E161" i="3"/>
  <c r="D161" i="3"/>
  <c r="C161" i="3"/>
  <c r="F160" i="3"/>
  <c r="E160" i="3"/>
  <c r="D160" i="3"/>
  <c r="C160" i="3"/>
  <c r="F159" i="3"/>
  <c r="E159" i="3"/>
  <c r="D159" i="3"/>
  <c r="C159" i="3"/>
  <c r="F158" i="3"/>
  <c r="E158" i="3"/>
  <c r="D158" i="3"/>
  <c r="C158" i="3"/>
  <c r="F157" i="3"/>
  <c r="E157" i="3"/>
  <c r="D157" i="3"/>
  <c r="C157" i="3"/>
  <c r="F156" i="3"/>
  <c r="E156" i="3"/>
  <c r="D156" i="3"/>
  <c r="C156" i="3"/>
  <c r="F155" i="3"/>
  <c r="E155" i="3"/>
  <c r="D155" i="3"/>
  <c r="C155" i="3"/>
  <c r="F154" i="3"/>
  <c r="E154" i="3"/>
  <c r="D154" i="3"/>
  <c r="C154" i="3"/>
  <c r="F153" i="3"/>
  <c r="E153" i="3"/>
  <c r="D153" i="3"/>
  <c r="C153" i="3"/>
  <c r="F152" i="3"/>
  <c r="E152" i="3"/>
  <c r="D152" i="3"/>
  <c r="C152" i="3"/>
  <c r="F151" i="3"/>
  <c r="E151" i="3"/>
  <c r="D151" i="3"/>
  <c r="C151" i="3"/>
  <c r="F150" i="3"/>
  <c r="E150" i="3"/>
  <c r="D150" i="3"/>
  <c r="C150" i="3"/>
  <c r="F149" i="3"/>
  <c r="E149" i="3"/>
  <c r="D149" i="3"/>
  <c r="C149" i="3"/>
  <c r="F148" i="3"/>
  <c r="E148" i="3"/>
  <c r="D148" i="3"/>
  <c r="C148" i="3"/>
  <c r="F147" i="3"/>
  <c r="E147" i="3"/>
  <c r="D147" i="3"/>
  <c r="C147" i="3"/>
  <c r="F146" i="3"/>
  <c r="E146" i="3"/>
  <c r="D146" i="3"/>
  <c r="C146" i="3"/>
  <c r="F145" i="3"/>
  <c r="E145" i="3"/>
  <c r="D145" i="3"/>
  <c r="C145" i="3"/>
  <c r="F144" i="3"/>
  <c r="E144" i="3"/>
  <c r="D144" i="3"/>
  <c r="C144" i="3"/>
  <c r="F143" i="3"/>
  <c r="E143" i="3"/>
  <c r="D143" i="3"/>
  <c r="C143" i="3"/>
  <c r="F142" i="3"/>
  <c r="E142" i="3"/>
  <c r="D142" i="3"/>
  <c r="C142" i="3"/>
  <c r="F141" i="3"/>
  <c r="E141" i="3"/>
  <c r="D141" i="3"/>
  <c r="C141" i="3"/>
  <c r="F140" i="3"/>
  <c r="E140" i="3"/>
  <c r="D140" i="3"/>
  <c r="C140" i="3"/>
  <c r="F139" i="3"/>
  <c r="E139" i="3"/>
  <c r="D139" i="3"/>
  <c r="C139" i="3"/>
  <c r="F138" i="3"/>
  <c r="E138" i="3"/>
  <c r="D138" i="3"/>
  <c r="C138" i="3"/>
  <c r="F137" i="3"/>
  <c r="E137" i="3"/>
  <c r="D137" i="3"/>
  <c r="C137" i="3"/>
  <c r="F136" i="3"/>
  <c r="E136" i="3"/>
  <c r="D136" i="3"/>
  <c r="C136" i="3"/>
  <c r="F135" i="3"/>
  <c r="E135" i="3"/>
  <c r="D135" i="3"/>
  <c r="C135" i="3"/>
  <c r="F134" i="3"/>
  <c r="E134" i="3"/>
  <c r="D134" i="3"/>
  <c r="C134" i="3"/>
  <c r="F133" i="3"/>
  <c r="E133" i="3"/>
  <c r="D133" i="3"/>
  <c r="C133" i="3"/>
  <c r="F132" i="3"/>
  <c r="E132" i="3"/>
  <c r="D132" i="3"/>
  <c r="C132" i="3"/>
  <c r="F131" i="3"/>
  <c r="E131" i="3"/>
  <c r="D131" i="3"/>
  <c r="C131" i="3"/>
  <c r="F130" i="3"/>
  <c r="E130" i="3"/>
  <c r="D130" i="3"/>
  <c r="C130" i="3"/>
  <c r="F129" i="3"/>
  <c r="E129" i="3"/>
  <c r="D129" i="3"/>
  <c r="C129" i="3"/>
  <c r="F128" i="3"/>
  <c r="E128" i="3"/>
  <c r="D128" i="3"/>
  <c r="C128" i="3"/>
  <c r="F127" i="3"/>
  <c r="E127" i="3"/>
  <c r="D127" i="3"/>
  <c r="C127" i="3"/>
  <c r="F126" i="3"/>
  <c r="E126" i="3"/>
  <c r="D126" i="3"/>
  <c r="C126" i="3"/>
  <c r="F125" i="3"/>
  <c r="E125" i="3"/>
  <c r="D125" i="3"/>
  <c r="C125" i="3"/>
  <c r="F124" i="3"/>
  <c r="E124" i="3"/>
  <c r="D124" i="3"/>
  <c r="C124" i="3"/>
  <c r="F123" i="3"/>
  <c r="E123" i="3"/>
  <c r="D123" i="3"/>
  <c r="C123" i="3"/>
  <c r="F122" i="3"/>
  <c r="E122" i="3"/>
  <c r="D122" i="3"/>
  <c r="C122" i="3"/>
  <c r="F121" i="3"/>
  <c r="E121" i="3"/>
  <c r="D121" i="3"/>
  <c r="C121" i="3"/>
  <c r="F120" i="3"/>
  <c r="E120" i="3"/>
  <c r="D120" i="3"/>
  <c r="C120" i="3"/>
  <c r="F119" i="3"/>
  <c r="E119" i="3"/>
  <c r="D119" i="3"/>
  <c r="C119" i="3"/>
  <c r="F118" i="3"/>
  <c r="E118" i="3"/>
  <c r="D118" i="3"/>
  <c r="C118" i="3"/>
  <c r="F117" i="3"/>
  <c r="E117" i="3"/>
  <c r="D117" i="3"/>
  <c r="C117" i="3"/>
  <c r="F116" i="3"/>
  <c r="E116" i="3"/>
  <c r="D116" i="3"/>
  <c r="C116" i="3"/>
  <c r="F115" i="3"/>
  <c r="E115" i="3"/>
  <c r="D115" i="3"/>
  <c r="C115" i="3"/>
  <c r="F114" i="3"/>
  <c r="E114" i="3"/>
  <c r="D114" i="3"/>
  <c r="C114" i="3"/>
  <c r="F113" i="3"/>
  <c r="E113" i="3"/>
  <c r="D113" i="3"/>
  <c r="C113" i="3"/>
  <c r="F112" i="3"/>
  <c r="E112" i="3"/>
  <c r="D112" i="3"/>
  <c r="C112" i="3"/>
  <c r="F111" i="3"/>
  <c r="E111" i="3"/>
  <c r="D111" i="3"/>
  <c r="C111" i="3"/>
  <c r="F110" i="3"/>
  <c r="E110" i="3"/>
  <c r="D110" i="3"/>
  <c r="C110" i="3"/>
  <c r="F109" i="3"/>
  <c r="E109" i="3"/>
  <c r="D109" i="3"/>
  <c r="C109" i="3"/>
  <c r="F108" i="3"/>
  <c r="E108" i="3"/>
  <c r="D108" i="3"/>
  <c r="C108" i="3"/>
  <c r="F107" i="3"/>
  <c r="E107" i="3"/>
  <c r="D107" i="3"/>
  <c r="C107" i="3"/>
  <c r="F106" i="3"/>
  <c r="E106" i="3"/>
  <c r="D106" i="3"/>
  <c r="C106" i="3"/>
  <c r="F105" i="3"/>
  <c r="E105" i="3"/>
  <c r="D105" i="3"/>
  <c r="C105" i="3"/>
  <c r="F104" i="3"/>
  <c r="E104" i="3"/>
  <c r="D104" i="3"/>
  <c r="C104" i="3"/>
  <c r="F103" i="3"/>
  <c r="E103" i="3"/>
  <c r="D103" i="3"/>
  <c r="F102" i="3"/>
  <c r="E102" i="3"/>
  <c r="D102" i="3"/>
  <c r="C102" i="3"/>
  <c r="F101" i="3"/>
  <c r="E101" i="3"/>
  <c r="D101" i="3"/>
  <c r="F100" i="3"/>
  <c r="E100" i="3"/>
  <c r="D100" i="3"/>
  <c r="C100" i="3"/>
  <c r="F99" i="3"/>
  <c r="E99" i="3"/>
  <c r="D99" i="3"/>
  <c r="F98" i="3"/>
  <c r="E98" i="3"/>
  <c r="D98" i="3"/>
  <c r="C98" i="3"/>
  <c r="F97" i="3"/>
  <c r="E97" i="3"/>
  <c r="D97" i="3"/>
  <c r="F96" i="3"/>
  <c r="E96" i="3"/>
  <c r="D96" i="3"/>
  <c r="C96" i="3"/>
  <c r="F95" i="3"/>
  <c r="E95" i="3"/>
  <c r="D95" i="3"/>
  <c r="F94" i="3"/>
  <c r="E94" i="3"/>
  <c r="D94" i="3"/>
  <c r="C94" i="3"/>
  <c r="F93" i="3"/>
  <c r="E93" i="3"/>
  <c r="D93" i="3"/>
  <c r="F92" i="3"/>
  <c r="E92" i="3"/>
  <c r="D92" i="3"/>
  <c r="C92" i="3"/>
  <c r="F91" i="3"/>
  <c r="E91" i="3"/>
  <c r="D91" i="3"/>
  <c r="F90" i="3"/>
  <c r="E90" i="3"/>
  <c r="D90" i="3"/>
  <c r="C90" i="3"/>
  <c r="F89" i="3"/>
  <c r="E89" i="3"/>
  <c r="D89" i="3"/>
  <c r="F88" i="3"/>
  <c r="E88" i="3"/>
  <c r="D88" i="3"/>
  <c r="C88" i="3"/>
  <c r="F87" i="3"/>
  <c r="E87" i="3"/>
  <c r="D87" i="3"/>
  <c r="F86" i="3"/>
  <c r="E86" i="3"/>
  <c r="D86" i="3"/>
  <c r="C86" i="3"/>
  <c r="F85" i="3"/>
  <c r="E85" i="3"/>
  <c r="D85" i="3"/>
  <c r="F84" i="3"/>
  <c r="E84" i="3"/>
  <c r="D84" i="3"/>
  <c r="C84" i="3"/>
  <c r="F83" i="3"/>
  <c r="E83" i="3"/>
  <c r="D83" i="3"/>
  <c r="F82" i="3"/>
  <c r="E82" i="3"/>
  <c r="D82" i="3"/>
  <c r="C82" i="3"/>
  <c r="F81" i="3"/>
  <c r="E81" i="3"/>
  <c r="D81" i="3"/>
  <c r="C81" i="3"/>
  <c r="F80" i="3"/>
  <c r="E80" i="3"/>
  <c r="D80" i="3"/>
  <c r="C80" i="3"/>
  <c r="F79" i="3"/>
  <c r="E79" i="3"/>
  <c r="D79" i="3"/>
  <c r="C79" i="3"/>
  <c r="F78" i="3"/>
  <c r="E78" i="3"/>
  <c r="D78" i="3"/>
  <c r="C78" i="3"/>
  <c r="F77" i="3"/>
  <c r="E77" i="3"/>
  <c r="D77" i="3"/>
  <c r="C77" i="3"/>
  <c r="F76" i="3"/>
  <c r="E76" i="3"/>
  <c r="D76" i="3"/>
  <c r="C76" i="3"/>
  <c r="F75" i="3"/>
  <c r="E75" i="3"/>
  <c r="D75" i="3"/>
  <c r="C75" i="3"/>
  <c r="F74" i="3"/>
  <c r="E74" i="3"/>
  <c r="D74" i="3"/>
  <c r="C74" i="3"/>
  <c r="F73" i="3"/>
  <c r="E73" i="3"/>
  <c r="D73" i="3"/>
  <c r="C73" i="3"/>
  <c r="F72" i="3"/>
  <c r="E72" i="3"/>
  <c r="D72" i="3"/>
  <c r="C72" i="3"/>
  <c r="F71" i="3"/>
  <c r="E71" i="3"/>
  <c r="D71" i="3"/>
  <c r="C71" i="3"/>
  <c r="F70" i="3"/>
  <c r="E70" i="3"/>
  <c r="D70" i="3"/>
  <c r="C70" i="3"/>
  <c r="F69" i="3"/>
  <c r="E69" i="3"/>
  <c r="D69" i="3"/>
  <c r="C69" i="3"/>
  <c r="F68" i="3"/>
  <c r="E68" i="3"/>
  <c r="D68" i="3"/>
  <c r="C68" i="3"/>
  <c r="F67" i="3"/>
  <c r="E67" i="3"/>
  <c r="D67" i="3"/>
  <c r="C67" i="3"/>
  <c r="F66" i="3"/>
  <c r="E66" i="3"/>
  <c r="D66" i="3"/>
  <c r="C66" i="3"/>
  <c r="F65" i="3"/>
  <c r="E65" i="3"/>
  <c r="D65" i="3"/>
  <c r="C65" i="3"/>
  <c r="F64" i="3"/>
  <c r="E64" i="3"/>
  <c r="D64" i="3"/>
  <c r="C64" i="3"/>
  <c r="F63" i="3"/>
  <c r="E63" i="3"/>
  <c r="D63" i="3"/>
  <c r="C63" i="3"/>
  <c r="F62" i="3"/>
  <c r="E62" i="3"/>
  <c r="D62" i="3"/>
  <c r="C62" i="3"/>
  <c r="F61" i="3"/>
  <c r="E61" i="3"/>
  <c r="D61" i="3"/>
  <c r="C61" i="3"/>
  <c r="F60" i="3"/>
  <c r="E60" i="3"/>
  <c r="D60" i="3"/>
  <c r="C60" i="3"/>
  <c r="F59" i="3"/>
  <c r="E59" i="3"/>
  <c r="D59" i="3"/>
  <c r="C59" i="3"/>
  <c r="F58" i="3"/>
  <c r="E58" i="3"/>
  <c r="D58" i="3"/>
  <c r="C58" i="3"/>
  <c r="F57" i="3"/>
  <c r="E57" i="3"/>
  <c r="D57" i="3"/>
  <c r="C57" i="3"/>
  <c r="F56" i="3"/>
  <c r="E56" i="3"/>
  <c r="D56" i="3"/>
  <c r="C56" i="3"/>
  <c r="F55" i="3"/>
  <c r="E55" i="3"/>
  <c r="D55" i="3"/>
  <c r="C55" i="3"/>
  <c r="F54" i="3"/>
  <c r="E54" i="3"/>
  <c r="D54" i="3"/>
  <c r="C54" i="3"/>
  <c r="F53" i="3"/>
  <c r="E53" i="3"/>
  <c r="D53" i="3"/>
  <c r="C53" i="3"/>
  <c r="F52" i="3"/>
  <c r="E52" i="3"/>
  <c r="D52" i="3"/>
  <c r="C52" i="3"/>
  <c r="F51" i="3"/>
  <c r="E51" i="3"/>
  <c r="D51" i="3"/>
  <c r="C51" i="3"/>
  <c r="F50" i="3"/>
  <c r="E50" i="3"/>
  <c r="D50" i="3"/>
  <c r="C50" i="3"/>
  <c r="F49" i="3"/>
  <c r="E49" i="3"/>
  <c r="D49" i="3"/>
  <c r="C49" i="3"/>
  <c r="F48" i="3"/>
  <c r="E48" i="3"/>
  <c r="D48" i="3"/>
  <c r="C48" i="3"/>
  <c r="F47" i="3"/>
  <c r="E47" i="3"/>
  <c r="D47" i="3"/>
  <c r="C47" i="3"/>
  <c r="F46" i="3"/>
  <c r="E46" i="3"/>
  <c r="D46" i="3"/>
  <c r="C46" i="3"/>
  <c r="F45" i="3"/>
  <c r="E45" i="3"/>
  <c r="D45" i="3"/>
  <c r="C45" i="3"/>
  <c r="F44" i="3"/>
  <c r="E44" i="3"/>
  <c r="D44" i="3"/>
  <c r="C44" i="3"/>
  <c r="F43" i="3"/>
  <c r="E43" i="3"/>
  <c r="D43" i="3"/>
  <c r="C43" i="3"/>
  <c r="F42" i="3"/>
  <c r="E42" i="3"/>
  <c r="D42" i="3"/>
  <c r="C42" i="3"/>
  <c r="F41" i="3"/>
  <c r="E41" i="3"/>
  <c r="D41" i="3"/>
  <c r="C41" i="3"/>
  <c r="F40" i="3"/>
  <c r="E40" i="3"/>
  <c r="D40" i="3"/>
  <c r="C40" i="3"/>
  <c r="F39" i="3"/>
  <c r="E39" i="3"/>
  <c r="D39" i="3"/>
  <c r="C39" i="3"/>
  <c r="F38" i="3"/>
  <c r="E38" i="3"/>
  <c r="D38" i="3"/>
  <c r="C38" i="3"/>
  <c r="F37" i="3"/>
  <c r="E37" i="3"/>
  <c r="D37" i="3"/>
  <c r="C37" i="3"/>
  <c r="F36" i="3"/>
  <c r="E36" i="3"/>
  <c r="D36" i="3"/>
  <c r="C36" i="3"/>
  <c r="F35" i="3"/>
  <c r="E35" i="3"/>
  <c r="D35" i="3"/>
  <c r="C35" i="3"/>
  <c r="F34" i="3"/>
  <c r="E34" i="3"/>
  <c r="D34" i="3"/>
  <c r="C34" i="3"/>
  <c r="F33" i="3"/>
  <c r="E33" i="3"/>
  <c r="D33" i="3"/>
  <c r="C33" i="3"/>
  <c r="F32" i="3"/>
  <c r="E32" i="3"/>
  <c r="D32" i="3"/>
  <c r="C32" i="3"/>
  <c r="F31" i="3"/>
  <c r="E31" i="3"/>
  <c r="D31" i="3"/>
  <c r="C31" i="3"/>
  <c r="F30" i="3"/>
  <c r="E30" i="3"/>
  <c r="D30" i="3"/>
  <c r="C30" i="3"/>
  <c r="F29" i="3"/>
  <c r="E29" i="3"/>
  <c r="D29" i="3"/>
  <c r="C29" i="3"/>
  <c r="F28" i="3"/>
  <c r="E28" i="3"/>
  <c r="D28" i="3"/>
  <c r="C28" i="3"/>
  <c r="F27" i="3"/>
  <c r="E27" i="3"/>
  <c r="D27" i="3"/>
  <c r="C27" i="3"/>
  <c r="F26" i="3"/>
  <c r="E26" i="3"/>
  <c r="D26" i="3"/>
  <c r="C26" i="3"/>
  <c r="F25" i="3"/>
  <c r="E25" i="3"/>
  <c r="D25" i="3"/>
  <c r="C25" i="3"/>
  <c r="F24" i="3"/>
  <c r="E24" i="3"/>
  <c r="D24" i="3"/>
  <c r="C24" i="3"/>
  <c r="F23" i="3"/>
  <c r="E23" i="3"/>
  <c r="D23" i="3"/>
  <c r="C23" i="3"/>
  <c r="F22" i="3"/>
  <c r="E22" i="3"/>
  <c r="D22" i="3"/>
  <c r="C22" i="3"/>
  <c r="F21" i="3"/>
  <c r="E21" i="3"/>
  <c r="D21" i="3"/>
  <c r="C21" i="3"/>
  <c r="F20" i="3"/>
  <c r="E20" i="3"/>
  <c r="D20" i="3"/>
  <c r="C20" i="3"/>
  <c r="F19" i="3"/>
  <c r="E19" i="3"/>
  <c r="D19" i="3"/>
  <c r="C19" i="3"/>
  <c r="F18" i="3"/>
  <c r="E18" i="3"/>
  <c r="D18" i="3"/>
  <c r="C18" i="3"/>
  <c r="F17" i="3"/>
  <c r="E17" i="3"/>
  <c r="D17" i="3"/>
  <c r="C17" i="3"/>
  <c r="F16" i="3"/>
  <c r="E16" i="3"/>
  <c r="D16" i="3"/>
  <c r="C16" i="3"/>
  <c r="F15" i="3"/>
  <c r="E15" i="3"/>
  <c r="D15" i="3"/>
  <c r="C15" i="3"/>
  <c r="F14" i="3"/>
  <c r="E14" i="3"/>
  <c r="D14" i="3"/>
  <c r="C14" i="3"/>
  <c r="F13" i="3"/>
  <c r="E13" i="3"/>
  <c r="D13" i="3"/>
  <c r="C13" i="3"/>
  <c r="F12" i="3"/>
  <c r="E12" i="3"/>
  <c r="D12" i="3"/>
  <c r="C12" i="3"/>
  <c r="C11" i="3"/>
  <c r="F11" i="3"/>
  <c r="E11" i="3"/>
  <c r="D11" i="3"/>
  <c r="A57" i="3" l="1"/>
  <c r="A59" i="3"/>
  <c r="A61" i="3"/>
  <c r="A63" i="3"/>
  <c r="A65" i="3"/>
  <c r="A67" i="3"/>
  <c r="A69" i="3"/>
  <c r="A71" i="3"/>
  <c r="A82" i="3"/>
  <c r="A74" i="3"/>
  <c r="A73" i="3"/>
  <c r="A13" i="3"/>
  <c r="A15" i="3"/>
  <c r="A17" i="3"/>
  <c r="A19" i="3"/>
  <c r="A21" i="3"/>
  <c r="A23" i="3"/>
  <c r="A25" i="3"/>
  <c r="A27" i="3"/>
  <c r="A29" i="3"/>
  <c r="A31" i="3"/>
  <c r="A33" i="3"/>
  <c r="A35" i="3"/>
  <c r="A37" i="3"/>
  <c r="A39" i="3"/>
  <c r="A41" i="3"/>
  <c r="A43" i="3"/>
  <c r="A45" i="3"/>
  <c r="A47" i="3"/>
  <c r="A49" i="3"/>
  <c r="A51" i="3"/>
  <c r="A53" i="3"/>
  <c r="A55" i="3"/>
  <c r="A76" i="3"/>
  <c r="A78" i="3"/>
  <c r="A80" i="3"/>
  <c r="A83" i="3"/>
  <c r="A85" i="3"/>
  <c r="A87" i="3"/>
  <c r="A89" i="3"/>
  <c r="A91" i="3"/>
  <c r="A93" i="3"/>
  <c r="A95" i="3"/>
  <c r="A97" i="3"/>
  <c r="A99" i="3"/>
  <c r="A101" i="3"/>
  <c r="A103" i="3"/>
  <c r="A105" i="3"/>
  <c r="A107" i="3"/>
  <c r="A109" i="3"/>
  <c r="A111" i="3"/>
  <c r="A113" i="3"/>
  <c r="A115" i="3"/>
  <c r="A117" i="3"/>
  <c r="A119" i="3"/>
  <c r="A121" i="3"/>
  <c r="A123" i="3"/>
  <c r="A125" i="3"/>
  <c r="A127" i="3"/>
  <c r="A129" i="3"/>
  <c r="A131" i="3"/>
  <c r="A133" i="3"/>
  <c r="A135" i="3"/>
  <c r="A137" i="3"/>
  <c r="A139" i="3"/>
  <c r="A141" i="3"/>
  <c r="A11" i="3"/>
  <c r="A265" i="3"/>
  <c r="A263" i="3"/>
  <c r="A261" i="3"/>
  <c r="A259" i="3"/>
  <c r="A257" i="3"/>
  <c r="A255" i="3"/>
  <c r="A253" i="3"/>
  <c r="A251" i="3"/>
  <c r="A249" i="3"/>
  <c r="A247" i="3"/>
  <c r="A244" i="3"/>
  <c r="A242" i="3"/>
  <c r="A240" i="3"/>
  <c r="A238" i="3"/>
  <c r="A236" i="3"/>
  <c r="A234" i="3"/>
  <c r="A232" i="3"/>
  <c r="A230" i="3"/>
  <c r="A228" i="3"/>
  <c r="A226" i="3"/>
  <c r="A224" i="3"/>
  <c r="A222" i="3"/>
  <c r="A220" i="3"/>
  <c r="A218" i="3"/>
  <c r="A215" i="3"/>
  <c r="A213" i="3"/>
  <c r="A211" i="3"/>
  <c r="A209" i="3"/>
  <c r="A207" i="3"/>
  <c r="A205" i="3"/>
  <c r="A203" i="3"/>
  <c r="A201" i="3"/>
  <c r="A199" i="3"/>
  <c r="A197" i="3"/>
  <c r="A195" i="3"/>
  <c r="A193" i="3"/>
  <c r="A191" i="3"/>
  <c r="A189" i="3"/>
  <c r="A187" i="3"/>
  <c r="A185" i="3"/>
  <c r="A183" i="3"/>
  <c r="A181" i="3"/>
  <c r="A179" i="3"/>
  <c r="A177" i="3"/>
  <c r="A175" i="3"/>
  <c r="A173" i="3"/>
  <c r="A171" i="3"/>
  <c r="A169" i="3"/>
  <c r="A167" i="3"/>
  <c r="A165" i="3"/>
  <c r="A163" i="3"/>
  <c r="A161" i="3"/>
  <c r="A159" i="3"/>
  <c r="A157" i="3"/>
  <c r="A155" i="3"/>
  <c r="A153" i="3"/>
  <c r="A151" i="3"/>
  <c r="A149" i="3"/>
  <c r="A147" i="3"/>
  <c r="A145" i="3"/>
  <c r="A143" i="3"/>
  <c r="A12" i="3"/>
  <c r="A14" i="3"/>
  <c r="A16" i="3"/>
  <c r="A18" i="3"/>
  <c r="A20" i="3"/>
  <c r="A22" i="3"/>
  <c r="A24" i="3"/>
  <c r="A26" i="3"/>
  <c r="A28" i="3"/>
  <c r="A30" i="3"/>
  <c r="A32" i="3"/>
  <c r="A34" i="3"/>
  <c r="A36" i="3"/>
  <c r="A38" i="3"/>
  <c r="A40" i="3"/>
  <c r="A42" i="3"/>
  <c r="A44" i="3"/>
  <c r="A46" i="3"/>
  <c r="A48" i="3"/>
  <c r="A50" i="3"/>
  <c r="A52" i="3"/>
  <c r="A54" i="3"/>
  <c r="A56" i="3"/>
  <c r="A58" i="3"/>
  <c r="A60" i="3"/>
  <c r="A62" i="3"/>
  <c r="A64" i="3"/>
  <c r="A66" i="3"/>
  <c r="A68" i="3"/>
  <c r="A70" i="3"/>
  <c r="A72" i="3"/>
  <c r="A75" i="3"/>
  <c r="A77" i="3"/>
  <c r="A79" i="3"/>
  <c r="A81" i="3"/>
  <c r="C83" i="3"/>
  <c r="A84" i="3"/>
  <c r="C85" i="3"/>
  <c r="A86" i="3"/>
  <c r="C87" i="3"/>
  <c r="A88" i="3"/>
  <c r="C89" i="3"/>
  <c r="A90" i="3"/>
  <c r="C91" i="3"/>
  <c r="A92" i="3"/>
  <c r="C93" i="3"/>
  <c r="A94" i="3"/>
  <c r="C95" i="3"/>
  <c r="A96" i="3"/>
  <c r="C97" i="3"/>
  <c r="A98" i="3"/>
  <c r="C99" i="3"/>
  <c r="A100" i="3"/>
  <c r="C101" i="3"/>
  <c r="A102" i="3"/>
  <c r="C103" i="3"/>
  <c r="A104" i="3"/>
  <c r="A106" i="3"/>
  <c r="A108" i="3"/>
  <c r="A110" i="3"/>
  <c r="A112" i="3"/>
  <c r="A114" i="3"/>
  <c r="A116" i="3"/>
  <c r="A118" i="3"/>
  <c r="A120" i="3"/>
  <c r="A122" i="3"/>
  <c r="A124" i="3"/>
  <c r="A126" i="3"/>
  <c r="A128" i="3"/>
  <c r="A130" i="3"/>
  <c r="A132" i="3"/>
  <c r="A134" i="3"/>
  <c r="A136" i="3"/>
  <c r="A138" i="3"/>
  <c r="A140" i="3"/>
  <c r="A142" i="3"/>
  <c r="A144" i="3"/>
  <c r="A146" i="3"/>
  <c r="A148" i="3"/>
  <c r="A150" i="3"/>
  <c r="A152" i="3"/>
  <c r="A154" i="3"/>
  <c r="A156" i="3"/>
  <c r="A158" i="3"/>
  <c r="A160" i="3"/>
  <c r="A162" i="3"/>
  <c r="A164" i="3"/>
  <c r="A166" i="3"/>
  <c r="A168" i="3"/>
  <c r="A170" i="3"/>
  <c r="A172" i="3"/>
  <c r="A174" i="3"/>
  <c r="A176" i="3"/>
  <c r="A178" i="3"/>
  <c r="A180" i="3"/>
  <c r="A182" i="3"/>
  <c r="A184" i="3"/>
  <c r="A186" i="3"/>
  <c r="A188" i="3"/>
  <c r="A190" i="3"/>
  <c r="A192" i="3"/>
  <c r="A194" i="3"/>
  <c r="A196" i="3"/>
  <c r="A198" i="3"/>
  <c r="A200" i="3"/>
  <c r="A202" i="3"/>
  <c r="A204" i="3"/>
  <c r="A206" i="3"/>
  <c r="A208" i="3"/>
  <c r="A210" i="3"/>
  <c r="A212" i="3"/>
  <c r="A214" i="3"/>
  <c r="A216" i="3"/>
  <c r="A217" i="3"/>
  <c r="A219" i="3"/>
  <c r="A221" i="3"/>
  <c r="A223" i="3"/>
  <c r="A225" i="3"/>
  <c r="A227" i="3"/>
  <c r="A229" i="3"/>
  <c r="A231" i="3"/>
  <c r="A233" i="3"/>
  <c r="A235" i="3"/>
  <c r="A237" i="3"/>
  <c r="A239" i="3"/>
  <c r="A241" i="3"/>
  <c r="A243" i="3"/>
  <c r="A245" i="3"/>
  <c r="A246" i="3"/>
  <c r="A248" i="3"/>
  <c r="A250" i="3"/>
  <c r="A252" i="3"/>
  <c r="A254" i="3"/>
  <c r="A256" i="3"/>
  <c r="A258" i="3"/>
  <c r="A260" i="3"/>
  <c r="A262" i="3"/>
  <c r="A264" i="3"/>
  <c r="A266" i="3"/>
  <c r="S260" i="3" l="1"/>
  <c r="B260" i="3"/>
  <c r="S252" i="3"/>
  <c r="B252" i="3"/>
  <c r="S245" i="3"/>
  <c r="B245" i="3"/>
  <c r="S266" i="3"/>
  <c r="B266" i="3"/>
  <c r="S262" i="3"/>
  <c r="B262" i="3"/>
  <c r="S258" i="3"/>
  <c r="B258" i="3"/>
  <c r="S254" i="3"/>
  <c r="B254" i="3"/>
  <c r="S250" i="3"/>
  <c r="B250" i="3"/>
  <c r="S246" i="3"/>
  <c r="B246" i="3"/>
  <c r="S243" i="3"/>
  <c r="B243" i="3"/>
  <c r="S239" i="3"/>
  <c r="B239" i="3"/>
  <c r="S235" i="3"/>
  <c r="B235" i="3"/>
  <c r="S231" i="3"/>
  <c r="B231" i="3"/>
  <c r="S227" i="3"/>
  <c r="B227" i="3"/>
  <c r="S223" i="3"/>
  <c r="B223" i="3"/>
  <c r="S219" i="3"/>
  <c r="B219" i="3"/>
  <c r="S216" i="3"/>
  <c r="B216" i="3"/>
  <c r="S212" i="3"/>
  <c r="B212" i="3"/>
  <c r="S208" i="3"/>
  <c r="B208" i="3"/>
  <c r="S204" i="3"/>
  <c r="B204" i="3"/>
  <c r="S200" i="3"/>
  <c r="B200" i="3"/>
  <c r="S196" i="3"/>
  <c r="B196" i="3"/>
  <c r="S192" i="3"/>
  <c r="B192" i="3"/>
  <c r="S188" i="3"/>
  <c r="B188" i="3"/>
  <c r="S184" i="3"/>
  <c r="B184" i="3"/>
  <c r="S180" i="3"/>
  <c r="B180" i="3"/>
  <c r="S176" i="3"/>
  <c r="B176" i="3"/>
  <c r="S172" i="3"/>
  <c r="B172" i="3"/>
  <c r="S168" i="3"/>
  <c r="B168" i="3"/>
  <c r="S164" i="3"/>
  <c r="B164" i="3"/>
  <c r="S160" i="3"/>
  <c r="B160" i="3"/>
  <c r="S156" i="3"/>
  <c r="B156" i="3"/>
  <c r="S152" i="3"/>
  <c r="B152" i="3"/>
  <c r="S148" i="3"/>
  <c r="B148" i="3"/>
  <c r="S144" i="3"/>
  <c r="B144" i="3"/>
  <c r="S140" i="3"/>
  <c r="B140" i="3"/>
  <c r="S136" i="3"/>
  <c r="B136" i="3"/>
  <c r="S132" i="3"/>
  <c r="B132" i="3"/>
  <c r="S128" i="3"/>
  <c r="B128" i="3"/>
  <c r="S124" i="3"/>
  <c r="B124" i="3"/>
  <c r="S120" i="3"/>
  <c r="B120" i="3"/>
  <c r="S116" i="3"/>
  <c r="B116" i="3"/>
  <c r="S112" i="3"/>
  <c r="B112" i="3"/>
  <c r="S108" i="3"/>
  <c r="B108" i="3"/>
  <c r="B104" i="3"/>
  <c r="S104" i="3"/>
  <c r="B102" i="3"/>
  <c r="S102" i="3"/>
  <c r="B100" i="3"/>
  <c r="S100" i="3"/>
  <c r="B98" i="3"/>
  <c r="S98" i="3"/>
  <c r="B96" i="3"/>
  <c r="S96" i="3"/>
  <c r="B94" i="3"/>
  <c r="S94" i="3"/>
  <c r="B92" i="3"/>
  <c r="S92" i="3"/>
  <c r="B90" i="3"/>
  <c r="S90" i="3"/>
  <c r="B88" i="3"/>
  <c r="S88" i="3"/>
  <c r="B86" i="3"/>
  <c r="S86" i="3"/>
  <c r="B84" i="3"/>
  <c r="S84" i="3"/>
  <c r="S81" i="3"/>
  <c r="B81" i="3"/>
  <c r="S77" i="3"/>
  <c r="B77" i="3"/>
  <c r="S72" i="3"/>
  <c r="B72" i="3"/>
  <c r="S68" i="3"/>
  <c r="B68" i="3"/>
  <c r="S64" i="3"/>
  <c r="B64" i="3"/>
  <c r="S60" i="3"/>
  <c r="B60" i="3"/>
  <c r="S56" i="3"/>
  <c r="B56" i="3"/>
  <c r="S52" i="3"/>
  <c r="B52" i="3"/>
  <c r="S48" i="3"/>
  <c r="B48" i="3"/>
  <c r="S44" i="3"/>
  <c r="B44" i="3"/>
  <c r="S40" i="3"/>
  <c r="B40" i="3"/>
  <c r="S36" i="3"/>
  <c r="B36" i="3"/>
  <c r="S32" i="3"/>
  <c r="B32" i="3"/>
  <c r="S28" i="3"/>
  <c r="B28" i="3"/>
  <c r="S24" i="3"/>
  <c r="B24" i="3"/>
  <c r="S20" i="3"/>
  <c r="B20" i="3"/>
  <c r="S16" i="3"/>
  <c r="B16" i="3"/>
  <c r="S12" i="3"/>
  <c r="B12" i="3"/>
  <c r="S145" i="3"/>
  <c r="B145" i="3"/>
  <c r="S149" i="3"/>
  <c r="B149" i="3"/>
  <c r="S153" i="3"/>
  <c r="B153" i="3"/>
  <c r="S157" i="3"/>
  <c r="B157" i="3"/>
  <c r="S161" i="3"/>
  <c r="B161" i="3"/>
  <c r="S165" i="3"/>
  <c r="B165" i="3"/>
  <c r="S169" i="3"/>
  <c r="B169" i="3"/>
  <c r="S173" i="3"/>
  <c r="B173" i="3"/>
  <c r="S177" i="3"/>
  <c r="B177" i="3"/>
  <c r="S181" i="3"/>
  <c r="B181" i="3"/>
  <c r="S185" i="3"/>
  <c r="B185" i="3"/>
  <c r="S189" i="3"/>
  <c r="B189" i="3"/>
  <c r="S193" i="3"/>
  <c r="B193" i="3"/>
  <c r="S197" i="3"/>
  <c r="B197" i="3"/>
  <c r="S201" i="3"/>
  <c r="B201" i="3"/>
  <c r="S205" i="3"/>
  <c r="B205" i="3"/>
  <c r="S209" i="3"/>
  <c r="B209" i="3"/>
  <c r="S213" i="3"/>
  <c r="B213" i="3"/>
  <c r="S218" i="3"/>
  <c r="B218" i="3"/>
  <c r="S222" i="3"/>
  <c r="B222" i="3"/>
  <c r="S226" i="3"/>
  <c r="B226" i="3"/>
  <c r="S230" i="3"/>
  <c r="B230" i="3"/>
  <c r="S234" i="3"/>
  <c r="B234" i="3"/>
  <c r="S238" i="3"/>
  <c r="B238" i="3"/>
  <c r="S242" i="3"/>
  <c r="B242" i="3"/>
  <c r="S247" i="3"/>
  <c r="B247" i="3"/>
  <c r="S251" i="3"/>
  <c r="B251" i="3"/>
  <c r="S255" i="3"/>
  <c r="B255" i="3"/>
  <c r="S259" i="3"/>
  <c r="B259" i="3"/>
  <c r="S263" i="3"/>
  <c r="B263" i="3"/>
  <c r="G266" i="3"/>
  <c r="G264" i="3"/>
  <c r="G262" i="3"/>
  <c r="G260" i="3"/>
  <c r="G258" i="3"/>
  <c r="G256" i="3"/>
  <c r="G254" i="3"/>
  <c r="G252" i="3"/>
  <c r="G250" i="3"/>
  <c r="G248" i="3"/>
  <c r="G246" i="3"/>
  <c r="G265" i="3"/>
  <c r="G263" i="3"/>
  <c r="G261" i="3"/>
  <c r="G259" i="3"/>
  <c r="G257" i="3"/>
  <c r="G255" i="3"/>
  <c r="G253" i="3"/>
  <c r="G251" i="3"/>
  <c r="G249" i="3"/>
  <c r="G247" i="3"/>
  <c r="G245" i="3"/>
  <c r="G243" i="3"/>
  <c r="G241" i="3"/>
  <c r="G239" i="3"/>
  <c r="G237" i="3"/>
  <c r="G235" i="3"/>
  <c r="G233" i="3"/>
  <c r="G231" i="3"/>
  <c r="G229" i="3"/>
  <c r="G227" i="3"/>
  <c r="G225" i="3"/>
  <c r="G223" i="3"/>
  <c r="G221" i="3"/>
  <c r="G219" i="3"/>
  <c r="G217" i="3"/>
  <c r="G244" i="3"/>
  <c r="G242" i="3"/>
  <c r="G240" i="3"/>
  <c r="G238" i="3"/>
  <c r="G236" i="3"/>
  <c r="G234" i="3"/>
  <c r="G232" i="3"/>
  <c r="G230" i="3"/>
  <c r="G228" i="3"/>
  <c r="G226" i="3"/>
  <c r="G224" i="3"/>
  <c r="G222" i="3"/>
  <c r="G220" i="3"/>
  <c r="G218" i="3"/>
  <c r="G216" i="3"/>
  <c r="G214" i="3"/>
  <c r="G212" i="3"/>
  <c r="G210" i="3"/>
  <c r="G208" i="3"/>
  <c r="G206" i="3"/>
  <c r="G204" i="3"/>
  <c r="G202" i="3"/>
  <c r="G200" i="3"/>
  <c r="G198" i="3"/>
  <c r="G196" i="3"/>
  <c r="G194" i="3"/>
  <c r="G192" i="3"/>
  <c r="G190" i="3"/>
  <c r="G188" i="3"/>
  <c r="G186" i="3"/>
  <c r="G184" i="3"/>
  <c r="G182" i="3"/>
  <c r="G180" i="3"/>
  <c r="G178" i="3"/>
  <c r="G176" i="3"/>
  <c r="G174" i="3"/>
  <c r="G172" i="3"/>
  <c r="G170" i="3"/>
  <c r="G168" i="3"/>
  <c r="G166" i="3"/>
  <c r="G164" i="3"/>
  <c r="G162" i="3"/>
  <c r="G160" i="3"/>
  <c r="G158" i="3"/>
  <c r="G156" i="3"/>
  <c r="G215" i="3"/>
  <c r="G213" i="3"/>
  <c r="G211" i="3"/>
  <c r="G209" i="3"/>
  <c r="G207" i="3"/>
  <c r="G205" i="3"/>
  <c r="G203" i="3"/>
  <c r="G201" i="3"/>
  <c r="G199" i="3"/>
  <c r="G197" i="3"/>
  <c r="G195" i="3"/>
  <c r="G193" i="3"/>
  <c r="G191" i="3"/>
  <c r="G189" i="3"/>
  <c r="G187" i="3"/>
  <c r="G185" i="3"/>
  <c r="G183" i="3"/>
  <c r="G181" i="3"/>
  <c r="G179" i="3"/>
  <c r="G177" i="3"/>
  <c r="G175" i="3"/>
  <c r="G173" i="3"/>
  <c r="G171" i="3"/>
  <c r="G169" i="3"/>
  <c r="G167" i="3"/>
  <c r="G165" i="3"/>
  <c r="G163" i="3"/>
  <c r="G161" i="3"/>
  <c r="G159" i="3"/>
  <c r="G157" i="3"/>
  <c r="G155" i="3"/>
  <c r="G154" i="3"/>
  <c r="G152" i="3"/>
  <c r="G150" i="3"/>
  <c r="G148" i="3"/>
  <c r="G146" i="3"/>
  <c r="G144" i="3"/>
  <c r="G142" i="3"/>
  <c r="G140" i="3"/>
  <c r="G138" i="3"/>
  <c r="G136" i="3"/>
  <c r="G134" i="3"/>
  <c r="G132" i="3"/>
  <c r="G130" i="3"/>
  <c r="G128" i="3"/>
  <c r="G126" i="3"/>
  <c r="G124" i="3"/>
  <c r="G122" i="3"/>
  <c r="G120" i="3"/>
  <c r="G118" i="3"/>
  <c r="G116" i="3"/>
  <c r="G114" i="3"/>
  <c r="G112" i="3"/>
  <c r="G110" i="3"/>
  <c r="G108" i="3"/>
  <c r="G106" i="3"/>
  <c r="G104" i="3"/>
  <c r="G102" i="3"/>
  <c r="G100" i="3"/>
  <c r="G98" i="3"/>
  <c r="G96" i="3"/>
  <c r="G94" i="3"/>
  <c r="G92" i="3"/>
  <c r="G90" i="3"/>
  <c r="G88" i="3"/>
  <c r="G86" i="3"/>
  <c r="G84" i="3"/>
  <c r="G81" i="3"/>
  <c r="G79" i="3"/>
  <c r="G77" i="3"/>
  <c r="G75" i="3"/>
  <c r="G153" i="3"/>
  <c r="G151" i="3"/>
  <c r="G149" i="3"/>
  <c r="G147" i="3"/>
  <c r="G145" i="3"/>
  <c r="G143" i="3"/>
  <c r="G141" i="3"/>
  <c r="G139" i="3"/>
  <c r="G137" i="3"/>
  <c r="G135" i="3"/>
  <c r="G133" i="3"/>
  <c r="G131" i="3"/>
  <c r="G129" i="3"/>
  <c r="G127" i="3"/>
  <c r="G125" i="3"/>
  <c r="G123" i="3"/>
  <c r="G121" i="3"/>
  <c r="G119" i="3"/>
  <c r="G117" i="3"/>
  <c r="G115" i="3"/>
  <c r="G113" i="3"/>
  <c r="G111" i="3"/>
  <c r="G109" i="3"/>
  <c r="G107" i="3"/>
  <c r="G105" i="3"/>
  <c r="G103" i="3"/>
  <c r="G101" i="3"/>
  <c r="G99" i="3"/>
  <c r="G97" i="3"/>
  <c r="G95" i="3"/>
  <c r="G93" i="3"/>
  <c r="G91" i="3"/>
  <c r="G89" i="3"/>
  <c r="G87" i="3"/>
  <c r="G85" i="3"/>
  <c r="G83" i="3"/>
  <c r="G82" i="3"/>
  <c r="G80" i="3"/>
  <c r="G78" i="3"/>
  <c r="G76" i="3"/>
  <c r="G74" i="3"/>
  <c r="G72" i="3"/>
  <c r="G70" i="3"/>
  <c r="G68" i="3"/>
  <c r="G66" i="3"/>
  <c r="G64" i="3"/>
  <c r="G62" i="3"/>
  <c r="G60" i="3"/>
  <c r="G58" i="3"/>
  <c r="G56" i="3"/>
  <c r="G54" i="3"/>
  <c r="G52" i="3"/>
  <c r="G50" i="3"/>
  <c r="G48" i="3"/>
  <c r="G46" i="3"/>
  <c r="G44" i="3"/>
  <c r="G42" i="3"/>
  <c r="G40" i="3"/>
  <c r="G38" i="3"/>
  <c r="G36" i="3"/>
  <c r="G34" i="3"/>
  <c r="G32" i="3"/>
  <c r="G30" i="3"/>
  <c r="G28" i="3"/>
  <c r="G26" i="3"/>
  <c r="G24" i="3"/>
  <c r="G22" i="3"/>
  <c r="G20" i="3"/>
  <c r="G18" i="3"/>
  <c r="G16" i="3"/>
  <c r="G14" i="3"/>
  <c r="G12" i="3"/>
  <c r="S11" i="3"/>
  <c r="B11" i="3"/>
  <c r="G11" i="3"/>
  <c r="G73" i="3"/>
  <c r="G71" i="3"/>
  <c r="G69" i="3"/>
  <c r="G67" i="3"/>
  <c r="G65" i="3"/>
  <c r="G63" i="3"/>
  <c r="G61" i="3"/>
  <c r="G59" i="3"/>
  <c r="G57" i="3"/>
  <c r="G55" i="3"/>
  <c r="G53" i="3"/>
  <c r="G51" i="3"/>
  <c r="G49" i="3"/>
  <c r="G47" i="3"/>
  <c r="G45" i="3"/>
  <c r="G43" i="3"/>
  <c r="G41" i="3"/>
  <c r="G39" i="3"/>
  <c r="G37" i="3"/>
  <c r="G35" i="3"/>
  <c r="G33" i="3"/>
  <c r="G31" i="3"/>
  <c r="G29" i="3"/>
  <c r="G27" i="3"/>
  <c r="G25" i="3"/>
  <c r="G23" i="3"/>
  <c r="G21" i="3"/>
  <c r="G19" i="3"/>
  <c r="G17" i="3"/>
  <c r="G15" i="3"/>
  <c r="G13" i="3"/>
  <c r="S139" i="3"/>
  <c r="B139" i="3"/>
  <c r="S135" i="3"/>
  <c r="B135" i="3"/>
  <c r="S131" i="3"/>
  <c r="B131" i="3"/>
  <c r="S127" i="3"/>
  <c r="B127" i="3"/>
  <c r="S123" i="3"/>
  <c r="B123" i="3"/>
  <c r="S119" i="3"/>
  <c r="B119" i="3"/>
  <c r="S115" i="3"/>
  <c r="B115" i="3"/>
  <c r="S111" i="3"/>
  <c r="B111" i="3"/>
  <c r="S107" i="3"/>
  <c r="B107" i="3"/>
  <c r="S103" i="3"/>
  <c r="B103" i="3"/>
  <c r="S99" i="3"/>
  <c r="B99" i="3"/>
  <c r="S95" i="3"/>
  <c r="B95" i="3"/>
  <c r="S91" i="3"/>
  <c r="B91" i="3"/>
  <c r="S87" i="3"/>
  <c r="B87" i="3"/>
  <c r="S83" i="3"/>
  <c r="B83" i="3"/>
  <c r="S78" i="3"/>
  <c r="B78" i="3"/>
  <c r="S55" i="3"/>
  <c r="B55" i="3"/>
  <c r="S51" i="3"/>
  <c r="B51" i="3"/>
  <c r="S47" i="3"/>
  <c r="B47" i="3"/>
  <c r="S43" i="3"/>
  <c r="B43" i="3"/>
  <c r="S39" i="3"/>
  <c r="B39" i="3"/>
  <c r="S35" i="3"/>
  <c r="B35" i="3"/>
  <c r="S31" i="3"/>
  <c r="B31" i="3"/>
  <c r="S27" i="3"/>
  <c r="B27" i="3"/>
  <c r="S23" i="3"/>
  <c r="B23" i="3"/>
  <c r="S19" i="3"/>
  <c r="B19" i="3"/>
  <c r="S15" i="3"/>
  <c r="B15" i="3"/>
  <c r="B74" i="3"/>
  <c r="B73" i="3"/>
  <c r="B71" i="3"/>
  <c r="B69" i="3"/>
  <c r="B67" i="3"/>
  <c r="B63" i="3"/>
  <c r="B59" i="3"/>
  <c r="B82" i="3"/>
  <c r="B65" i="3"/>
  <c r="B61" i="3"/>
  <c r="B57" i="3"/>
  <c r="S264" i="3"/>
  <c r="B264" i="3"/>
  <c r="S256" i="3"/>
  <c r="B256" i="3"/>
  <c r="S248" i="3"/>
  <c r="B248" i="3"/>
  <c r="S241" i="3"/>
  <c r="B241" i="3"/>
  <c r="S237" i="3"/>
  <c r="B237" i="3"/>
  <c r="S233" i="3"/>
  <c r="B233" i="3"/>
  <c r="S229" i="3"/>
  <c r="B229" i="3"/>
  <c r="S225" i="3"/>
  <c r="B225" i="3"/>
  <c r="S221" i="3"/>
  <c r="B221" i="3"/>
  <c r="S217" i="3"/>
  <c r="B217" i="3"/>
  <c r="S214" i="3"/>
  <c r="B214" i="3"/>
  <c r="S210" i="3"/>
  <c r="B210" i="3"/>
  <c r="S206" i="3"/>
  <c r="B206" i="3"/>
  <c r="S202" i="3"/>
  <c r="B202" i="3"/>
  <c r="S198" i="3"/>
  <c r="B198" i="3"/>
  <c r="S194" i="3"/>
  <c r="B194" i="3"/>
  <c r="S190" i="3"/>
  <c r="B190" i="3"/>
  <c r="S186" i="3"/>
  <c r="B186" i="3"/>
  <c r="S182" i="3"/>
  <c r="B182" i="3"/>
  <c r="S178" i="3"/>
  <c r="B178" i="3"/>
  <c r="S174" i="3"/>
  <c r="B174" i="3"/>
  <c r="S170" i="3"/>
  <c r="B170" i="3"/>
  <c r="S166" i="3"/>
  <c r="B166" i="3"/>
  <c r="S162" i="3"/>
  <c r="B162" i="3"/>
  <c r="S158" i="3"/>
  <c r="B158" i="3"/>
  <c r="S154" i="3"/>
  <c r="B154" i="3"/>
  <c r="S150" i="3"/>
  <c r="B150" i="3"/>
  <c r="S146" i="3"/>
  <c r="B146" i="3"/>
  <c r="S142" i="3"/>
  <c r="B142" i="3"/>
  <c r="S138" i="3"/>
  <c r="B138" i="3"/>
  <c r="S134" i="3"/>
  <c r="B134" i="3"/>
  <c r="S130" i="3"/>
  <c r="B130" i="3"/>
  <c r="S126" i="3"/>
  <c r="B126" i="3"/>
  <c r="S122" i="3"/>
  <c r="B122" i="3"/>
  <c r="S118" i="3"/>
  <c r="B118" i="3"/>
  <c r="S114" i="3"/>
  <c r="B114" i="3"/>
  <c r="S110" i="3"/>
  <c r="B110" i="3"/>
  <c r="S106" i="3"/>
  <c r="B106" i="3"/>
  <c r="S79" i="3"/>
  <c r="B79" i="3"/>
  <c r="S75" i="3"/>
  <c r="B75" i="3"/>
  <c r="S70" i="3"/>
  <c r="B70" i="3"/>
  <c r="S66" i="3"/>
  <c r="B66" i="3"/>
  <c r="S62" i="3"/>
  <c r="B62" i="3"/>
  <c r="S58" i="3"/>
  <c r="B58" i="3"/>
  <c r="S54" i="3"/>
  <c r="B54" i="3"/>
  <c r="S50" i="3"/>
  <c r="B50" i="3"/>
  <c r="S46" i="3"/>
  <c r="B46" i="3"/>
  <c r="S42" i="3"/>
  <c r="B42" i="3"/>
  <c r="S38" i="3"/>
  <c r="B38" i="3"/>
  <c r="S34" i="3"/>
  <c r="B34" i="3"/>
  <c r="S30" i="3"/>
  <c r="B30" i="3"/>
  <c r="S26" i="3"/>
  <c r="B26" i="3"/>
  <c r="S22" i="3"/>
  <c r="B22" i="3"/>
  <c r="S18" i="3"/>
  <c r="B18" i="3"/>
  <c r="S14" i="3"/>
  <c r="B14" i="3"/>
  <c r="S143" i="3"/>
  <c r="B143" i="3"/>
  <c r="S147" i="3"/>
  <c r="B147" i="3"/>
  <c r="S151" i="3"/>
  <c r="B151" i="3"/>
  <c r="S155" i="3"/>
  <c r="B155" i="3"/>
  <c r="S159" i="3"/>
  <c r="B159" i="3"/>
  <c r="S163" i="3"/>
  <c r="B163" i="3"/>
  <c r="S167" i="3"/>
  <c r="B167" i="3"/>
  <c r="S171" i="3"/>
  <c r="B171" i="3"/>
  <c r="S175" i="3"/>
  <c r="B175" i="3"/>
  <c r="S179" i="3"/>
  <c r="B179" i="3"/>
  <c r="S183" i="3"/>
  <c r="B183" i="3"/>
  <c r="S187" i="3"/>
  <c r="B187" i="3"/>
  <c r="S191" i="3"/>
  <c r="B191" i="3"/>
  <c r="S195" i="3"/>
  <c r="B195" i="3"/>
  <c r="S199" i="3"/>
  <c r="B199" i="3"/>
  <c r="S203" i="3"/>
  <c r="B203" i="3"/>
  <c r="S207" i="3"/>
  <c r="B207" i="3"/>
  <c r="S211" i="3"/>
  <c r="B211" i="3"/>
  <c r="S215" i="3"/>
  <c r="B215" i="3"/>
  <c r="S220" i="3"/>
  <c r="B220" i="3"/>
  <c r="S224" i="3"/>
  <c r="B224" i="3"/>
  <c r="S228" i="3"/>
  <c r="B228" i="3"/>
  <c r="S232" i="3"/>
  <c r="B232" i="3"/>
  <c r="S236" i="3"/>
  <c r="B236" i="3"/>
  <c r="S240" i="3"/>
  <c r="B240" i="3"/>
  <c r="S244" i="3"/>
  <c r="B244" i="3"/>
  <c r="S249" i="3"/>
  <c r="B249" i="3"/>
  <c r="S253" i="3"/>
  <c r="B253" i="3"/>
  <c r="S257" i="3"/>
  <c r="B257" i="3"/>
  <c r="S261" i="3"/>
  <c r="B261" i="3"/>
  <c r="S265" i="3"/>
  <c r="B265" i="3"/>
  <c r="S141" i="3"/>
  <c r="B141" i="3"/>
  <c r="S137" i="3"/>
  <c r="B137" i="3"/>
  <c r="S133" i="3"/>
  <c r="B133" i="3"/>
  <c r="S129" i="3"/>
  <c r="B129" i="3"/>
  <c r="S125" i="3"/>
  <c r="B125" i="3"/>
  <c r="S121" i="3"/>
  <c r="B121" i="3"/>
  <c r="S117" i="3"/>
  <c r="B117" i="3"/>
  <c r="S113" i="3"/>
  <c r="B113" i="3"/>
  <c r="S109" i="3"/>
  <c r="B109" i="3"/>
  <c r="S105" i="3"/>
  <c r="B105" i="3"/>
  <c r="S101" i="3"/>
  <c r="B101" i="3"/>
  <c r="S97" i="3"/>
  <c r="B97" i="3"/>
  <c r="S93" i="3"/>
  <c r="B93" i="3"/>
  <c r="S89" i="3"/>
  <c r="B89" i="3"/>
  <c r="S85" i="3"/>
  <c r="B85" i="3"/>
  <c r="S80" i="3"/>
  <c r="B80" i="3"/>
  <c r="S76" i="3"/>
  <c r="B76" i="3"/>
  <c r="S53" i="3"/>
  <c r="B53" i="3"/>
  <c r="S49" i="3"/>
  <c r="B49" i="3"/>
  <c r="S45" i="3"/>
  <c r="B45" i="3"/>
  <c r="S41" i="3"/>
  <c r="B41" i="3"/>
  <c r="S37" i="3"/>
  <c r="B37" i="3"/>
  <c r="S33" i="3"/>
  <c r="B33" i="3"/>
  <c r="S29" i="3"/>
  <c r="B29" i="3"/>
  <c r="S25" i="3"/>
  <c r="B25" i="3"/>
  <c r="S21" i="3"/>
  <c r="B21" i="3"/>
  <c r="S17" i="3"/>
  <c r="B17" i="3"/>
  <c r="S13" i="3"/>
  <c r="B13" i="3"/>
  <c r="S74" i="3"/>
  <c r="S73" i="3"/>
  <c r="S71" i="3"/>
  <c r="S69" i="3"/>
  <c r="S67" i="3"/>
  <c r="S63" i="3"/>
  <c r="S59" i="3"/>
  <c r="S82" i="3"/>
  <c r="S65" i="3"/>
  <c r="S61" i="3"/>
  <c r="S57" i="3"/>
  <c r="H13" i="3" l="1"/>
  <c r="I13" i="3"/>
  <c r="Z13" i="3" s="1"/>
  <c r="AB13" i="3" s="1"/>
  <c r="H17" i="3"/>
  <c r="I17" i="3"/>
  <c r="Z17" i="3" s="1"/>
  <c r="AB17" i="3" s="1"/>
  <c r="H21" i="3"/>
  <c r="I21" i="3"/>
  <c r="Z21" i="3" s="1"/>
  <c r="AB21" i="3" s="1"/>
  <c r="AA21" i="3" s="1"/>
  <c r="H25" i="3"/>
  <c r="I25" i="3"/>
  <c r="Z25" i="3" s="1"/>
  <c r="AB25" i="3" s="1"/>
  <c r="AA25" i="3" s="1"/>
  <c r="H29" i="3"/>
  <c r="I29" i="3"/>
  <c r="Z29" i="3" s="1"/>
  <c r="AB29" i="3" s="1"/>
  <c r="H33" i="3"/>
  <c r="I33" i="3"/>
  <c r="Z33" i="3" s="1"/>
  <c r="AB33" i="3" s="1"/>
  <c r="H37" i="3"/>
  <c r="I37" i="3"/>
  <c r="Z37" i="3" s="1"/>
  <c r="AB37" i="3" s="1"/>
  <c r="H41" i="3"/>
  <c r="I41" i="3"/>
  <c r="Z41" i="3" s="1"/>
  <c r="AB41" i="3" s="1"/>
  <c r="H45" i="3"/>
  <c r="I45" i="3"/>
  <c r="Z45" i="3" s="1"/>
  <c r="AB45" i="3" s="1"/>
  <c r="AA45" i="3" s="1"/>
  <c r="H49" i="3"/>
  <c r="I49" i="3"/>
  <c r="Z49" i="3" s="1"/>
  <c r="AB49" i="3" s="1"/>
  <c r="AA49" i="3" s="1"/>
  <c r="H53" i="3"/>
  <c r="I53" i="3"/>
  <c r="Z53" i="3" s="1"/>
  <c r="AB53" i="3" s="1"/>
  <c r="AA53" i="3" s="1"/>
  <c r="H57" i="3"/>
  <c r="I57" i="3"/>
  <c r="Z57" i="3" s="1"/>
  <c r="AB57" i="3" s="1"/>
  <c r="AA57" i="3" s="1"/>
  <c r="H61" i="3"/>
  <c r="I61" i="3"/>
  <c r="Z61" i="3" s="1"/>
  <c r="AB61" i="3" s="1"/>
  <c r="AA61" i="3" s="1"/>
  <c r="H65" i="3"/>
  <c r="I65" i="3"/>
  <c r="Z65" i="3" s="1"/>
  <c r="AB65" i="3" s="1"/>
  <c r="AA65" i="3" s="1"/>
  <c r="H69" i="3"/>
  <c r="I69" i="3"/>
  <c r="Z69" i="3" s="1"/>
  <c r="AB69" i="3" s="1"/>
  <c r="AA69" i="3" s="1"/>
  <c r="H73" i="3"/>
  <c r="I73" i="3"/>
  <c r="Z73" i="3" s="1"/>
  <c r="AB73" i="3" s="1"/>
  <c r="AA73" i="3" s="1"/>
  <c r="I12" i="3"/>
  <c r="Z12" i="3" s="1"/>
  <c r="AB12" i="3" s="1"/>
  <c r="H12" i="3"/>
  <c r="I16" i="3"/>
  <c r="Z16" i="3" s="1"/>
  <c r="AB16" i="3" s="1"/>
  <c r="H16" i="3"/>
  <c r="I20" i="3"/>
  <c r="Z20" i="3" s="1"/>
  <c r="AB20" i="3" s="1"/>
  <c r="AA20" i="3" s="1"/>
  <c r="H20" i="3"/>
  <c r="I24" i="3"/>
  <c r="Z24" i="3" s="1"/>
  <c r="AB24" i="3" s="1"/>
  <c r="AA24" i="3" s="1"/>
  <c r="H24" i="3"/>
  <c r="I28" i="3"/>
  <c r="Z28" i="3" s="1"/>
  <c r="AB28" i="3" s="1"/>
  <c r="H28" i="3"/>
  <c r="I32" i="3"/>
  <c r="Z32" i="3" s="1"/>
  <c r="AB32" i="3" s="1"/>
  <c r="H32" i="3"/>
  <c r="I36" i="3"/>
  <c r="Z36" i="3" s="1"/>
  <c r="AB36" i="3" s="1"/>
  <c r="H36" i="3"/>
  <c r="I40" i="3"/>
  <c r="Z40" i="3" s="1"/>
  <c r="AB40" i="3" s="1"/>
  <c r="H40" i="3"/>
  <c r="I44" i="3"/>
  <c r="Z44" i="3" s="1"/>
  <c r="AB44" i="3" s="1"/>
  <c r="AA44" i="3" s="1"/>
  <c r="H44" i="3"/>
  <c r="I48" i="3"/>
  <c r="Z48" i="3" s="1"/>
  <c r="AB48" i="3" s="1"/>
  <c r="AA48" i="3" s="1"/>
  <c r="H48" i="3"/>
  <c r="I52" i="3"/>
  <c r="Z52" i="3" s="1"/>
  <c r="AB52" i="3" s="1"/>
  <c r="AA52" i="3" s="1"/>
  <c r="H52" i="3"/>
  <c r="I56" i="3"/>
  <c r="Z56" i="3" s="1"/>
  <c r="AB56" i="3" s="1"/>
  <c r="AA56" i="3" s="1"/>
  <c r="H56" i="3"/>
  <c r="I60" i="3"/>
  <c r="Z60" i="3" s="1"/>
  <c r="AB60" i="3" s="1"/>
  <c r="AA60" i="3" s="1"/>
  <c r="H60" i="3"/>
  <c r="I64" i="3"/>
  <c r="Z64" i="3" s="1"/>
  <c r="AB64" i="3" s="1"/>
  <c r="AA64" i="3" s="1"/>
  <c r="H64" i="3"/>
  <c r="I68" i="3"/>
  <c r="Z68" i="3" s="1"/>
  <c r="AB68" i="3" s="1"/>
  <c r="AA68" i="3" s="1"/>
  <c r="H68" i="3"/>
  <c r="I72" i="3"/>
  <c r="Z72" i="3" s="1"/>
  <c r="AB72" i="3" s="1"/>
  <c r="AA72" i="3" s="1"/>
  <c r="H72" i="3"/>
  <c r="H76" i="3"/>
  <c r="I76" i="3"/>
  <c r="Z76" i="3" s="1"/>
  <c r="AB76" i="3" s="1"/>
  <c r="AA76" i="3" s="1"/>
  <c r="H80" i="3"/>
  <c r="I80" i="3"/>
  <c r="Z80" i="3" s="1"/>
  <c r="AB80" i="3" s="1"/>
  <c r="AA80" i="3" s="1"/>
  <c r="H83" i="3"/>
  <c r="I83" i="3"/>
  <c r="Z83" i="3" s="1"/>
  <c r="AB83" i="3" s="1"/>
  <c r="AA83" i="3" s="1"/>
  <c r="H87" i="3"/>
  <c r="I87" i="3"/>
  <c r="Z87" i="3" s="1"/>
  <c r="AB87" i="3" s="1"/>
  <c r="AA87" i="3" s="1"/>
  <c r="H91" i="3"/>
  <c r="I91" i="3"/>
  <c r="Z91" i="3" s="1"/>
  <c r="AB91" i="3" s="1"/>
  <c r="AA91" i="3" s="1"/>
  <c r="H95" i="3"/>
  <c r="I95" i="3"/>
  <c r="Z95" i="3" s="1"/>
  <c r="AB95" i="3" s="1"/>
  <c r="AA95" i="3" s="1"/>
  <c r="H99" i="3"/>
  <c r="I99" i="3"/>
  <c r="Z99" i="3" s="1"/>
  <c r="AB99" i="3" s="1"/>
  <c r="AA99" i="3" s="1"/>
  <c r="H103" i="3"/>
  <c r="I103" i="3"/>
  <c r="Z103" i="3" s="1"/>
  <c r="AB103" i="3" s="1"/>
  <c r="AA103" i="3" s="1"/>
  <c r="H107" i="3"/>
  <c r="I107" i="3"/>
  <c r="Z107" i="3" s="1"/>
  <c r="AB107" i="3" s="1"/>
  <c r="AA107" i="3" s="1"/>
  <c r="H111" i="3"/>
  <c r="I111" i="3"/>
  <c r="Z111" i="3" s="1"/>
  <c r="AB111" i="3" s="1"/>
  <c r="AA111" i="3" s="1"/>
  <c r="H115" i="3"/>
  <c r="I115" i="3"/>
  <c r="Z115" i="3" s="1"/>
  <c r="AB115" i="3" s="1"/>
  <c r="AA115" i="3" s="1"/>
  <c r="H119" i="3"/>
  <c r="I119" i="3"/>
  <c r="Z119" i="3" s="1"/>
  <c r="AB119" i="3" s="1"/>
  <c r="AA119" i="3" s="1"/>
  <c r="H123" i="3"/>
  <c r="I123" i="3"/>
  <c r="Z123" i="3" s="1"/>
  <c r="AB123" i="3" s="1"/>
  <c r="AA123" i="3" s="1"/>
  <c r="H127" i="3"/>
  <c r="I127" i="3"/>
  <c r="Z127" i="3" s="1"/>
  <c r="AB127" i="3" s="1"/>
  <c r="AA127" i="3" s="1"/>
  <c r="H131" i="3"/>
  <c r="I131" i="3"/>
  <c r="Z131" i="3" s="1"/>
  <c r="AB131" i="3" s="1"/>
  <c r="AA131" i="3" s="1"/>
  <c r="H135" i="3"/>
  <c r="I135" i="3"/>
  <c r="Z135" i="3" s="1"/>
  <c r="AB135" i="3" s="1"/>
  <c r="AA135" i="3" s="1"/>
  <c r="H139" i="3"/>
  <c r="I139" i="3"/>
  <c r="Z139" i="3" s="1"/>
  <c r="AB139" i="3" s="1"/>
  <c r="AA139" i="3" s="1"/>
  <c r="H143" i="3"/>
  <c r="I143" i="3"/>
  <c r="Z143" i="3" s="1"/>
  <c r="AB143" i="3" s="1"/>
  <c r="AA143" i="3" s="1"/>
  <c r="H147" i="3"/>
  <c r="I147" i="3"/>
  <c r="Z147" i="3" s="1"/>
  <c r="AB147" i="3" s="1"/>
  <c r="AA147" i="3" s="1"/>
  <c r="H151" i="3"/>
  <c r="I151" i="3"/>
  <c r="Z151" i="3" s="1"/>
  <c r="AB151" i="3" s="1"/>
  <c r="AA151" i="3" s="1"/>
  <c r="I75" i="3"/>
  <c r="Z75" i="3" s="1"/>
  <c r="AB75" i="3" s="1"/>
  <c r="AA75" i="3" s="1"/>
  <c r="H75" i="3"/>
  <c r="I79" i="3"/>
  <c r="Z79" i="3" s="1"/>
  <c r="AB79" i="3" s="1"/>
  <c r="AA79" i="3" s="1"/>
  <c r="H79" i="3"/>
  <c r="I84" i="3"/>
  <c r="Z84" i="3" s="1"/>
  <c r="AB84" i="3" s="1"/>
  <c r="AA84" i="3" s="1"/>
  <c r="H84" i="3"/>
  <c r="I88" i="3"/>
  <c r="Z88" i="3" s="1"/>
  <c r="AB88" i="3" s="1"/>
  <c r="AA88" i="3" s="1"/>
  <c r="H88" i="3"/>
  <c r="I92" i="3"/>
  <c r="Z92" i="3" s="1"/>
  <c r="AB92" i="3" s="1"/>
  <c r="AA92" i="3" s="1"/>
  <c r="H92" i="3"/>
  <c r="I96" i="3"/>
  <c r="Z96" i="3" s="1"/>
  <c r="AB96" i="3" s="1"/>
  <c r="AA96" i="3" s="1"/>
  <c r="H96" i="3"/>
  <c r="I100" i="3"/>
  <c r="Z100" i="3" s="1"/>
  <c r="AB100" i="3" s="1"/>
  <c r="AA100" i="3" s="1"/>
  <c r="H100" i="3"/>
  <c r="I104" i="3"/>
  <c r="Z104" i="3" s="1"/>
  <c r="AB104" i="3" s="1"/>
  <c r="AA104" i="3" s="1"/>
  <c r="H104" i="3"/>
  <c r="I108" i="3"/>
  <c r="Z108" i="3" s="1"/>
  <c r="AB108" i="3" s="1"/>
  <c r="AA108" i="3" s="1"/>
  <c r="H108" i="3"/>
  <c r="I112" i="3"/>
  <c r="Z112" i="3" s="1"/>
  <c r="AB112" i="3" s="1"/>
  <c r="AA112" i="3" s="1"/>
  <c r="H112" i="3"/>
  <c r="I116" i="3"/>
  <c r="Z116" i="3" s="1"/>
  <c r="AB116" i="3" s="1"/>
  <c r="AA116" i="3" s="1"/>
  <c r="H116" i="3"/>
  <c r="I120" i="3"/>
  <c r="Z120" i="3" s="1"/>
  <c r="AB120" i="3" s="1"/>
  <c r="AA120" i="3" s="1"/>
  <c r="H120" i="3"/>
  <c r="I124" i="3"/>
  <c r="Z124" i="3" s="1"/>
  <c r="AB124" i="3" s="1"/>
  <c r="AA124" i="3" s="1"/>
  <c r="H124" i="3"/>
  <c r="I128" i="3"/>
  <c r="Z128" i="3" s="1"/>
  <c r="AB128" i="3" s="1"/>
  <c r="AA128" i="3" s="1"/>
  <c r="H128" i="3"/>
  <c r="I132" i="3"/>
  <c r="Z132" i="3" s="1"/>
  <c r="AB132" i="3" s="1"/>
  <c r="AA132" i="3" s="1"/>
  <c r="H132" i="3"/>
  <c r="I136" i="3"/>
  <c r="Z136" i="3" s="1"/>
  <c r="AB136" i="3" s="1"/>
  <c r="AA136" i="3" s="1"/>
  <c r="H136" i="3"/>
  <c r="I140" i="3"/>
  <c r="Z140" i="3" s="1"/>
  <c r="AB140" i="3" s="1"/>
  <c r="AA140" i="3" s="1"/>
  <c r="H140" i="3"/>
  <c r="I144" i="3"/>
  <c r="Z144" i="3" s="1"/>
  <c r="AB144" i="3" s="1"/>
  <c r="AA144" i="3" s="1"/>
  <c r="H144" i="3"/>
  <c r="I148" i="3"/>
  <c r="Z148" i="3" s="1"/>
  <c r="AB148" i="3" s="1"/>
  <c r="AA148" i="3" s="1"/>
  <c r="H148" i="3"/>
  <c r="I152" i="3"/>
  <c r="Z152" i="3" s="1"/>
  <c r="AB152" i="3" s="1"/>
  <c r="AA152" i="3" s="1"/>
  <c r="H152" i="3"/>
  <c r="H155" i="3"/>
  <c r="I155" i="3"/>
  <c r="Z155" i="3" s="1"/>
  <c r="AB155" i="3" s="1"/>
  <c r="AA155" i="3" s="1"/>
  <c r="H159" i="3"/>
  <c r="I159" i="3"/>
  <c r="Z159" i="3" s="1"/>
  <c r="AB159" i="3" s="1"/>
  <c r="AA159" i="3" s="1"/>
  <c r="H163" i="3"/>
  <c r="I163" i="3"/>
  <c r="Z163" i="3" s="1"/>
  <c r="AB163" i="3" s="1"/>
  <c r="AA163" i="3" s="1"/>
  <c r="H167" i="3"/>
  <c r="I167" i="3"/>
  <c r="Z167" i="3" s="1"/>
  <c r="AB167" i="3" s="1"/>
  <c r="AA167" i="3" s="1"/>
  <c r="H171" i="3"/>
  <c r="I171" i="3"/>
  <c r="Z171" i="3" s="1"/>
  <c r="AB171" i="3" s="1"/>
  <c r="AA171" i="3" s="1"/>
  <c r="H175" i="3"/>
  <c r="I175" i="3"/>
  <c r="Z175" i="3" s="1"/>
  <c r="AB175" i="3" s="1"/>
  <c r="AA175" i="3" s="1"/>
  <c r="H179" i="3"/>
  <c r="I179" i="3"/>
  <c r="Z179" i="3" s="1"/>
  <c r="AB179" i="3" s="1"/>
  <c r="AA179" i="3" s="1"/>
  <c r="H183" i="3"/>
  <c r="I183" i="3"/>
  <c r="Z183" i="3" s="1"/>
  <c r="AB183" i="3" s="1"/>
  <c r="AA183" i="3" s="1"/>
  <c r="H187" i="3"/>
  <c r="I187" i="3"/>
  <c r="Z187" i="3" s="1"/>
  <c r="AB187" i="3" s="1"/>
  <c r="AA187" i="3" s="1"/>
  <c r="H191" i="3"/>
  <c r="I191" i="3"/>
  <c r="Z191" i="3" s="1"/>
  <c r="AB191" i="3" s="1"/>
  <c r="AA191" i="3" s="1"/>
  <c r="H195" i="3"/>
  <c r="I195" i="3"/>
  <c r="Z195" i="3" s="1"/>
  <c r="AB195" i="3" s="1"/>
  <c r="AA195" i="3" s="1"/>
  <c r="H199" i="3"/>
  <c r="I199" i="3"/>
  <c r="Z199" i="3" s="1"/>
  <c r="AB199" i="3" s="1"/>
  <c r="AA199" i="3" s="1"/>
  <c r="H203" i="3"/>
  <c r="I203" i="3"/>
  <c r="Z203" i="3" s="1"/>
  <c r="AB203" i="3" s="1"/>
  <c r="AA203" i="3" s="1"/>
  <c r="H207" i="3"/>
  <c r="I207" i="3"/>
  <c r="Z207" i="3" s="1"/>
  <c r="AB207" i="3" s="1"/>
  <c r="AA207" i="3" s="1"/>
  <c r="H211" i="3"/>
  <c r="I211" i="3"/>
  <c r="Z211" i="3" s="1"/>
  <c r="AB211" i="3" s="1"/>
  <c r="AA211" i="3" s="1"/>
  <c r="H215" i="3"/>
  <c r="I215" i="3"/>
  <c r="Z215" i="3" s="1"/>
  <c r="AB215" i="3" s="1"/>
  <c r="AA215" i="3" s="1"/>
  <c r="I158" i="3"/>
  <c r="Z158" i="3" s="1"/>
  <c r="AB158" i="3" s="1"/>
  <c r="AA158" i="3" s="1"/>
  <c r="H158" i="3"/>
  <c r="I162" i="3"/>
  <c r="Z162" i="3" s="1"/>
  <c r="AB162" i="3" s="1"/>
  <c r="AA162" i="3" s="1"/>
  <c r="H162" i="3"/>
  <c r="I166" i="3"/>
  <c r="Z166" i="3" s="1"/>
  <c r="AB166" i="3" s="1"/>
  <c r="AA166" i="3" s="1"/>
  <c r="H166" i="3"/>
  <c r="I170" i="3"/>
  <c r="Z170" i="3" s="1"/>
  <c r="AB170" i="3" s="1"/>
  <c r="AA170" i="3" s="1"/>
  <c r="H170" i="3"/>
  <c r="I174" i="3"/>
  <c r="Z174" i="3" s="1"/>
  <c r="AB174" i="3" s="1"/>
  <c r="AA174" i="3" s="1"/>
  <c r="H174" i="3"/>
  <c r="I178" i="3"/>
  <c r="Z178" i="3" s="1"/>
  <c r="AB178" i="3" s="1"/>
  <c r="AA178" i="3" s="1"/>
  <c r="H178" i="3"/>
  <c r="I182" i="3"/>
  <c r="Z182" i="3" s="1"/>
  <c r="AB182" i="3" s="1"/>
  <c r="AA182" i="3" s="1"/>
  <c r="H182" i="3"/>
  <c r="I186" i="3"/>
  <c r="Z186" i="3" s="1"/>
  <c r="AB186" i="3" s="1"/>
  <c r="AA186" i="3" s="1"/>
  <c r="H186" i="3"/>
  <c r="I190" i="3"/>
  <c r="Z190" i="3" s="1"/>
  <c r="AB190" i="3" s="1"/>
  <c r="AA190" i="3" s="1"/>
  <c r="H190" i="3"/>
  <c r="I194" i="3"/>
  <c r="Z194" i="3" s="1"/>
  <c r="AB194" i="3" s="1"/>
  <c r="AA194" i="3" s="1"/>
  <c r="H194" i="3"/>
  <c r="I198" i="3"/>
  <c r="Z198" i="3" s="1"/>
  <c r="AB198" i="3" s="1"/>
  <c r="AA198" i="3" s="1"/>
  <c r="H198" i="3"/>
  <c r="I202" i="3"/>
  <c r="Z202" i="3" s="1"/>
  <c r="AB202" i="3" s="1"/>
  <c r="AA202" i="3" s="1"/>
  <c r="H202" i="3"/>
  <c r="I206" i="3"/>
  <c r="Z206" i="3" s="1"/>
  <c r="AB206" i="3" s="1"/>
  <c r="AA206" i="3" s="1"/>
  <c r="H206" i="3"/>
  <c r="I210" i="3"/>
  <c r="Z210" i="3" s="1"/>
  <c r="AB210" i="3" s="1"/>
  <c r="AA210" i="3" s="1"/>
  <c r="H210" i="3"/>
  <c r="I214" i="3"/>
  <c r="Z214" i="3" s="1"/>
  <c r="AB214" i="3" s="1"/>
  <c r="AA214" i="3" s="1"/>
  <c r="H214" i="3"/>
  <c r="H218" i="3"/>
  <c r="I218" i="3"/>
  <c r="Z218" i="3" s="1"/>
  <c r="AB218" i="3" s="1"/>
  <c r="AA218" i="3" s="1"/>
  <c r="H222" i="3"/>
  <c r="I222" i="3"/>
  <c r="Z222" i="3" s="1"/>
  <c r="AB222" i="3" s="1"/>
  <c r="AA222" i="3" s="1"/>
  <c r="H226" i="3"/>
  <c r="I226" i="3"/>
  <c r="Z226" i="3" s="1"/>
  <c r="AB226" i="3" s="1"/>
  <c r="AA226" i="3" s="1"/>
  <c r="H230" i="3"/>
  <c r="I230" i="3"/>
  <c r="Z230" i="3" s="1"/>
  <c r="AB230" i="3" s="1"/>
  <c r="AA230" i="3" s="1"/>
  <c r="H234" i="3"/>
  <c r="I234" i="3"/>
  <c r="Z234" i="3" s="1"/>
  <c r="AB234" i="3" s="1"/>
  <c r="AA234" i="3" s="1"/>
  <c r="H238" i="3"/>
  <c r="I238" i="3"/>
  <c r="Z238" i="3" s="1"/>
  <c r="AB238" i="3" s="1"/>
  <c r="AA238" i="3" s="1"/>
  <c r="H242" i="3"/>
  <c r="I242" i="3"/>
  <c r="Z242" i="3" s="1"/>
  <c r="AB242" i="3" s="1"/>
  <c r="AA242" i="3" s="1"/>
  <c r="I217" i="3"/>
  <c r="Z217" i="3" s="1"/>
  <c r="AB217" i="3" s="1"/>
  <c r="AA217" i="3" s="1"/>
  <c r="H217" i="3"/>
  <c r="I221" i="3"/>
  <c r="Z221" i="3" s="1"/>
  <c r="AB221" i="3" s="1"/>
  <c r="AA221" i="3" s="1"/>
  <c r="H221" i="3"/>
  <c r="I225" i="3"/>
  <c r="Z225" i="3" s="1"/>
  <c r="AB225" i="3" s="1"/>
  <c r="AA225" i="3" s="1"/>
  <c r="H225" i="3"/>
  <c r="I229" i="3"/>
  <c r="Z229" i="3" s="1"/>
  <c r="AB229" i="3" s="1"/>
  <c r="AA229" i="3" s="1"/>
  <c r="H229" i="3"/>
  <c r="I233" i="3"/>
  <c r="Z233" i="3" s="1"/>
  <c r="AB233" i="3" s="1"/>
  <c r="AA233" i="3" s="1"/>
  <c r="H233" i="3"/>
  <c r="I237" i="3"/>
  <c r="Z237" i="3" s="1"/>
  <c r="AB237" i="3" s="1"/>
  <c r="AA237" i="3" s="1"/>
  <c r="H237" i="3"/>
  <c r="I241" i="3"/>
  <c r="Z241" i="3" s="1"/>
  <c r="AB241" i="3" s="1"/>
  <c r="AA241" i="3" s="1"/>
  <c r="H241" i="3"/>
  <c r="I245" i="3"/>
  <c r="Z245" i="3" s="1"/>
  <c r="AB245" i="3" s="1"/>
  <c r="AA245" i="3" s="1"/>
  <c r="H245" i="3"/>
  <c r="H249" i="3"/>
  <c r="I249" i="3"/>
  <c r="Z249" i="3" s="1"/>
  <c r="AB249" i="3" s="1"/>
  <c r="AA249" i="3" s="1"/>
  <c r="H253" i="3"/>
  <c r="I253" i="3"/>
  <c r="Z253" i="3" s="1"/>
  <c r="AB253" i="3" s="1"/>
  <c r="AA253" i="3" s="1"/>
  <c r="H257" i="3"/>
  <c r="I257" i="3"/>
  <c r="Z257" i="3" s="1"/>
  <c r="AB257" i="3" s="1"/>
  <c r="AA257" i="3" s="1"/>
  <c r="H261" i="3"/>
  <c r="I261" i="3"/>
  <c r="Z261" i="3" s="1"/>
  <c r="AB261" i="3" s="1"/>
  <c r="AA261" i="3" s="1"/>
  <c r="H265" i="3"/>
  <c r="I265" i="3"/>
  <c r="Z265" i="3" s="1"/>
  <c r="AB265" i="3" s="1"/>
  <c r="AA265" i="3" s="1"/>
  <c r="I248" i="3"/>
  <c r="Z248" i="3" s="1"/>
  <c r="AB248" i="3" s="1"/>
  <c r="AA248" i="3" s="1"/>
  <c r="H248" i="3"/>
  <c r="I252" i="3"/>
  <c r="Z252" i="3" s="1"/>
  <c r="AB252" i="3" s="1"/>
  <c r="AA252" i="3" s="1"/>
  <c r="H252" i="3"/>
  <c r="I256" i="3"/>
  <c r="Z256" i="3" s="1"/>
  <c r="AB256" i="3" s="1"/>
  <c r="AA256" i="3" s="1"/>
  <c r="H256" i="3"/>
  <c r="I260" i="3"/>
  <c r="Z260" i="3" s="1"/>
  <c r="AB260" i="3" s="1"/>
  <c r="AA260" i="3" s="1"/>
  <c r="H260" i="3"/>
  <c r="I264" i="3"/>
  <c r="Z264" i="3" s="1"/>
  <c r="AB264" i="3" s="1"/>
  <c r="AA264" i="3" s="1"/>
  <c r="H264" i="3"/>
  <c r="H15" i="3"/>
  <c r="I15" i="3"/>
  <c r="Z15" i="3" s="1"/>
  <c r="AB15" i="3" s="1"/>
  <c r="H19" i="3"/>
  <c r="I19" i="3"/>
  <c r="Z19" i="3" s="1"/>
  <c r="AB19" i="3" s="1"/>
  <c r="AA19" i="3" s="1"/>
  <c r="H23" i="3"/>
  <c r="I23" i="3"/>
  <c r="Z23" i="3" s="1"/>
  <c r="AB23" i="3" s="1"/>
  <c r="AA23" i="3" s="1"/>
  <c r="H27" i="3"/>
  <c r="I27" i="3"/>
  <c r="Z27" i="3" s="1"/>
  <c r="AB27" i="3" s="1"/>
  <c r="H31" i="3"/>
  <c r="I31" i="3"/>
  <c r="Z31" i="3" s="1"/>
  <c r="AB31" i="3" s="1"/>
  <c r="H35" i="3"/>
  <c r="I35" i="3"/>
  <c r="Z35" i="3" s="1"/>
  <c r="AB35" i="3" s="1"/>
  <c r="H39" i="3"/>
  <c r="I39" i="3"/>
  <c r="Z39" i="3" s="1"/>
  <c r="AB39" i="3" s="1"/>
  <c r="H43" i="3"/>
  <c r="I43" i="3"/>
  <c r="Z43" i="3" s="1"/>
  <c r="AB43" i="3" s="1"/>
  <c r="AA43" i="3" s="1"/>
  <c r="H47" i="3"/>
  <c r="I47" i="3"/>
  <c r="Z47" i="3" s="1"/>
  <c r="AB47" i="3" s="1"/>
  <c r="AA47" i="3" s="1"/>
  <c r="H51" i="3"/>
  <c r="I51" i="3"/>
  <c r="Z51" i="3" s="1"/>
  <c r="AB51" i="3" s="1"/>
  <c r="AA51" i="3" s="1"/>
  <c r="H55" i="3"/>
  <c r="I55" i="3"/>
  <c r="Z55" i="3" s="1"/>
  <c r="AB55" i="3" s="1"/>
  <c r="AA55" i="3" s="1"/>
  <c r="H59" i="3"/>
  <c r="I59" i="3"/>
  <c r="Z59" i="3" s="1"/>
  <c r="AB59" i="3" s="1"/>
  <c r="AA59" i="3" s="1"/>
  <c r="H63" i="3"/>
  <c r="I63" i="3"/>
  <c r="Z63" i="3" s="1"/>
  <c r="AB63" i="3" s="1"/>
  <c r="AA63" i="3" s="1"/>
  <c r="H67" i="3"/>
  <c r="I67" i="3"/>
  <c r="Z67" i="3" s="1"/>
  <c r="AB67" i="3" s="1"/>
  <c r="AA67" i="3" s="1"/>
  <c r="H71" i="3"/>
  <c r="I71" i="3"/>
  <c r="Z71" i="3" s="1"/>
  <c r="AB71" i="3" s="1"/>
  <c r="AA71" i="3" s="1"/>
  <c r="H11" i="3"/>
  <c r="I11" i="3"/>
  <c r="Z11" i="3" s="1"/>
  <c r="AB11" i="3" s="1"/>
  <c r="AA11" i="3" s="1"/>
  <c r="I14" i="3"/>
  <c r="Z14" i="3" s="1"/>
  <c r="AB14" i="3" s="1"/>
  <c r="H14" i="3"/>
  <c r="I18" i="3"/>
  <c r="Z18" i="3" s="1"/>
  <c r="AB18" i="3" s="1"/>
  <c r="H18" i="3"/>
  <c r="I22" i="3"/>
  <c r="Z22" i="3" s="1"/>
  <c r="AB22" i="3" s="1"/>
  <c r="AA22" i="3" s="1"/>
  <c r="H22" i="3"/>
  <c r="I26" i="3"/>
  <c r="Z26" i="3" s="1"/>
  <c r="AB26" i="3" s="1"/>
  <c r="AA26" i="3" s="1"/>
  <c r="H26" i="3"/>
  <c r="I30" i="3"/>
  <c r="Z30" i="3" s="1"/>
  <c r="AB30" i="3" s="1"/>
  <c r="H30" i="3"/>
  <c r="I34" i="3"/>
  <c r="Z34" i="3" s="1"/>
  <c r="AB34" i="3" s="1"/>
  <c r="H34" i="3"/>
  <c r="I38" i="3"/>
  <c r="Z38" i="3" s="1"/>
  <c r="AB38" i="3" s="1"/>
  <c r="H38" i="3"/>
  <c r="I42" i="3"/>
  <c r="Z42" i="3" s="1"/>
  <c r="AB42" i="3" s="1"/>
  <c r="H42" i="3"/>
  <c r="I46" i="3"/>
  <c r="Z46" i="3" s="1"/>
  <c r="AB46" i="3" s="1"/>
  <c r="AA46" i="3" s="1"/>
  <c r="H46" i="3"/>
  <c r="I50" i="3"/>
  <c r="Z50" i="3" s="1"/>
  <c r="AB50" i="3" s="1"/>
  <c r="AA50" i="3" s="1"/>
  <c r="H50" i="3"/>
  <c r="I54" i="3"/>
  <c r="Z54" i="3" s="1"/>
  <c r="AB54" i="3" s="1"/>
  <c r="AA54" i="3" s="1"/>
  <c r="H54" i="3"/>
  <c r="I58" i="3"/>
  <c r="Z58" i="3" s="1"/>
  <c r="AB58" i="3" s="1"/>
  <c r="AA58" i="3" s="1"/>
  <c r="H58" i="3"/>
  <c r="I62" i="3"/>
  <c r="Z62" i="3" s="1"/>
  <c r="AB62" i="3" s="1"/>
  <c r="AA62" i="3" s="1"/>
  <c r="H62" i="3"/>
  <c r="I66" i="3"/>
  <c r="Z66" i="3" s="1"/>
  <c r="AB66" i="3" s="1"/>
  <c r="AA66" i="3" s="1"/>
  <c r="H66" i="3"/>
  <c r="I70" i="3"/>
  <c r="Z70" i="3" s="1"/>
  <c r="AB70" i="3" s="1"/>
  <c r="AA70" i="3" s="1"/>
  <c r="H70" i="3"/>
  <c r="H74" i="3"/>
  <c r="I74" i="3"/>
  <c r="Z74" i="3" s="1"/>
  <c r="AB74" i="3" s="1"/>
  <c r="AA74" i="3" s="1"/>
  <c r="H78" i="3"/>
  <c r="I78" i="3"/>
  <c r="Z78" i="3" s="1"/>
  <c r="AB78" i="3" s="1"/>
  <c r="AA78" i="3" s="1"/>
  <c r="H82" i="3"/>
  <c r="I82" i="3"/>
  <c r="Z82" i="3" s="1"/>
  <c r="AB82" i="3" s="1"/>
  <c r="AA82" i="3" s="1"/>
  <c r="H85" i="3"/>
  <c r="I85" i="3"/>
  <c r="Z85" i="3" s="1"/>
  <c r="AB85" i="3" s="1"/>
  <c r="AA85" i="3" s="1"/>
  <c r="H89" i="3"/>
  <c r="I89" i="3"/>
  <c r="Z89" i="3" s="1"/>
  <c r="AB89" i="3" s="1"/>
  <c r="AA89" i="3" s="1"/>
  <c r="H93" i="3"/>
  <c r="I93" i="3"/>
  <c r="Z93" i="3" s="1"/>
  <c r="AB93" i="3" s="1"/>
  <c r="AA93" i="3" s="1"/>
  <c r="H97" i="3"/>
  <c r="I97" i="3"/>
  <c r="Z97" i="3" s="1"/>
  <c r="AB97" i="3" s="1"/>
  <c r="AA97" i="3" s="1"/>
  <c r="H101" i="3"/>
  <c r="I101" i="3"/>
  <c r="Z101" i="3" s="1"/>
  <c r="AB101" i="3" s="1"/>
  <c r="AA101" i="3" s="1"/>
  <c r="H105" i="3"/>
  <c r="I105" i="3"/>
  <c r="Z105" i="3" s="1"/>
  <c r="AB105" i="3" s="1"/>
  <c r="AA105" i="3" s="1"/>
  <c r="H109" i="3"/>
  <c r="I109" i="3"/>
  <c r="Z109" i="3" s="1"/>
  <c r="AB109" i="3" s="1"/>
  <c r="AA109" i="3" s="1"/>
  <c r="H113" i="3"/>
  <c r="I113" i="3"/>
  <c r="Z113" i="3" s="1"/>
  <c r="AB113" i="3" s="1"/>
  <c r="AA113" i="3" s="1"/>
  <c r="H117" i="3"/>
  <c r="I117" i="3"/>
  <c r="Z117" i="3" s="1"/>
  <c r="AB117" i="3" s="1"/>
  <c r="AA117" i="3" s="1"/>
  <c r="H121" i="3"/>
  <c r="I121" i="3"/>
  <c r="Z121" i="3" s="1"/>
  <c r="AB121" i="3" s="1"/>
  <c r="AA121" i="3" s="1"/>
  <c r="H125" i="3"/>
  <c r="I125" i="3"/>
  <c r="Z125" i="3" s="1"/>
  <c r="AB125" i="3" s="1"/>
  <c r="AA125" i="3" s="1"/>
  <c r="H129" i="3"/>
  <c r="I129" i="3"/>
  <c r="Z129" i="3" s="1"/>
  <c r="AB129" i="3" s="1"/>
  <c r="AA129" i="3" s="1"/>
  <c r="H133" i="3"/>
  <c r="I133" i="3"/>
  <c r="Z133" i="3" s="1"/>
  <c r="AB133" i="3" s="1"/>
  <c r="AA133" i="3" s="1"/>
  <c r="H137" i="3"/>
  <c r="I137" i="3"/>
  <c r="Z137" i="3" s="1"/>
  <c r="AB137" i="3" s="1"/>
  <c r="AA137" i="3" s="1"/>
  <c r="H141" i="3"/>
  <c r="I141" i="3"/>
  <c r="Z141" i="3" s="1"/>
  <c r="AB141" i="3" s="1"/>
  <c r="AA141" i="3" s="1"/>
  <c r="H145" i="3"/>
  <c r="I145" i="3"/>
  <c r="Z145" i="3" s="1"/>
  <c r="AB145" i="3" s="1"/>
  <c r="AA145" i="3" s="1"/>
  <c r="H149" i="3"/>
  <c r="I149" i="3"/>
  <c r="Z149" i="3" s="1"/>
  <c r="AB149" i="3" s="1"/>
  <c r="AA149" i="3" s="1"/>
  <c r="H153" i="3"/>
  <c r="I153" i="3"/>
  <c r="Z153" i="3" s="1"/>
  <c r="AB153" i="3" s="1"/>
  <c r="AA153" i="3" s="1"/>
  <c r="I77" i="3"/>
  <c r="Z77" i="3" s="1"/>
  <c r="AB77" i="3" s="1"/>
  <c r="AA77" i="3" s="1"/>
  <c r="H77" i="3"/>
  <c r="I81" i="3"/>
  <c r="Z81" i="3" s="1"/>
  <c r="AB81" i="3" s="1"/>
  <c r="AA81" i="3" s="1"/>
  <c r="H81" i="3"/>
  <c r="I86" i="3"/>
  <c r="Z86" i="3" s="1"/>
  <c r="AB86" i="3" s="1"/>
  <c r="AA86" i="3" s="1"/>
  <c r="H86" i="3"/>
  <c r="I90" i="3"/>
  <c r="Z90" i="3" s="1"/>
  <c r="AB90" i="3" s="1"/>
  <c r="AA90" i="3" s="1"/>
  <c r="H90" i="3"/>
  <c r="I94" i="3"/>
  <c r="Z94" i="3" s="1"/>
  <c r="AB94" i="3" s="1"/>
  <c r="AA94" i="3" s="1"/>
  <c r="H94" i="3"/>
  <c r="I98" i="3"/>
  <c r="Z98" i="3" s="1"/>
  <c r="AB98" i="3" s="1"/>
  <c r="AA98" i="3" s="1"/>
  <c r="H98" i="3"/>
  <c r="I102" i="3"/>
  <c r="Z102" i="3" s="1"/>
  <c r="AB102" i="3" s="1"/>
  <c r="AA102" i="3" s="1"/>
  <c r="H102" i="3"/>
  <c r="I106" i="3"/>
  <c r="Z106" i="3" s="1"/>
  <c r="AB106" i="3" s="1"/>
  <c r="AA106" i="3" s="1"/>
  <c r="H106" i="3"/>
  <c r="I110" i="3"/>
  <c r="Z110" i="3" s="1"/>
  <c r="AB110" i="3" s="1"/>
  <c r="AA110" i="3" s="1"/>
  <c r="H110" i="3"/>
  <c r="I114" i="3"/>
  <c r="Z114" i="3" s="1"/>
  <c r="AB114" i="3" s="1"/>
  <c r="AA114" i="3" s="1"/>
  <c r="H114" i="3"/>
  <c r="I118" i="3"/>
  <c r="Z118" i="3" s="1"/>
  <c r="AB118" i="3" s="1"/>
  <c r="AA118" i="3" s="1"/>
  <c r="H118" i="3"/>
  <c r="I122" i="3"/>
  <c r="Z122" i="3" s="1"/>
  <c r="AB122" i="3" s="1"/>
  <c r="AA122" i="3" s="1"/>
  <c r="H122" i="3"/>
  <c r="I126" i="3"/>
  <c r="Z126" i="3" s="1"/>
  <c r="AB126" i="3" s="1"/>
  <c r="AA126" i="3" s="1"/>
  <c r="H126" i="3"/>
  <c r="I130" i="3"/>
  <c r="Z130" i="3" s="1"/>
  <c r="AB130" i="3" s="1"/>
  <c r="AA130" i="3" s="1"/>
  <c r="H130" i="3"/>
  <c r="I134" i="3"/>
  <c r="Z134" i="3" s="1"/>
  <c r="AB134" i="3" s="1"/>
  <c r="AA134" i="3" s="1"/>
  <c r="H134" i="3"/>
  <c r="I138" i="3"/>
  <c r="Z138" i="3" s="1"/>
  <c r="AB138" i="3" s="1"/>
  <c r="AA138" i="3" s="1"/>
  <c r="H138" i="3"/>
  <c r="I142" i="3"/>
  <c r="Z142" i="3" s="1"/>
  <c r="AB142" i="3" s="1"/>
  <c r="AA142" i="3" s="1"/>
  <c r="H142" i="3"/>
  <c r="I146" i="3"/>
  <c r="Z146" i="3" s="1"/>
  <c r="AB146" i="3" s="1"/>
  <c r="AA146" i="3" s="1"/>
  <c r="H146" i="3"/>
  <c r="I150" i="3"/>
  <c r="Z150" i="3" s="1"/>
  <c r="AB150" i="3" s="1"/>
  <c r="AA150" i="3" s="1"/>
  <c r="H150" i="3"/>
  <c r="I154" i="3"/>
  <c r="Z154" i="3" s="1"/>
  <c r="AB154" i="3" s="1"/>
  <c r="AA154" i="3" s="1"/>
  <c r="H154" i="3"/>
  <c r="H157" i="3"/>
  <c r="I157" i="3"/>
  <c r="Z157" i="3" s="1"/>
  <c r="AB157" i="3" s="1"/>
  <c r="AA157" i="3" s="1"/>
  <c r="H161" i="3"/>
  <c r="I161" i="3"/>
  <c r="Z161" i="3" s="1"/>
  <c r="AB161" i="3" s="1"/>
  <c r="AA161" i="3" s="1"/>
  <c r="H165" i="3"/>
  <c r="I165" i="3"/>
  <c r="Z165" i="3" s="1"/>
  <c r="AB165" i="3" s="1"/>
  <c r="AA165" i="3" s="1"/>
  <c r="H169" i="3"/>
  <c r="I169" i="3"/>
  <c r="Z169" i="3" s="1"/>
  <c r="AB169" i="3" s="1"/>
  <c r="AA169" i="3" s="1"/>
  <c r="H173" i="3"/>
  <c r="I173" i="3"/>
  <c r="Z173" i="3" s="1"/>
  <c r="AB173" i="3" s="1"/>
  <c r="AA173" i="3" s="1"/>
  <c r="H177" i="3"/>
  <c r="I177" i="3"/>
  <c r="Z177" i="3" s="1"/>
  <c r="AB177" i="3" s="1"/>
  <c r="AA177" i="3" s="1"/>
  <c r="H181" i="3"/>
  <c r="I181" i="3"/>
  <c r="Z181" i="3" s="1"/>
  <c r="AB181" i="3" s="1"/>
  <c r="AA181" i="3" s="1"/>
  <c r="H185" i="3"/>
  <c r="I185" i="3"/>
  <c r="Z185" i="3" s="1"/>
  <c r="AB185" i="3" s="1"/>
  <c r="AA185" i="3" s="1"/>
  <c r="H189" i="3"/>
  <c r="I189" i="3"/>
  <c r="Z189" i="3" s="1"/>
  <c r="AB189" i="3" s="1"/>
  <c r="AA189" i="3" s="1"/>
  <c r="H193" i="3"/>
  <c r="I193" i="3"/>
  <c r="Z193" i="3" s="1"/>
  <c r="AB193" i="3" s="1"/>
  <c r="AA193" i="3" s="1"/>
  <c r="H197" i="3"/>
  <c r="I197" i="3"/>
  <c r="Z197" i="3" s="1"/>
  <c r="AB197" i="3" s="1"/>
  <c r="AA197" i="3" s="1"/>
  <c r="H201" i="3"/>
  <c r="I201" i="3"/>
  <c r="Z201" i="3" s="1"/>
  <c r="AB201" i="3" s="1"/>
  <c r="AA201" i="3" s="1"/>
  <c r="H205" i="3"/>
  <c r="I205" i="3"/>
  <c r="Z205" i="3" s="1"/>
  <c r="AB205" i="3" s="1"/>
  <c r="AA205" i="3" s="1"/>
  <c r="H209" i="3"/>
  <c r="I209" i="3"/>
  <c r="Z209" i="3" s="1"/>
  <c r="AB209" i="3" s="1"/>
  <c r="AA209" i="3" s="1"/>
  <c r="H213" i="3"/>
  <c r="I213" i="3"/>
  <c r="Z213" i="3" s="1"/>
  <c r="AB213" i="3" s="1"/>
  <c r="AA213" i="3" s="1"/>
  <c r="I156" i="3"/>
  <c r="Z156" i="3" s="1"/>
  <c r="AB156" i="3" s="1"/>
  <c r="AA156" i="3" s="1"/>
  <c r="H156" i="3"/>
  <c r="I160" i="3"/>
  <c r="Z160" i="3" s="1"/>
  <c r="AB160" i="3" s="1"/>
  <c r="AA160" i="3" s="1"/>
  <c r="H160" i="3"/>
  <c r="I164" i="3"/>
  <c r="Z164" i="3" s="1"/>
  <c r="AB164" i="3" s="1"/>
  <c r="AA164" i="3" s="1"/>
  <c r="H164" i="3"/>
  <c r="I168" i="3"/>
  <c r="Z168" i="3" s="1"/>
  <c r="AB168" i="3" s="1"/>
  <c r="AA168" i="3" s="1"/>
  <c r="H168" i="3"/>
  <c r="I172" i="3"/>
  <c r="Z172" i="3" s="1"/>
  <c r="AB172" i="3" s="1"/>
  <c r="AA172" i="3" s="1"/>
  <c r="H172" i="3"/>
  <c r="I176" i="3"/>
  <c r="Z176" i="3" s="1"/>
  <c r="AB176" i="3" s="1"/>
  <c r="AA176" i="3" s="1"/>
  <c r="H176" i="3"/>
  <c r="I180" i="3"/>
  <c r="Z180" i="3" s="1"/>
  <c r="AB180" i="3" s="1"/>
  <c r="AA180" i="3" s="1"/>
  <c r="H180" i="3"/>
  <c r="I184" i="3"/>
  <c r="Z184" i="3" s="1"/>
  <c r="AB184" i="3" s="1"/>
  <c r="AA184" i="3" s="1"/>
  <c r="H184" i="3"/>
  <c r="I188" i="3"/>
  <c r="Z188" i="3" s="1"/>
  <c r="AB188" i="3" s="1"/>
  <c r="AA188" i="3" s="1"/>
  <c r="H188" i="3"/>
  <c r="I192" i="3"/>
  <c r="Z192" i="3" s="1"/>
  <c r="AB192" i="3" s="1"/>
  <c r="AA192" i="3" s="1"/>
  <c r="H192" i="3"/>
  <c r="I196" i="3"/>
  <c r="Z196" i="3" s="1"/>
  <c r="AB196" i="3" s="1"/>
  <c r="AA196" i="3" s="1"/>
  <c r="H196" i="3"/>
  <c r="I200" i="3"/>
  <c r="Z200" i="3" s="1"/>
  <c r="AB200" i="3" s="1"/>
  <c r="AA200" i="3" s="1"/>
  <c r="H200" i="3"/>
  <c r="I204" i="3"/>
  <c r="Z204" i="3" s="1"/>
  <c r="AB204" i="3" s="1"/>
  <c r="AA204" i="3" s="1"/>
  <c r="H204" i="3"/>
  <c r="I208" i="3"/>
  <c r="Z208" i="3" s="1"/>
  <c r="AB208" i="3" s="1"/>
  <c r="AA208" i="3" s="1"/>
  <c r="H208" i="3"/>
  <c r="I212" i="3"/>
  <c r="Z212" i="3" s="1"/>
  <c r="AB212" i="3" s="1"/>
  <c r="AA212" i="3" s="1"/>
  <c r="H212" i="3"/>
  <c r="I216" i="3"/>
  <c r="Z216" i="3" s="1"/>
  <c r="AB216" i="3" s="1"/>
  <c r="AA216" i="3" s="1"/>
  <c r="H216" i="3"/>
  <c r="H220" i="3"/>
  <c r="I220" i="3"/>
  <c r="Z220" i="3" s="1"/>
  <c r="AB220" i="3" s="1"/>
  <c r="AA220" i="3" s="1"/>
  <c r="H224" i="3"/>
  <c r="I224" i="3"/>
  <c r="Z224" i="3" s="1"/>
  <c r="AB224" i="3" s="1"/>
  <c r="AA224" i="3" s="1"/>
  <c r="H228" i="3"/>
  <c r="I228" i="3"/>
  <c r="Z228" i="3" s="1"/>
  <c r="AB228" i="3" s="1"/>
  <c r="AA228" i="3" s="1"/>
  <c r="H232" i="3"/>
  <c r="I232" i="3"/>
  <c r="Z232" i="3" s="1"/>
  <c r="AB232" i="3" s="1"/>
  <c r="AA232" i="3" s="1"/>
  <c r="H236" i="3"/>
  <c r="I236" i="3"/>
  <c r="Z236" i="3" s="1"/>
  <c r="AB236" i="3" s="1"/>
  <c r="AA236" i="3" s="1"/>
  <c r="H240" i="3"/>
  <c r="I240" i="3"/>
  <c r="Z240" i="3" s="1"/>
  <c r="AB240" i="3" s="1"/>
  <c r="AA240" i="3" s="1"/>
  <c r="H244" i="3"/>
  <c r="I244" i="3"/>
  <c r="Z244" i="3" s="1"/>
  <c r="AB244" i="3" s="1"/>
  <c r="AA244" i="3" s="1"/>
  <c r="I219" i="3"/>
  <c r="Z219" i="3" s="1"/>
  <c r="AB219" i="3" s="1"/>
  <c r="AA219" i="3" s="1"/>
  <c r="H219" i="3"/>
  <c r="I223" i="3"/>
  <c r="Z223" i="3" s="1"/>
  <c r="AB223" i="3" s="1"/>
  <c r="AA223" i="3" s="1"/>
  <c r="H223" i="3"/>
  <c r="I227" i="3"/>
  <c r="Z227" i="3" s="1"/>
  <c r="AB227" i="3" s="1"/>
  <c r="AA227" i="3" s="1"/>
  <c r="H227" i="3"/>
  <c r="I231" i="3"/>
  <c r="Z231" i="3" s="1"/>
  <c r="AB231" i="3" s="1"/>
  <c r="AA231" i="3" s="1"/>
  <c r="H231" i="3"/>
  <c r="I235" i="3"/>
  <c r="Z235" i="3" s="1"/>
  <c r="AB235" i="3" s="1"/>
  <c r="AA235" i="3" s="1"/>
  <c r="H235" i="3"/>
  <c r="I239" i="3"/>
  <c r="Z239" i="3" s="1"/>
  <c r="AB239" i="3" s="1"/>
  <c r="AA239" i="3" s="1"/>
  <c r="H239" i="3"/>
  <c r="I243" i="3"/>
  <c r="Z243" i="3" s="1"/>
  <c r="AB243" i="3" s="1"/>
  <c r="AA243" i="3" s="1"/>
  <c r="H243" i="3"/>
  <c r="H247" i="3"/>
  <c r="I247" i="3"/>
  <c r="Z247" i="3" s="1"/>
  <c r="AB247" i="3" s="1"/>
  <c r="AA247" i="3" s="1"/>
  <c r="H251" i="3"/>
  <c r="I251" i="3"/>
  <c r="Z251" i="3" s="1"/>
  <c r="AB251" i="3" s="1"/>
  <c r="AA251" i="3" s="1"/>
  <c r="H255" i="3"/>
  <c r="I255" i="3"/>
  <c r="Z255" i="3" s="1"/>
  <c r="AB255" i="3" s="1"/>
  <c r="AA255" i="3" s="1"/>
  <c r="H259" i="3"/>
  <c r="I259" i="3"/>
  <c r="Z259" i="3" s="1"/>
  <c r="AB259" i="3" s="1"/>
  <c r="AA259" i="3" s="1"/>
  <c r="H263" i="3"/>
  <c r="I263" i="3"/>
  <c r="Z263" i="3" s="1"/>
  <c r="AB263" i="3" s="1"/>
  <c r="AA263" i="3" s="1"/>
  <c r="I246" i="3"/>
  <c r="Z246" i="3" s="1"/>
  <c r="AB246" i="3" s="1"/>
  <c r="AA246" i="3" s="1"/>
  <c r="H246" i="3"/>
  <c r="I250" i="3"/>
  <c r="Z250" i="3" s="1"/>
  <c r="AB250" i="3" s="1"/>
  <c r="AA250" i="3" s="1"/>
  <c r="H250" i="3"/>
  <c r="I254" i="3"/>
  <c r="Z254" i="3" s="1"/>
  <c r="AB254" i="3" s="1"/>
  <c r="AA254" i="3" s="1"/>
  <c r="H254" i="3"/>
  <c r="I258" i="3"/>
  <c r="Z258" i="3" s="1"/>
  <c r="AB258" i="3" s="1"/>
  <c r="AA258" i="3" s="1"/>
  <c r="H258" i="3"/>
  <c r="I262" i="3"/>
  <c r="Z262" i="3" s="1"/>
  <c r="AB262" i="3" s="1"/>
  <c r="AA262" i="3" s="1"/>
  <c r="H262" i="3"/>
  <c r="I266" i="3"/>
  <c r="Z266" i="3" s="1"/>
  <c r="AB266" i="3" s="1"/>
  <c r="AA266" i="3" s="1"/>
  <c r="H266" i="3"/>
  <c r="B36" i="20" l="1"/>
  <c r="D36" i="20" s="1"/>
  <c r="AA39" i="3"/>
  <c r="B20" i="20"/>
  <c r="D20" i="20" s="1"/>
  <c r="AA35" i="3"/>
  <c r="B28" i="20"/>
  <c r="D28" i="20" s="1"/>
  <c r="AA31" i="3"/>
  <c r="B12" i="20"/>
  <c r="D12" i="20" s="1"/>
  <c r="AA27" i="3"/>
  <c r="B24" i="22"/>
  <c r="D24" i="22" s="1"/>
  <c r="D61" i="22" s="1"/>
  <c r="F60" i="22" s="1"/>
  <c r="T54" i="22" s="1"/>
  <c r="AA15" i="3"/>
  <c r="B68" i="20"/>
  <c r="D68" i="20" s="1"/>
  <c r="AA41" i="3"/>
  <c r="B52" i="20"/>
  <c r="D52" i="20" s="1"/>
  <c r="AA37" i="3"/>
  <c r="B60" i="20"/>
  <c r="D60" i="20" s="1"/>
  <c r="AA33" i="3"/>
  <c r="B44" i="20"/>
  <c r="D44" i="20" s="1"/>
  <c r="AA29" i="3"/>
  <c r="B32" i="22"/>
  <c r="D32" i="22" s="1"/>
  <c r="D65" i="22" s="1"/>
  <c r="F64" i="22" s="1"/>
  <c r="AA17" i="3"/>
  <c r="B28" i="22"/>
  <c r="D28" i="22" s="1"/>
  <c r="F29" i="22" s="1"/>
  <c r="H31" i="22" s="1"/>
  <c r="O54" i="22" s="1"/>
  <c r="AA13" i="3"/>
  <c r="B10" i="20"/>
  <c r="D10" i="20" s="1"/>
  <c r="AA42" i="3"/>
  <c r="B26" i="20"/>
  <c r="D26" i="20" s="1"/>
  <c r="AA38" i="3"/>
  <c r="B18" i="20"/>
  <c r="D18" i="20" s="1"/>
  <c r="AA34" i="3"/>
  <c r="B34" i="20"/>
  <c r="D34" i="20" s="1"/>
  <c r="AA30" i="3"/>
  <c r="B22" i="22"/>
  <c r="D22" i="22" s="1"/>
  <c r="D59" i="22" s="1"/>
  <c r="H77" i="22" s="1"/>
  <c r="AA18" i="3"/>
  <c r="B26" i="22"/>
  <c r="D26" i="22" s="1"/>
  <c r="F25" i="22" s="1"/>
  <c r="H23" i="22" s="1"/>
  <c r="AA14" i="3"/>
  <c r="B42" i="20"/>
  <c r="D42" i="20" s="1"/>
  <c r="AA40" i="3"/>
  <c r="B58" i="20"/>
  <c r="D58" i="20" s="1"/>
  <c r="AA36" i="3"/>
  <c r="B50" i="20"/>
  <c r="D50" i="20" s="1"/>
  <c r="AA32" i="3"/>
  <c r="B66" i="20"/>
  <c r="D66" i="20" s="1"/>
  <c r="AA28" i="3"/>
  <c r="B30" i="22"/>
  <c r="D30" i="22" s="1"/>
  <c r="D63" i="22" s="1"/>
  <c r="H79" i="22" s="1"/>
  <c r="T74" i="22" s="1"/>
  <c r="AA16" i="3"/>
  <c r="B34" i="22"/>
  <c r="D34" i="22" s="1"/>
  <c r="F33" i="22" s="1"/>
  <c r="H46" i="22" s="1"/>
  <c r="AA12" i="3"/>
  <c r="B20" i="22"/>
  <c r="D20" i="22" s="1"/>
  <c r="F21" i="22" s="1"/>
  <c r="H44" i="22" s="1"/>
  <c r="O74" i="22" s="1"/>
  <c r="B14" i="20"/>
  <c r="D14" i="20" s="1"/>
  <c r="B32" i="21"/>
  <c r="D32" i="21" s="1"/>
  <c r="B30" i="20"/>
  <c r="D30" i="20" s="1"/>
  <c r="B40" i="21"/>
  <c r="D40" i="21" s="1"/>
  <c r="B22" i="20"/>
  <c r="D22" i="20" s="1"/>
  <c r="B36" i="21"/>
  <c r="D36" i="21" s="1"/>
  <c r="B38" i="20"/>
  <c r="D38" i="20" s="1"/>
  <c r="B44" i="21"/>
  <c r="D44" i="21" s="1"/>
  <c r="B46" i="20"/>
  <c r="D46" i="20" s="1"/>
  <c r="B48" i="21"/>
  <c r="D48" i="21" s="1"/>
  <c r="B62" i="20"/>
  <c r="D62" i="20" s="1"/>
  <c r="B56" i="21"/>
  <c r="D56" i="21" s="1"/>
  <c r="B54" i="20"/>
  <c r="D54" i="20" s="1"/>
  <c r="B52" i="21"/>
  <c r="D52" i="21" s="1"/>
  <c r="B70" i="20"/>
  <c r="D70" i="20" s="1"/>
  <c r="B60" i="21"/>
  <c r="D60" i="21" s="1"/>
  <c r="B8" i="20"/>
  <c r="D8" i="20" s="1"/>
  <c r="B30" i="21"/>
  <c r="D30" i="21" s="1"/>
  <c r="B32" i="20"/>
  <c r="D32" i="20" s="1"/>
  <c r="B42" i="21"/>
  <c r="D42" i="21" s="1"/>
  <c r="B16" i="20"/>
  <c r="D16" i="20" s="1"/>
  <c r="B34" i="21"/>
  <c r="D34" i="21" s="1"/>
  <c r="B24" i="20"/>
  <c r="D24" i="20" s="1"/>
  <c r="B38" i="21"/>
  <c r="D38" i="21" s="1"/>
  <c r="B64" i="20"/>
  <c r="D64" i="20" s="1"/>
  <c r="B58" i="21"/>
  <c r="D58" i="21" s="1"/>
  <c r="B48" i="20"/>
  <c r="D48" i="20" s="1"/>
  <c r="B50" i="21"/>
  <c r="D50" i="21" s="1"/>
  <c r="B56" i="20"/>
  <c r="D56" i="20" s="1"/>
  <c r="B54" i="21"/>
  <c r="D54" i="21" s="1"/>
  <c r="B40" i="20"/>
  <c r="D40" i="20" s="1"/>
  <c r="B46" i="21"/>
  <c r="D46" i="21" s="1"/>
  <c r="F9" i="20"/>
  <c r="H11" i="20" s="1"/>
  <c r="J15" i="20" s="1"/>
  <c r="L76" i="20" s="1"/>
  <c r="AB30" i="20" s="1"/>
  <c r="D100" i="20"/>
  <c r="D104" i="20"/>
  <c r="D96" i="20"/>
  <c r="F33" i="20"/>
  <c r="P18" i="20" s="1"/>
  <c r="R17" i="20" s="1"/>
  <c r="T15" i="20" s="1"/>
  <c r="AB54" i="20" s="1"/>
  <c r="F17" i="20"/>
  <c r="P14" i="20" s="1"/>
  <c r="R13" i="20" s="1"/>
  <c r="W29" i="20" s="1"/>
  <c r="AB62" i="20" s="1"/>
  <c r="F25" i="20"/>
  <c r="H27" i="20" s="1"/>
  <c r="P50" i="20" s="1"/>
  <c r="W56" i="20" s="1"/>
  <c r="AB46" i="20" s="1"/>
  <c r="D124" i="20"/>
  <c r="D116" i="20"/>
  <c r="D120" i="20"/>
  <c r="D112" i="20"/>
  <c r="F65" i="20"/>
  <c r="P26" i="20" s="1"/>
  <c r="R25" i="20" s="1"/>
  <c r="W31" i="20" s="1"/>
  <c r="F49" i="20"/>
  <c r="P22" i="20" s="1"/>
  <c r="R21" i="20" s="1"/>
  <c r="T23" i="20" s="1"/>
  <c r="F57" i="20"/>
  <c r="P24" i="20" s="1"/>
  <c r="P40" i="20" s="1"/>
  <c r="R39" i="20" s="1"/>
  <c r="F41" i="20"/>
  <c r="H43" i="20" s="1"/>
  <c r="J47" i="20" s="1"/>
  <c r="L55" i="20" s="1"/>
  <c r="D94" i="20"/>
  <c r="D102" i="20"/>
  <c r="D98" i="20"/>
  <c r="D106" i="20"/>
  <c r="F13" i="20"/>
  <c r="P12" i="20" s="1"/>
  <c r="P34" i="20" s="1"/>
  <c r="W42" i="20" s="1"/>
  <c r="AB78" i="20" s="1"/>
  <c r="F29" i="20"/>
  <c r="P16" i="20" s="1"/>
  <c r="P36" i="20" s="1"/>
  <c r="R35" i="20" s="1"/>
  <c r="AB70" i="20" s="1"/>
  <c r="F21" i="20"/>
  <c r="H19" i="20" s="1"/>
  <c r="P48" i="20" s="1"/>
  <c r="R49" i="20" s="1"/>
  <c r="AB38" i="20" s="1"/>
  <c r="D110" i="20"/>
  <c r="D118" i="20"/>
  <c r="D114" i="20"/>
  <c r="D122" i="20"/>
  <c r="F45" i="20"/>
  <c r="P20" i="20" s="1"/>
  <c r="P38" i="20" s="1"/>
  <c r="W44" i="20" s="1"/>
  <c r="F61" i="20"/>
  <c r="H59" i="20" s="1"/>
  <c r="J63" i="20" s="1"/>
  <c r="L78" i="20" s="1"/>
  <c r="F53" i="20"/>
  <c r="H51" i="20" s="1"/>
  <c r="P52" i="20" s="1"/>
  <c r="W58" i="20" s="1"/>
  <c r="F69" i="20"/>
  <c r="H67" i="20" s="1"/>
  <c r="P54" i="20" s="1"/>
  <c r="R53" i="20" s="1"/>
  <c r="AB34" i="20" s="1"/>
  <c r="D108" i="20"/>
  <c r="F37" i="20"/>
  <c r="H35" i="20" s="1"/>
  <c r="J31" i="20" s="1"/>
  <c r="L23" i="20" s="1"/>
  <c r="AB22" i="20" s="1"/>
  <c r="O64" i="22" l="1"/>
  <c r="J45" i="22"/>
  <c r="J27" i="22"/>
  <c r="O44" i="22"/>
  <c r="J78" i="22"/>
  <c r="T64" i="22"/>
  <c r="T44" i="22"/>
  <c r="H62" i="22"/>
</calcChain>
</file>

<file path=xl/comments1.xml><?xml version="1.0" encoding="utf-8"?>
<comments xmlns="http://schemas.openxmlformats.org/spreadsheetml/2006/main">
  <authors>
    <author>Auteur</author>
  </authors>
  <commentList>
    <comment ref="B1" authorId="0" shapeId="0">
      <text>
        <r>
          <rPr>
            <sz val="12"/>
            <color indexed="81"/>
            <rFont val="Tahoma"/>
            <family val="2"/>
          </rPr>
          <t>Titre du tournoi</t>
        </r>
      </text>
    </comment>
    <comment ref="E2" authorId="0" shapeId="0">
      <text>
        <r>
          <rPr>
            <sz val="12"/>
            <color indexed="81"/>
            <rFont val="Tahoma"/>
            <family val="2"/>
          </rPr>
          <t>Mettre un X pour un tournoi de double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U11" authorId="0" shapeId="0">
      <text>
        <r>
          <rPr>
            <sz val="9"/>
            <color indexed="81"/>
            <rFont val="Tahoma"/>
            <family val="2"/>
          </rPr>
          <t xml:space="preserve">Insérer le n° du joueur dans l'ordre des poules ou groupes.
Exemple : Poule 3j (1, 2, 3)   Poule 4j (5, 6, 7, 8) etc..
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A8" authorId="0" shapeId="0">
      <text>
        <r>
          <rPr>
            <sz val="9"/>
            <color indexed="81"/>
            <rFont val="Tahoma"/>
            <family val="2"/>
          </rPr>
          <t>Intérvertir le n° d'un joueur avec un autre.</t>
        </r>
      </text>
    </comment>
  </commentList>
</comments>
</file>

<file path=xl/sharedStrings.xml><?xml version="1.0" encoding="utf-8"?>
<sst xmlns="http://schemas.openxmlformats.org/spreadsheetml/2006/main" count="1586" uniqueCount="426">
  <si>
    <t>Tournoi :</t>
  </si>
  <si>
    <t xml:space="preserve">Genre : </t>
  </si>
  <si>
    <t>Simple</t>
  </si>
  <si>
    <t>Double</t>
  </si>
  <si>
    <t>Club :</t>
  </si>
  <si>
    <t>Poule de 3 joueurs :</t>
  </si>
  <si>
    <t>Date :</t>
  </si>
  <si>
    <t>Poule de 4 joueurs :</t>
  </si>
  <si>
    <t>Heure Début :</t>
  </si>
  <si>
    <t>Poule de 5 joueurs :</t>
  </si>
  <si>
    <t>Heure Fin :</t>
  </si>
  <si>
    <t>Poule de 6 joueurs :</t>
  </si>
  <si>
    <t>Nombre de participants :</t>
  </si>
  <si>
    <t>Poule de 3 paires :</t>
  </si>
  <si>
    <t>Poule de 4 paires :</t>
  </si>
  <si>
    <t>Poule de 5 paires :</t>
  </si>
  <si>
    <t>Poule de 6 paires :</t>
  </si>
  <si>
    <t>Participants :</t>
  </si>
  <si>
    <t>N°</t>
  </si>
  <si>
    <t xml:space="preserve">Né(e) le </t>
  </si>
  <si>
    <t>Catégorie</t>
  </si>
  <si>
    <t xml:space="preserve">Nom </t>
  </si>
  <si>
    <t>Prénom</t>
  </si>
  <si>
    <t>Club</t>
  </si>
  <si>
    <t>Points</t>
  </si>
  <si>
    <t>Nom</t>
  </si>
  <si>
    <t xml:space="preserve"> </t>
  </si>
  <si>
    <t>4 Joueurs</t>
  </si>
  <si>
    <t>8 Joueurs</t>
  </si>
  <si>
    <t>16 Joueurs</t>
  </si>
  <si>
    <t>32 Joueurs</t>
  </si>
  <si>
    <t>64 Joueurs</t>
  </si>
  <si>
    <t>128 Joueurs</t>
  </si>
  <si>
    <t>Cl</t>
  </si>
  <si>
    <t>Nom  / Prénom</t>
  </si>
  <si>
    <t>Sets</t>
  </si>
  <si>
    <t>Matchs</t>
  </si>
  <si>
    <t>Rangs</t>
  </si>
  <si>
    <t>:</t>
  </si>
  <si>
    <t>Participant 1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</si>
  <si>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</si>
  <si>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</si>
  <si>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</si>
  <si>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</si>
  <si>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</si>
  <si>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</si>
  <si>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</si>
  <si>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</si>
  <si>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</si>
  <si>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</si>
  <si>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</si>
  <si>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</si>
  <si>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</si>
  <si>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</si>
  <si>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Participant 16</t>
  </si>
  <si>
    <t>Participant 17</t>
  </si>
  <si>
    <t>Participant 18</t>
  </si>
  <si>
    <t>Participant 19</t>
  </si>
  <si>
    <t>Participant 20</t>
  </si>
  <si>
    <t>Participant 21</t>
  </si>
  <si>
    <t>Participant 22</t>
  </si>
  <si>
    <t>Participant 23</t>
  </si>
  <si>
    <t>Participant 24</t>
  </si>
  <si>
    <t>Participant 25</t>
  </si>
  <si>
    <t>Participant 26</t>
  </si>
  <si>
    <t>Participant 27</t>
  </si>
  <si>
    <t>Participant 28</t>
  </si>
  <si>
    <t>Participant 29</t>
  </si>
  <si>
    <t>Participant 30</t>
  </si>
  <si>
    <t>Participant 31</t>
  </si>
  <si>
    <t>Participant 32</t>
  </si>
  <si>
    <t>Participant 33</t>
  </si>
  <si>
    <t>Participant 34</t>
  </si>
  <si>
    <t>Participant 35</t>
  </si>
  <si>
    <t>Participant 36</t>
  </si>
  <si>
    <t>Participant 37</t>
  </si>
  <si>
    <t>Participant 38</t>
  </si>
  <si>
    <t>Participant 39</t>
  </si>
  <si>
    <t>Participant 40</t>
  </si>
  <si>
    <t>Participant 41</t>
  </si>
  <si>
    <t>Participant 42</t>
  </si>
  <si>
    <t>Participant 43</t>
  </si>
  <si>
    <t>Participant 44</t>
  </si>
  <si>
    <t>Participant 45</t>
  </si>
  <si>
    <t>Participant 46</t>
  </si>
  <si>
    <t>Participant 47</t>
  </si>
  <si>
    <t>Participant 48</t>
  </si>
  <si>
    <t>Participant 49</t>
  </si>
  <si>
    <t>Participant 50</t>
  </si>
  <si>
    <t>Participant 51</t>
  </si>
  <si>
    <t>Participant 52</t>
  </si>
  <si>
    <t>Participant 53</t>
  </si>
  <si>
    <t>Participant 54</t>
  </si>
  <si>
    <t>Participant 55</t>
  </si>
  <si>
    <t>Participant 56</t>
  </si>
  <si>
    <t>Participant 57</t>
  </si>
  <si>
    <t>Participant 58</t>
  </si>
  <si>
    <t>Participant 59</t>
  </si>
  <si>
    <t>Participant 60</t>
  </si>
  <si>
    <t>Participant 61</t>
  </si>
  <si>
    <t>Participant 62</t>
  </si>
  <si>
    <t>Participant 63</t>
  </si>
  <si>
    <t>Participant 64</t>
  </si>
  <si>
    <t>Participant 65</t>
  </si>
  <si>
    <t>Participant 66</t>
  </si>
  <si>
    <t>Participant 67</t>
  </si>
  <si>
    <t>Participant 68</t>
  </si>
  <si>
    <t>Participant 69</t>
  </si>
  <si>
    <t>Participant 70</t>
  </si>
  <si>
    <t>Participant 71</t>
  </si>
  <si>
    <t>Participant 72</t>
  </si>
  <si>
    <t>Participant 73</t>
  </si>
  <si>
    <t>Participant 74</t>
  </si>
  <si>
    <t>Participant 75</t>
  </si>
  <si>
    <t>Participant 76</t>
  </si>
  <si>
    <t>Participant 77</t>
  </si>
  <si>
    <t>Participant 78</t>
  </si>
  <si>
    <t>Participant 79</t>
  </si>
  <si>
    <t>Participant 80</t>
  </si>
  <si>
    <t>Participant 81</t>
  </si>
  <si>
    <t>Participant 82</t>
  </si>
  <si>
    <t>Participant 83</t>
  </si>
  <si>
    <t>Participant 84</t>
  </si>
  <si>
    <t>Participant 85</t>
  </si>
  <si>
    <t>Participant 86</t>
  </si>
  <si>
    <t>Participant 87</t>
  </si>
  <si>
    <t>Participant 88</t>
  </si>
  <si>
    <t>Participant 89</t>
  </si>
  <si>
    <t>Participant 90</t>
  </si>
  <si>
    <t>Participant 91</t>
  </si>
  <si>
    <t>Participant 92</t>
  </si>
  <si>
    <t>Participant 93</t>
  </si>
  <si>
    <t>Participant 94</t>
  </si>
  <si>
    <t>Participant 95</t>
  </si>
  <si>
    <t>Participant 96</t>
  </si>
  <si>
    <t>Participant 97</t>
  </si>
  <si>
    <t>Participant 98</t>
  </si>
  <si>
    <t>Participant 99</t>
  </si>
  <si>
    <t>Participant 100</t>
  </si>
  <si>
    <t>Participant 101</t>
  </si>
  <si>
    <t>Participant 102</t>
  </si>
  <si>
    <t>Participant 103</t>
  </si>
  <si>
    <t>Participant 104</t>
  </si>
  <si>
    <t>Participant 105</t>
  </si>
  <si>
    <t>Participant 106</t>
  </si>
  <si>
    <t>Participant 107</t>
  </si>
  <si>
    <t>Participant 108</t>
  </si>
  <si>
    <t>Participant 109</t>
  </si>
  <si>
    <t>Participant 110</t>
  </si>
  <si>
    <t>Participant 111</t>
  </si>
  <si>
    <t>Participant 112</t>
  </si>
  <si>
    <t>Participant 113</t>
  </si>
  <si>
    <t>Participant 114</t>
  </si>
  <si>
    <t>Participant 115</t>
  </si>
  <si>
    <t>Participant 116</t>
  </si>
  <si>
    <t>Participant 117</t>
  </si>
  <si>
    <t>Participant 118</t>
  </si>
  <si>
    <t>Participant 119</t>
  </si>
  <si>
    <t>Participant 120</t>
  </si>
  <si>
    <t>Participant 121</t>
  </si>
  <si>
    <t>Participant 122</t>
  </si>
  <si>
    <t>Participant 123</t>
  </si>
  <si>
    <t>Participant 124</t>
  </si>
  <si>
    <t>Participant 125</t>
  </si>
  <si>
    <t>Participant 126</t>
  </si>
  <si>
    <t>Participant 127</t>
  </si>
  <si>
    <t>Participant 128</t>
  </si>
  <si>
    <t>Participant 129</t>
  </si>
  <si>
    <t>Participant 130</t>
  </si>
  <si>
    <t>Participant 131</t>
  </si>
  <si>
    <t>Participant 132</t>
  </si>
  <si>
    <t>Participant 133</t>
  </si>
  <si>
    <t>Participant 134</t>
  </si>
  <si>
    <t>Participant 135</t>
  </si>
  <si>
    <t>Participant 136</t>
  </si>
  <si>
    <t>Participant 137</t>
  </si>
  <si>
    <t>Participant 138</t>
  </si>
  <si>
    <t>Participant 139</t>
  </si>
  <si>
    <t>Participant 140</t>
  </si>
  <si>
    <t>Participant 141</t>
  </si>
  <si>
    <t>Participant 142</t>
  </si>
  <si>
    <t>Participant 143</t>
  </si>
  <si>
    <t>Participant 144</t>
  </si>
  <si>
    <t>Participant 145</t>
  </si>
  <si>
    <t>Participant 146</t>
  </si>
  <si>
    <t>Participant 147</t>
  </si>
  <si>
    <t>Participant 148</t>
  </si>
  <si>
    <t>Participant 149</t>
  </si>
  <si>
    <t>Participant 150</t>
  </si>
  <si>
    <t>Participant 151</t>
  </si>
  <si>
    <t>Participant 152</t>
  </si>
  <si>
    <t>Participant 153</t>
  </si>
  <si>
    <t>Participant 154</t>
  </si>
  <si>
    <t>Participant 155</t>
  </si>
  <si>
    <t>Participant 156</t>
  </si>
  <si>
    <t>Participant 157</t>
  </si>
  <si>
    <t>Participant 158</t>
  </si>
  <si>
    <t>Participant 159</t>
  </si>
  <si>
    <t>Participant 160</t>
  </si>
  <si>
    <t>Participant 161</t>
  </si>
  <si>
    <t>Participant 162</t>
  </si>
  <si>
    <t>Participant 163</t>
  </si>
  <si>
    <t>Participant 164</t>
  </si>
  <si>
    <t>Participant 165</t>
  </si>
  <si>
    <t>Participant 166</t>
  </si>
  <si>
    <t>Participant 167</t>
  </si>
  <si>
    <t>Participant 168</t>
  </si>
  <si>
    <t>Participant 169</t>
  </si>
  <si>
    <t>Participant 170</t>
  </si>
  <si>
    <t>Participant 171</t>
  </si>
  <si>
    <t>Participant 172</t>
  </si>
  <si>
    <t>Participant 173</t>
  </si>
  <si>
    <t>Participant 174</t>
  </si>
  <si>
    <t>Participant 175</t>
  </si>
  <si>
    <t>Participant 176</t>
  </si>
  <si>
    <t>Participant 177</t>
  </si>
  <si>
    <t>Participant 178</t>
  </si>
  <si>
    <t>Participant 179</t>
  </si>
  <si>
    <t>Participant 180</t>
  </si>
  <si>
    <t>Participant 181</t>
  </si>
  <si>
    <t>Participant 182</t>
  </si>
  <si>
    <t>Participant 183</t>
  </si>
  <si>
    <t>Participant 184</t>
  </si>
  <si>
    <t>Participant 185</t>
  </si>
  <si>
    <t>Participant 186</t>
  </si>
  <si>
    <t>Participant 187</t>
  </si>
  <si>
    <t>Participant 188</t>
  </si>
  <si>
    <t>Participant 189</t>
  </si>
  <si>
    <t>Participant 190</t>
  </si>
  <si>
    <t>Participant 191</t>
  </si>
  <si>
    <t>Participant 192</t>
  </si>
  <si>
    <t>Participant 193</t>
  </si>
  <si>
    <t>Participant 194</t>
  </si>
  <si>
    <t>Participant 195</t>
  </si>
  <si>
    <t>Participant 196</t>
  </si>
  <si>
    <t>Participant 197</t>
  </si>
  <si>
    <t>Participant 198</t>
  </si>
  <si>
    <t>Participant 199</t>
  </si>
  <si>
    <t>Participant 200</t>
  </si>
  <si>
    <t>Participant 201</t>
  </si>
  <si>
    <t>Participant 202</t>
  </si>
  <si>
    <t>Participant 203</t>
  </si>
  <si>
    <t>Participant 204</t>
  </si>
  <si>
    <t>Participant 205</t>
  </si>
  <si>
    <t>Participant 206</t>
  </si>
  <si>
    <t>Participant 207</t>
  </si>
  <si>
    <t>Participant 208</t>
  </si>
  <si>
    <t>Participant 209</t>
  </si>
  <si>
    <t>Participant 210</t>
  </si>
  <si>
    <t>Participant 211</t>
  </si>
  <si>
    <t>Participant 212</t>
  </si>
  <si>
    <t>Participant 213</t>
  </si>
  <si>
    <t>Participant 214</t>
  </si>
  <si>
    <t>Participant 215</t>
  </si>
  <si>
    <t>Participant 216</t>
  </si>
  <si>
    <t>Participant 217</t>
  </si>
  <si>
    <t>Participant 218</t>
  </si>
  <si>
    <t>Participant 219</t>
  </si>
  <si>
    <t>Participant 220</t>
  </si>
  <si>
    <t>Participant 221</t>
  </si>
  <si>
    <t>Participant 222</t>
  </si>
  <si>
    <t>Participant 223</t>
  </si>
  <si>
    <t>Participant 224</t>
  </si>
  <si>
    <t>Participant 225</t>
  </si>
  <si>
    <t>Participant 226</t>
  </si>
  <si>
    <t>Participant 227</t>
  </si>
  <si>
    <t>Participant 228</t>
  </si>
  <si>
    <t>Participant 229</t>
  </si>
  <si>
    <t>Participant 230</t>
  </si>
  <si>
    <t>Participant 231</t>
  </si>
  <si>
    <t>Participant 232</t>
  </si>
  <si>
    <t>Participant 233</t>
  </si>
  <si>
    <t>Participant 234</t>
  </si>
  <si>
    <t>Participant 235</t>
  </si>
  <si>
    <t>Participant 236</t>
  </si>
  <si>
    <t>Participant 237</t>
  </si>
  <si>
    <t>Participant 238</t>
  </si>
  <si>
    <t>Participant 239</t>
  </si>
  <si>
    <t>Participant 240</t>
  </si>
  <si>
    <t>Participant 241</t>
  </si>
  <si>
    <t>Participant 242</t>
  </si>
  <si>
    <t>Participant 243</t>
  </si>
  <si>
    <t>Participant 244</t>
  </si>
  <si>
    <t>Participant 245</t>
  </si>
  <si>
    <t>Participant 246</t>
  </si>
  <si>
    <t>Participant 247</t>
  </si>
  <si>
    <t>Participant 248</t>
  </si>
  <si>
    <t>Participant 249</t>
  </si>
  <si>
    <t>Participant 250</t>
  </si>
  <si>
    <t>Participant 251</t>
  </si>
  <si>
    <t>Participant 252</t>
  </si>
  <si>
    <t>Participant 253</t>
  </si>
  <si>
    <t>Participant 254</t>
  </si>
  <si>
    <t>Participant 255</t>
  </si>
  <si>
    <t>Participant 256</t>
  </si>
  <si>
    <t>Série :</t>
  </si>
  <si>
    <t>Match</t>
  </si>
  <si>
    <t>Rang</t>
  </si>
  <si>
    <t>1er tour</t>
  </si>
  <si>
    <t>T</t>
  </si>
  <si>
    <t>2e tour</t>
  </si>
  <si>
    <t>3e tour</t>
  </si>
  <si>
    <t>4e tour</t>
  </si>
  <si>
    <t>5e tour</t>
  </si>
  <si>
    <t>A</t>
  </si>
  <si>
    <t>B</t>
  </si>
  <si>
    <t>C</t>
  </si>
  <si>
    <t>NE PAS TOUCHER !</t>
  </si>
  <si>
    <t>1  =   A  -  B                 2  =   B  -  C                 3  =   A  -  C</t>
  </si>
  <si>
    <t>D</t>
  </si>
  <si>
    <t xml:space="preserve">1  =   A  -  B       C  -  D           2  =   A  -  C       B  -  D           3  =   A  -  D       B  -  C          </t>
  </si>
  <si>
    <t>Poule 4j</t>
  </si>
  <si>
    <t>E</t>
  </si>
  <si>
    <t>1  =   B  -  C       D  -  E           2  =   A  -  B       C  -  D           3  =   C  -  A       E  -  B           4  =   D  -  A       E  -  C           5  =  A  -  E       B  -  D</t>
  </si>
  <si>
    <t>Poule 5j</t>
  </si>
  <si>
    <t>F</t>
  </si>
  <si>
    <t>1  =   A - E       B - D       C - F           2  =   A - D       B - F       C - E           3  =   A - C       B - E       D - F           4  =   A - F       B - C       D - E           5  =  A - B       C - D       E - F</t>
  </si>
  <si>
    <t>Poule 6j</t>
  </si>
  <si>
    <t>Place 9 à 16</t>
  </si>
  <si>
    <t>Place 11 et 12</t>
  </si>
  <si>
    <t>Place 13 à 16</t>
  </si>
  <si>
    <t>Place 15 et 16</t>
  </si>
  <si>
    <t>Place 5 à 8</t>
  </si>
  <si>
    <t>Place 7 et 8</t>
  </si>
  <si>
    <t>Place 21 à 24</t>
  </si>
  <si>
    <t>Place 23 et 24</t>
  </si>
  <si>
    <t>Place 19 et 20</t>
  </si>
  <si>
    <t>Place 3 et 4</t>
  </si>
  <si>
    <t>Classement final :</t>
  </si>
  <si>
    <t>Place 27 et 28</t>
  </si>
  <si>
    <t>Place 31 et 32</t>
  </si>
  <si>
    <t>Place 17 et 32</t>
  </si>
  <si>
    <t>Place 25 à 32</t>
  </si>
  <si>
    <t>Place 29 à 32</t>
  </si>
  <si>
    <t>P / E / A</t>
  </si>
  <si>
    <t>Poule 3j</t>
  </si>
  <si>
    <t>Place 1 et 2</t>
  </si>
  <si>
    <t>Place 5 et 6</t>
  </si>
  <si>
    <t>Place 9 et 10</t>
  </si>
  <si>
    <t>Place 13 et 14</t>
  </si>
  <si>
    <t>Grône</t>
  </si>
  <si>
    <t>Collombey-Muraz</t>
  </si>
  <si>
    <t>Choix des tableaux de finals</t>
  </si>
  <si>
    <t>CTT Grône</t>
  </si>
  <si>
    <t>Choix des poules ou groupes :</t>
  </si>
  <si>
    <t>Tournoi non-licencié AVTT</t>
  </si>
  <si>
    <t>Tournoi de doubles AVTT</t>
  </si>
  <si>
    <t>Bellon</t>
  </si>
  <si>
    <t>Antoine</t>
  </si>
  <si>
    <t>Sierre</t>
  </si>
  <si>
    <t>Nanez</t>
  </si>
  <si>
    <t>Diego</t>
  </si>
  <si>
    <t>Sion</t>
  </si>
  <si>
    <t>Jacquod</t>
  </si>
  <si>
    <t>Thibaud</t>
  </si>
  <si>
    <t>Emboye</t>
  </si>
  <si>
    <t>Tomas</t>
  </si>
  <si>
    <t>Germanier</t>
  </si>
  <si>
    <t>Enzo</t>
  </si>
  <si>
    <t>Massy</t>
  </si>
  <si>
    <t>Kenny</t>
  </si>
  <si>
    <t>Frezghi</t>
  </si>
  <si>
    <t>Tarik</t>
  </si>
  <si>
    <t>Clausix</t>
  </si>
  <si>
    <t>Adam</t>
  </si>
  <si>
    <t>Savoy</t>
  </si>
  <si>
    <t>David</t>
  </si>
  <si>
    <t>Spano</t>
  </si>
  <si>
    <t>Emilien</t>
  </si>
  <si>
    <t>Riard</t>
  </si>
  <si>
    <t>Noa</t>
  </si>
  <si>
    <t>Heldner</t>
  </si>
  <si>
    <t>Mathis</t>
  </si>
  <si>
    <t>Mauris</t>
  </si>
  <si>
    <t>Romain</t>
  </si>
  <si>
    <t>Jäger</t>
  </si>
  <si>
    <t>Joel</t>
  </si>
  <si>
    <t>Gampel-Steg</t>
  </si>
  <si>
    <t>Berisha</t>
  </si>
  <si>
    <t>Fatlum</t>
  </si>
  <si>
    <t>Clerc</t>
  </si>
  <si>
    <t>Manon</t>
  </si>
  <si>
    <t>Marjay</t>
  </si>
  <si>
    <t>Gay</t>
  </si>
  <si>
    <t>Valentin</t>
  </si>
  <si>
    <t>Knöri</t>
  </si>
  <si>
    <t>Alexander</t>
  </si>
  <si>
    <t>Mercier</t>
  </si>
  <si>
    <t>Maël</t>
  </si>
  <si>
    <t>Pellaton</t>
  </si>
  <si>
    <t>Robin</t>
  </si>
  <si>
    <t>Sola</t>
  </si>
  <si>
    <t>Noam</t>
  </si>
  <si>
    <t>Siggen</t>
  </si>
  <si>
    <t>Dann</t>
  </si>
  <si>
    <t>Rouiller</t>
  </si>
  <si>
    <t>Romi</t>
  </si>
  <si>
    <t>Derivaz</t>
  </si>
  <si>
    <t>Praplan</t>
  </si>
  <si>
    <t>Weissbrodt</t>
  </si>
  <si>
    <t>Elda</t>
  </si>
  <si>
    <t>Begert</t>
  </si>
  <si>
    <t>Nicolas</t>
  </si>
  <si>
    <t>Ruchet</t>
  </si>
  <si>
    <t>Jérémy</t>
  </si>
  <si>
    <t>Debons</t>
  </si>
  <si>
    <t>Elie</t>
  </si>
  <si>
    <t>Blazquez</t>
  </si>
  <si>
    <t>Esteban</t>
  </si>
  <si>
    <t>Venetz</t>
  </si>
  <si>
    <t>Anthony</t>
  </si>
  <si>
    <t>Partenaire de double</t>
  </si>
  <si>
    <t>Ne pas oublier de mettre un " X " pour le nombre de participants
Si c'est des doubles, diviser pas 2 le nombre de participants</t>
  </si>
  <si>
    <t>U18</t>
  </si>
  <si>
    <t>Mettre un " X " pour diminuer la liste des participants
Pour une liste de 256 joueurs, ne pas mettre de " X "</t>
  </si>
  <si>
    <t>Catégorie d'âge</t>
  </si>
  <si>
    <t>U9</t>
  </si>
  <si>
    <t>U11</t>
  </si>
  <si>
    <t>U15</t>
  </si>
  <si>
    <t>U13</t>
  </si>
  <si>
    <t xml:space="preserve"> Begert Nicolas</t>
  </si>
  <si>
    <t xml:space="preserve"> Bellon Antoine</t>
  </si>
  <si>
    <t xml:space="preserve"> Berisha Fatlum</t>
  </si>
  <si>
    <t>Begert Nicolas</t>
  </si>
  <si>
    <t>Bellon Antoine</t>
  </si>
  <si>
    <t>Berisha Fatlum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</si>
</sst>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dd/mm/yyyy;@"/>
    <numFmt numFmtId="165" formatCode="h:mm;@"/>
    <numFmt numFmtId="166" formatCode="[$-F800]dddd\,\ mmmm\ dd\,\ yyyy"/>
    <numFmt numFmtId="167" formatCode="dd/mm/yy;@"/>
    <numFmt numFmtId="168" formatCode="h:mm&quot;h&quot;"/>
    <numFmt numFmtId="169" formatCode="&quot;Début :&quot;\ h:mm;@"/>
    <numFmt numFmtId="170" formatCode="&quot;Fin :&quot;\ h:mm;@"/>
    <numFmt numFmtId="171" formatCode="&quot;du &quot;dd/mm/yyyy;@"/>
    <numFmt numFmtId="172" formatCode="yy"/>
  </numFmts>
  <fonts count="5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indexed="81"/>
      <name val="Tahoma"/>
      <family val="2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sz val="45"/>
      <color rgb="FFFF0000"/>
      <name val="Webdings"/>
      <family val="1"/>
      <charset val="2"/>
    </font>
    <font>
      <sz val="10"/>
      <color rgb="FFFF0000"/>
      <name val="Calibri"/>
      <family val="2"/>
      <scheme val="minor"/>
    </font>
    <font>
      <sz val="10"/>
      <name val="Arial"/>
    </font>
    <font>
      <b/>
      <sz val="8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b/>
      <sz val="11"/>
      <name val="Arial"/>
      <family val="2"/>
    </font>
    <font>
      <b/>
      <sz val="18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sz val="18"/>
      <color indexed="8"/>
      <name val="Arial"/>
      <family val="2"/>
    </font>
    <font>
      <sz val="18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indexed="8"/>
      <name val="Arial"/>
      <family val="2"/>
    </font>
    <font>
      <b/>
      <sz val="18"/>
      <color indexed="10"/>
      <name val="Arial"/>
      <family val="2"/>
    </font>
    <font>
      <sz val="6"/>
      <name val="Arial"/>
      <family val="2"/>
    </font>
    <font>
      <b/>
      <i/>
      <sz val="24"/>
      <name val="Arial"/>
      <family val="2"/>
    </font>
    <font>
      <b/>
      <sz val="14"/>
      <color indexed="10"/>
      <name val="Arial"/>
      <family val="2"/>
    </font>
    <font>
      <sz val="14"/>
      <color indexed="8"/>
      <name val="Arial"/>
      <family val="2"/>
    </font>
    <font>
      <sz val="14"/>
      <name val="Arial"/>
      <family val="2"/>
    </font>
    <font>
      <sz val="9"/>
      <color rgb="FFFF0000"/>
      <name val="Arial"/>
      <family val="2"/>
    </font>
    <font>
      <sz val="8"/>
      <name val="Arial"/>
      <family val="2"/>
    </font>
    <font>
      <sz val="12"/>
      <color indexed="8"/>
      <name val="Arial"/>
      <family val="2"/>
    </font>
    <font>
      <sz val="6"/>
      <color indexed="8"/>
      <name val="Arial"/>
      <family val="2"/>
    </font>
    <font>
      <b/>
      <sz val="6"/>
      <color indexed="8"/>
      <name val="Arial"/>
      <family val="2"/>
    </font>
    <font>
      <sz val="11"/>
      <name val="Arial"/>
      <family val="2"/>
    </font>
    <font>
      <sz val="6"/>
      <name val="Calibri"/>
      <family val="2"/>
      <scheme val="minor"/>
    </font>
    <font>
      <b/>
      <i/>
      <u/>
      <sz val="26"/>
      <name val="Calibri"/>
      <family val="2"/>
      <scheme val="minor"/>
    </font>
    <font>
      <b/>
      <i/>
      <u/>
      <sz val="22"/>
      <name val="Calibri"/>
      <family val="2"/>
      <scheme val="minor"/>
    </font>
    <font>
      <b/>
      <i/>
      <u/>
      <sz val="20"/>
      <name val="Calibri"/>
      <family val="2"/>
      <scheme val="minor"/>
    </font>
    <font>
      <i/>
      <sz val="14"/>
      <name val="Calibri"/>
      <family val="2"/>
      <scheme val="minor"/>
    </font>
    <font>
      <sz val="10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b/>
      <i/>
      <u/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i/>
      <u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  <font>
      <sz val="6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CDFFCF"/>
        <bgColor indexed="64"/>
      </patternFill>
    </fill>
    <fill>
      <patternFill patternType="solid">
        <fgColor rgb="FFCDD7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B0FB7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A0FEB9"/>
        <bgColor indexed="64"/>
      </patternFill>
    </fill>
    <fill>
      <patternFill patternType="solid">
        <fgColor rgb="FF99FDAA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0" fillId="0" borderId="0"/>
    <xf numFmtId="0" fontId="25" fillId="0" borderId="0"/>
    <xf numFmtId="0" fontId="25" fillId="0" borderId="0"/>
  </cellStyleXfs>
  <cellXfs count="371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1" fontId="3" fillId="0" borderId="0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Protection="1"/>
    <xf numFmtId="0" fontId="3" fillId="0" borderId="2" xfId="0" applyFont="1" applyBorder="1" applyAlignment="1" applyProtection="1">
      <alignment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3" xfId="0" applyFont="1" applyFill="1" applyBorder="1" applyAlignment="1" applyProtection="1">
      <alignment horizontal="left" vertical="center"/>
    </xf>
    <xf numFmtId="0" fontId="3" fillId="0" borderId="4" xfId="0" applyFont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center"/>
    </xf>
    <xf numFmtId="0" fontId="3" fillId="0" borderId="5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3" fillId="0" borderId="1" xfId="0" applyFont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4" borderId="1" xfId="0" applyFill="1" applyBorder="1" applyAlignment="1">
      <alignment horizontal="left"/>
    </xf>
    <xf numFmtId="14" fontId="0" fillId="4" borderId="1" xfId="0" applyNumberForma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5" xfId="0" applyBorder="1" applyAlignment="1"/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 wrapText="1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0" fillId="0" borderId="0" xfId="0" applyAlignment="1">
      <alignment horizontal="left" inden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11" fillId="0" borderId="0" xfId="1" applyFont="1" applyFill="1" applyBorder="1" applyAlignment="1">
      <alignment vertical="center"/>
    </xf>
    <xf numFmtId="0" fontId="10" fillId="0" borderId="0" xfId="1" applyAlignment="1">
      <alignment horizontal="left"/>
    </xf>
    <xf numFmtId="0" fontId="16" fillId="0" borderId="0" xfId="1" applyFont="1" applyFill="1" applyBorder="1" applyAlignment="1">
      <alignment horizontal="left" vertical="center"/>
    </xf>
    <xf numFmtId="0" fontId="10" fillId="0" borderId="0" xfId="1" applyFill="1" applyAlignment="1">
      <alignment horizontal="left"/>
    </xf>
    <xf numFmtId="0" fontId="17" fillId="0" borderId="0" xfId="1" applyFont="1" applyFill="1" applyBorder="1" applyAlignment="1"/>
    <xf numFmtId="0" fontId="10" fillId="0" borderId="0" xfId="1" applyBorder="1" applyAlignment="1">
      <alignment horizontal="left"/>
    </xf>
    <xf numFmtId="0" fontId="26" fillId="0" borderId="0" xfId="1" applyFont="1" applyFill="1" applyBorder="1" applyAlignment="1" applyProtection="1">
      <alignment vertical="center"/>
      <protection locked="0"/>
    </xf>
    <xf numFmtId="0" fontId="27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  <xf numFmtId="0" fontId="29" fillId="0" borderId="16" xfId="1" applyFont="1" applyFill="1" applyBorder="1" applyAlignment="1">
      <alignment horizontal="center" vertical="center"/>
    </xf>
    <xf numFmtId="0" fontId="16" fillId="7" borderId="1" xfId="1" applyFont="1" applyFill="1" applyBorder="1" applyAlignment="1" applyProtection="1">
      <alignment horizontal="center" vertical="center"/>
      <protection locked="0"/>
    </xf>
    <xf numFmtId="0" fontId="16" fillId="7" borderId="1" xfId="1" applyFont="1" applyFill="1" applyBorder="1" applyAlignment="1">
      <alignment horizontal="center" vertical="center"/>
    </xf>
    <xf numFmtId="0" fontId="24" fillId="0" borderId="1" xfId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12" xfId="1" applyFont="1" applyFill="1" applyBorder="1" applyAlignment="1">
      <alignment horizontal="center" vertical="center"/>
    </xf>
    <xf numFmtId="0" fontId="26" fillId="8" borderId="0" xfId="1" applyFont="1" applyFill="1" applyBorder="1" applyAlignment="1" applyProtection="1">
      <alignment horizontal="center" vertical="center"/>
      <protection locked="0"/>
    </xf>
    <xf numFmtId="0" fontId="31" fillId="0" borderId="0" xfId="2" applyFont="1" applyFill="1" applyBorder="1" applyAlignment="1">
      <alignment horizontal="left" vertical="center"/>
    </xf>
    <xf numFmtId="0" fontId="25" fillId="0" borderId="0" xfId="1" applyFont="1" applyAlignment="1">
      <alignment horizontal="left" vertical="center"/>
    </xf>
    <xf numFmtId="0" fontId="10" fillId="0" borderId="0" xfId="1" applyAlignment="1">
      <alignment horizontal="left" vertical="center"/>
    </xf>
    <xf numFmtId="0" fontId="28" fillId="0" borderId="0" xfId="2" applyFont="1" applyFill="1" applyBorder="1" applyAlignment="1">
      <alignment horizontal="left" vertical="center"/>
    </xf>
    <xf numFmtId="0" fontId="29" fillId="0" borderId="0" xfId="1" applyFont="1" applyAlignment="1">
      <alignment horizontal="right" vertical="center"/>
    </xf>
    <xf numFmtId="0" fontId="24" fillId="0" borderId="16" xfId="1" applyFont="1" applyFill="1" applyBorder="1" applyAlignment="1">
      <alignment horizontal="left" vertical="center"/>
    </xf>
    <xf numFmtId="0" fontId="16" fillId="7" borderId="16" xfId="1" applyFont="1" applyFill="1" applyBorder="1" applyAlignment="1" applyProtection="1">
      <alignment horizontal="center" vertical="center"/>
      <protection locked="0"/>
    </xf>
    <xf numFmtId="0" fontId="24" fillId="0" borderId="5" xfId="1" applyFont="1" applyFill="1" applyBorder="1" applyAlignment="1">
      <alignment horizontal="left" vertical="center"/>
    </xf>
    <xf numFmtId="0" fontId="16" fillId="0" borderId="5" xfId="1" applyFont="1" applyFill="1" applyBorder="1" applyAlignment="1" applyProtection="1">
      <alignment horizontal="left" vertical="center"/>
      <protection locked="0"/>
    </xf>
    <xf numFmtId="0" fontId="16" fillId="0" borderId="5" xfId="1" applyFont="1" applyFill="1" applyBorder="1" applyAlignment="1">
      <alignment horizontal="left" vertical="center"/>
    </xf>
    <xf numFmtId="0" fontId="29" fillId="0" borderId="0" xfId="1" applyFont="1" applyFill="1" applyAlignment="1">
      <alignment horizontal="right" vertical="center"/>
    </xf>
    <xf numFmtId="0" fontId="26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ill="1" applyBorder="1" applyAlignment="1">
      <alignment horizontal="left"/>
    </xf>
    <xf numFmtId="0" fontId="25" fillId="0" borderId="0" xfId="1" applyFont="1" applyBorder="1" applyAlignment="1">
      <alignment horizontal="left"/>
    </xf>
    <xf numFmtId="166" fontId="30" fillId="0" borderId="0" xfId="1" applyNumberFormat="1" applyFont="1" applyFill="1" applyBorder="1" applyAlignment="1">
      <alignment vertical="center"/>
    </xf>
    <xf numFmtId="0" fontId="30" fillId="0" borderId="0" xfId="1" applyFont="1" applyFill="1" applyAlignment="1">
      <alignment vertical="center"/>
    </xf>
    <xf numFmtId="0" fontId="12" fillId="0" borderId="0" xfId="1" applyFont="1" applyFill="1" applyBorder="1" applyAlignment="1">
      <alignment vertical="center"/>
    </xf>
    <xf numFmtId="166" fontId="13" fillId="0" borderId="0" xfId="1" applyNumberFormat="1" applyFont="1" applyFill="1" applyBorder="1" applyAlignment="1">
      <alignment horizontal="left" vertical="center"/>
    </xf>
    <xf numFmtId="0" fontId="15" fillId="0" borderId="0" xfId="1" applyFont="1" applyFill="1" applyBorder="1" applyAlignment="1">
      <alignment horizontal="left" vertical="center"/>
    </xf>
    <xf numFmtId="0" fontId="19" fillId="0" borderId="0" xfId="1" applyFont="1" applyFill="1" applyBorder="1" applyAlignment="1">
      <alignment horizontal="left" vertical="center"/>
    </xf>
    <xf numFmtId="0" fontId="10" fillId="0" borderId="0" xfId="1" applyBorder="1" applyAlignment="1" applyProtection="1">
      <alignment horizontal="left"/>
      <protection locked="0"/>
    </xf>
    <xf numFmtId="166" fontId="12" fillId="0" borderId="0" xfId="1" applyNumberFormat="1" applyFont="1" applyFill="1" applyBorder="1" applyAlignment="1">
      <alignment vertical="center"/>
    </xf>
    <xf numFmtId="0" fontId="32" fillId="0" borderId="0" xfId="1" applyFont="1" applyFill="1" applyBorder="1" applyAlignment="1">
      <alignment horizontal="left" vertical="center"/>
    </xf>
    <xf numFmtId="0" fontId="18" fillId="0" borderId="0" xfId="1" applyFont="1" applyFill="1" applyBorder="1" applyAlignment="1">
      <alignment horizontal="left" vertical="center"/>
    </xf>
    <xf numFmtId="0" fontId="21" fillId="0" borderId="6" xfId="1" applyFont="1" applyFill="1" applyBorder="1" applyAlignment="1">
      <alignment horizontal="left" vertical="center"/>
    </xf>
    <xf numFmtId="0" fontId="35" fillId="0" borderId="0" xfId="1" applyFont="1" applyFill="1" applyAlignment="1">
      <alignment horizontal="center" vertical="center"/>
    </xf>
    <xf numFmtId="0" fontId="22" fillId="6" borderId="2" xfId="1" applyFont="1" applyFill="1" applyBorder="1" applyAlignment="1">
      <alignment horizontal="center" vertical="center"/>
    </xf>
    <xf numFmtId="0" fontId="22" fillId="6" borderId="11" xfId="1" applyFont="1" applyFill="1" applyBorder="1" applyAlignment="1">
      <alignment horizontal="center" vertical="center"/>
    </xf>
    <xf numFmtId="0" fontId="22" fillId="6" borderId="12" xfId="1" applyFont="1" applyFill="1" applyBorder="1" applyAlignment="1">
      <alignment horizontal="center" vertical="center"/>
    </xf>
    <xf numFmtId="1" fontId="22" fillId="0" borderId="2" xfId="1" applyNumberFormat="1" applyFont="1" applyFill="1" applyBorder="1" applyAlignment="1">
      <alignment horizontal="center" vertical="center"/>
    </xf>
    <xf numFmtId="0" fontId="21" fillId="0" borderId="11" xfId="1" applyFont="1" applyFill="1" applyBorder="1" applyAlignment="1">
      <alignment horizontal="center" vertical="center"/>
    </xf>
    <xf numFmtId="1" fontId="22" fillId="0" borderId="12" xfId="1" applyNumberFormat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" vertical="center"/>
    </xf>
    <xf numFmtId="0" fontId="21" fillId="0" borderId="12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25" fillId="0" borderId="0" xfId="1" applyFont="1" applyFill="1" applyBorder="1" applyAlignment="1">
      <alignment horizontal="left"/>
    </xf>
    <xf numFmtId="0" fontId="35" fillId="0" borderId="0" xfId="1" applyFont="1" applyFill="1" applyBorder="1" applyAlignment="1">
      <alignment horizontal="center" vertical="center"/>
    </xf>
    <xf numFmtId="1" fontId="22" fillId="0" borderId="4" xfId="1" applyNumberFormat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1" fontId="22" fillId="0" borderId="6" xfId="1" applyNumberFormat="1" applyFont="1" applyFill="1" applyBorder="1" applyAlignment="1">
      <alignment horizontal="center" vertical="center"/>
    </xf>
    <xf numFmtId="0" fontId="22" fillId="6" borderId="4" xfId="1" applyFont="1" applyFill="1" applyBorder="1" applyAlignment="1">
      <alignment horizontal="center" vertical="center"/>
    </xf>
    <xf numFmtId="0" fontId="22" fillId="6" borderId="13" xfId="1" applyFont="1" applyFill="1" applyBorder="1" applyAlignment="1">
      <alignment horizontal="center" vertical="center"/>
    </xf>
    <xf numFmtId="0" fontId="22" fillId="6" borderId="6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6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/>
    </xf>
    <xf numFmtId="0" fontId="36" fillId="0" borderId="0" xfId="1" applyFont="1" applyFill="1" applyBorder="1" applyAlignment="1"/>
    <xf numFmtId="1" fontId="22" fillId="0" borderId="7" xfId="1" applyNumberFormat="1" applyFont="1" applyFill="1" applyBorder="1" applyAlignment="1">
      <alignment horizontal="center" vertical="center"/>
    </xf>
    <xf numFmtId="0" fontId="21" fillId="0" borderId="5" xfId="1" applyFont="1" applyFill="1" applyBorder="1" applyAlignment="1">
      <alignment horizontal="center" vertical="center"/>
    </xf>
    <xf numFmtId="1" fontId="22" fillId="0" borderId="8" xfId="1" applyNumberFormat="1" applyFont="1" applyFill="1" applyBorder="1" applyAlignment="1">
      <alignment horizontal="center" vertical="center"/>
    </xf>
    <xf numFmtId="0" fontId="22" fillId="6" borderId="7" xfId="1" applyFont="1" applyFill="1" applyBorder="1" applyAlignment="1">
      <alignment horizontal="center" vertical="center"/>
    </xf>
    <xf numFmtId="0" fontId="22" fillId="6" borderId="5" xfId="1" applyFont="1" applyFill="1" applyBorder="1" applyAlignment="1">
      <alignment horizontal="center" vertical="center"/>
    </xf>
    <xf numFmtId="0" fontId="22" fillId="6" borderId="8" xfId="1" applyFont="1" applyFill="1" applyBorder="1" applyAlignment="1">
      <alignment horizontal="center" vertical="center"/>
    </xf>
    <xf numFmtId="0" fontId="21" fillId="0" borderId="7" xfId="1" applyFont="1" applyFill="1" applyBorder="1" applyAlignment="1">
      <alignment horizontal="center" vertical="center"/>
    </xf>
    <xf numFmtId="0" fontId="21" fillId="0" borderId="8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left" vertical="center"/>
    </xf>
    <xf numFmtId="1" fontId="22" fillId="0" borderId="5" xfId="1" applyNumberFormat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0" fontId="23" fillId="0" borderId="5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10" fillId="0" borderId="0" xfId="1" applyFill="1" applyBorder="1" applyAlignment="1">
      <alignment horizontal="left" vertical="center"/>
    </xf>
    <xf numFmtId="0" fontId="29" fillId="0" borderId="0" xfId="1" applyFont="1" applyFill="1" applyBorder="1" applyAlignment="1">
      <alignment horizontal="left" vertical="center"/>
    </xf>
    <xf numFmtId="0" fontId="37" fillId="0" borderId="0" xfId="1" applyFont="1" applyFill="1" applyBorder="1" applyAlignment="1">
      <alignment horizontal="right" vertical="center"/>
    </xf>
    <xf numFmtId="0" fontId="16" fillId="7" borderId="16" xfId="1" applyFont="1" applyFill="1" applyBorder="1" applyAlignment="1">
      <alignment horizontal="center" vertical="center"/>
    </xf>
    <xf numFmtId="0" fontId="29" fillId="0" borderId="0" xfId="1" applyFont="1" applyFill="1" applyBorder="1" applyAlignment="1">
      <alignment horizontal="right" vertical="center"/>
    </xf>
    <xf numFmtId="0" fontId="38" fillId="0" borderId="0" xfId="1" applyFont="1" applyFill="1" applyBorder="1" applyAlignment="1">
      <alignment horizontal="right" vertical="center"/>
    </xf>
    <xf numFmtId="1" fontId="22" fillId="0" borderId="11" xfId="1" applyNumberFormat="1" applyFont="1" applyFill="1" applyBorder="1" applyAlignment="1">
      <alignment horizontal="center" vertical="center"/>
    </xf>
    <xf numFmtId="1" fontId="22" fillId="0" borderId="13" xfId="1" applyNumberFormat="1" applyFont="1" applyFill="1" applyBorder="1" applyAlignment="1">
      <alignment horizontal="center" vertical="center"/>
    </xf>
    <xf numFmtId="0" fontId="25" fillId="6" borderId="4" xfId="1" applyFont="1" applyFill="1" applyBorder="1" applyAlignment="1">
      <alignment horizontal="center" vertical="center"/>
    </xf>
    <xf numFmtId="0" fontId="25" fillId="6" borderId="13" xfId="1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horizontal="center" vertical="center"/>
    </xf>
    <xf numFmtId="0" fontId="29" fillId="0" borderId="10" xfId="1" applyFont="1" applyBorder="1" applyAlignment="1">
      <alignment horizontal="right" vertical="center"/>
    </xf>
    <xf numFmtId="0" fontId="25" fillId="6" borderId="6" xfId="1" applyFont="1" applyFill="1" applyBorder="1" applyAlignment="1">
      <alignment horizontal="center" vertical="center"/>
    </xf>
    <xf numFmtId="0" fontId="25" fillId="0" borderId="4" xfId="1" applyFont="1" applyFill="1" applyBorder="1" applyAlignment="1">
      <alignment horizontal="center" vertical="center"/>
    </xf>
    <xf numFmtId="0" fontId="25" fillId="0" borderId="13" xfId="1" applyFont="1" applyFill="1" applyBorder="1" applyAlignment="1">
      <alignment horizontal="center" vertical="center"/>
    </xf>
    <xf numFmtId="0" fontId="25" fillId="0" borderId="6" xfId="1" applyFont="1" applyFill="1" applyBorder="1" applyAlignment="1">
      <alignment horizontal="center" vertical="center"/>
    </xf>
    <xf numFmtId="0" fontId="10" fillId="0" borderId="0" xfId="1" applyFill="1" applyAlignment="1">
      <alignment horizontal="center" vertical="center"/>
    </xf>
    <xf numFmtId="0" fontId="10" fillId="0" borderId="4" xfId="1" applyBorder="1" applyAlignment="1">
      <alignment horizontal="center" vertical="center"/>
    </xf>
    <xf numFmtId="0" fontId="25" fillId="0" borderId="13" xfId="1" applyFont="1" applyBorder="1" applyAlignment="1">
      <alignment horizontal="center" vertical="center"/>
    </xf>
    <xf numFmtId="0" fontId="10" fillId="0" borderId="6" xfId="1" applyBorder="1" applyAlignment="1">
      <alignment horizontal="center" vertical="center"/>
    </xf>
    <xf numFmtId="0" fontId="10" fillId="0" borderId="13" xfId="1" applyBorder="1" applyAlignment="1">
      <alignment horizontal="center" vertical="center"/>
    </xf>
    <xf numFmtId="0" fontId="10" fillId="6" borderId="4" xfId="1" applyFill="1" applyBorder="1" applyAlignment="1">
      <alignment horizontal="center" vertical="center"/>
    </xf>
    <xf numFmtId="0" fontId="10" fillId="6" borderId="13" xfId="1" applyFill="1" applyBorder="1" applyAlignment="1">
      <alignment horizontal="center" vertical="center"/>
    </xf>
    <xf numFmtId="0" fontId="10" fillId="6" borderId="6" xfId="1" applyFill="1" applyBorder="1" applyAlignment="1">
      <alignment horizontal="center" vertical="center"/>
    </xf>
    <xf numFmtId="0" fontId="39" fillId="0" borderId="4" xfId="1" applyFont="1" applyFill="1" applyBorder="1" applyAlignment="1">
      <alignment horizontal="left" vertical="center"/>
    </xf>
    <xf numFmtId="0" fontId="39" fillId="0" borderId="7" xfId="1" applyFont="1" applyFill="1" applyBorder="1" applyAlignment="1">
      <alignment horizontal="left" vertical="center"/>
    </xf>
    <xf numFmtId="0" fontId="39" fillId="0" borderId="1" xfId="1" applyFont="1" applyFill="1" applyBorder="1" applyAlignment="1">
      <alignment horizontal="left" vertical="center"/>
    </xf>
    <xf numFmtId="0" fontId="29" fillId="0" borderId="18" xfId="1" applyFont="1" applyFill="1" applyBorder="1" applyAlignment="1">
      <alignment horizontal="center" vertical="center"/>
    </xf>
    <xf numFmtId="0" fontId="25" fillId="0" borderId="11" xfId="1" applyFont="1" applyBorder="1" applyAlignment="1">
      <alignment vertical="center"/>
    </xf>
    <xf numFmtId="1" fontId="40" fillId="0" borderId="0" xfId="0" applyNumberFormat="1" applyFont="1" applyFill="1" applyBorder="1" applyAlignment="1" applyProtection="1">
      <alignment horizontal="left" vertical="center"/>
    </xf>
    <xf numFmtId="1" fontId="40" fillId="0" borderId="0" xfId="0" applyNumberFormat="1" applyFont="1" applyFill="1" applyAlignment="1" applyProtection="1">
      <alignment horizontal="left" vertical="center"/>
    </xf>
    <xf numFmtId="1" fontId="41" fillId="0" borderId="0" xfId="0" applyNumberFormat="1" applyFont="1" applyFill="1" applyAlignment="1" applyProtection="1">
      <alignment vertical="center"/>
    </xf>
    <xf numFmtId="164" fontId="41" fillId="0" borderId="0" xfId="0" applyNumberFormat="1" applyFont="1" applyFill="1" applyAlignment="1" applyProtection="1">
      <alignment vertical="center"/>
    </xf>
    <xf numFmtId="167" fontId="44" fillId="0" borderId="0" xfId="0" applyNumberFormat="1" applyFont="1" applyFill="1" applyBorder="1" applyAlignment="1" applyProtection="1">
      <alignment horizontal="center" vertical="center"/>
    </xf>
    <xf numFmtId="0" fontId="40" fillId="0" borderId="0" xfId="0" applyNumberFormat="1" applyFont="1" applyFill="1" applyBorder="1" applyAlignment="1" applyProtection="1">
      <alignment horizontal="left" vertical="center"/>
    </xf>
    <xf numFmtId="1" fontId="40" fillId="10" borderId="1" xfId="0" applyNumberFormat="1" applyFont="1" applyFill="1" applyBorder="1" applyAlignment="1" applyProtection="1">
      <alignment horizontal="center" vertical="center"/>
      <protection locked="0"/>
    </xf>
    <xf numFmtId="1" fontId="40" fillId="0" borderId="9" xfId="0" applyNumberFormat="1" applyFont="1" applyFill="1" applyBorder="1" applyAlignment="1" applyProtection="1">
      <alignment horizontal="center" vertical="center"/>
    </xf>
    <xf numFmtId="1" fontId="40" fillId="0" borderId="0" xfId="0" applyNumberFormat="1" applyFont="1" applyFill="1" applyBorder="1" applyAlignment="1" applyProtection="1">
      <alignment horizontal="left"/>
    </xf>
    <xf numFmtId="1" fontId="45" fillId="0" borderId="0" xfId="0" applyNumberFormat="1" applyFont="1" applyFill="1" applyBorder="1" applyAlignment="1" applyProtection="1">
      <alignment vertical="center"/>
    </xf>
    <xf numFmtId="1" fontId="40" fillId="0" borderId="0" xfId="0" applyNumberFormat="1" applyFont="1" applyFill="1" applyBorder="1" applyAlignment="1" applyProtection="1">
      <alignment vertical="center"/>
    </xf>
    <xf numFmtId="1" fontId="40" fillId="0" borderId="0" xfId="0" applyNumberFormat="1" applyFont="1" applyFill="1" applyAlignment="1" applyProtection="1">
      <alignment horizontal="center" vertical="center"/>
    </xf>
    <xf numFmtId="0" fontId="40" fillId="0" borderId="11" xfId="0" applyNumberFormat="1" applyFont="1" applyFill="1" applyBorder="1" applyAlignment="1" applyProtection="1">
      <alignment horizontal="left"/>
    </xf>
    <xf numFmtId="1" fontId="40" fillId="0" borderId="0" xfId="0" applyNumberFormat="1" applyFont="1" applyFill="1" applyBorder="1" applyAlignment="1" applyProtection="1">
      <alignment horizontal="center" vertical="center"/>
    </xf>
    <xf numFmtId="1" fontId="43" fillId="0" borderId="0" xfId="0" applyNumberFormat="1" applyFont="1" applyFill="1" applyBorder="1" applyAlignment="1" applyProtection="1">
      <alignment horizontal="center" vertical="center"/>
    </xf>
    <xf numFmtId="1" fontId="42" fillId="0" borderId="0" xfId="0" applyNumberFormat="1" applyFont="1" applyFill="1" applyAlignment="1" applyProtection="1">
      <alignment vertical="center"/>
    </xf>
    <xf numFmtId="164" fontId="42" fillId="0" borderId="0" xfId="0" applyNumberFormat="1" applyFont="1" applyFill="1" applyAlignment="1" applyProtection="1">
      <alignment vertical="center"/>
    </xf>
    <xf numFmtId="1" fontId="40" fillId="9" borderId="0" xfId="0" applyNumberFormat="1" applyFont="1" applyFill="1" applyAlignment="1" applyProtection="1">
      <alignment vertical="center"/>
      <protection locked="0"/>
    </xf>
    <xf numFmtId="1" fontId="40" fillId="10" borderId="0" xfId="0" applyNumberFormat="1" applyFont="1" applyFill="1" applyBorder="1" applyAlignment="1" applyProtection="1">
      <alignment vertical="center"/>
    </xf>
    <xf numFmtId="0" fontId="40" fillId="0" borderId="11" xfId="0" applyNumberFormat="1" applyFont="1" applyFill="1" applyBorder="1" applyAlignment="1" applyProtection="1"/>
    <xf numFmtId="0" fontId="40" fillId="0" borderId="2" xfId="0" applyNumberFormat="1" applyFont="1" applyFill="1" applyBorder="1" applyAlignment="1" applyProtection="1"/>
    <xf numFmtId="1" fontId="40" fillId="0" borderId="2" xfId="0" applyNumberFormat="1" applyFont="1" applyFill="1" applyBorder="1" applyAlignment="1" applyProtection="1">
      <alignment vertical="center"/>
    </xf>
    <xf numFmtId="1" fontId="44" fillId="0" borderId="0" xfId="0" applyNumberFormat="1" applyFont="1" applyFill="1" applyBorder="1" applyAlignment="1" applyProtection="1">
      <alignment vertical="center"/>
    </xf>
    <xf numFmtId="1" fontId="40" fillId="0" borderId="0" xfId="0" applyNumberFormat="1" applyFont="1" applyFill="1" applyAlignment="1" applyProtection="1">
      <alignment vertical="center"/>
    </xf>
    <xf numFmtId="0" fontId="40" fillId="0" borderId="0" xfId="0" applyNumberFormat="1" applyFont="1" applyFill="1" applyBorder="1" applyAlignment="1" applyProtection="1"/>
    <xf numFmtId="1" fontId="43" fillId="0" borderId="0" xfId="0" applyNumberFormat="1" applyFont="1" applyFill="1" applyBorder="1" applyAlignment="1" applyProtection="1">
      <alignment vertical="center"/>
    </xf>
    <xf numFmtId="1" fontId="46" fillId="0" borderId="0" xfId="0" applyNumberFormat="1" applyFont="1" applyFill="1" applyBorder="1" applyAlignment="1" applyProtection="1">
      <alignment vertical="center"/>
    </xf>
    <xf numFmtId="1" fontId="47" fillId="0" borderId="0" xfId="0" applyNumberFormat="1" applyFont="1" applyFill="1" applyBorder="1" applyAlignment="1" applyProtection="1">
      <alignment vertical="center"/>
    </xf>
    <xf numFmtId="1" fontId="40" fillId="10" borderId="6" xfId="0" applyNumberFormat="1" applyFont="1" applyFill="1" applyBorder="1" applyAlignment="1" applyProtection="1">
      <alignment horizontal="center" vertical="center"/>
      <protection locked="0"/>
    </xf>
    <xf numFmtId="1" fontId="40" fillId="0" borderId="8" xfId="0" applyNumberFormat="1" applyFont="1" applyFill="1" applyBorder="1" applyAlignment="1" applyProtection="1">
      <alignment horizontal="left" vertical="center"/>
    </xf>
    <xf numFmtId="1" fontId="40" fillId="0" borderId="10" xfId="0" applyNumberFormat="1" applyFont="1" applyFill="1" applyBorder="1" applyAlignment="1" applyProtection="1">
      <alignment horizontal="left" vertical="center"/>
    </xf>
    <xf numFmtId="1" fontId="40" fillId="0" borderId="3" xfId="0" applyNumberFormat="1" applyFont="1" applyFill="1" applyBorder="1" applyAlignment="1" applyProtection="1">
      <alignment vertical="center"/>
    </xf>
    <xf numFmtId="1" fontId="40" fillId="0" borderId="7" xfId="0" applyNumberFormat="1" applyFont="1" applyFill="1" applyBorder="1" applyAlignment="1" applyProtection="1">
      <alignment horizontal="left" vertical="center"/>
    </xf>
    <xf numFmtId="1" fontId="40" fillId="0" borderId="9" xfId="0" applyNumberFormat="1" applyFont="1" applyFill="1" applyBorder="1" applyAlignment="1" applyProtection="1">
      <alignment horizontal="left" vertical="center"/>
    </xf>
    <xf numFmtId="1" fontId="40" fillId="0" borderId="9" xfId="0" applyNumberFormat="1" applyFont="1" applyFill="1" applyBorder="1" applyAlignment="1" applyProtection="1">
      <alignment vertical="center"/>
    </xf>
    <xf numFmtId="1" fontId="40" fillId="0" borderId="2" xfId="0" applyNumberFormat="1" applyFont="1" applyFill="1" applyBorder="1" applyAlignment="1" applyProtection="1">
      <alignment horizontal="left" vertical="center"/>
    </xf>
    <xf numFmtId="1" fontId="48" fillId="0" borderId="0" xfId="0" applyNumberFormat="1" applyFont="1" applyFill="1" applyBorder="1" applyAlignment="1" applyProtection="1">
      <alignment horizontal="left" vertical="center"/>
    </xf>
    <xf numFmtId="1" fontId="47" fillId="0" borderId="0" xfId="0" applyNumberFormat="1" applyFont="1" applyFill="1" applyBorder="1" applyAlignment="1" applyProtection="1">
      <alignment horizontal="left" vertical="center"/>
    </xf>
    <xf numFmtId="1" fontId="47" fillId="0" borderId="0" xfId="0" applyNumberFormat="1" applyFont="1" applyFill="1" applyAlignment="1" applyProtection="1">
      <alignment horizontal="left" vertical="center"/>
    </xf>
    <xf numFmtId="0" fontId="40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Alignment="1" applyProtection="1">
      <alignment horizontal="right" vertical="center" indent="2"/>
    </xf>
    <xf numFmtId="0" fontId="49" fillId="0" borderId="0" xfId="0" applyFont="1"/>
    <xf numFmtId="1" fontId="42" fillId="0" borderId="0" xfId="0" applyNumberFormat="1" applyFont="1" applyFill="1" applyAlignment="1" applyProtection="1">
      <alignment horizontal="center" vertical="center"/>
    </xf>
    <xf numFmtId="1" fontId="50" fillId="0" borderId="0" xfId="0" applyNumberFormat="1" applyFont="1" applyBorder="1" applyAlignment="1" applyProtection="1">
      <alignment horizontal="left" vertical="center"/>
    </xf>
    <xf numFmtId="1" fontId="50" fillId="0" borderId="0" xfId="0" applyNumberFormat="1" applyFont="1" applyBorder="1" applyAlignment="1" applyProtection="1">
      <alignment horizontal="center" vertical="center"/>
    </xf>
    <xf numFmtId="1" fontId="50" fillId="0" borderId="0" xfId="0" applyNumberFormat="1" applyFont="1" applyAlignment="1" applyProtection="1">
      <alignment horizontal="left" vertical="center"/>
    </xf>
    <xf numFmtId="1" fontId="50" fillId="0" borderId="0" xfId="0" applyNumberFormat="1" applyFont="1" applyFill="1" applyBorder="1" applyAlignment="1" applyProtection="1">
      <alignment horizontal="left" vertical="center"/>
    </xf>
    <xf numFmtId="1" fontId="51" fillId="0" borderId="0" xfId="0" applyNumberFormat="1" applyFont="1" applyAlignment="1" applyProtection="1">
      <alignment vertical="center"/>
    </xf>
    <xf numFmtId="1" fontId="50" fillId="0" borderId="0" xfId="0" applyNumberFormat="1" applyFont="1" applyAlignment="1" applyProtection="1">
      <alignment horizontal="center" vertical="center"/>
    </xf>
    <xf numFmtId="164" fontId="51" fillId="0" borderId="0" xfId="0" applyNumberFormat="1" applyFont="1" applyAlignment="1" applyProtection="1">
      <alignment vertical="center"/>
    </xf>
    <xf numFmtId="167" fontId="52" fillId="0" borderId="0" xfId="0" applyNumberFormat="1" applyFont="1" applyBorder="1" applyAlignment="1" applyProtection="1">
      <alignment horizontal="center" vertical="center"/>
    </xf>
    <xf numFmtId="1" fontId="53" fillId="0" borderId="0" xfId="0" applyNumberFormat="1" applyFont="1" applyAlignment="1" applyProtection="1">
      <alignment horizontal="center" vertical="center"/>
    </xf>
    <xf numFmtId="166" fontId="53" fillId="0" borderId="0" xfId="0" applyNumberFormat="1" applyFont="1" applyAlignment="1" applyProtection="1">
      <alignment horizontal="center" vertical="center"/>
    </xf>
    <xf numFmtId="0" fontId="50" fillId="0" borderId="0" xfId="0" applyNumberFormat="1" applyFont="1" applyBorder="1" applyAlignment="1" applyProtection="1">
      <alignment horizontal="left" vertical="center"/>
    </xf>
    <xf numFmtId="1" fontId="50" fillId="11" borderId="1" xfId="0" applyNumberFormat="1" applyFont="1" applyFill="1" applyBorder="1" applyAlignment="1" applyProtection="1">
      <alignment horizontal="center" vertical="center"/>
      <protection locked="0"/>
    </xf>
    <xf numFmtId="1" fontId="53" fillId="0" borderId="0" xfId="0" applyNumberFormat="1" applyFont="1" applyBorder="1" applyAlignment="1" applyProtection="1">
      <alignment vertical="center"/>
    </xf>
    <xf numFmtId="1" fontId="50" fillId="0" borderId="9" xfId="0" applyNumberFormat="1" applyFont="1" applyBorder="1" applyAlignment="1" applyProtection="1">
      <alignment horizontal="center" vertical="center"/>
    </xf>
    <xf numFmtId="1" fontId="50" fillId="11" borderId="16" xfId="0" applyNumberFormat="1" applyFont="1" applyFill="1" applyBorder="1" applyAlignment="1" applyProtection="1">
      <alignment horizontal="center" vertical="center"/>
      <protection locked="0"/>
    </xf>
    <xf numFmtId="0" fontId="50" fillId="0" borderId="5" xfId="0" applyNumberFormat="1" applyFont="1" applyFill="1" applyBorder="1" applyAlignment="1" applyProtection="1">
      <alignment horizontal="left" vertical="center"/>
    </xf>
    <xf numFmtId="1" fontId="50" fillId="0" borderId="5" xfId="0" applyNumberFormat="1" applyFont="1" applyFill="1" applyBorder="1" applyAlignment="1" applyProtection="1">
      <alignment horizontal="left" vertical="center"/>
    </xf>
    <xf numFmtId="1" fontId="50" fillId="0" borderId="0" xfId="0" applyNumberFormat="1" applyFont="1" applyFill="1" applyBorder="1" applyAlignment="1" applyProtection="1">
      <alignment horizontal="center" vertical="center"/>
    </xf>
    <xf numFmtId="1" fontId="54" fillId="0" borderId="0" xfId="0" applyNumberFormat="1" applyFont="1" applyFill="1" applyBorder="1" applyAlignment="1" applyProtection="1">
      <alignment horizontal="center" vertical="center"/>
    </xf>
    <xf numFmtId="1" fontId="50" fillId="0" borderId="0" xfId="0" applyNumberFormat="1" applyFont="1" applyBorder="1" applyAlignment="1" applyProtection="1">
      <alignment vertical="center"/>
    </xf>
    <xf numFmtId="0" fontId="50" fillId="0" borderId="11" xfId="0" applyNumberFormat="1" applyFont="1" applyBorder="1" applyAlignment="1" applyProtection="1">
      <alignment horizontal="left"/>
    </xf>
    <xf numFmtId="1" fontId="50" fillId="0" borderId="0" xfId="0" applyNumberFormat="1" applyFont="1" applyFill="1" applyBorder="1" applyAlignment="1" applyProtection="1">
      <alignment vertical="center"/>
    </xf>
    <xf numFmtId="1" fontId="50" fillId="0" borderId="0" xfId="0" applyNumberFormat="1" applyFont="1" applyFill="1" applyBorder="1" applyAlignment="1" applyProtection="1">
      <alignment horizontal="center" vertical="center"/>
      <protection locked="0"/>
    </xf>
    <xf numFmtId="1" fontId="3" fillId="0" borderId="0" xfId="0" applyNumberFormat="1" applyFont="1" applyFill="1" applyBorder="1" applyAlignment="1" applyProtection="1">
      <alignment vertical="center"/>
    </xf>
    <xf numFmtId="1" fontId="49" fillId="0" borderId="0" xfId="0" applyNumberFormat="1" applyFont="1" applyFill="1" applyBorder="1" applyAlignment="1" applyProtection="1">
      <alignment vertical="center"/>
    </xf>
    <xf numFmtId="1" fontId="52" fillId="0" borderId="0" xfId="0" applyNumberFormat="1" applyFont="1" applyFill="1" applyBorder="1" applyAlignment="1" applyProtection="1">
      <alignment vertical="center"/>
    </xf>
    <xf numFmtId="1" fontId="55" fillId="0" borderId="0" xfId="0" applyNumberFormat="1" applyFont="1" applyBorder="1" applyAlignment="1" applyProtection="1">
      <alignment vertical="center"/>
    </xf>
    <xf numFmtId="0" fontId="50" fillId="0" borderId="0" xfId="0" applyNumberFormat="1" applyFont="1" applyFill="1" applyBorder="1" applyAlignment="1" applyProtection="1">
      <alignment horizontal="left" vertical="center"/>
    </xf>
    <xf numFmtId="1" fontId="50" fillId="11" borderId="0" xfId="0" applyNumberFormat="1" applyFont="1" applyFill="1" applyBorder="1" applyAlignment="1" applyProtection="1">
      <alignment vertical="center"/>
    </xf>
    <xf numFmtId="1" fontId="50" fillId="12" borderId="0" xfId="0" applyNumberFormat="1" applyFont="1" applyFill="1" applyAlignment="1" applyProtection="1">
      <alignment horizontal="left" vertical="center"/>
    </xf>
    <xf numFmtId="1" fontId="52" fillId="0" borderId="0" xfId="0" applyNumberFormat="1" applyFont="1" applyBorder="1" applyAlignment="1" applyProtection="1">
      <alignment vertical="center"/>
    </xf>
    <xf numFmtId="0" fontId="50" fillId="0" borderId="11" xfId="0" applyNumberFormat="1" applyFont="1" applyBorder="1" applyAlignment="1" applyProtection="1"/>
    <xf numFmtId="0" fontId="50" fillId="0" borderId="2" xfId="0" applyNumberFormat="1" applyFont="1" applyBorder="1" applyAlignment="1" applyProtection="1"/>
    <xf numFmtId="1" fontId="50" fillId="0" borderId="2" xfId="0" applyNumberFormat="1" applyFont="1" applyBorder="1" applyAlignment="1" applyProtection="1">
      <alignment vertical="center"/>
    </xf>
    <xf numFmtId="0" fontId="50" fillId="0" borderId="12" xfId="0" applyNumberFormat="1" applyFont="1" applyBorder="1" applyAlignment="1" applyProtection="1"/>
    <xf numFmtId="1" fontId="50" fillId="0" borderId="0" xfId="0" applyNumberFormat="1" applyFont="1" applyFill="1" applyAlignment="1" applyProtection="1">
      <alignment vertical="center"/>
    </xf>
    <xf numFmtId="0" fontId="50" fillId="0" borderId="0" xfId="0" applyNumberFormat="1" applyFont="1" applyBorder="1" applyAlignment="1" applyProtection="1"/>
    <xf numFmtId="0" fontId="40" fillId="0" borderId="11" xfId="0" applyNumberFormat="1" applyFont="1" applyBorder="1" applyAlignment="1" applyProtection="1"/>
    <xf numFmtId="0" fontId="50" fillId="0" borderId="0" xfId="0" applyNumberFormat="1" applyFont="1" applyBorder="1" applyAlignment="1" applyProtection="1">
      <alignment horizontal="left"/>
    </xf>
    <xf numFmtId="1" fontId="53" fillId="0" borderId="0" xfId="0" applyNumberFormat="1" applyFont="1" applyAlignment="1" applyProtection="1">
      <alignment vertical="center"/>
    </xf>
    <xf numFmtId="166" fontId="53" fillId="0" borderId="0" xfId="0" applyNumberFormat="1" applyFont="1" applyAlignment="1" applyProtection="1">
      <alignment vertical="center"/>
    </xf>
    <xf numFmtId="168" fontId="55" fillId="0" borderId="0" xfId="0" applyNumberFormat="1" applyFont="1" applyBorder="1" applyAlignment="1" applyProtection="1">
      <alignment vertical="center"/>
    </xf>
    <xf numFmtId="1" fontId="49" fillId="0" borderId="0" xfId="0" applyNumberFormat="1" applyFont="1" applyBorder="1" applyAlignment="1" applyProtection="1">
      <alignment vertical="center"/>
    </xf>
    <xf numFmtId="1" fontId="3" fillId="0" borderId="0" xfId="0" applyNumberFormat="1" applyFont="1" applyBorder="1" applyAlignment="1" applyProtection="1">
      <alignment vertical="center"/>
    </xf>
    <xf numFmtId="169" fontId="55" fillId="0" borderId="0" xfId="0" applyNumberFormat="1" applyFont="1" applyBorder="1" applyAlignment="1" applyProtection="1">
      <alignment horizontal="left" vertical="center"/>
    </xf>
    <xf numFmtId="170" fontId="55" fillId="0" borderId="0" xfId="0" applyNumberFormat="1" applyFont="1" applyBorder="1" applyAlignment="1" applyProtection="1">
      <alignment horizontal="left" vertical="center"/>
    </xf>
    <xf numFmtId="169" fontId="56" fillId="0" borderId="0" xfId="0" applyNumberFormat="1" applyFont="1" applyBorder="1" applyAlignment="1" applyProtection="1">
      <alignment horizontal="left" vertical="center"/>
    </xf>
    <xf numFmtId="170" fontId="56" fillId="0" borderId="0" xfId="0" applyNumberFormat="1" applyFont="1" applyBorder="1" applyAlignment="1" applyProtection="1">
      <alignment horizontal="left" vertical="center"/>
    </xf>
    <xf numFmtId="171" fontId="42" fillId="0" borderId="0" xfId="0" applyNumberFormat="1" applyFont="1" applyFill="1" applyAlignment="1" applyProtection="1">
      <alignment horizontal="center" vertical="center"/>
    </xf>
    <xf numFmtId="1" fontId="50" fillId="0" borderId="0" xfId="0" applyNumberFormat="1" applyFont="1" applyAlignment="1" applyProtection="1">
      <alignment vertical="center"/>
    </xf>
    <xf numFmtId="1" fontId="50" fillId="0" borderId="5" xfId="0" applyNumberFormat="1" applyFont="1" applyFill="1" applyBorder="1" applyAlignment="1" applyProtection="1">
      <alignment horizontal="center" vertical="center"/>
    </xf>
    <xf numFmtId="1" fontId="50" fillId="12" borderId="0" xfId="0" applyNumberFormat="1" applyFont="1" applyFill="1" applyBorder="1" applyAlignment="1" applyProtection="1">
      <alignment vertical="center"/>
    </xf>
    <xf numFmtId="166" fontId="51" fillId="0" borderId="0" xfId="0" applyNumberFormat="1" applyFont="1" applyAlignment="1" applyProtection="1">
      <alignment horizontal="center" vertical="center"/>
    </xf>
    <xf numFmtId="1" fontId="50" fillId="11" borderId="0" xfId="0" applyNumberFormat="1" applyFont="1" applyFill="1" applyBorder="1" applyAlignment="1" applyProtection="1">
      <alignment horizontal="center" vertical="center"/>
      <protection locked="0"/>
    </xf>
    <xf numFmtId="172" fontId="0" fillId="0" borderId="1" xfId="0" applyNumberFormat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9" fillId="0" borderId="5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49" fontId="0" fillId="2" borderId="1" xfId="0" applyNumberFormat="1" applyFill="1" applyBorder="1" applyAlignment="1">
      <alignment horizontal="center"/>
    </xf>
    <xf numFmtId="0" fontId="23" fillId="5" borderId="1" xfId="1" applyFont="1" applyFill="1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35" fillId="0" borderId="0" xfId="0" applyFont="1" applyAlignment="1">
      <alignment horizontal="center"/>
    </xf>
    <xf numFmtId="0" fontId="30" fillId="0" borderId="0" xfId="1" applyFont="1" applyFill="1" applyAlignment="1">
      <alignment horizontal="center" vertical="center"/>
    </xf>
    <xf numFmtId="166" fontId="30" fillId="0" borderId="0" xfId="1" applyNumberFormat="1" applyFont="1" applyFill="1" applyBorder="1" applyAlignment="1">
      <alignment horizontal="center" vertical="center"/>
    </xf>
    <xf numFmtId="0" fontId="27" fillId="0" borderId="7" xfId="1" applyFont="1" applyFill="1" applyBorder="1" applyAlignment="1">
      <alignment horizontal="center" textRotation="90" wrapText="1"/>
    </xf>
    <xf numFmtId="0" fontId="27" fillId="0" borderId="5" xfId="1" applyFont="1" applyFill="1" applyBorder="1" applyAlignment="1">
      <alignment horizontal="center" textRotation="90" wrapText="1"/>
    </xf>
    <xf numFmtId="0" fontId="27" fillId="0" borderId="8" xfId="1" applyFont="1" applyFill="1" applyBorder="1" applyAlignment="1">
      <alignment horizontal="center" textRotation="90" wrapText="1"/>
    </xf>
    <xf numFmtId="0" fontId="27" fillId="0" borderId="9" xfId="1" applyFont="1" applyFill="1" applyBorder="1" applyAlignment="1">
      <alignment horizontal="center" textRotation="90" wrapText="1"/>
    </xf>
    <xf numFmtId="0" fontId="27" fillId="0" borderId="0" xfId="1" applyFont="1" applyFill="1" applyBorder="1" applyAlignment="1">
      <alignment horizontal="center" textRotation="90" wrapText="1"/>
    </xf>
    <xf numFmtId="0" fontId="27" fillId="0" borderId="10" xfId="1" applyFont="1" applyFill="1" applyBorder="1" applyAlignment="1">
      <alignment horizontal="center" textRotation="90" wrapText="1"/>
    </xf>
    <xf numFmtId="0" fontId="27" fillId="0" borderId="2" xfId="1" applyFont="1" applyFill="1" applyBorder="1" applyAlignment="1">
      <alignment horizontal="center" textRotation="90" wrapText="1"/>
    </xf>
    <xf numFmtId="0" fontId="27" fillId="0" borderId="11" xfId="1" applyFont="1" applyFill="1" applyBorder="1" applyAlignment="1">
      <alignment horizontal="center" textRotation="90" wrapText="1"/>
    </xf>
    <xf numFmtId="0" fontId="27" fillId="0" borderId="12" xfId="1" applyFont="1" applyFill="1" applyBorder="1" applyAlignment="1">
      <alignment horizontal="center" textRotation="90" wrapText="1"/>
    </xf>
    <xf numFmtId="0" fontId="33" fillId="0" borderId="9" xfId="1" applyFont="1" applyBorder="1" applyAlignment="1">
      <alignment horizontal="center" vertical="center"/>
    </xf>
    <xf numFmtId="0" fontId="33" fillId="0" borderId="0" xfId="1" applyFont="1" applyAlignment="1">
      <alignment horizontal="center" vertical="center"/>
    </xf>
    <xf numFmtId="0" fontId="21" fillId="0" borderId="4" xfId="1" applyFont="1" applyFill="1" applyBorder="1" applyAlignment="1">
      <alignment horizontal="center" vertical="center" wrapText="1"/>
    </xf>
    <xf numFmtId="0" fontId="21" fillId="0" borderId="13" xfId="1" applyFont="1" applyFill="1" applyBorder="1" applyAlignment="1">
      <alignment horizontal="center" vertical="center" wrapText="1"/>
    </xf>
    <xf numFmtId="0" fontId="21" fillId="0" borderId="6" xfId="1" applyFont="1" applyFill="1" applyBorder="1" applyAlignment="1">
      <alignment horizontal="center" vertical="center" wrapText="1"/>
    </xf>
    <xf numFmtId="0" fontId="21" fillId="0" borderId="4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6" xfId="1" applyFont="1" applyFill="1" applyBorder="1" applyAlignment="1">
      <alignment horizontal="center" vertical="center"/>
    </xf>
    <xf numFmtId="0" fontId="22" fillId="0" borderId="4" xfId="1" applyFont="1" applyFill="1" applyBorder="1" applyAlignment="1">
      <alignment horizontal="center" vertical="center"/>
    </xf>
    <xf numFmtId="0" fontId="22" fillId="0" borderId="13" xfId="1" applyFont="1" applyFill="1" applyBorder="1" applyAlignment="1">
      <alignment horizontal="center" vertical="center"/>
    </xf>
    <xf numFmtId="0" fontId="22" fillId="0" borderId="6" xfId="1" applyFont="1" applyFill="1" applyBorder="1" applyAlignment="1">
      <alignment horizontal="center" vertical="center"/>
    </xf>
    <xf numFmtId="0" fontId="34" fillId="0" borderId="7" xfId="1" applyFont="1" applyFill="1" applyBorder="1" applyAlignment="1">
      <alignment horizontal="center" vertical="center"/>
    </xf>
    <xf numFmtId="0" fontId="34" fillId="0" borderId="5" xfId="1" applyFont="1" applyFill="1" applyBorder="1" applyAlignment="1">
      <alignment horizontal="center" vertical="center"/>
    </xf>
    <xf numFmtId="0" fontId="34" fillId="0" borderId="8" xfId="1" applyFont="1" applyFill="1" applyBorder="1" applyAlignment="1">
      <alignment horizontal="center" vertical="center"/>
    </xf>
    <xf numFmtId="0" fontId="20" fillId="0" borderId="17" xfId="1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3" borderId="1" xfId="0" applyFont="1" applyFill="1" applyBorder="1" applyAlignment="1" applyProtection="1">
      <alignment horizontal="center" vertical="center"/>
    </xf>
    <xf numFmtId="0" fontId="57" fillId="0" borderId="0" xfId="0" applyFont="1" applyAlignment="1" applyProtection="1">
      <alignment horizontal="center" vertical="center"/>
    </xf>
    <xf numFmtId="0" fontId="57" fillId="0" borderId="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164" fontId="3" fillId="0" borderId="0" xfId="0" applyNumberFormat="1" applyFont="1" applyAlignment="1" applyProtection="1">
      <alignment horizontal="left" vertical="center"/>
      <protection locked="0"/>
    </xf>
    <xf numFmtId="165" fontId="3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34" fillId="0" borderId="7" xfId="1" applyFont="1" applyFill="1" applyBorder="1" applyAlignment="1">
      <alignment horizontal="center" vertical="center"/>
    </xf>
    <xf numFmtId="0" fontId="34" fillId="0" borderId="5" xfId="1" applyFont="1" applyFill="1" applyBorder="1" applyAlignment="1">
      <alignment horizontal="center" vertical="center"/>
    </xf>
    <xf numFmtId="0" fontId="34" fillId="0" borderId="8" xfId="1" applyFont="1" applyFill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30" fillId="0" borderId="0" xfId="1" applyFont="1" applyFill="1" applyAlignment="1">
      <alignment horizontal="center" vertical="center"/>
    </xf>
    <xf numFmtId="166" fontId="30" fillId="0" borderId="0" xfId="1" applyNumberFormat="1" applyFont="1" applyFill="1" applyBorder="1" applyAlignment="1">
      <alignment horizontal="center" vertical="center"/>
    </xf>
    <xf numFmtId="0" fontId="27" fillId="0" borderId="7" xfId="1" applyFont="1" applyFill="1" applyBorder="1" applyAlignment="1">
      <alignment horizontal="center" textRotation="90" wrapText="1"/>
    </xf>
    <xf numFmtId="0" fontId="27" fillId="0" borderId="5" xfId="1" applyFont="1" applyFill="1" applyBorder="1" applyAlignment="1">
      <alignment horizontal="center" textRotation="90" wrapText="1"/>
    </xf>
    <xf numFmtId="0" fontId="27" fillId="0" borderId="8" xfId="1" applyFont="1" applyFill="1" applyBorder="1" applyAlignment="1">
      <alignment horizontal="center" textRotation="90" wrapText="1"/>
    </xf>
    <xf numFmtId="0" fontId="27" fillId="0" borderId="9" xfId="1" applyFont="1" applyFill="1" applyBorder="1" applyAlignment="1">
      <alignment horizontal="center" textRotation="90" wrapText="1"/>
    </xf>
    <xf numFmtId="0" fontId="27" fillId="0" borderId="0" xfId="1" applyFont="1" applyFill="1" applyBorder="1" applyAlignment="1">
      <alignment horizontal="center" textRotation="90" wrapText="1"/>
    </xf>
    <xf numFmtId="0" fontId="27" fillId="0" borderId="10" xfId="1" applyFont="1" applyFill="1" applyBorder="1" applyAlignment="1">
      <alignment horizontal="center" textRotation="90" wrapText="1"/>
    </xf>
    <xf numFmtId="0" fontId="27" fillId="0" borderId="2" xfId="1" applyFont="1" applyFill="1" applyBorder="1" applyAlignment="1">
      <alignment horizontal="center" textRotation="90" wrapText="1"/>
    </xf>
    <xf numFmtId="0" fontId="27" fillId="0" borderId="11" xfId="1" applyFont="1" applyFill="1" applyBorder="1" applyAlignment="1">
      <alignment horizontal="center" textRotation="90" wrapText="1"/>
    </xf>
    <xf numFmtId="0" fontId="27" fillId="0" borderId="12" xfId="1" applyFont="1" applyFill="1" applyBorder="1" applyAlignment="1">
      <alignment horizontal="center" textRotation="90" wrapText="1"/>
    </xf>
    <xf numFmtId="0" fontId="33" fillId="0" borderId="9" xfId="1" applyFont="1" applyBorder="1" applyAlignment="1">
      <alignment horizontal="center" vertical="center"/>
    </xf>
    <xf numFmtId="0" fontId="33" fillId="0" borderId="0" xfId="1" applyFont="1" applyAlignment="1">
      <alignment horizontal="center" vertical="center"/>
    </xf>
    <xf numFmtId="0" fontId="21" fillId="0" borderId="4" xfId="1" applyFont="1" applyFill="1" applyBorder="1" applyAlignment="1">
      <alignment horizontal="center" vertical="center" wrapText="1"/>
    </xf>
    <xf numFmtId="0" fontId="21" fillId="0" borderId="13" xfId="1" applyFont="1" applyFill="1" applyBorder="1" applyAlignment="1">
      <alignment horizontal="center" vertical="center" wrapText="1"/>
    </xf>
    <xf numFmtId="0" fontId="21" fillId="0" borderId="6" xfId="1" applyFont="1" applyFill="1" applyBorder="1" applyAlignment="1">
      <alignment horizontal="center" vertical="center" wrapText="1"/>
    </xf>
    <xf numFmtId="0" fontId="21" fillId="0" borderId="4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6" xfId="1" applyFont="1" applyFill="1" applyBorder="1" applyAlignment="1">
      <alignment horizontal="center" vertical="center"/>
    </xf>
    <xf numFmtId="0" fontId="22" fillId="0" borderId="4" xfId="1" applyFont="1" applyFill="1" applyBorder="1" applyAlignment="1">
      <alignment horizontal="center" vertical="center"/>
    </xf>
    <xf numFmtId="0" fontId="22" fillId="0" borderId="13" xfId="1" applyFont="1" applyFill="1" applyBorder="1" applyAlignment="1">
      <alignment horizontal="center" vertical="center"/>
    </xf>
    <xf numFmtId="0" fontId="22" fillId="0" borderId="6" xfId="1" applyFont="1" applyFill="1" applyBorder="1" applyAlignment="1">
      <alignment horizontal="center" vertical="center"/>
    </xf>
    <xf numFmtId="0" fontId="20" fillId="0" borderId="17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" fontId="49" fillId="0" borderId="0" xfId="0" applyNumberFormat="1" applyFont="1" applyBorder="1" applyAlignment="1" applyProtection="1">
      <alignment horizontal="center" vertical="center"/>
    </xf>
    <xf numFmtId="1" fontId="52" fillId="0" borderId="0" xfId="0" applyNumberFormat="1" applyFont="1" applyBorder="1" applyAlignment="1" applyProtection="1">
      <alignment horizontal="center" vertical="center"/>
    </xf>
    <xf numFmtId="1" fontId="53" fillId="0" borderId="0" xfId="0" applyNumberFormat="1" applyFont="1" applyBorder="1" applyAlignment="1" applyProtection="1">
      <alignment horizontal="center" vertical="center"/>
    </xf>
    <xf numFmtId="166" fontId="53" fillId="0" borderId="0" xfId="0" applyNumberFormat="1" applyFont="1" applyAlignment="1" applyProtection="1">
      <alignment horizontal="center" vertical="center"/>
    </xf>
    <xf numFmtId="1" fontId="53" fillId="0" borderId="0" xfId="0" applyNumberFormat="1" applyFont="1" applyAlignment="1" applyProtection="1">
      <alignment horizontal="center" vertical="center"/>
    </xf>
    <xf numFmtId="169" fontId="55" fillId="0" borderId="0" xfId="0" applyNumberFormat="1" applyFont="1" applyBorder="1" applyAlignment="1" applyProtection="1">
      <alignment horizontal="left" vertical="center"/>
    </xf>
    <xf numFmtId="170" fontId="55" fillId="0" borderId="0" xfId="0" applyNumberFormat="1" applyFont="1" applyBorder="1" applyAlignment="1" applyProtection="1">
      <alignment horizontal="left" vertical="center"/>
    </xf>
    <xf numFmtId="1" fontId="55" fillId="0" borderId="0" xfId="0" applyNumberFormat="1" applyFont="1" applyBorder="1" applyAlignment="1" applyProtection="1">
      <alignment horizontal="left" vertical="center"/>
    </xf>
    <xf numFmtId="1" fontId="3" fillId="0" borderId="0" xfId="0" applyNumberFormat="1" applyFont="1" applyBorder="1" applyAlignment="1" applyProtection="1">
      <alignment horizontal="left" vertical="center"/>
    </xf>
    <xf numFmtId="1" fontId="3" fillId="0" borderId="11" xfId="0" applyNumberFormat="1" applyFont="1" applyBorder="1" applyAlignment="1" applyProtection="1">
      <alignment horizontal="left" vertical="center"/>
    </xf>
    <xf numFmtId="169" fontId="55" fillId="0" borderId="0" xfId="0" applyNumberFormat="1" applyFont="1" applyBorder="1" applyAlignment="1" applyProtection="1">
      <alignment horizontal="center" vertical="center"/>
    </xf>
    <xf numFmtId="1" fontId="0" fillId="0" borderId="0" xfId="0" applyNumberFormat="1" applyFont="1" applyBorder="1" applyAlignment="1" applyProtection="1">
      <alignment horizontal="left" vertical="center"/>
    </xf>
    <xf numFmtId="170" fontId="55" fillId="0" borderId="0" xfId="0" applyNumberFormat="1" applyFont="1" applyBorder="1" applyAlignment="1" applyProtection="1">
      <alignment horizontal="center" vertical="center"/>
    </xf>
    <xf numFmtId="1" fontId="43" fillId="0" borderId="0" xfId="0" applyNumberFormat="1" applyFont="1" applyFill="1" applyAlignment="1" applyProtection="1">
      <alignment horizontal="center" vertical="center"/>
    </xf>
    <xf numFmtId="1" fontId="44" fillId="0" borderId="0" xfId="0" applyNumberFormat="1" applyFont="1" applyFill="1" applyBorder="1" applyAlignment="1" applyProtection="1">
      <alignment horizontal="center" vertical="center"/>
    </xf>
    <xf numFmtId="166" fontId="43" fillId="0" borderId="0" xfId="0" applyNumberFormat="1" applyFont="1" applyFill="1" applyAlignment="1" applyProtection="1">
      <alignment horizontal="center" vertical="center"/>
    </xf>
    <xf numFmtId="169" fontId="56" fillId="0" borderId="0" xfId="0" applyNumberFormat="1" applyFont="1" applyBorder="1" applyAlignment="1" applyProtection="1">
      <alignment horizontal="left" vertical="center"/>
    </xf>
    <xf numFmtId="170" fontId="56" fillId="0" borderId="0" xfId="0" applyNumberFormat="1" applyFont="1" applyBorder="1" applyAlignment="1" applyProtection="1">
      <alignment horizontal="left" vertical="center"/>
    </xf>
    <xf numFmtId="1" fontId="56" fillId="0" borderId="0" xfId="0" applyNumberFormat="1" applyFont="1" applyBorder="1" applyAlignment="1" applyProtection="1">
      <alignment horizontal="left" vertical="center"/>
    </xf>
    <xf numFmtId="1" fontId="47" fillId="0" borderId="0" xfId="0" applyNumberFormat="1" applyFont="1" applyFill="1" applyBorder="1" applyAlignment="1" applyProtection="1">
      <alignment horizontal="left" vertical="center"/>
    </xf>
    <xf numFmtId="1" fontId="47" fillId="0" borderId="11" xfId="0" applyNumberFormat="1" applyFont="1" applyFill="1" applyBorder="1" applyAlignment="1" applyProtection="1">
      <alignment horizontal="left" vertical="center"/>
    </xf>
    <xf numFmtId="1" fontId="43" fillId="0" borderId="0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Standard_6er" xfId="2"/>
  </cellStyles>
  <dxfs count="8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4.emf"/><Relationship Id="rId1" Type="http://schemas.openxmlformats.org/officeDocument/2006/relationships/image" Target="../media/image13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15.emf"/><Relationship Id="rId1" Type="http://schemas.openxmlformats.org/officeDocument/2006/relationships/image" Target="../media/image16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17.emf"/><Relationship Id="rId1" Type="http://schemas.openxmlformats.org/officeDocument/2006/relationships/image" Target="../media/image18.emf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19.emf"/><Relationship Id="rId1" Type="http://schemas.openxmlformats.org/officeDocument/2006/relationships/image" Target="../media/image20.emf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1.emf"/><Relationship Id="rId1" Type="http://schemas.openxmlformats.org/officeDocument/2006/relationships/image" Target="../media/image22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11</xdr:row>
          <xdr:rowOff>0</xdr:rowOff>
        </xdr:from>
        <xdr:to>
          <xdr:col>4</xdr:col>
          <xdr:colOff>304800</xdr:colOff>
          <xdr:row>12</xdr:row>
          <xdr:rowOff>9525</xdr:rowOff>
        </xdr:to>
        <xdr:sp macro="" textlink="">
          <xdr:nvSpPr>
            <xdr:cNvPr id="16385" name="CommandButton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13</xdr:row>
          <xdr:rowOff>0</xdr:rowOff>
        </xdr:from>
        <xdr:to>
          <xdr:col>4</xdr:col>
          <xdr:colOff>304800</xdr:colOff>
          <xdr:row>14</xdr:row>
          <xdr:rowOff>9525</xdr:rowOff>
        </xdr:to>
        <xdr:sp macro="" textlink="">
          <xdr:nvSpPr>
            <xdr:cNvPr id="16386" name="CommandButton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14</xdr:row>
          <xdr:rowOff>266700</xdr:rowOff>
        </xdr:from>
        <xdr:to>
          <xdr:col>4</xdr:col>
          <xdr:colOff>304800</xdr:colOff>
          <xdr:row>16</xdr:row>
          <xdr:rowOff>0</xdr:rowOff>
        </xdr:to>
        <xdr:sp macro="" textlink="">
          <xdr:nvSpPr>
            <xdr:cNvPr id="16387" name="CommandButton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17</xdr:row>
          <xdr:rowOff>0</xdr:rowOff>
        </xdr:from>
        <xdr:to>
          <xdr:col>4</xdr:col>
          <xdr:colOff>304800</xdr:colOff>
          <xdr:row>18</xdr:row>
          <xdr:rowOff>9525</xdr:rowOff>
        </xdr:to>
        <xdr:sp macro="" textlink="">
          <xdr:nvSpPr>
            <xdr:cNvPr id="16388" name="CommandButton4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11</xdr:row>
          <xdr:rowOff>0</xdr:rowOff>
        </xdr:from>
        <xdr:to>
          <xdr:col>1</xdr:col>
          <xdr:colOff>476250</xdr:colOff>
          <xdr:row>12</xdr:row>
          <xdr:rowOff>9525</xdr:rowOff>
        </xdr:to>
        <xdr:sp macro="" textlink="">
          <xdr:nvSpPr>
            <xdr:cNvPr id="16389" name="CommandButton5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13</xdr:row>
          <xdr:rowOff>0</xdr:rowOff>
        </xdr:from>
        <xdr:to>
          <xdr:col>1</xdr:col>
          <xdr:colOff>476250</xdr:colOff>
          <xdr:row>14</xdr:row>
          <xdr:rowOff>9525</xdr:rowOff>
        </xdr:to>
        <xdr:sp macro="" textlink="">
          <xdr:nvSpPr>
            <xdr:cNvPr id="16390" name="CommandButton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14</xdr:row>
          <xdr:rowOff>266700</xdr:rowOff>
        </xdr:from>
        <xdr:to>
          <xdr:col>1</xdr:col>
          <xdr:colOff>476250</xdr:colOff>
          <xdr:row>16</xdr:row>
          <xdr:rowOff>0</xdr:rowOff>
        </xdr:to>
        <xdr:sp macro="" textlink="">
          <xdr:nvSpPr>
            <xdr:cNvPr id="16391" name="CommandButton7" hidden="1">
              <a:extLst>
                <a:ext uri="{63B3BB69-23CF-44E3-9099-C40C66FF867C}">
                  <a14:compatExt spid="_x0000_s16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17</xdr:row>
          <xdr:rowOff>0</xdr:rowOff>
        </xdr:from>
        <xdr:to>
          <xdr:col>1</xdr:col>
          <xdr:colOff>476250</xdr:colOff>
          <xdr:row>18</xdr:row>
          <xdr:rowOff>9525</xdr:rowOff>
        </xdr:to>
        <xdr:sp macro="" textlink="">
          <xdr:nvSpPr>
            <xdr:cNvPr id="16392" name="CommandButton8" hidden="1">
              <a:extLst>
                <a:ext uri="{63B3BB69-23CF-44E3-9099-C40C66FF867C}">
                  <a14:compatExt spid="_x0000_s16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361950</xdr:colOff>
          <xdr:row>3</xdr:row>
          <xdr:rowOff>28575</xdr:rowOff>
        </xdr:from>
        <xdr:to>
          <xdr:col>15</xdr:col>
          <xdr:colOff>752475</xdr:colOff>
          <xdr:row>5</xdr:row>
          <xdr:rowOff>38100</xdr:rowOff>
        </xdr:to>
        <xdr:sp macro="" textlink="">
          <xdr:nvSpPr>
            <xdr:cNvPr id="4098" name="Masquer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390525</xdr:colOff>
          <xdr:row>2</xdr:row>
          <xdr:rowOff>209550</xdr:rowOff>
        </xdr:from>
        <xdr:to>
          <xdr:col>16</xdr:col>
          <xdr:colOff>19050</xdr:colOff>
          <xdr:row>4</xdr:row>
          <xdr:rowOff>171450</xdr:rowOff>
        </xdr:to>
        <xdr:sp macro="" textlink="">
          <xdr:nvSpPr>
            <xdr:cNvPr id="5122" name="Masquer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209550</xdr:colOff>
          <xdr:row>2</xdr:row>
          <xdr:rowOff>285750</xdr:rowOff>
        </xdr:from>
        <xdr:to>
          <xdr:col>25</xdr:col>
          <xdr:colOff>600075</xdr:colOff>
          <xdr:row>4</xdr:row>
          <xdr:rowOff>180975</xdr:rowOff>
        </xdr:to>
        <xdr:sp macro="" textlink="">
          <xdr:nvSpPr>
            <xdr:cNvPr id="6146" name="Masquer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228600</xdr:colOff>
          <xdr:row>3</xdr:row>
          <xdr:rowOff>0</xdr:rowOff>
        </xdr:from>
        <xdr:to>
          <xdr:col>25</xdr:col>
          <xdr:colOff>561975</xdr:colOff>
          <xdr:row>4</xdr:row>
          <xdr:rowOff>190500</xdr:rowOff>
        </xdr:to>
        <xdr:sp macro="" textlink="">
          <xdr:nvSpPr>
            <xdr:cNvPr id="3076" name="Masquer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228600</xdr:colOff>
          <xdr:row>12</xdr:row>
          <xdr:rowOff>295275</xdr:rowOff>
        </xdr:from>
        <xdr:to>
          <xdr:col>33</xdr:col>
          <xdr:colOff>228600</xdr:colOff>
          <xdr:row>14</xdr:row>
          <xdr:rowOff>285750</xdr:rowOff>
        </xdr:to>
        <xdr:sp macro="" textlink="">
          <xdr:nvSpPr>
            <xdr:cNvPr id="51201" name="Afficher_FM_Poule_3j" hidden="1">
              <a:extLst>
                <a:ext uri="{63B3BB69-23CF-44E3-9099-C40C66FF867C}">
                  <a14:compatExt spid="_x0000_s5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228600</xdr:colOff>
          <xdr:row>15</xdr:row>
          <xdr:rowOff>152400</xdr:rowOff>
        </xdr:from>
        <xdr:to>
          <xdr:col>33</xdr:col>
          <xdr:colOff>209550</xdr:colOff>
          <xdr:row>16</xdr:row>
          <xdr:rowOff>247650</xdr:rowOff>
        </xdr:to>
        <xdr:sp macro="" textlink="">
          <xdr:nvSpPr>
            <xdr:cNvPr id="51202" name="CommandButton1" hidden="1">
              <a:extLst>
                <a:ext uri="{63B3BB69-23CF-44E3-9099-C40C66FF867C}">
                  <a14:compatExt spid="_x0000_s5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228600</xdr:colOff>
          <xdr:row>12</xdr:row>
          <xdr:rowOff>295275</xdr:rowOff>
        </xdr:from>
        <xdr:to>
          <xdr:col>33</xdr:col>
          <xdr:colOff>228600</xdr:colOff>
          <xdr:row>14</xdr:row>
          <xdr:rowOff>285750</xdr:rowOff>
        </xdr:to>
        <xdr:sp macro="" textlink="">
          <xdr:nvSpPr>
            <xdr:cNvPr id="8195" name="Afficher_FM_Poule_3j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228600</xdr:colOff>
          <xdr:row>15</xdr:row>
          <xdr:rowOff>152400</xdr:rowOff>
        </xdr:from>
        <xdr:to>
          <xdr:col>33</xdr:col>
          <xdr:colOff>209550</xdr:colOff>
          <xdr:row>16</xdr:row>
          <xdr:rowOff>247650</xdr:rowOff>
        </xdr:to>
        <xdr:sp macro="" textlink="">
          <xdr:nvSpPr>
            <xdr:cNvPr id="8196" name="CommandButton1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9525</xdr:colOff>
          <xdr:row>12</xdr:row>
          <xdr:rowOff>295275</xdr:rowOff>
        </xdr:from>
        <xdr:to>
          <xdr:col>37</xdr:col>
          <xdr:colOff>323850</xdr:colOff>
          <xdr:row>14</xdr:row>
          <xdr:rowOff>352425</xdr:rowOff>
        </xdr:to>
        <xdr:sp macro="" textlink="">
          <xdr:nvSpPr>
            <xdr:cNvPr id="9217" name="Afficher_FM_Poule_4j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9525</xdr:colOff>
          <xdr:row>15</xdr:row>
          <xdr:rowOff>209550</xdr:rowOff>
        </xdr:from>
        <xdr:to>
          <xdr:col>37</xdr:col>
          <xdr:colOff>323850</xdr:colOff>
          <xdr:row>16</xdr:row>
          <xdr:rowOff>285750</xdr:rowOff>
        </xdr:to>
        <xdr:sp macro="" textlink="">
          <xdr:nvSpPr>
            <xdr:cNvPr id="9218" name="CommandButton1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</xdr:colOff>
          <xdr:row>11</xdr:row>
          <xdr:rowOff>209550</xdr:rowOff>
        </xdr:from>
        <xdr:to>
          <xdr:col>41</xdr:col>
          <xdr:colOff>38100</xdr:colOff>
          <xdr:row>12</xdr:row>
          <xdr:rowOff>285750</xdr:rowOff>
        </xdr:to>
        <xdr:sp macro="" textlink="">
          <xdr:nvSpPr>
            <xdr:cNvPr id="10241" name="Afficher_FM_Poule_5j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14</xdr:row>
          <xdr:rowOff>76200</xdr:rowOff>
        </xdr:from>
        <xdr:to>
          <xdr:col>41</xdr:col>
          <xdr:colOff>85725</xdr:colOff>
          <xdr:row>15</xdr:row>
          <xdr:rowOff>152400</xdr:rowOff>
        </xdr:to>
        <xdr:sp macro="" textlink="">
          <xdr:nvSpPr>
            <xdr:cNvPr id="10242" name="CommandButton1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361950</xdr:colOff>
          <xdr:row>11</xdr:row>
          <xdr:rowOff>295275</xdr:rowOff>
        </xdr:from>
        <xdr:to>
          <xdr:col>43</xdr:col>
          <xdr:colOff>0</xdr:colOff>
          <xdr:row>14</xdr:row>
          <xdr:rowOff>0</xdr:rowOff>
        </xdr:to>
        <xdr:sp macro="" textlink="">
          <xdr:nvSpPr>
            <xdr:cNvPr id="11265" name="Afficher_FM_Poule_6j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371475</xdr:colOff>
          <xdr:row>14</xdr:row>
          <xdr:rowOff>295275</xdr:rowOff>
        </xdr:from>
        <xdr:to>
          <xdr:col>43</xdr:col>
          <xdr:colOff>0</xdr:colOff>
          <xdr:row>16</xdr:row>
          <xdr:rowOff>9525</xdr:rowOff>
        </xdr:to>
        <xdr:sp macro="" textlink="">
          <xdr:nvSpPr>
            <xdr:cNvPr id="11266" name="CommandButton1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</xdr:row>
          <xdr:rowOff>0</xdr:rowOff>
        </xdr:from>
        <xdr:to>
          <xdr:col>20</xdr:col>
          <xdr:colOff>0</xdr:colOff>
          <xdr:row>5</xdr:row>
          <xdr:rowOff>180975</xdr:rowOff>
        </xdr:to>
        <xdr:sp macro="" textlink="">
          <xdr:nvSpPr>
            <xdr:cNvPr id="38913" name="CommandButton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homas\Tabelle_Sortiere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homas\Tabelle_Sortiere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homas\Excel\Tabelle_Sortiere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homas\Excel\Tabelle_Sortiere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gabe"/>
      <sheetName val="Resultate"/>
      <sheetName val="4er Gruppe"/>
      <sheetName val="Tabelle1"/>
      <sheetName val="Spielplan"/>
      <sheetName val="Tabellenstand"/>
    </sheetNames>
    <sheetDataSet>
      <sheetData sheetId="0">
        <row r="4">
          <cell r="A4">
            <v>13.061304000000002</v>
          </cell>
          <cell r="B4" t="str">
            <v>Thomas</v>
          </cell>
          <cell r="C4">
            <v>50</v>
          </cell>
          <cell r="D4">
            <v>18</v>
          </cell>
          <cell r="E4">
            <v>0</v>
          </cell>
        </row>
        <row r="5">
          <cell r="A5">
            <v>1.1206050000000001</v>
          </cell>
          <cell r="B5" t="str">
            <v>ganz</v>
          </cell>
          <cell r="C5">
            <v>350</v>
          </cell>
          <cell r="D5">
            <v>9</v>
          </cell>
          <cell r="E5">
            <v>5</v>
          </cell>
        </row>
        <row r="6">
          <cell r="A6">
            <v>2.0112059999999996</v>
          </cell>
          <cell r="B6" t="str">
            <v>D</v>
          </cell>
          <cell r="C6">
            <v>150</v>
          </cell>
          <cell r="D6">
            <v>30</v>
          </cell>
          <cell r="E6">
            <v>4</v>
          </cell>
        </row>
        <row r="7">
          <cell r="A7">
            <v>2.0304069999999999</v>
          </cell>
          <cell r="B7" t="str">
            <v>E</v>
          </cell>
          <cell r="C7">
            <v>400</v>
          </cell>
          <cell r="D7">
            <v>24</v>
          </cell>
          <cell r="E7">
            <v>4</v>
          </cell>
        </row>
        <row r="8">
          <cell r="A8">
            <v>2.0601080000000001</v>
          </cell>
          <cell r="B8" t="str">
            <v>F</v>
          </cell>
          <cell r="C8">
            <v>500</v>
          </cell>
          <cell r="D8">
            <v>18</v>
          </cell>
          <cell r="E8">
            <v>4</v>
          </cell>
        </row>
        <row r="9">
          <cell r="A9">
            <v>2.0610089999999999</v>
          </cell>
          <cell r="B9" t="str">
            <v>L</v>
          </cell>
          <cell r="C9">
            <v>200</v>
          </cell>
          <cell r="D9">
            <v>18</v>
          </cell>
          <cell r="E9">
            <v>4</v>
          </cell>
        </row>
        <row r="10">
          <cell r="A10">
            <v>2.0906099999999999</v>
          </cell>
          <cell r="B10" t="str">
            <v>J</v>
          </cell>
          <cell r="C10">
            <v>350</v>
          </cell>
          <cell r="D10">
            <v>15</v>
          </cell>
          <cell r="E10">
            <v>4</v>
          </cell>
        </row>
        <row r="11">
          <cell r="A11">
            <v>2.1203110000000005</v>
          </cell>
          <cell r="B11" t="str">
            <v>B</v>
          </cell>
          <cell r="C11">
            <v>450</v>
          </cell>
          <cell r="D11">
            <v>9</v>
          </cell>
          <cell r="E11">
            <v>4</v>
          </cell>
        </row>
        <row r="12">
          <cell r="A12">
            <v>8.0510120000000001</v>
          </cell>
          <cell r="B12" t="str">
            <v>I</v>
          </cell>
          <cell r="C12">
            <v>200</v>
          </cell>
          <cell r="D12">
            <v>21</v>
          </cell>
          <cell r="E12">
            <v>3</v>
          </cell>
        </row>
        <row r="13">
          <cell r="A13">
            <v>8.0909129999999987</v>
          </cell>
          <cell r="B13" t="str">
            <v>A</v>
          </cell>
          <cell r="C13">
            <v>250</v>
          </cell>
          <cell r="D13">
            <v>15</v>
          </cell>
          <cell r="E13">
            <v>3</v>
          </cell>
        </row>
        <row r="14">
          <cell r="A14">
            <v>10.110113999999999</v>
          </cell>
          <cell r="B14" t="str">
            <v>H</v>
          </cell>
          <cell r="C14">
            <v>500</v>
          </cell>
          <cell r="D14">
            <v>12</v>
          </cell>
          <cell r="E14">
            <v>2</v>
          </cell>
        </row>
        <row r="15">
          <cell r="A15">
            <v>11.020814999999999</v>
          </cell>
          <cell r="B15" t="str">
            <v>G</v>
          </cell>
          <cell r="C15">
            <v>300</v>
          </cell>
          <cell r="D15">
            <v>27</v>
          </cell>
          <cell r="E15">
            <v>1</v>
          </cell>
        </row>
        <row r="16">
          <cell r="A16">
            <v>11.030416000000001</v>
          </cell>
          <cell r="B16" t="str">
            <v>N</v>
          </cell>
          <cell r="C16">
            <v>400</v>
          </cell>
          <cell r="D16">
            <v>24</v>
          </cell>
          <cell r="E16">
            <v>1</v>
          </cell>
        </row>
        <row r="17">
          <cell r="A17" t="str">
            <v>-</v>
          </cell>
          <cell r="C17">
            <v>0</v>
          </cell>
          <cell r="D17">
            <v>0</v>
          </cell>
          <cell r="E17">
            <v>0</v>
          </cell>
        </row>
        <row r="18">
          <cell r="A18" t="str">
            <v>-</v>
          </cell>
        </row>
        <row r="19">
          <cell r="A19" t="str">
            <v>-</v>
          </cell>
        </row>
        <row r="20">
          <cell r="A20" t="str">
            <v>-</v>
          </cell>
        </row>
        <row r="21">
          <cell r="A21" t="str">
            <v>-</v>
          </cell>
        </row>
        <row r="22">
          <cell r="A22" t="str">
            <v>-</v>
          </cell>
        </row>
        <row r="23">
          <cell r="A23" t="str">
            <v>-</v>
          </cell>
        </row>
        <row r="24">
          <cell r="A24" t="str">
            <v>-</v>
          </cell>
        </row>
        <row r="25">
          <cell r="A25" t="str">
            <v>-</v>
          </cell>
        </row>
        <row r="26">
          <cell r="A26" t="str">
            <v>-</v>
          </cell>
        </row>
        <row r="27">
          <cell r="A27" t="str">
            <v>-</v>
          </cell>
        </row>
        <row r="28">
          <cell r="A28" t="str">
            <v>-</v>
          </cell>
        </row>
        <row r="29">
          <cell r="A29" t="str">
            <v>-</v>
          </cell>
        </row>
        <row r="30">
          <cell r="A30" t="str">
            <v>-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gabe"/>
      <sheetName val="Resultate"/>
      <sheetName val="4er Gruppe"/>
      <sheetName val="Tabelle1"/>
      <sheetName val="Spielplan"/>
      <sheetName val="Tabellenstand"/>
    </sheetNames>
    <sheetDataSet>
      <sheetData sheetId="0">
        <row r="4">
          <cell r="A4">
            <v>13.061304000000002</v>
          </cell>
          <cell r="B4" t="str">
            <v>Thomas</v>
          </cell>
          <cell r="C4">
            <v>50</v>
          </cell>
          <cell r="D4">
            <v>18</v>
          </cell>
          <cell r="E4">
            <v>0</v>
          </cell>
        </row>
        <row r="5">
          <cell r="A5">
            <v>1.1206050000000001</v>
          </cell>
          <cell r="B5" t="str">
            <v>ganz</v>
          </cell>
          <cell r="C5">
            <v>350</v>
          </cell>
          <cell r="D5">
            <v>9</v>
          </cell>
          <cell r="E5">
            <v>5</v>
          </cell>
        </row>
        <row r="6">
          <cell r="A6">
            <v>2.0112059999999996</v>
          </cell>
          <cell r="B6" t="str">
            <v>D</v>
          </cell>
          <cell r="C6">
            <v>150</v>
          </cell>
          <cell r="D6">
            <v>30</v>
          </cell>
          <cell r="E6">
            <v>4</v>
          </cell>
        </row>
        <row r="7">
          <cell r="A7">
            <v>2.0304069999999999</v>
          </cell>
          <cell r="B7" t="str">
            <v>E</v>
          </cell>
          <cell r="C7">
            <v>400</v>
          </cell>
          <cell r="D7">
            <v>24</v>
          </cell>
          <cell r="E7">
            <v>4</v>
          </cell>
        </row>
        <row r="8">
          <cell r="A8">
            <v>2.0601080000000001</v>
          </cell>
          <cell r="B8" t="str">
            <v>F</v>
          </cell>
          <cell r="C8">
            <v>500</v>
          </cell>
          <cell r="D8">
            <v>18</v>
          </cell>
          <cell r="E8">
            <v>4</v>
          </cell>
        </row>
        <row r="9">
          <cell r="A9">
            <v>2.0610089999999999</v>
          </cell>
          <cell r="B9" t="str">
            <v>L</v>
          </cell>
          <cell r="C9">
            <v>200</v>
          </cell>
          <cell r="D9">
            <v>18</v>
          </cell>
          <cell r="E9">
            <v>4</v>
          </cell>
        </row>
        <row r="10">
          <cell r="A10">
            <v>2.0906099999999999</v>
          </cell>
          <cell r="B10" t="str">
            <v>J</v>
          </cell>
          <cell r="C10">
            <v>350</v>
          </cell>
          <cell r="D10">
            <v>15</v>
          </cell>
          <cell r="E10">
            <v>4</v>
          </cell>
        </row>
        <row r="11">
          <cell r="A11">
            <v>2.1203110000000005</v>
          </cell>
          <cell r="B11" t="str">
            <v>B</v>
          </cell>
          <cell r="C11">
            <v>450</v>
          </cell>
          <cell r="D11">
            <v>9</v>
          </cell>
          <cell r="E11">
            <v>4</v>
          </cell>
        </row>
        <row r="12">
          <cell r="A12">
            <v>8.0510120000000001</v>
          </cell>
          <cell r="B12" t="str">
            <v>I</v>
          </cell>
          <cell r="C12">
            <v>200</v>
          </cell>
          <cell r="D12">
            <v>21</v>
          </cell>
          <cell r="E12">
            <v>3</v>
          </cell>
        </row>
        <row r="13">
          <cell r="A13">
            <v>8.0909129999999987</v>
          </cell>
          <cell r="B13" t="str">
            <v>A</v>
          </cell>
          <cell r="C13">
            <v>250</v>
          </cell>
          <cell r="D13">
            <v>15</v>
          </cell>
          <cell r="E13">
            <v>3</v>
          </cell>
        </row>
        <row r="14">
          <cell r="A14">
            <v>10.110113999999999</v>
          </cell>
          <cell r="B14" t="str">
            <v>H</v>
          </cell>
          <cell r="C14">
            <v>500</v>
          </cell>
          <cell r="D14">
            <v>12</v>
          </cell>
          <cell r="E14">
            <v>2</v>
          </cell>
        </row>
        <row r="15">
          <cell r="A15">
            <v>11.020814999999999</v>
          </cell>
          <cell r="B15" t="str">
            <v>G</v>
          </cell>
          <cell r="C15">
            <v>300</v>
          </cell>
          <cell r="D15">
            <v>27</v>
          </cell>
          <cell r="E15">
            <v>1</v>
          </cell>
        </row>
        <row r="16">
          <cell r="A16">
            <v>11.030416000000001</v>
          </cell>
          <cell r="B16" t="str">
            <v>N</v>
          </cell>
          <cell r="C16">
            <v>400</v>
          </cell>
          <cell r="D16">
            <v>24</v>
          </cell>
          <cell r="E16">
            <v>1</v>
          </cell>
        </row>
        <row r="17">
          <cell r="A17" t="str">
            <v>-</v>
          </cell>
          <cell r="C17">
            <v>0</v>
          </cell>
          <cell r="D17">
            <v>0</v>
          </cell>
          <cell r="E17">
            <v>0</v>
          </cell>
        </row>
        <row r="18">
          <cell r="A18" t="str">
            <v>-</v>
          </cell>
        </row>
        <row r="19">
          <cell r="A19" t="str">
            <v>-</v>
          </cell>
        </row>
        <row r="20">
          <cell r="A20" t="str">
            <v>-</v>
          </cell>
        </row>
        <row r="21">
          <cell r="A21" t="str">
            <v>-</v>
          </cell>
        </row>
        <row r="22">
          <cell r="A22" t="str">
            <v>-</v>
          </cell>
        </row>
        <row r="23">
          <cell r="A23" t="str">
            <v>-</v>
          </cell>
        </row>
        <row r="24">
          <cell r="A24" t="str">
            <v>-</v>
          </cell>
        </row>
        <row r="25">
          <cell r="A25" t="str">
            <v>-</v>
          </cell>
        </row>
        <row r="26">
          <cell r="A26" t="str">
            <v>-</v>
          </cell>
        </row>
        <row r="27">
          <cell r="A27" t="str">
            <v>-</v>
          </cell>
        </row>
        <row r="28">
          <cell r="A28" t="str">
            <v>-</v>
          </cell>
        </row>
        <row r="29">
          <cell r="A29" t="str">
            <v>-</v>
          </cell>
        </row>
        <row r="30">
          <cell r="A30" t="str">
            <v>-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gabe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gabe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14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14.xml"/><Relationship Id="rId5" Type="http://schemas.openxmlformats.org/officeDocument/2006/relationships/image" Target="../media/image13.emf"/><Relationship Id="rId4" Type="http://schemas.openxmlformats.org/officeDocument/2006/relationships/control" Target="../activeX/activeX1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image" Target="../media/image16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16.xml"/><Relationship Id="rId5" Type="http://schemas.openxmlformats.org/officeDocument/2006/relationships/image" Target="../media/image15.emf"/><Relationship Id="rId4" Type="http://schemas.openxmlformats.org/officeDocument/2006/relationships/control" Target="../activeX/activeX1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image" Target="../media/image18.emf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6" Type="http://schemas.openxmlformats.org/officeDocument/2006/relationships/control" Target="../activeX/activeX18.xml"/><Relationship Id="rId5" Type="http://schemas.openxmlformats.org/officeDocument/2006/relationships/image" Target="../media/image17.emf"/><Relationship Id="rId4" Type="http://schemas.openxmlformats.org/officeDocument/2006/relationships/control" Target="../activeX/activeX1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7" Type="http://schemas.openxmlformats.org/officeDocument/2006/relationships/image" Target="../media/image20.emf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20.xml"/><Relationship Id="rId5" Type="http://schemas.openxmlformats.org/officeDocument/2006/relationships/image" Target="../media/image19.emf"/><Relationship Id="rId4" Type="http://schemas.openxmlformats.org/officeDocument/2006/relationships/control" Target="../activeX/activeX1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7" Type="http://schemas.openxmlformats.org/officeDocument/2006/relationships/image" Target="../media/image22.emf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6" Type="http://schemas.openxmlformats.org/officeDocument/2006/relationships/control" Target="../activeX/activeX22.xml"/><Relationship Id="rId5" Type="http://schemas.openxmlformats.org/officeDocument/2006/relationships/image" Target="../media/image21.emf"/><Relationship Id="rId4" Type="http://schemas.openxmlformats.org/officeDocument/2006/relationships/control" Target="../activeX/activeX2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6" Type="http://schemas.openxmlformats.org/officeDocument/2006/relationships/comments" Target="../comments2.xml"/><Relationship Id="rId5" Type="http://schemas.openxmlformats.org/officeDocument/2006/relationships/image" Target="../media/image23.emf"/><Relationship Id="rId4" Type="http://schemas.openxmlformats.org/officeDocument/2006/relationships/control" Target="../activeX/activeX2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L13"/>
  <sheetViews>
    <sheetView showGridLines="0" workbookViewId="0">
      <selection activeCell="F11" sqref="F11"/>
    </sheetView>
  </sheetViews>
  <sheetFormatPr baseColWidth="10" defaultColWidth="19.7109375" defaultRowHeight="21.75" customHeight="1" x14ac:dyDescent="0.25"/>
  <cols>
    <col min="1" max="1" width="27.5703125" style="6" bestFit="1" customWidth="1"/>
    <col min="2" max="2" width="10.42578125" style="6" customWidth="1"/>
    <col min="3" max="3" width="5.140625" style="6" bestFit="1" customWidth="1"/>
    <col min="4" max="4" width="23.28515625" style="6" customWidth="1"/>
    <col min="5" max="5" width="5.28515625" style="6" customWidth="1"/>
    <col min="6" max="6" width="4.85546875" style="6" customWidth="1"/>
    <col min="7" max="8" width="19.5703125" style="6" customWidth="1"/>
    <col min="9" max="9" width="7" style="6" customWidth="1"/>
    <col min="10" max="10" width="2.5703125" style="6" hidden="1" customWidth="1"/>
    <col min="11" max="11" width="27.140625" style="6" bestFit="1" customWidth="1"/>
    <col min="12" max="12" width="5" style="6" customWidth="1"/>
    <col min="13" max="13" width="21" style="6" bestFit="1" customWidth="1"/>
    <col min="14" max="16384" width="19.7109375" style="6"/>
  </cols>
  <sheetData>
    <row r="1" spans="1:12" s="1" customFormat="1" ht="34.5" customHeight="1" x14ac:dyDescent="0.25">
      <c r="A1" s="1" t="s">
        <v>0</v>
      </c>
      <c r="B1" s="296" t="s">
        <v>345</v>
      </c>
      <c r="C1" s="296"/>
      <c r="D1" s="296"/>
      <c r="E1" s="296"/>
      <c r="F1" s="296"/>
      <c r="K1" s="2"/>
      <c r="L1" s="3"/>
    </row>
    <row r="2" spans="1:12" ht="21.75" customHeight="1" x14ac:dyDescent="0.25">
      <c r="A2" s="1" t="s">
        <v>1</v>
      </c>
      <c r="B2" s="1" t="s">
        <v>2</v>
      </c>
      <c r="C2" s="4" t="str">
        <f>IF(E2="x","","x")</f>
        <v>x</v>
      </c>
      <c r="D2" s="190" t="s">
        <v>3</v>
      </c>
      <c r="E2" s="5"/>
      <c r="H2" s="293" t="str">
        <f>"Simple : "&amp;$B$8&amp;" joueurs"</f>
        <v>Simple : 32 joueurs</v>
      </c>
      <c r="I2" s="293"/>
      <c r="J2" s="293"/>
      <c r="K2" s="293"/>
      <c r="L2" s="293"/>
    </row>
    <row r="3" spans="1:12" ht="21.75" customHeight="1" x14ac:dyDescent="0.25">
      <c r="A3" s="1" t="s">
        <v>4</v>
      </c>
      <c r="B3" s="296" t="s">
        <v>343</v>
      </c>
      <c r="C3" s="296"/>
      <c r="D3" s="296"/>
      <c r="H3" s="7" t="s">
        <v>5</v>
      </c>
      <c r="I3" s="8">
        <f>IF($C$2="x",ROUNDDOWN($B$8/3,0)," ")</f>
        <v>10</v>
      </c>
      <c r="J3" s="9">
        <f>IF($C$2="x",MOD($B$8,3)," ")</f>
        <v>2</v>
      </c>
      <c r="K3" s="10" t="str">
        <f>IF($C$2="x","+ une poule de "&amp;MOD($B$8,3)&amp;" joueur(s)"," ")</f>
        <v>+ une poule de 2 joueur(s)</v>
      </c>
      <c r="L3" s="8">
        <f>IF($C$2="x",IF(J3=0,1,IF(J3&gt;=3,1,0))," ")</f>
        <v>0</v>
      </c>
    </row>
    <row r="4" spans="1:12" ht="21.75" customHeight="1" x14ac:dyDescent="0.25">
      <c r="A4" s="1" t="s">
        <v>6</v>
      </c>
      <c r="B4" s="297">
        <v>43330</v>
      </c>
      <c r="C4" s="297"/>
      <c r="H4" s="11" t="s">
        <v>7</v>
      </c>
      <c r="I4" s="12">
        <f>IF($C$2="x",ROUNDDOWN($B$8/4,0)," ")</f>
        <v>8</v>
      </c>
      <c r="J4" s="9">
        <f>IF($C$2="x",MOD($B$8,4)," ")</f>
        <v>0</v>
      </c>
      <c r="K4" s="13" t="str">
        <f>IF($C$2="x","+ une poule de "&amp;MOD($B$8,4)&amp;" joueur(s)"," ")</f>
        <v>+ une poule de 0 joueur(s)</v>
      </c>
      <c r="L4" s="8">
        <f t="shared" ref="L4:L6" si="0">IF($C$2="x",IF(J4=0,1,IF(J4&gt;=3,1,0))," ")</f>
        <v>1</v>
      </c>
    </row>
    <row r="5" spans="1:12" ht="21.75" customHeight="1" x14ac:dyDescent="0.25">
      <c r="A5" s="1" t="s">
        <v>8</v>
      </c>
      <c r="B5" s="298">
        <v>0.54166666666666663</v>
      </c>
      <c r="C5" s="298"/>
      <c r="H5" s="11" t="s">
        <v>9</v>
      </c>
      <c r="I5" s="12">
        <f>IF($C$2="x",ROUNDDOWN($B$8/5,0)," ")</f>
        <v>6</v>
      </c>
      <c r="J5" s="9">
        <f>IF($C$2="x",MOD($B$8,5)," ")</f>
        <v>2</v>
      </c>
      <c r="K5" s="13" t="str">
        <f>IF($C$2="x","+ une poule de "&amp;MOD($B$8,5)&amp;" joueur(s)"," ")</f>
        <v>+ une poule de 2 joueur(s)</v>
      </c>
      <c r="L5" s="8">
        <f t="shared" si="0"/>
        <v>0</v>
      </c>
    </row>
    <row r="6" spans="1:12" ht="21.75" customHeight="1" x14ac:dyDescent="0.25">
      <c r="A6" s="1" t="s">
        <v>10</v>
      </c>
      <c r="B6" s="298">
        <v>0.75</v>
      </c>
      <c r="C6" s="298"/>
      <c r="H6" s="11" t="s">
        <v>11</v>
      </c>
      <c r="I6" s="12">
        <f>IF($C$2="x",ROUNDDOWN($B$8/6,0)," ")</f>
        <v>5</v>
      </c>
      <c r="J6" s="9">
        <f>IF($C$2="x",MOD($B$8,6)," ")</f>
        <v>2</v>
      </c>
      <c r="K6" s="13" t="str">
        <f>IF($C$2="x","+ une poule de "&amp;MOD($B$8,6)&amp;" joueur(s)"," ")</f>
        <v>+ une poule de 2 joueur(s)</v>
      </c>
      <c r="L6" s="8">
        <f t="shared" si="0"/>
        <v>0</v>
      </c>
    </row>
    <row r="7" spans="1:12" ht="21.75" customHeight="1" x14ac:dyDescent="0.25">
      <c r="L7" s="14"/>
    </row>
    <row r="8" spans="1:12" ht="21.75" customHeight="1" x14ac:dyDescent="0.25">
      <c r="A8" s="6" t="s">
        <v>12</v>
      </c>
      <c r="B8" s="4">
        <f>'Infos joueurs'!$C$1</f>
        <v>32</v>
      </c>
      <c r="C8" s="15">
        <f>ROUNDDOWN(B8/2,0)</f>
        <v>16</v>
      </c>
      <c r="H8" s="293" t="str">
        <f>"Double : "&amp;ROUNDDOWN($B$8/2,0)&amp;" paires"</f>
        <v>Double : 16 paires</v>
      </c>
      <c r="I8" s="293"/>
      <c r="J8" s="293"/>
      <c r="K8" s="293"/>
      <c r="L8" s="293"/>
    </row>
    <row r="9" spans="1:12" ht="21.75" customHeight="1" x14ac:dyDescent="0.25">
      <c r="H9" s="16" t="s">
        <v>13</v>
      </c>
      <c r="I9" s="12" t="str">
        <f>IF($E$2="x",(ROUNDDOWN($B$8/2/3,0))," ")</f>
        <v xml:space="preserve"> </v>
      </c>
      <c r="J9" s="13" t="str">
        <f>IF($E$2="x",MOD($C$8,3)," ")</f>
        <v xml:space="preserve"> </v>
      </c>
      <c r="K9" s="13" t="str">
        <f>IF($E$2="x","+ une poule de "&amp;MOD($C$8,3)&amp;" paire(s)"," ")</f>
        <v xml:space="preserve"> </v>
      </c>
      <c r="L9" s="12" t="str">
        <f>IF($E$2="x",IF(J9=0,1,IF(J9&gt;=3,1,0))," ")</f>
        <v xml:space="preserve"> </v>
      </c>
    </row>
    <row r="10" spans="1:12" ht="21.75" customHeight="1" x14ac:dyDescent="0.25">
      <c r="A10" s="294" t="s">
        <v>344</v>
      </c>
      <c r="B10" s="294"/>
      <c r="C10" s="17"/>
      <c r="D10" s="295" t="s">
        <v>342</v>
      </c>
      <c r="E10" s="295"/>
      <c r="H10" s="16" t="s">
        <v>14</v>
      </c>
      <c r="I10" s="12" t="str">
        <f>IF($E$2="x",(ROUNDDOWN($B$8/2/4,0))," ")</f>
        <v xml:space="preserve"> </v>
      </c>
      <c r="J10" s="13" t="str">
        <f>IF($E$2="x",MOD($C$8,4)," ")</f>
        <v xml:space="preserve"> </v>
      </c>
      <c r="K10" s="13" t="str">
        <f>IF($E$2="x","+ une poule de "&amp;MOD($C$8,4)&amp;" paire(s)"," ")</f>
        <v xml:space="preserve"> </v>
      </c>
      <c r="L10" s="12" t="str">
        <f>IF($E$2="x",IF(J10=0,1,IF(J10&gt;=3,1,0))," ")</f>
        <v xml:space="preserve"> </v>
      </c>
    </row>
    <row r="11" spans="1:12" ht="21.75" customHeight="1" x14ac:dyDescent="0.25">
      <c r="C11" s="17"/>
      <c r="H11" s="16" t="s">
        <v>15</v>
      </c>
      <c r="I11" s="12" t="str">
        <f>IF($E$2="x",(ROUNDDOWN($B$8/2/5,0))," ")</f>
        <v xml:space="preserve"> </v>
      </c>
      <c r="J11" s="13" t="str">
        <f>IF($E$2="x",MOD($C$8,5)," ")</f>
        <v xml:space="preserve"> </v>
      </c>
      <c r="K11" s="13" t="str">
        <f>IF($E$2="x","+ une poule de "&amp;MOD($C$8,5)&amp;" paire(s)"," ")</f>
        <v xml:space="preserve"> </v>
      </c>
      <c r="L11" s="12" t="str">
        <f>IF($E$2="x",IF(J11=0,1,IF(J11&gt;=3,1,0))," ")</f>
        <v xml:space="preserve"> </v>
      </c>
    </row>
    <row r="12" spans="1:12" ht="21.75" customHeight="1" x14ac:dyDescent="0.25">
      <c r="C12" s="17"/>
      <c r="H12" s="16" t="s">
        <v>16</v>
      </c>
      <c r="I12" s="12" t="str">
        <f>IF($E$2="x",(ROUNDDOWN($B$8/2/6,0))," ")</f>
        <v xml:space="preserve"> </v>
      </c>
      <c r="J12" s="13" t="str">
        <f>IF($E$2="x",MOD($C$8,6)," ")</f>
        <v xml:space="preserve"> </v>
      </c>
      <c r="K12" s="13" t="str">
        <f>IF($E$2="x","+ une poule de "&amp;MOD($C$8,6)&amp;" paire(s)"," ")</f>
        <v xml:space="preserve"> </v>
      </c>
      <c r="L12" s="12" t="str">
        <f>IF($E$2="x",IF(J12=0,1,IF(J12&gt;=3,1,0))," ")</f>
        <v xml:space="preserve"> </v>
      </c>
    </row>
    <row r="13" spans="1:12" ht="21.75" customHeight="1" x14ac:dyDescent="0.25">
      <c r="C13" s="17"/>
    </row>
  </sheetData>
  <sheetProtection selectLockedCells="1"/>
  <mergeCells count="9">
    <mergeCell ref="H8:L8"/>
    <mergeCell ref="A10:B10"/>
    <mergeCell ref="D10:E10"/>
    <mergeCell ref="B1:F1"/>
    <mergeCell ref="H2:L2"/>
    <mergeCell ref="B3:D3"/>
    <mergeCell ref="B4:C4"/>
    <mergeCell ref="B5:C5"/>
    <mergeCell ref="B6:C6"/>
  </mergeCells>
  <conditionalFormatting sqref="J3:J6">
    <cfRule type="containsText" dxfId="7" priority="6" operator="containsText" text="une poule de 0 paire(s)">
      <formula>NOT(ISERROR(SEARCH("une poule de 0 paire(s)",J3)))</formula>
    </cfRule>
  </conditionalFormatting>
  <conditionalFormatting sqref="H8:L12">
    <cfRule type="containsText" dxfId="6" priority="3" operator="containsText" text="une poule de 0 paire(s)">
      <formula>NOT(ISERROR(SEARCH("une poule de 0 paire(s)",H8)))</formula>
    </cfRule>
    <cfRule type="expression" dxfId="5" priority="4">
      <formula>IF($E$2="x",0,1)</formula>
    </cfRule>
  </conditionalFormatting>
  <conditionalFormatting sqref="H2:L6">
    <cfRule type="containsText" dxfId="4" priority="1" operator="containsText" text="une poule de 0 joueur(s)">
      <formula>NOT(ISERROR(SEARCH("une poule de 0 joueur(s)",H2)))</formula>
    </cfRule>
    <cfRule type="expression" dxfId="3" priority="2">
      <formula>IF($C$2="x",0,1)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6385" r:id="rId4" name="CommandButton1">
          <controlPr defaultSize="0" autoLine="0" r:id="rId5">
            <anchor moveWithCells="1">
              <from>
                <xdr:col>3</xdr:col>
                <xdr:colOff>95250</xdr:colOff>
                <xdr:row>11</xdr:row>
                <xdr:rowOff>0</xdr:rowOff>
              </from>
              <to>
                <xdr:col>4</xdr:col>
                <xdr:colOff>304800</xdr:colOff>
                <xdr:row>12</xdr:row>
                <xdr:rowOff>9525</xdr:rowOff>
              </to>
            </anchor>
          </controlPr>
        </control>
      </mc:Choice>
      <mc:Fallback>
        <control shapeId="16385" r:id="rId4" name="CommandButton1"/>
      </mc:Fallback>
    </mc:AlternateContent>
    <mc:AlternateContent xmlns:mc="http://schemas.openxmlformats.org/markup-compatibility/2006">
      <mc:Choice Requires="x14">
        <control shapeId="16386" r:id="rId6" name="CommandButton2">
          <controlPr autoLine="0" r:id="rId7">
            <anchor moveWithCells="1">
              <from>
                <xdr:col>3</xdr:col>
                <xdr:colOff>95250</xdr:colOff>
                <xdr:row>13</xdr:row>
                <xdr:rowOff>0</xdr:rowOff>
              </from>
              <to>
                <xdr:col>4</xdr:col>
                <xdr:colOff>304800</xdr:colOff>
                <xdr:row>14</xdr:row>
                <xdr:rowOff>9525</xdr:rowOff>
              </to>
            </anchor>
          </controlPr>
        </control>
      </mc:Choice>
      <mc:Fallback>
        <control shapeId="16386" r:id="rId6" name="CommandButton2"/>
      </mc:Fallback>
    </mc:AlternateContent>
    <mc:AlternateContent xmlns:mc="http://schemas.openxmlformats.org/markup-compatibility/2006">
      <mc:Choice Requires="x14">
        <control shapeId="16387" r:id="rId8" name="CommandButton3">
          <controlPr defaultSize="0" autoLine="0" r:id="rId9">
            <anchor moveWithCells="1">
              <from>
                <xdr:col>3</xdr:col>
                <xdr:colOff>95250</xdr:colOff>
                <xdr:row>14</xdr:row>
                <xdr:rowOff>266700</xdr:rowOff>
              </from>
              <to>
                <xdr:col>4</xdr:col>
                <xdr:colOff>304800</xdr:colOff>
                <xdr:row>16</xdr:row>
                <xdr:rowOff>0</xdr:rowOff>
              </to>
            </anchor>
          </controlPr>
        </control>
      </mc:Choice>
      <mc:Fallback>
        <control shapeId="16387" r:id="rId8" name="CommandButton3"/>
      </mc:Fallback>
    </mc:AlternateContent>
    <mc:AlternateContent xmlns:mc="http://schemas.openxmlformats.org/markup-compatibility/2006">
      <mc:Choice Requires="x14">
        <control shapeId="16388" r:id="rId10" name="CommandButton4">
          <controlPr defaultSize="0" autoLine="0" r:id="rId11">
            <anchor moveWithCells="1">
              <from>
                <xdr:col>3</xdr:col>
                <xdr:colOff>95250</xdr:colOff>
                <xdr:row>17</xdr:row>
                <xdr:rowOff>0</xdr:rowOff>
              </from>
              <to>
                <xdr:col>4</xdr:col>
                <xdr:colOff>304800</xdr:colOff>
                <xdr:row>18</xdr:row>
                <xdr:rowOff>9525</xdr:rowOff>
              </to>
            </anchor>
          </controlPr>
        </control>
      </mc:Choice>
      <mc:Fallback>
        <control shapeId="16388" r:id="rId10" name="CommandButton4"/>
      </mc:Fallback>
    </mc:AlternateContent>
    <mc:AlternateContent xmlns:mc="http://schemas.openxmlformats.org/markup-compatibility/2006">
      <mc:Choice Requires="x14">
        <control shapeId="16389" r:id="rId12" name="CommandButton5">
          <controlPr autoLine="0" r:id="rId13">
            <anchor moveWithCells="1">
              <from>
                <xdr:col>0</xdr:col>
                <xdr:colOff>257175</xdr:colOff>
                <xdr:row>11</xdr:row>
                <xdr:rowOff>0</xdr:rowOff>
              </from>
              <to>
                <xdr:col>1</xdr:col>
                <xdr:colOff>476250</xdr:colOff>
                <xdr:row>12</xdr:row>
                <xdr:rowOff>9525</xdr:rowOff>
              </to>
            </anchor>
          </controlPr>
        </control>
      </mc:Choice>
      <mc:Fallback>
        <control shapeId="16389" r:id="rId12" name="CommandButton5"/>
      </mc:Fallback>
    </mc:AlternateContent>
    <mc:AlternateContent xmlns:mc="http://schemas.openxmlformats.org/markup-compatibility/2006">
      <mc:Choice Requires="x14">
        <control shapeId="16390" r:id="rId14" name="CommandButton6">
          <controlPr autoLine="0" r:id="rId15">
            <anchor moveWithCells="1">
              <from>
                <xdr:col>0</xdr:col>
                <xdr:colOff>257175</xdr:colOff>
                <xdr:row>13</xdr:row>
                <xdr:rowOff>0</xdr:rowOff>
              </from>
              <to>
                <xdr:col>1</xdr:col>
                <xdr:colOff>476250</xdr:colOff>
                <xdr:row>14</xdr:row>
                <xdr:rowOff>9525</xdr:rowOff>
              </to>
            </anchor>
          </controlPr>
        </control>
      </mc:Choice>
      <mc:Fallback>
        <control shapeId="16390" r:id="rId14" name="CommandButton6"/>
      </mc:Fallback>
    </mc:AlternateContent>
    <mc:AlternateContent xmlns:mc="http://schemas.openxmlformats.org/markup-compatibility/2006">
      <mc:Choice Requires="x14">
        <control shapeId="16391" r:id="rId16" name="CommandButton7">
          <controlPr autoLine="0" r:id="rId17">
            <anchor moveWithCells="1">
              <from>
                <xdr:col>0</xdr:col>
                <xdr:colOff>257175</xdr:colOff>
                <xdr:row>14</xdr:row>
                <xdr:rowOff>266700</xdr:rowOff>
              </from>
              <to>
                <xdr:col>1</xdr:col>
                <xdr:colOff>476250</xdr:colOff>
                <xdr:row>16</xdr:row>
                <xdr:rowOff>0</xdr:rowOff>
              </to>
            </anchor>
          </controlPr>
        </control>
      </mc:Choice>
      <mc:Fallback>
        <control shapeId="16391" r:id="rId16" name="CommandButton7"/>
      </mc:Fallback>
    </mc:AlternateContent>
    <mc:AlternateContent xmlns:mc="http://schemas.openxmlformats.org/markup-compatibility/2006">
      <mc:Choice Requires="x14">
        <control shapeId="16392" r:id="rId18" name="CommandButton8">
          <controlPr defaultSize="0" autoLine="0" r:id="rId19">
            <anchor moveWithCells="1">
              <from>
                <xdr:col>0</xdr:col>
                <xdr:colOff>257175</xdr:colOff>
                <xdr:row>17</xdr:row>
                <xdr:rowOff>0</xdr:rowOff>
              </from>
              <to>
                <xdr:col>1</xdr:col>
                <xdr:colOff>476250</xdr:colOff>
                <xdr:row>18</xdr:row>
                <xdr:rowOff>9525</xdr:rowOff>
              </to>
            </anchor>
          </controlPr>
        </control>
      </mc:Choice>
      <mc:Fallback>
        <control shapeId="16392" r:id="rId18" name="CommandButton8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D2B9891E-6501-4742-9635-12DE0E6C7AAA}">
            <x14:iconSet iconSet="3Symbols2" showValue="0" custom="1">
              <x14:cfvo type="percent">
                <xm:f>0</xm:f>
              </x14:cfvo>
              <x14:cfvo type="percent">
                <xm:f>3</xm:f>
              </x14:cfvo>
              <x14:cfvo type="percent">
                <xm:f>3</xm:f>
              </x14:cfvo>
              <x14:cfIcon iconSet="3Symbols2" iconId="0"/>
              <x14:cfIcon iconSet="NoIcons" iconId="0"/>
              <x14:cfIcon iconSet="3Symbols2" iconId="2"/>
            </x14:iconSet>
          </x14:cfRule>
          <xm:sqref>L3:L7 L9:L12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O270"/>
  <sheetViews>
    <sheetView tabSelected="1" topLeftCell="A7" workbookViewId="0">
      <selection activeCell="R17" sqref="R17"/>
    </sheetView>
  </sheetViews>
  <sheetFormatPr baseColWidth="10" defaultRowHeight="15" outlineLevelCol="1" x14ac:dyDescent="0.25"/>
  <cols>
    <col min="1" max="1" width="4" bestFit="1" customWidth="1"/>
    <col min="2" max="2" width="12.42578125" style="18" customWidth="1" outlineLevel="1"/>
    <col min="3" max="3" width="14.7109375" customWidth="1"/>
    <col min="4" max="6" width="17.42578125" customWidth="1"/>
    <col min="7" max="7" width="9" customWidth="1"/>
    <col min="8" max="8" width="10.7109375" hidden="1" customWidth="1" outlineLevel="1"/>
    <col min="9" max="11" width="17.42578125" hidden="1" customWidth="1" outlineLevel="1"/>
    <col min="12" max="12" width="9" hidden="1" customWidth="1" outlineLevel="1"/>
    <col min="13" max="13" width="7.85546875" bestFit="1" customWidth="1" collapsed="1"/>
    <col min="14" max="14" width="11.5703125" customWidth="1"/>
  </cols>
  <sheetData>
    <row r="1" spans="1:15" ht="15" customHeight="1" x14ac:dyDescent="0.25">
      <c r="B1" s="18" t="s">
        <v>17</v>
      </c>
      <c r="C1" s="18">
        <f>COUNTA(B15:B270)</f>
        <v>32</v>
      </c>
      <c r="M1" t="s">
        <v>415</v>
      </c>
    </row>
    <row r="2" spans="1:15" ht="15" customHeight="1" x14ac:dyDescent="0.25">
      <c r="B2" s="24">
        <v>4</v>
      </c>
      <c r="C2" s="248"/>
      <c r="D2" s="304">
        <v>3</v>
      </c>
      <c r="E2" s="307" t="s">
        <v>414</v>
      </c>
      <c r="F2" s="308"/>
      <c r="G2" s="27"/>
      <c r="H2" s="249"/>
      <c r="I2" s="250"/>
      <c r="M2" s="284" t="s">
        <v>416</v>
      </c>
      <c r="N2" s="285">
        <v>0</v>
      </c>
      <c r="O2" s="286">
        <v>8</v>
      </c>
    </row>
    <row r="3" spans="1:15" ht="15" customHeight="1" x14ac:dyDescent="0.25">
      <c r="B3" s="24">
        <v>8</v>
      </c>
      <c r="C3" s="248"/>
      <c r="D3" s="305"/>
      <c r="E3" s="309"/>
      <c r="F3" s="310"/>
      <c r="G3" s="27"/>
      <c r="H3" s="27"/>
      <c r="I3" s="251"/>
      <c r="M3" s="287" t="s">
        <v>417</v>
      </c>
      <c r="N3" s="288">
        <v>9</v>
      </c>
      <c r="O3" s="289">
        <v>10</v>
      </c>
    </row>
    <row r="4" spans="1:15" ht="15" customHeight="1" x14ac:dyDescent="0.25">
      <c r="B4" s="24">
        <v>16</v>
      </c>
      <c r="C4" s="248"/>
      <c r="D4" s="305"/>
      <c r="E4" s="309"/>
      <c r="F4" s="310"/>
      <c r="G4" s="27"/>
      <c r="H4" s="27"/>
      <c r="I4" s="251"/>
      <c r="M4" s="287" t="s">
        <v>419</v>
      </c>
      <c r="N4" s="288">
        <v>11</v>
      </c>
      <c r="O4" s="289">
        <v>12</v>
      </c>
    </row>
    <row r="5" spans="1:15" ht="15" customHeight="1" x14ac:dyDescent="0.25">
      <c r="B5" s="24">
        <v>32</v>
      </c>
      <c r="C5" s="248"/>
      <c r="D5" s="305"/>
      <c r="E5" s="309"/>
      <c r="F5" s="310"/>
      <c r="G5" s="27"/>
      <c r="H5" s="27"/>
      <c r="I5" s="251"/>
      <c r="M5" s="287" t="s">
        <v>418</v>
      </c>
      <c r="N5" s="288">
        <v>13</v>
      </c>
      <c r="O5" s="289">
        <v>14</v>
      </c>
    </row>
    <row r="6" spans="1:15" ht="15" customHeight="1" x14ac:dyDescent="0.25">
      <c r="B6" s="24">
        <v>64</v>
      </c>
      <c r="C6" s="248"/>
      <c r="D6" s="305"/>
      <c r="E6" s="309"/>
      <c r="F6" s="310"/>
      <c r="G6" s="27"/>
      <c r="H6" s="27"/>
      <c r="I6" s="251"/>
      <c r="M6" s="290" t="s">
        <v>413</v>
      </c>
      <c r="N6" s="291">
        <v>15</v>
      </c>
      <c r="O6" s="292">
        <v>17</v>
      </c>
    </row>
    <row r="7" spans="1:15" ht="15" customHeight="1" x14ac:dyDescent="0.25">
      <c r="B7" s="24">
        <v>128</v>
      </c>
      <c r="C7" s="248"/>
      <c r="D7" s="306"/>
      <c r="E7" s="311"/>
      <c r="F7" s="312"/>
      <c r="G7" s="27"/>
      <c r="H7" s="252"/>
      <c r="I7" s="253"/>
    </row>
    <row r="9" spans="1:15" ht="15" customHeight="1" x14ac:dyDescent="0.25">
      <c r="A9" s="299" t="str">
        <f>'Infos générales'!$B$1</f>
        <v>Tournoi non-licencié AVTT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299"/>
    </row>
    <row r="10" spans="1:15" ht="15" customHeight="1" x14ac:dyDescent="0.25">
      <c r="A10" s="299"/>
      <c r="B10" s="299"/>
      <c r="C10" s="299"/>
      <c r="D10" s="299"/>
      <c r="E10" s="299"/>
      <c r="F10" s="299"/>
      <c r="G10" s="299"/>
      <c r="H10" s="299"/>
      <c r="I10" s="299"/>
      <c r="J10" s="299"/>
      <c r="K10" s="299"/>
      <c r="L10" s="299"/>
      <c r="M10" s="299"/>
    </row>
    <row r="11" spans="1:15" ht="15" customHeight="1" x14ac:dyDescent="0.25">
      <c r="A11" s="300">
        <f>'Infos générales'!$B$4</f>
        <v>43330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0"/>
    </row>
    <row r="12" spans="1:15" ht="15" customHeight="1" x14ac:dyDescent="0.25">
      <c r="A12" s="300"/>
      <c r="B12" s="300"/>
      <c r="C12" s="300"/>
      <c r="D12" s="300"/>
      <c r="E12" s="300"/>
      <c r="F12" s="300"/>
      <c r="G12" s="300"/>
      <c r="H12" s="300"/>
      <c r="I12" s="300"/>
      <c r="J12" s="300"/>
      <c r="K12" s="300"/>
      <c r="L12" s="300"/>
      <c r="M12" s="300"/>
    </row>
    <row r="13" spans="1:15" ht="21" customHeight="1" x14ac:dyDescent="0.25">
      <c r="H13" s="301" t="s">
        <v>411</v>
      </c>
      <c r="I13" s="302"/>
      <c r="J13" s="302"/>
      <c r="K13" s="302"/>
      <c r="L13" s="303"/>
    </row>
    <row r="14" spans="1:15" x14ac:dyDescent="0.25">
      <c r="A14" s="19" t="s">
        <v>18</v>
      </c>
      <c r="B14" s="19" t="s">
        <v>19</v>
      </c>
      <c r="C14" s="20" t="s">
        <v>20</v>
      </c>
      <c r="D14" s="20" t="s">
        <v>21</v>
      </c>
      <c r="E14" s="20" t="s">
        <v>22</v>
      </c>
      <c r="F14" s="20" t="s">
        <v>23</v>
      </c>
      <c r="G14" s="20" t="s">
        <v>24</v>
      </c>
      <c r="H14" s="20" t="s">
        <v>20</v>
      </c>
      <c r="I14" s="20" t="s">
        <v>25</v>
      </c>
      <c r="J14" s="20" t="s">
        <v>22</v>
      </c>
      <c r="K14" s="20" t="s">
        <v>23</v>
      </c>
      <c r="L14" s="20" t="s">
        <v>24</v>
      </c>
      <c r="M14" s="20" t="s">
        <v>334</v>
      </c>
    </row>
    <row r="15" spans="1:15" x14ac:dyDescent="0.25">
      <c r="A15" s="21">
        <v>1</v>
      </c>
      <c r="B15" s="22">
        <v>41799</v>
      </c>
      <c r="C15" s="18" t="str">
        <f>IF(DATEDIF(B15,$A$11,"y")&lt;$O$2+1,$M$2,IF(DATEDIF(B15,$A$11,"y")&lt;$O$3+1,$M$3,IF(DATEDIF(B15,$A$11,"y")&lt;$O$4+1,$M$4,IF(DATEDIF(B15,$A$11,"y")&lt;$O$5+1,$M$5,IF(DATEDIF(B15,$A$11,"y")&lt;$O$6+1,$M$6,"")))))</f>
        <v>U9</v>
      </c>
      <c r="D15" s="23" t="s">
        <v>401</v>
      </c>
      <c r="E15" s="23" t="s">
        <v>402</v>
      </c>
      <c r="F15" s="23" t="s">
        <v>340</v>
      </c>
      <c r="G15" s="24"/>
      <c r="H15" s="23"/>
      <c r="I15" s="23"/>
      <c r="J15" s="23"/>
      <c r="K15" s="23"/>
      <c r="L15" s="23"/>
      <c r="M15" s="24"/>
      <c r="N15" t="s">
        <v>26</v>
      </c>
    </row>
    <row r="16" spans="1:15" x14ac:dyDescent="0.25">
      <c r="A16" s="21">
        <v>2</v>
      </c>
      <c r="B16" s="22">
        <v>36590</v>
      </c>
      <c r="C16" s="18" t="str">
        <f t="shared" ref="C16:C46" si="0">IF(DATEDIF(B16,$A$11,"y")&lt;$O$2+1,$M$2,IF(DATEDIF(B16,$A$11,"y")&lt;$O$3+1,$M$3,IF(DATEDIF(B16,$A$11,"y")&lt;$O$4+1,$M$4,IF(DATEDIF(B16,$A$11,"y")&lt;$O$5+1,$M$5,IF(DATEDIF(B16,$A$11,"y")&lt;$O$6+1,$M$6,"")))))</f>
        <v/>
      </c>
      <c r="D16" s="23" t="s">
        <v>347</v>
      </c>
      <c r="E16" s="23" t="s">
        <v>348</v>
      </c>
      <c r="F16" s="23" t="s">
        <v>349</v>
      </c>
      <c r="G16" s="24"/>
      <c r="H16" s="23"/>
      <c r="I16" s="23"/>
      <c r="J16" s="23"/>
      <c r="K16" s="23"/>
      <c r="L16" s="23"/>
      <c r="M16" s="24"/>
      <c r="N16" t="s">
        <v>26</v>
      </c>
    </row>
    <row r="17" spans="1:14" x14ac:dyDescent="0.25">
      <c r="A17" s="21">
        <v>3</v>
      </c>
      <c r="B17" s="22">
        <v>38728</v>
      </c>
      <c r="C17" s="18" t="str">
        <f t="shared" si="0"/>
        <v>U13</v>
      </c>
      <c r="D17" s="23" t="s">
        <v>378</v>
      </c>
      <c r="E17" s="23" t="s">
        <v>379</v>
      </c>
      <c r="F17" s="23" t="s">
        <v>349</v>
      </c>
      <c r="G17" s="24"/>
      <c r="H17" s="23"/>
      <c r="I17" s="23"/>
      <c r="J17" s="23"/>
      <c r="K17" s="23"/>
      <c r="L17" s="23"/>
      <c r="M17" s="24"/>
      <c r="N17" t="s">
        <v>26</v>
      </c>
    </row>
    <row r="18" spans="1:14" x14ac:dyDescent="0.25">
      <c r="A18" s="21">
        <v>4</v>
      </c>
      <c r="B18" s="22">
        <v>39655</v>
      </c>
      <c r="C18" s="18" t="str">
        <f t="shared" si="0"/>
        <v>U11</v>
      </c>
      <c r="D18" s="23" t="s">
        <v>407</v>
      </c>
      <c r="E18" s="23" t="s">
        <v>408</v>
      </c>
      <c r="F18" s="23" t="s">
        <v>341</v>
      </c>
      <c r="G18" s="24"/>
      <c r="H18" s="23"/>
      <c r="I18" s="23"/>
      <c r="J18" s="23"/>
      <c r="K18" s="23"/>
      <c r="L18" s="23"/>
      <c r="M18" s="24"/>
      <c r="N18" t="s">
        <v>26</v>
      </c>
    </row>
    <row r="19" spans="1:14" x14ac:dyDescent="0.25">
      <c r="A19" s="21">
        <v>5</v>
      </c>
      <c r="B19" s="22">
        <v>38059</v>
      </c>
      <c r="C19" s="18" t="str">
        <f t="shared" si="0"/>
        <v>U15</v>
      </c>
      <c r="D19" s="23" t="s">
        <v>363</v>
      </c>
      <c r="E19" s="23" t="s">
        <v>364</v>
      </c>
      <c r="F19" s="23" t="s">
        <v>352</v>
      </c>
      <c r="G19" s="24"/>
      <c r="H19" s="23"/>
      <c r="I19" s="23"/>
      <c r="J19" s="23"/>
      <c r="K19" s="23"/>
      <c r="L19" s="23"/>
      <c r="M19" s="24"/>
      <c r="N19" t="s">
        <v>26</v>
      </c>
    </row>
    <row r="20" spans="1:14" x14ac:dyDescent="0.25">
      <c r="A20" s="21">
        <v>6</v>
      </c>
      <c r="B20" s="22">
        <v>39395</v>
      </c>
      <c r="C20" s="18" t="str">
        <f t="shared" si="0"/>
        <v>U11</v>
      </c>
      <c r="D20" s="23" t="s">
        <v>380</v>
      </c>
      <c r="E20" s="23" t="s">
        <v>381</v>
      </c>
      <c r="F20" s="23" t="s">
        <v>341</v>
      </c>
      <c r="G20" s="24"/>
      <c r="H20" s="23"/>
      <c r="I20" s="23"/>
      <c r="J20" s="23"/>
      <c r="K20" s="23"/>
      <c r="L20" s="23"/>
      <c r="M20" s="24"/>
      <c r="N20" t="s">
        <v>26</v>
      </c>
    </row>
    <row r="21" spans="1:14" x14ac:dyDescent="0.25">
      <c r="A21" s="21">
        <v>7</v>
      </c>
      <c r="B21" s="22">
        <v>37944</v>
      </c>
      <c r="C21" s="18" t="str">
        <f t="shared" si="0"/>
        <v>U15</v>
      </c>
      <c r="D21" s="23" t="s">
        <v>405</v>
      </c>
      <c r="E21" s="23" t="s">
        <v>406</v>
      </c>
      <c r="F21" s="23" t="s">
        <v>352</v>
      </c>
      <c r="G21" s="24"/>
      <c r="H21" s="23"/>
      <c r="I21" s="23"/>
      <c r="J21" s="23"/>
      <c r="K21" s="23"/>
      <c r="L21" s="23"/>
      <c r="M21" s="24"/>
      <c r="N21" t="s">
        <v>26</v>
      </c>
    </row>
    <row r="22" spans="1:14" x14ac:dyDescent="0.25">
      <c r="A22" s="21">
        <v>8</v>
      </c>
      <c r="B22" s="22">
        <v>39639</v>
      </c>
      <c r="C22" s="18" t="str">
        <f t="shared" si="0"/>
        <v>U11</v>
      </c>
      <c r="D22" s="23" t="s">
        <v>397</v>
      </c>
      <c r="E22" s="23" t="s">
        <v>384</v>
      </c>
      <c r="F22" s="23" t="s">
        <v>341</v>
      </c>
      <c r="G22" s="24"/>
      <c r="H22" s="23"/>
      <c r="I22" s="23"/>
      <c r="J22" s="23"/>
      <c r="K22" s="23"/>
      <c r="L22" s="23"/>
      <c r="M22" s="24"/>
      <c r="N22" t="s">
        <v>26</v>
      </c>
    </row>
    <row r="23" spans="1:14" x14ac:dyDescent="0.25">
      <c r="A23" s="21">
        <v>9</v>
      </c>
      <c r="B23" s="22">
        <v>37292</v>
      </c>
      <c r="C23" s="18" t="str">
        <f t="shared" si="0"/>
        <v>U18</v>
      </c>
      <c r="D23" s="23" t="s">
        <v>355</v>
      </c>
      <c r="E23" s="23" t="s">
        <v>356</v>
      </c>
      <c r="F23" s="23" t="s">
        <v>352</v>
      </c>
      <c r="G23" s="24"/>
      <c r="H23" s="23"/>
      <c r="I23" s="23"/>
      <c r="J23" s="23"/>
      <c r="K23" s="23"/>
      <c r="L23" s="23"/>
      <c r="M23" s="24"/>
      <c r="N23" t="s">
        <v>26</v>
      </c>
    </row>
    <row r="24" spans="1:14" x14ac:dyDescent="0.25">
      <c r="A24" s="21">
        <v>10</v>
      </c>
      <c r="B24" s="22">
        <v>36892</v>
      </c>
      <c r="C24" s="18" t="str">
        <f t="shared" si="0"/>
        <v>U18</v>
      </c>
      <c r="D24" s="23" t="s">
        <v>361</v>
      </c>
      <c r="E24" s="23" t="s">
        <v>362</v>
      </c>
      <c r="F24" s="23" t="s">
        <v>352</v>
      </c>
      <c r="G24" s="24"/>
      <c r="H24" s="23"/>
      <c r="I24" s="23"/>
      <c r="J24" s="23"/>
      <c r="K24" s="23"/>
      <c r="L24" s="23"/>
      <c r="M24" s="24"/>
      <c r="N24" t="s">
        <v>26</v>
      </c>
    </row>
    <row r="25" spans="1:14" x14ac:dyDescent="0.25">
      <c r="A25" s="21">
        <v>11</v>
      </c>
      <c r="B25" s="22">
        <v>38546</v>
      </c>
      <c r="C25" s="18" t="str">
        <f t="shared" si="0"/>
        <v>U15</v>
      </c>
      <c r="D25" s="23" t="s">
        <v>383</v>
      </c>
      <c r="E25" s="23" t="s">
        <v>384</v>
      </c>
      <c r="F25" s="23" t="s">
        <v>341</v>
      </c>
      <c r="G25" s="24"/>
      <c r="H25" s="23"/>
      <c r="I25" s="23"/>
      <c r="J25" s="23"/>
      <c r="K25" s="23"/>
      <c r="L25" s="23"/>
      <c r="M25" s="24"/>
      <c r="N25" t="s">
        <v>26</v>
      </c>
    </row>
    <row r="26" spans="1:14" x14ac:dyDescent="0.25">
      <c r="A26" s="21">
        <v>12</v>
      </c>
      <c r="B26" s="22">
        <v>37861</v>
      </c>
      <c r="C26" s="18" t="str">
        <f t="shared" si="0"/>
        <v>U15</v>
      </c>
      <c r="D26" s="23" t="s">
        <v>357</v>
      </c>
      <c r="E26" s="23" t="s">
        <v>358</v>
      </c>
      <c r="F26" s="23" t="s">
        <v>352</v>
      </c>
      <c r="G26" s="24"/>
      <c r="H26" s="23"/>
      <c r="I26" s="23"/>
      <c r="J26" s="23"/>
      <c r="K26" s="23"/>
      <c r="L26" s="23"/>
      <c r="M26" s="24"/>
      <c r="N26" t="s">
        <v>26</v>
      </c>
    </row>
    <row r="27" spans="1:14" x14ac:dyDescent="0.25">
      <c r="A27" s="21">
        <v>13</v>
      </c>
      <c r="B27" s="22">
        <v>37795</v>
      </c>
      <c r="C27" s="18" t="str">
        <f t="shared" si="0"/>
        <v>U18</v>
      </c>
      <c r="D27" s="23" t="s">
        <v>371</v>
      </c>
      <c r="E27" s="23" t="s">
        <v>372</v>
      </c>
      <c r="F27" s="23" t="s">
        <v>349</v>
      </c>
      <c r="G27" s="24"/>
      <c r="H27" s="23"/>
      <c r="I27" s="23"/>
      <c r="J27" s="23"/>
      <c r="K27" s="23"/>
      <c r="L27" s="23"/>
      <c r="M27" s="24"/>
      <c r="N27" t="s">
        <v>26</v>
      </c>
    </row>
    <row r="28" spans="1:14" x14ac:dyDescent="0.25">
      <c r="A28" s="21">
        <v>14</v>
      </c>
      <c r="B28" s="22">
        <v>38194</v>
      </c>
      <c r="C28" s="18" t="str">
        <f t="shared" si="0"/>
        <v>U15</v>
      </c>
      <c r="D28" s="23" t="s">
        <v>353</v>
      </c>
      <c r="E28" s="23" t="s">
        <v>354</v>
      </c>
      <c r="F28" s="23" t="s">
        <v>352</v>
      </c>
      <c r="G28" s="24"/>
      <c r="H28" s="23"/>
      <c r="I28" s="23"/>
      <c r="J28" s="23"/>
      <c r="K28" s="23"/>
      <c r="L28" s="23"/>
      <c r="M28" s="24"/>
      <c r="N28" t="s">
        <v>26</v>
      </c>
    </row>
    <row r="29" spans="1:14" x14ac:dyDescent="0.25">
      <c r="A29" s="21">
        <v>15</v>
      </c>
      <c r="B29" s="22">
        <v>38124</v>
      </c>
      <c r="C29" s="18" t="str">
        <f t="shared" si="0"/>
        <v>U15</v>
      </c>
      <c r="D29" s="23" t="s">
        <v>375</v>
      </c>
      <c r="E29" s="23" t="s">
        <v>376</v>
      </c>
      <c r="F29" s="23" t="s">
        <v>377</v>
      </c>
      <c r="G29" s="24"/>
      <c r="H29" s="23"/>
      <c r="I29" s="23"/>
      <c r="J29" s="23"/>
      <c r="K29" s="23"/>
      <c r="L29" s="23"/>
      <c r="M29" s="24"/>
      <c r="N29" t="s">
        <v>26</v>
      </c>
    </row>
    <row r="30" spans="1:14" x14ac:dyDescent="0.25">
      <c r="A30" s="21">
        <v>16</v>
      </c>
      <c r="B30" s="22">
        <v>38297</v>
      </c>
      <c r="C30" s="18" t="str">
        <f t="shared" si="0"/>
        <v>U15</v>
      </c>
      <c r="D30" s="23" t="s">
        <v>385</v>
      </c>
      <c r="E30" s="23" t="s">
        <v>386</v>
      </c>
      <c r="F30" s="23" t="s">
        <v>377</v>
      </c>
      <c r="G30" s="24"/>
      <c r="H30" s="23"/>
      <c r="I30" s="23"/>
      <c r="J30" s="23"/>
      <c r="K30" s="23"/>
      <c r="L30" s="23"/>
      <c r="M30" s="24"/>
      <c r="N30" t="s">
        <v>26</v>
      </c>
    </row>
    <row r="31" spans="1:14" x14ac:dyDescent="0.25">
      <c r="A31" s="21">
        <v>17</v>
      </c>
      <c r="B31" s="22">
        <v>38217</v>
      </c>
      <c r="C31" s="18" t="str">
        <f t="shared" si="0"/>
        <v>U15</v>
      </c>
      <c r="D31" s="23" t="s">
        <v>382</v>
      </c>
      <c r="E31" s="23" t="s">
        <v>366</v>
      </c>
      <c r="F31" s="23" t="s">
        <v>341</v>
      </c>
      <c r="G31" s="24"/>
      <c r="H31" s="23"/>
      <c r="I31" s="23"/>
      <c r="J31" s="23"/>
      <c r="K31" s="23"/>
      <c r="L31" s="23"/>
      <c r="M31" s="24"/>
    </row>
    <row r="32" spans="1:14" x14ac:dyDescent="0.25">
      <c r="A32" s="21">
        <v>18</v>
      </c>
      <c r="B32" s="22">
        <v>38068</v>
      </c>
      <c r="C32" s="18" t="str">
        <f t="shared" si="0"/>
        <v>U15</v>
      </c>
      <c r="D32" s="23" t="s">
        <v>359</v>
      </c>
      <c r="E32" s="23" t="s">
        <v>360</v>
      </c>
      <c r="F32" s="23" t="s">
        <v>349</v>
      </c>
      <c r="G32" s="24"/>
      <c r="H32" s="23"/>
      <c r="I32" s="23"/>
      <c r="J32" s="23"/>
      <c r="K32" s="23"/>
      <c r="L32" s="23"/>
      <c r="M32" s="24"/>
    </row>
    <row r="33" spans="1:13" x14ac:dyDescent="0.25">
      <c r="A33" s="21">
        <v>19</v>
      </c>
      <c r="B33" s="22">
        <v>37867</v>
      </c>
      <c r="C33" s="18" t="str">
        <f t="shared" si="0"/>
        <v>U15</v>
      </c>
      <c r="D33" s="23" t="s">
        <v>373</v>
      </c>
      <c r="E33" s="23" t="s">
        <v>374</v>
      </c>
      <c r="F33" s="23" t="s">
        <v>349</v>
      </c>
      <c r="G33" s="24"/>
      <c r="H33" s="23"/>
      <c r="I33" s="23"/>
      <c r="J33" s="23"/>
      <c r="K33" s="23"/>
      <c r="L33" s="23"/>
      <c r="M33" s="24"/>
    </row>
    <row r="34" spans="1:13" x14ac:dyDescent="0.25">
      <c r="A34" s="21">
        <v>20</v>
      </c>
      <c r="B34" s="22">
        <v>38911</v>
      </c>
      <c r="C34" s="18" t="str">
        <f t="shared" si="0"/>
        <v>U13</v>
      </c>
      <c r="D34" s="23" t="s">
        <v>387</v>
      </c>
      <c r="E34" s="23" t="s">
        <v>388</v>
      </c>
      <c r="F34" s="23" t="s">
        <v>341</v>
      </c>
      <c r="G34" s="24"/>
      <c r="H34" s="23"/>
      <c r="I34" s="23"/>
      <c r="J34" s="23"/>
      <c r="K34" s="23"/>
      <c r="L34" s="23"/>
      <c r="M34" s="24"/>
    </row>
    <row r="35" spans="1:13" x14ac:dyDescent="0.25">
      <c r="A35" s="21">
        <v>21</v>
      </c>
      <c r="B35" s="22">
        <v>38042</v>
      </c>
      <c r="C35" s="18" t="str">
        <f t="shared" si="0"/>
        <v>U15</v>
      </c>
      <c r="D35" s="23" t="s">
        <v>350</v>
      </c>
      <c r="E35" s="23" t="s">
        <v>351</v>
      </c>
      <c r="F35" s="23" t="s">
        <v>352</v>
      </c>
      <c r="G35" s="24"/>
      <c r="H35" s="23"/>
      <c r="I35" s="23"/>
      <c r="J35" s="23"/>
      <c r="K35" s="23"/>
      <c r="L35" s="23"/>
      <c r="M35" s="24"/>
    </row>
    <row r="36" spans="1:13" x14ac:dyDescent="0.25">
      <c r="A36" s="21">
        <v>22</v>
      </c>
      <c r="B36" s="22">
        <v>39422</v>
      </c>
      <c r="C36" s="18" t="str">
        <f t="shared" si="0"/>
        <v>U11</v>
      </c>
      <c r="D36" s="23" t="s">
        <v>389</v>
      </c>
      <c r="E36" s="23" t="s">
        <v>390</v>
      </c>
      <c r="F36" s="23" t="s">
        <v>341</v>
      </c>
      <c r="G36" s="24"/>
      <c r="H36" s="23"/>
      <c r="I36" s="23"/>
      <c r="J36" s="23"/>
      <c r="K36" s="23"/>
      <c r="L36" s="23"/>
      <c r="M36" s="24"/>
    </row>
    <row r="37" spans="1:13" x14ac:dyDescent="0.25">
      <c r="A37" s="21">
        <v>23</v>
      </c>
      <c r="B37" s="22">
        <v>38966</v>
      </c>
      <c r="C37" s="18" t="str">
        <f t="shared" si="0"/>
        <v>U13</v>
      </c>
      <c r="D37" s="23" t="s">
        <v>398</v>
      </c>
      <c r="E37" s="23" t="s">
        <v>374</v>
      </c>
      <c r="F37" s="23" t="s">
        <v>352</v>
      </c>
      <c r="G37" s="24"/>
      <c r="H37" s="23"/>
      <c r="I37" s="23"/>
      <c r="J37" s="23"/>
      <c r="K37" s="23"/>
      <c r="L37" s="23"/>
      <c r="M37" s="24"/>
    </row>
    <row r="38" spans="1:13" x14ac:dyDescent="0.25">
      <c r="A38" s="21">
        <v>24</v>
      </c>
      <c r="B38" s="22">
        <v>39330</v>
      </c>
      <c r="C38" s="18" t="str">
        <f t="shared" si="0"/>
        <v>U11</v>
      </c>
      <c r="D38" s="23" t="s">
        <v>369</v>
      </c>
      <c r="E38" s="23" t="s">
        <v>370</v>
      </c>
      <c r="F38" s="23" t="s">
        <v>349</v>
      </c>
      <c r="G38" s="24"/>
      <c r="H38" s="23"/>
      <c r="I38" s="23"/>
      <c r="J38" s="23"/>
      <c r="K38" s="23"/>
      <c r="L38" s="23"/>
      <c r="M38" s="24"/>
    </row>
    <row r="39" spans="1:13" x14ac:dyDescent="0.25">
      <c r="A39" s="21">
        <v>25</v>
      </c>
      <c r="B39" s="22">
        <v>39771</v>
      </c>
      <c r="C39" s="18" t="str">
        <f t="shared" si="0"/>
        <v>U11</v>
      </c>
      <c r="D39" s="23" t="s">
        <v>395</v>
      </c>
      <c r="E39" s="23" t="s">
        <v>396</v>
      </c>
      <c r="F39" s="23" t="s">
        <v>341</v>
      </c>
      <c r="G39" s="24"/>
      <c r="H39" s="23"/>
      <c r="I39" s="23"/>
      <c r="J39" s="23"/>
      <c r="K39" s="23"/>
      <c r="L39" s="23"/>
      <c r="M39" s="24"/>
    </row>
    <row r="40" spans="1:13" x14ac:dyDescent="0.25">
      <c r="A40" s="21">
        <v>26</v>
      </c>
      <c r="B40" s="22">
        <v>37537</v>
      </c>
      <c r="C40" s="18" t="str">
        <f t="shared" si="0"/>
        <v>U18</v>
      </c>
      <c r="D40" s="23" t="s">
        <v>403</v>
      </c>
      <c r="E40" s="23" t="s">
        <v>404</v>
      </c>
      <c r="F40" s="23" t="s">
        <v>341</v>
      </c>
      <c r="G40" s="24"/>
      <c r="H40" s="23"/>
      <c r="I40" s="23"/>
      <c r="J40" s="23"/>
      <c r="K40" s="23"/>
      <c r="L40" s="23"/>
      <c r="M40" s="24"/>
    </row>
    <row r="41" spans="1:13" x14ac:dyDescent="0.25">
      <c r="A41" s="21">
        <v>27</v>
      </c>
      <c r="B41" s="22">
        <v>37725</v>
      </c>
      <c r="C41" s="18" t="str">
        <f t="shared" si="0"/>
        <v>U18</v>
      </c>
      <c r="D41" s="23" t="s">
        <v>365</v>
      </c>
      <c r="E41" s="23" t="s">
        <v>366</v>
      </c>
      <c r="F41" s="23" t="s">
        <v>340</v>
      </c>
      <c r="G41" s="24"/>
      <c r="H41" s="23"/>
      <c r="I41" s="23"/>
      <c r="J41" s="23"/>
      <c r="K41" s="23"/>
      <c r="L41" s="23"/>
      <c r="M41" s="24"/>
    </row>
    <row r="42" spans="1:13" x14ac:dyDescent="0.25">
      <c r="A42" s="21">
        <v>28</v>
      </c>
      <c r="B42" s="22">
        <v>38503</v>
      </c>
      <c r="C42" s="18" t="str">
        <f t="shared" si="0"/>
        <v>U15</v>
      </c>
      <c r="D42" s="23" t="s">
        <v>393</v>
      </c>
      <c r="E42" s="23" t="s">
        <v>394</v>
      </c>
      <c r="F42" s="23" t="s">
        <v>340</v>
      </c>
      <c r="G42" s="24"/>
      <c r="H42" s="23"/>
      <c r="I42" s="23"/>
      <c r="J42" s="23"/>
      <c r="K42" s="23"/>
      <c r="L42" s="23"/>
      <c r="M42" s="24"/>
    </row>
    <row r="43" spans="1:13" x14ac:dyDescent="0.25">
      <c r="A43" s="21">
        <v>29</v>
      </c>
      <c r="B43" s="22">
        <v>38773</v>
      </c>
      <c r="C43" s="18" t="str">
        <f t="shared" si="0"/>
        <v>U13</v>
      </c>
      <c r="D43" s="23" t="s">
        <v>391</v>
      </c>
      <c r="E43" s="23" t="s">
        <v>392</v>
      </c>
      <c r="F43" s="23" t="s">
        <v>340</v>
      </c>
      <c r="G43" s="24"/>
      <c r="H43" s="23"/>
      <c r="I43" s="23"/>
      <c r="J43" s="23"/>
      <c r="K43" s="23"/>
      <c r="L43" s="23"/>
      <c r="M43" s="24"/>
    </row>
    <row r="44" spans="1:13" x14ac:dyDescent="0.25">
      <c r="A44" s="21">
        <v>30</v>
      </c>
      <c r="B44" s="22">
        <v>38706</v>
      </c>
      <c r="C44" s="18" t="str">
        <f t="shared" si="0"/>
        <v>U13</v>
      </c>
      <c r="D44" s="23" t="s">
        <v>367</v>
      </c>
      <c r="E44" s="23" t="s">
        <v>368</v>
      </c>
      <c r="F44" s="23" t="s">
        <v>349</v>
      </c>
      <c r="G44" s="24"/>
      <c r="H44" s="23"/>
      <c r="I44" s="23"/>
      <c r="J44" s="23"/>
      <c r="K44" s="23"/>
      <c r="L44" s="23"/>
      <c r="M44" s="24"/>
    </row>
    <row r="45" spans="1:13" x14ac:dyDescent="0.25">
      <c r="A45" s="21">
        <v>31</v>
      </c>
      <c r="B45" s="22">
        <v>37047</v>
      </c>
      <c r="C45" s="18" t="str">
        <f t="shared" si="0"/>
        <v>U18</v>
      </c>
      <c r="D45" s="23" t="s">
        <v>409</v>
      </c>
      <c r="E45" s="23" t="s">
        <v>410</v>
      </c>
      <c r="F45" s="23" t="s">
        <v>377</v>
      </c>
      <c r="G45" s="24"/>
      <c r="H45" s="23"/>
      <c r="I45" s="23"/>
      <c r="J45" s="23"/>
      <c r="K45" s="23"/>
      <c r="L45" s="23"/>
      <c r="M45" s="24"/>
    </row>
    <row r="46" spans="1:13" x14ac:dyDescent="0.25">
      <c r="A46" s="21">
        <v>32</v>
      </c>
      <c r="B46" s="22">
        <v>38884</v>
      </c>
      <c r="C46" s="18" t="str">
        <f t="shared" si="0"/>
        <v>U13</v>
      </c>
      <c r="D46" s="23" t="s">
        <v>399</v>
      </c>
      <c r="E46" s="23" t="s">
        <v>400</v>
      </c>
      <c r="F46" s="23" t="s">
        <v>341</v>
      </c>
      <c r="G46" s="24"/>
      <c r="H46" s="23"/>
      <c r="I46" s="23"/>
      <c r="J46" s="23"/>
      <c r="K46" s="23"/>
      <c r="L46" s="23"/>
      <c r="M46" s="24"/>
    </row>
    <row r="47" spans="1:13" x14ac:dyDescent="0.25">
      <c r="A47" s="21">
        <v>33</v>
      </c>
      <c r="B47" s="22"/>
      <c r="C47" s="247"/>
      <c r="D47" s="23"/>
      <c r="E47" s="23"/>
      <c r="F47" s="23"/>
      <c r="G47" s="24"/>
      <c r="H47" s="23"/>
      <c r="I47" s="23"/>
      <c r="J47" s="23"/>
      <c r="K47" s="23"/>
      <c r="L47" s="23"/>
      <c r="M47" s="24"/>
    </row>
    <row r="48" spans="1:13" x14ac:dyDescent="0.25">
      <c r="A48" s="21">
        <v>34</v>
      </c>
      <c r="B48" s="22"/>
      <c r="C48" s="247"/>
      <c r="D48" s="23"/>
      <c r="E48" s="23"/>
      <c r="F48" s="23"/>
      <c r="G48" s="24"/>
      <c r="H48" s="23"/>
      <c r="I48" s="23"/>
      <c r="J48" s="23"/>
      <c r="K48" s="23"/>
      <c r="L48" s="23"/>
      <c r="M48" s="24"/>
    </row>
    <row r="49" spans="1:13" x14ac:dyDescent="0.25">
      <c r="A49" s="21">
        <v>35</v>
      </c>
      <c r="B49" s="22"/>
      <c r="C49" s="247" t="str">
        <f t="shared" ref="C49:C79" si="1">IF(B49&gt;0,$A$11-B49," ")</f>
        <v xml:space="preserve"> </v>
      </c>
      <c r="D49" s="23"/>
      <c r="E49" s="23"/>
      <c r="F49" s="23"/>
      <c r="G49" s="24"/>
      <c r="H49" s="23"/>
      <c r="I49" s="23"/>
      <c r="J49" s="23"/>
      <c r="K49" s="23"/>
      <c r="L49" s="23"/>
      <c r="M49" s="24"/>
    </row>
    <row r="50" spans="1:13" x14ac:dyDescent="0.25">
      <c r="A50" s="21">
        <v>36</v>
      </c>
      <c r="B50" s="22"/>
      <c r="C50" s="247" t="str">
        <f t="shared" si="1"/>
        <v xml:space="preserve"> </v>
      </c>
      <c r="D50" s="23"/>
      <c r="E50" s="23"/>
      <c r="F50" s="23"/>
      <c r="G50" s="24"/>
      <c r="H50" s="23"/>
      <c r="I50" s="23"/>
      <c r="J50" s="23"/>
      <c r="K50" s="23"/>
      <c r="L50" s="23"/>
      <c r="M50" s="24"/>
    </row>
    <row r="51" spans="1:13" x14ac:dyDescent="0.25">
      <c r="A51" s="21">
        <v>37</v>
      </c>
      <c r="B51" s="22"/>
      <c r="C51" s="247" t="str">
        <f t="shared" si="1"/>
        <v xml:space="preserve"> </v>
      </c>
      <c r="D51" s="23"/>
      <c r="E51" s="23"/>
      <c r="F51" s="23"/>
      <c r="G51" s="24"/>
      <c r="H51" s="23"/>
      <c r="I51" s="23"/>
      <c r="J51" s="23"/>
      <c r="K51" s="23"/>
      <c r="L51" s="23"/>
      <c r="M51" s="24"/>
    </row>
    <row r="52" spans="1:13" x14ac:dyDescent="0.25">
      <c r="A52" s="21">
        <v>38</v>
      </c>
      <c r="B52" s="22"/>
      <c r="C52" s="247" t="str">
        <f t="shared" si="1"/>
        <v xml:space="preserve"> </v>
      </c>
      <c r="D52" s="23"/>
      <c r="E52" s="23"/>
      <c r="F52" s="23"/>
      <c r="G52" s="24"/>
      <c r="H52" s="23"/>
      <c r="I52" s="23"/>
      <c r="J52" s="23"/>
      <c r="K52" s="23"/>
      <c r="L52" s="23"/>
      <c r="M52" s="24"/>
    </row>
    <row r="53" spans="1:13" x14ac:dyDescent="0.25">
      <c r="A53" s="21">
        <v>39</v>
      </c>
      <c r="B53" s="22"/>
      <c r="C53" s="247" t="str">
        <f t="shared" si="1"/>
        <v xml:space="preserve"> </v>
      </c>
      <c r="D53" s="23"/>
      <c r="E53" s="23"/>
      <c r="F53" s="23"/>
      <c r="G53" s="24"/>
      <c r="H53" s="23"/>
      <c r="I53" s="23"/>
      <c r="J53" s="23"/>
      <c r="K53" s="23"/>
      <c r="L53" s="23"/>
      <c r="M53" s="24"/>
    </row>
    <row r="54" spans="1:13" x14ac:dyDescent="0.25">
      <c r="A54" s="21">
        <v>40</v>
      </c>
      <c r="B54" s="22"/>
      <c r="C54" s="247" t="str">
        <f t="shared" si="1"/>
        <v xml:space="preserve"> </v>
      </c>
      <c r="D54" s="23"/>
      <c r="E54" s="23"/>
      <c r="F54" s="23"/>
      <c r="G54" s="24"/>
      <c r="H54" s="23"/>
      <c r="I54" s="23"/>
      <c r="J54" s="23"/>
      <c r="K54" s="23"/>
      <c r="L54" s="23"/>
      <c r="M54" s="24"/>
    </row>
    <row r="55" spans="1:13" x14ac:dyDescent="0.25">
      <c r="A55" s="21">
        <v>41</v>
      </c>
      <c r="B55" s="22"/>
      <c r="C55" s="247" t="str">
        <f t="shared" si="1"/>
        <v xml:space="preserve"> </v>
      </c>
      <c r="D55" s="23"/>
      <c r="E55" s="23"/>
      <c r="F55" s="23"/>
      <c r="G55" s="24"/>
      <c r="H55" s="23"/>
      <c r="I55" s="23"/>
      <c r="J55" s="23"/>
      <c r="K55" s="23"/>
      <c r="L55" s="23"/>
      <c r="M55" s="24"/>
    </row>
    <row r="56" spans="1:13" x14ac:dyDescent="0.25">
      <c r="A56" s="21">
        <v>42</v>
      </c>
      <c r="B56" s="22"/>
      <c r="C56" s="247" t="str">
        <f t="shared" si="1"/>
        <v xml:space="preserve"> </v>
      </c>
      <c r="D56" s="23"/>
      <c r="E56" s="23"/>
      <c r="F56" s="23"/>
      <c r="G56" s="24"/>
      <c r="H56" s="23"/>
      <c r="I56" s="23"/>
      <c r="J56" s="23"/>
      <c r="K56" s="23"/>
      <c r="L56" s="23"/>
      <c r="M56" s="24"/>
    </row>
    <row r="57" spans="1:13" x14ac:dyDescent="0.25">
      <c r="A57" s="21">
        <v>43</v>
      </c>
      <c r="B57" s="22"/>
      <c r="C57" s="247" t="str">
        <f t="shared" si="1"/>
        <v xml:space="preserve"> </v>
      </c>
      <c r="D57" s="23"/>
      <c r="E57" s="23"/>
      <c r="F57" s="23"/>
      <c r="G57" s="24"/>
      <c r="H57" s="23"/>
      <c r="I57" s="23"/>
      <c r="J57" s="23"/>
      <c r="K57" s="23"/>
      <c r="L57" s="23"/>
      <c r="M57" s="24"/>
    </row>
    <row r="58" spans="1:13" x14ac:dyDescent="0.25">
      <c r="A58" s="21">
        <v>44</v>
      </c>
      <c r="B58" s="22"/>
      <c r="C58" s="247" t="str">
        <f t="shared" si="1"/>
        <v xml:space="preserve"> </v>
      </c>
      <c r="D58" s="23"/>
      <c r="E58" s="23"/>
      <c r="F58" s="23"/>
      <c r="G58" s="24"/>
      <c r="H58" s="23"/>
      <c r="I58" s="23"/>
      <c r="J58" s="23"/>
      <c r="K58" s="23"/>
      <c r="L58" s="23"/>
      <c r="M58" s="24"/>
    </row>
    <row r="59" spans="1:13" x14ac:dyDescent="0.25">
      <c r="A59" s="21">
        <v>45</v>
      </c>
      <c r="B59" s="22"/>
      <c r="C59" s="247" t="str">
        <f t="shared" si="1"/>
        <v xml:space="preserve"> </v>
      </c>
      <c r="D59" s="23"/>
      <c r="E59" s="23"/>
      <c r="F59" s="23"/>
      <c r="G59" s="24"/>
      <c r="H59" s="23"/>
      <c r="I59" s="23"/>
      <c r="J59" s="23"/>
      <c r="K59" s="23"/>
      <c r="L59" s="23"/>
      <c r="M59" s="24"/>
    </row>
    <row r="60" spans="1:13" x14ac:dyDescent="0.25">
      <c r="A60" s="21">
        <v>46</v>
      </c>
      <c r="B60" s="22"/>
      <c r="C60" s="247" t="str">
        <f t="shared" si="1"/>
        <v xml:space="preserve"> </v>
      </c>
      <c r="D60" s="23"/>
      <c r="E60" s="23"/>
      <c r="F60" s="23"/>
      <c r="G60" s="24"/>
      <c r="H60" s="23"/>
      <c r="I60" s="23"/>
      <c r="J60" s="23"/>
      <c r="K60" s="23"/>
      <c r="L60" s="23"/>
      <c r="M60" s="24"/>
    </row>
    <row r="61" spans="1:13" x14ac:dyDescent="0.25">
      <c r="A61" s="21">
        <v>47</v>
      </c>
      <c r="B61" s="22"/>
      <c r="C61" s="247" t="str">
        <f t="shared" si="1"/>
        <v xml:space="preserve"> </v>
      </c>
      <c r="D61" s="23"/>
      <c r="E61" s="23"/>
      <c r="F61" s="23"/>
      <c r="G61" s="24"/>
      <c r="H61" s="23"/>
      <c r="I61" s="23"/>
      <c r="J61" s="23"/>
      <c r="K61" s="23"/>
      <c r="L61" s="23"/>
      <c r="M61" s="24"/>
    </row>
    <row r="62" spans="1:13" x14ac:dyDescent="0.25">
      <c r="A62" s="21">
        <v>48</v>
      </c>
      <c r="B62" s="22"/>
      <c r="C62" s="247" t="str">
        <f t="shared" si="1"/>
        <v xml:space="preserve"> </v>
      </c>
      <c r="D62" s="23"/>
      <c r="E62" s="23"/>
      <c r="F62" s="23"/>
      <c r="G62" s="24"/>
      <c r="H62" s="23"/>
      <c r="I62" s="23"/>
      <c r="J62" s="23"/>
      <c r="K62" s="23"/>
      <c r="L62" s="23"/>
      <c r="M62" s="24"/>
    </row>
    <row r="63" spans="1:13" x14ac:dyDescent="0.25">
      <c r="A63" s="21">
        <v>49</v>
      </c>
      <c r="B63" s="22"/>
      <c r="C63" s="247" t="str">
        <f t="shared" si="1"/>
        <v xml:space="preserve"> </v>
      </c>
      <c r="D63" s="23"/>
      <c r="E63" s="23"/>
      <c r="F63" s="23"/>
      <c r="G63" s="24"/>
      <c r="H63" s="23"/>
      <c r="I63" s="23"/>
      <c r="J63" s="23"/>
      <c r="K63" s="23"/>
      <c r="L63" s="23"/>
      <c r="M63" s="24"/>
    </row>
    <row r="64" spans="1:13" x14ac:dyDescent="0.25">
      <c r="A64" s="21">
        <v>50</v>
      </c>
      <c r="B64" s="22"/>
      <c r="C64" s="247" t="str">
        <f t="shared" si="1"/>
        <v xml:space="preserve"> </v>
      </c>
      <c r="D64" s="23"/>
      <c r="E64" s="23"/>
      <c r="F64" s="23"/>
      <c r="G64" s="24"/>
      <c r="H64" s="23"/>
      <c r="I64" s="23"/>
      <c r="J64" s="23"/>
      <c r="K64" s="23"/>
      <c r="L64" s="23"/>
      <c r="M64" s="24"/>
    </row>
    <row r="65" spans="1:13" x14ac:dyDescent="0.25">
      <c r="A65" s="21">
        <v>51</v>
      </c>
      <c r="B65" s="22"/>
      <c r="C65" s="247" t="str">
        <f t="shared" si="1"/>
        <v xml:space="preserve"> </v>
      </c>
      <c r="D65" s="23"/>
      <c r="E65" s="23"/>
      <c r="F65" s="23"/>
      <c r="G65" s="24"/>
      <c r="H65" s="23"/>
      <c r="I65" s="23"/>
      <c r="J65" s="23"/>
      <c r="K65" s="23"/>
      <c r="L65" s="23"/>
      <c r="M65" s="24"/>
    </row>
    <row r="66" spans="1:13" x14ac:dyDescent="0.25">
      <c r="A66" s="21">
        <v>52</v>
      </c>
      <c r="B66" s="22"/>
      <c r="C66" s="247" t="str">
        <f t="shared" si="1"/>
        <v xml:space="preserve"> </v>
      </c>
      <c r="D66" s="23"/>
      <c r="E66" s="23"/>
      <c r="F66" s="23"/>
      <c r="G66" s="24"/>
      <c r="H66" s="23"/>
      <c r="I66" s="23"/>
      <c r="J66" s="23"/>
      <c r="K66" s="23"/>
      <c r="L66" s="23"/>
      <c r="M66" s="24"/>
    </row>
    <row r="67" spans="1:13" x14ac:dyDescent="0.25">
      <c r="A67" s="21">
        <v>53</v>
      </c>
      <c r="B67" s="22"/>
      <c r="C67" s="247" t="str">
        <f t="shared" si="1"/>
        <v xml:space="preserve"> </v>
      </c>
      <c r="D67" s="23"/>
      <c r="E67" s="23"/>
      <c r="F67" s="23"/>
      <c r="G67" s="24"/>
      <c r="H67" s="23"/>
      <c r="I67" s="23"/>
      <c r="J67" s="23"/>
      <c r="K67" s="23"/>
      <c r="L67" s="23"/>
      <c r="M67" s="24"/>
    </row>
    <row r="68" spans="1:13" x14ac:dyDescent="0.25">
      <c r="A68" s="21">
        <v>54</v>
      </c>
      <c r="B68" s="22"/>
      <c r="C68" s="247" t="str">
        <f t="shared" si="1"/>
        <v xml:space="preserve"> </v>
      </c>
      <c r="D68" s="23"/>
      <c r="E68" s="23"/>
      <c r="F68" s="23"/>
      <c r="G68" s="24"/>
      <c r="H68" s="23"/>
      <c r="I68" s="23"/>
      <c r="J68" s="23"/>
      <c r="K68" s="23"/>
      <c r="L68" s="23"/>
      <c r="M68" s="24"/>
    </row>
    <row r="69" spans="1:13" x14ac:dyDescent="0.25">
      <c r="A69" s="21">
        <v>55</v>
      </c>
      <c r="B69" s="22"/>
      <c r="C69" s="247" t="str">
        <f t="shared" si="1"/>
        <v xml:space="preserve"> </v>
      </c>
      <c r="D69" s="23"/>
      <c r="E69" s="23"/>
      <c r="F69" s="23"/>
      <c r="G69" s="24"/>
      <c r="H69" s="23"/>
      <c r="I69" s="23"/>
      <c r="J69" s="23"/>
      <c r="K69" s="23"/>
      <c r="L69" s="23"/>
      <c r="M69" s="24"/>
    </row>
    <row r="70" spans="1:13" x14ac:dyDescent="0.25">
      <c r="A70" s="21">
        <v>56</v>
      </c>
      <c r="B70" s="22"/>
      <c r="C70" s="247" t="str">
        <f t="shared" si="1"/>
        <v xml:space="preserve"> </v>
      </c>
      <c r="D70" s="23"/>
      <c r="E70" s="23"/>
      <c r="F70" s="23"/>
      <c r="G70" s="24"/>
      <c r="H70" s="23"/>
      <c r="I70" s="23"/>
      <c r="J70" s="23"/>
      <c r="K70" s="23"/>
      <c r="L70" s="23"/>
      <c r="M70" s="24"/>
    </row>
    <row r="71" spans="1:13" x14ac:dyDescent="0.25">
      <c r="A71" s="21">
        <v>57</v>
      </c>
      <c r="B71" s="22"/>
      <c r="C71" s="247" t="str">
        <f t="shared" si="1"/>
        <v xml:space="preserve"> </v>
      </c>
      <c r="D71" s="23"/>
      <c r="E71" s="23"/>
      <c r="F71" s="23"/>
      <c r="G71" s="24"/>
      <c r="H71" s="23"/>
      <c r="I71" s="23"/>
      <c r="J71" s="23"/>
      <c r="K71" s="23"/>
      <c r="L71" s="23"/>
      <c r="M71" s="24"/>
    </row>
    <row r="72" spans="1:13" x14ac:dyDescent="0.25">
      <c r="A72" s="21">
        <v>58</v>
      </c>
      <c r="B72" s="22"/>
      <c r="C72" s="247" t="str">
        <f t="shared" si="1"/>
        <v xml:space="preserve"> </v>
      </c>
      <c r="D72" s="23"/>
      <c r="E72" s="23"/>
      <c r="F72" s="23"/>
      <c r="G72" s="24"/>
      <c r="H72" s="23"/>
      <c r="I72" s="23"/>
      <c r="J72" s="23"/>
      <c r="K72" s="23"/>
      <c r="L72" s="23"/>
      <c r="M72" s="24"/>
    </row>
    <row r="73" spans="1:13" x14ac:dyDescent="0.25">
      <c r="A73" s="21">
        <v>59</v>
      </c>
      <c r="B73" s="22"/>
      <c r="C73" s="247" t="str">
        <f t="shared" si="1"/>
        <v xml:space="preserve"> </v>
      </c>
      <c r="D73" s="23"/>
      <c r="E73" s="23"/>
      <c r="F73" s="23"/>
      <c r="G73" s="24"/>
      <c r="H73" s="23"/>
      <c r="I73" s="23"/>
      <c r="J73" s="23"/>
      <c r="K73" s="23"/>
      <c r="L73" s="23"/>
      <c r="M73" s="24"/>
    </row>
    <row r="74" spans="1:13" x14ac:dyDescent="0.25">
      <c r="A74" s="21">
        <v>60</v>
      </c>
      <c r="B74" s="22"/>
      <c r="C74" s="247" t="str">
        <f t="shared" si="1"/>
        <v xml:space="preserve"> </v>
      </c>
      <c r="D74" s="23"/>
      <c r="E74" s="23"/>
      <c r="F74" s="23"/>
      <c r="G74" s="24"/>
      <c r="H74" s="23"/>
      <c r="I74" s="23"/>
      <c r="J74" s="23"/>
      <c r="K74" s="23"/>
      <c r="L74" s="23"/>
      <c r="M74" s="24"/>
    </row>
    <row r="75" spans="1:13" x14ac:dyDescent="0.25">
      <c r="A75" s="21">
        <v>61</v>
      </c>
      <c r="B75" s="22"/>
      <c r="C75" s="247" t="str">
        <f t="shared" si="1"/>
        <v xml:space="preserve"> </v>
      </c>
      <c r="D75" s="23"/>
      <c r="E75" s="23"/>
      <c r="F75" s="23"/>
      <c r="G75" s="24"/>
      <c r="H75" s="23"/>
      <c r="I75" s="23"/>
      <c r="J75" s="23"/>
      <c r="K75" s="23"/>
      <c r="L75" s="23"/>
      <c r="M75" s="24"/>
    </row>
    <row r="76" spans="1:13" x14ac:dyDescent="0.25">
      <c r="A76" s="21">
        <v>62</v>
      </c>
      <c r="B76" s="22"/>
      <c r="C76" s="247" t="str">
        <f t="shared" si="1"/>
        <v xml:space="preserve"> </v>
      </c>
      <c r="D76" s="23"/>
      <c r="E76" s="23"/>
      <c r="F76" s="23"/>
      <c r="G76" s="24"/>
      <c r="H76" s="23"/>
      <c r="I76" s="23"/>
      <c r="J76" s="23"/>
      <c r="K76" s="23"/>
      <c r="L76" s="23"/>
      <c r="M76" s="24"/>
    </row>
    <row r="77" spans="1:13" x14ac:dyDescent="0.25">
      <c r="A77" s="21">
        <v>63</v>
      </c>
      <c r="B77" s="22"/>
      <c r="C77" s="247" t="str">
        <f t="shared" si="1"/>
        <v xml:space="preserve"> </v>
      </c>
      <c r="D77" s="23"/>
      <c r="E77" s="23"/>
      <c r="F77" s="23"/>
      <c r="G77" s="24"/>
      <c r="H77" s="23"/>
      <c r="I77" s="23"/>
      <c r="J77" s="23"/>
      <c r="K77" s="23"/>
      <c r="L77" s="23"/>
      <c r="M77" s="24"/>
    </row>
    <row r="78" spans="1:13" x14ac:dyDescent="0.25">
      <c r="A78" s="21">
        <v>64</v>
      </c>
      <c r="B78" s="22"/>
      <c r="C78" s="247" t="str">
        <f t="shared" si="1"/>
        <v xml:space="preserve"> </v>
      </c>
      <c r="D78" s="23"/>
      <c r="E78" s="23"/>
      <c r="F78" s="23"/>
      <c r="G78" s="24"/>
      <c r="H78" s="23"/>
      <c r="I78" s="23"/>
      <c r="J78" s="23"/>
      <c r="K78" s="23"/>
      <c r="L78" s="23"/>
      <c r="M78" s="24"/>
    </row>
    <row r="79" spans="1:13" x14ac:dyDescent="0.25">
      <c r="A79" s="21">
        <v>65</v>
      </c>
      <c r="B79" s="22"/>
      <c r="C79" s="247" t="str">
        <f t="shared" si="1"/>
        <v xml:space="preserve"> </v>
      </c>
      <c r="D79" s="23"/>
      <c r="E79" s="23"/>
      <c r="F79" s="23"/>
      <c r="G79" s="24"/>
      <c r="H79" s="23"/>
      <c r="I79" s="23"/>
      <c r="J79" s="23"/>
      <c r="K79" s="23"/>
      <c r="L79" s="23"/>
      <c r="M79" s="24"/>
    </row>
    <row r="80" spans="1:13" x14ac:dyDescent="0.25">
      <c r="A80" s="21">
        <v>66</v>
      </c>
      <c r="B80" s="22"/>
      <c r="C80" s="247" t="str">
        <f t="shared" ref="C80:C143" si="2">IF(B80&gt;0,$A$11-B80," ")</f>
        <v xml:space="preserve"> </v>
      </c>
      <c r="D80" s="23"/>
      <c r="E80" s="23"/>
      <c r="F80" s="23"/>
      <c r="G80" s="24"/>
      <c r="H80" s="23"/>
      <c r="I80" s="23"/>
      <c r="J80" s="23"/>
      <c r="K80" s="23"/>
      <c r="L80" s="23"/>
      <c r="M80" s="24"/>
    </row>
    <row r="81" spans="1:13" x14ac:dyDescent="0.25">
      <c r="A81" s="21">
        <v>67</v>
      </c>
      <c r="B81" s="22"/>
      <c r="C81" s="247" t="str">
        <f t="shared" si="2"/>
        <v xml:space="preserve"> </v>
      </c>
      <c r="D81" s="23"/>
      <c r="E81" s="23"/>
      <c r="F81" s="23"/>
      <c r="G81" s="24"/>
      <c r="H81" s="23"/>
      <c r="I81" s="23"/>
      <c r="J81" s="23"/>
      <c r="K81" s="23"/>
      <c r="L81" s="23"/>
      <c r="M81" s="24"/>
    </row>
    <row r="82" spans="1:13" x14ac:dyDescent="0.25">
      <c r="A82" s="21">
        <v>68</v>
      </c>
      <c r="B82" s="22"/>
      <c r="C82" s="247" t="str">
        <f t="shared" si="2"/>
        <v xml:space="preserve"> </v>
      </c>
      <c r="D82" s="23"/>
      <c r="E82" s="23"/>
      <c r="F82" s="23"/>
      <c r="G82" s="24"/>
      <c r="H82" s="23"/>
      <c r="I82" s="23"/>
      <c r="J82" s="23"/>
      <c r="K82" s="23"/>
      <c r="L82" s="23"/>
      <c r="M82" s="24"/>
    </row>
    <row r="83" spans="1:13" x14ac:dyDescent="0.25">
      <c r="A83" s="21">
        <v>69</v>
      </c>
      <c r="B83" s="22"/>
      <c r="C83" s="247" t="str">
        <f t="shared" si="2"/>
        <v xml:space="preserve"> </v>
      </c>
      <c r="D83" s="23"/>
      <c r="E83" s="23"/>
      <c r="F83" s="23"/>
      <c r="G83" s="24"/>
      <c r="H83" s="23"/>
      <c r="I83" s="23"/>
      <c r="J83" s="23"/>
      <c r="K83" s="23"/>
      <c r="L83" s="23"/>
      <c r="M83" s="24"/>
    </row>
    <row r="84" spans="1:13" x14ac:dyDescent="0.25">
      <c r="A84" s="21">
        <v>70</v>
      </c>
      <c r="B84" s="22"/>
      <c r="C84" s="247" t="str">
        <f t="shared" si="2"/>
        <v xml:space="preserve"> </v>
      </c>
      <c r="D84" s="23"/>
      <c r="E84" s="23"/>
      <c r="F84" s="23"/>
      <c r="G84" s="24"/>
      <c r="H84" s="23"/>
      <c r="I84" s="23"/>
      <c r="J84" s="23"/>
      <c r="K84" s="23"/>
      <c r="L84" s="23"/>
      <c r="M84" s="24"/>
    </row>
    <row r="85" spans="1:13" x14ac:dyDescent="0.25">
      <c r="A85" s="21">
        <v>71</v>
      </c>
      <c r="B85" s="22"/>
      <c r="C85" s="247" t="str">
        <f t="shared" si="2"/>
        <v xml:space="preserve"> </v>
      </c>
      <c r="D85" s="23"/>
      <c r="E85" s="23"/>
      <c r="F85" s="23"/>
      <c r="G85" s="24"/>
      <c r="H85" s="23"/>
      <c r="I85" s="23"/>
      <c r="J85" s="23"/>
      <c r="K85" s="23"/>
      <c r="L85" s="23"/>
      <c r="M85" s="24"/>
    </row>
    <row r="86" spans="1:13" x14ac:dyDescent="0.25">
      <c r="A86" s="21">
        <v>72</v>
      </c>
      <c r="B86" s="22"/>
      <c r="C86" s="247" t="str">
        <f t="shared" si="2"/>
        <v xml:space="preserve"> </v>
      </c>
      <c r="D86" s="23"/>
      <c r="E86" s="23"/>
      <c r="F86" s="23"/>
      <c r="G86" s="24"/>
      <c r="H86" s="23"/>
      <c r="I86" s="23"/>
      <c r="J86" s="23"/>
      <c r="K86" s="23"/>
      <c r="L86" s="23"/>
      <c r="M86" s="24"/>
    </row>
    <row r="87" spans="1:13" x14ac:dyDescent="0.25">
      <c r="A87" s="21">
        <v>73</v>
      </c>
      <c r="B87" s="22"/>
      <c r="C87" s="247" t="str">
        <f t="shared" si="2"/>
        <v xml:space="preserve"> </v>
      </c>
      <c r="D87" s="23"/>
      <c r="E87" s="23"/>
      <c r="F87" s="23"/>
      <c r="G87" s="24"/>
      <c r="H87" s="23"/>
      <c r="I87" s="23"/>
      <c r="J87" s="23"/>
      <c r="K87" s="23"/>
      <c r="L87" s="23"/>
      <c r="M87" s="24"/>
    </row>
    <row r="88" spans="1:13" x14ac:dyDescent="0.25">
      <c r="A88" s="21">
        <v>74</v>
      </c>
      <c r="B88" s="22"/>
      <c r="C88" s="247" t="str">
        <f t="shared" si="2"/>
        <v xml:space="preserve"> </v>
      </c>
      <c r="D88" s="23"/>
      <c r="E88" s="23"/>
      <c r="F88" s="23"/>
      <c r="G88" s="24"/>
      <c r="H88" s="23"/>
      <c r="I88" s="23"/>
      <c r="J88" s="23"/>
      <c r="K88" s="23"/>
      <c r="L88" s="23"/>
      <c r="M88" s="24"/>
    </row>
    <row r="89" spans="1:13" x14ac:dyDescent="0.25">
      <c r="A89" s="21">
        <v>75</v>
      </c>
      <c r="B89" s="22"/>
      <c r="C89" s="247" t="str">
        <f t="shared" si="2"/>
        <v xml:space="preserve"> </v>
      </c>
      <c r="D89" s="23"/>
      <c r="E89" s="23"/>
      <c r="F89" s="23"/>
      <c r="G89" s="24"/>
      <c r="H89" s="23"/>
      <c r="I89" s="23"/>
      <c r="J89" s="23"/>
      <c r="K89" s="23"/>
      <c r="L89" s="23"/>
      <c r="M89" s="24"/>
    </row>
    <row r="90" spans="1:13" x14ac:dyDescent="0.25">
      <c r="A90" s="21">
        <v>76</v>
      </c>
      <c r="B90" s="22"/>
      <c r="C90" s="247" t="str">
        <f t="shared" si="2"/>
        <v xml:space="preserve"> </v>
      </c>
      <c r="D90" s="23"/>
      <c r="E90" s="23"/>
      <c r="F90" s="23"/>
      <c r="G90" s="24"/>
      <c r="H90" s="23"/>
      <c r="I90" s="23"/>
      <c r="J90" s="23"/>
      <c r="K90" s="23"/>
      <c r="L90" s="23"/>
      <c r="M90" s="24"/>
    </row>
    <row r="91" spans="1:13" x14ac:dyDescent="0.25">
      <c r="A91" s="21">
        <v>77</v>
      </c>
      <c r="B91" s="22"/>
      <c r="C91" s="247" t="str">
        <f t="shared" si="2"/>
        <v xml:space="preserve"> </v>
      </c>
      <c r="D91" s="23"/>
      <c r="E91" s="23"/>
      <c r="F91" s="23"/>
      <c r="G91" s="24"/>
      <c r="H91" s="23"/>
      <c r="I91" s="23"/>
      <c r="J91" s="23"/>
      <c r="K91" s="23"/>
      <c r="L91" s="23"/>
      <c r="M91" s="24"/>
    </row>
    <row r="92" spans="1:13" x14ac:dyDescent="0.25">
      <c r="A92" s="21">
        <v>78</v>
      </c>
      <c r="B92" s="22"/>
      <c r="C92" s="247" t="str">
        <f t="shared" si="2"/>
        <v xml:space="preserve"> </v>
      </c>
      <c r="D92" s="23"/>
      <c r="E92" s="23"/>
      <c r="F92" s="23"/>
      <c r="G92" s="24"/>
      <c r="H92" s="23"/>
      <c r="I92" s="23"/>
      <c r="J92" s="23"/>
      <c r="K92" s="23"/>
      <c r="L92" s="23"/>
      <c r="M92" s="24"/>
    </row>
    <row r="93" spans="1:13" x14ac:dyDescent="0.25">
      <c r="A93" s="21">
        <v>79</v>
      </c>
      <c r="B93" s="22"/>
      <c r="C93" s="247" t="str">
        <f t="shared" si="2"/>
        <v xml:space="preserve"> </v>
      </c>
      <c r="D93" s="23"/>
      <c r="E93" s="23"/>
      <c r="F93" s="23"/>
      <c r="G93" s="24"/>
      <c r="H93" s="23"/>
      <c r="I93" s="23"/>
      <c r="J93" s="23"/>
      <c r="K93" s="23"/>
      <c r="L93" s="23"/>
      <c r="M93" s="24"/>
    </row>
    <row r="94" spans="1:13" x14ac:dyDescent="0.25">
      <c r="A94" s="21">
        <v>80</v>
      </c>
      <c r="B94" s="22"/>
      <c r="C94" s="247" t="str">
        <f t="shared" si="2"/>
        <v xml:space="preserve"> </v>
      </c>
      <c r="D94" s="23"/>
      <c r="E94" s="23"/>
      <c r="F94" s="23"/>
      <c r="G94" s="24"/>
      <c r="H94" s="23"/>
      <c r="I94" s="23"/>
      <c r="J94" s="23"/>
      <c r="K94" s="23"/>
      <c r="L94" s="23"/>
      <c r="M94" s="24"/>
    </row>
    <row r="95" spans="1:13" x14ac:dyDescent="0.25">
      <c r="A95" s="21">
        <v>81</v>
      </c>
      <c r="B95" s="22"/>
      <c r="C95" s="247" t="str">
        <f t="shared" si="2"/>
        <v xml:space="preserve"> </v>
      </c>
      <c r="D95" s="23"/>
      <c r="E95" s="23"/>
      <c r="F95" s="23"/>
      <c r="G95" s="24"/>
      <c r="H95" s="23"/>
      <c r="I95" s="23"/>
      <c r="J95" s="23"/>
      <c r="K95" s="23"/>
      <c r="L95" s="23"/>
      <c r="M95" s="24"/>
    </row>
    <row r="96" spans="1:13" x14ac:dyDescent="0.25">
      <c r="A96" s="21">
        <v>82</v>
      </c>
      <c r="B96" s="22"/>
      <c r="C96" s="247" t="str">
        <f t="shared" si="2"/>
        <v xml:space="preserve"> </v>
      </c>
      <c r="D96" s="23"/>
      <c r="E96" s="23"/>
      <c r="F96" s="23"/>
      <c r="G96" s="24"/>
      <c r="H96" s="23"/>
      <c r="I96" s="23"/>
      <c r="J96" s="23"/>
      <c r="K96" s="23"/>
      <c r="L96" s="23"/>
      <c r="M96" s="24"/>
    </row>
    <row r="97" spans="1:13" x14ac:dyDescent="0.25">
      <c r="A97" s="21">
        <v>83</v>
      </c>
      <c r="B97" s="22"/>
      <c r="C97" s="247" t="str">
        <f t="shared" si="2"/>
        <v xml:space="preserve"> </v>
      </c>
      <c r="D97" s="23"/>
      <c r="E97" s="23"/>
      <c r="F97" s="23"/>
      <c r="G97" s="24"/>
      <c r="H97" s="23"/>
      <c r="I97" s="23"/>
      <c r="J97" s="23"/>
      <c r="K97" s="23"/>
      <c r="L97" s="23"/>
      <c r="M97" s="24"/>
    </row>
    <row r="98" spans="1:13" x14ac:dyDescent="0.25">
      <c r="A98" s="21">
        <v>84</v>
      </c>
      <c r="B98" s="22"/>
      <c r="C98" s="247" t="str">
        <f t="shared" si="2"/>
        <v xml:space="preserve"> </v>
      </c>
      <c r="D98" s="23"/>
      <c r="E98" s="23"/>
      <c r="F98" s="23"/>
      <c r="G98" s="24"/>
      <c r="H98" s="23"/>
      <c r="I98" s="23"/>
      <c r="J98" s="23"/>
      <c r="K98" s="23"/>
      <c r="L98" s="23"/>
      <c r="M98" s="24"/>
    </row>
    <row r="99" spans="1:13" x14ac:dyDescent="0.25">
      <c r="A99" s="21">
        <v>85</v>
      </c>
      <c r="B99" s="22"/>
      <c r="C99" s="247" t="str">
        <f t="shared" si="2"/>
        <v xml:space="preserve"> </v>
      </c>
      <c r="D99" s="23"/>
      <c r="E99" s="23"/>
      <c r="F99" s="23"/>
      <c r="G99" s="24"/>
      <c r="H99" s="23"/>
      <c r="I99" s="23"/>
      <c r="J99" s="23"/>
      <c r="K99" s="23"/>
      <c r="L99" s="23"/>
      <c r="M99" s="24"/>
    </row>
    <row r="100" spans="1:13" x14ac:dyDescent="0.25">
      <c r="A100" s="21">
        <v>86</v>
      </c>
      <c r="B100" s="22"/>
      <c r="C100" s="247" t="str">
        <f t="shared" si="2"/>
        <v xml:space="preserve"> </v>
      </c>
      <c r="D100" s="23"/>
      <c r="E100" s="23"/>
      <c r="F100" s="23"/>
      <c r="G100" s="24"/>
      <c r="H100" s="23"/>
      <c r="I100" s="23"/>
      <c r="J100" s="23"/>
      <c r="K100" s="23"/>
      <c r="L100" s="23"/>
      <c r="M100" s="24"/>
    </row>
    <row r="101" spans="1:13" x14ac:dyDescent="0.25">
      <c r="A101" s="21">
        <v>87</v>
      </c>
      <c r="B101" s="22"/>
      <c r="C101" s="247" t="str">
        <f t="shared" si="2"/>
        <v xml:space="preserve"> </v>
      </c>
      <c r="D101" s="23"/>
      <c r="E101" s="23"/>
      <c r="F101" s="23"/>
      <c r="G101" s="24"/>
      <c r="H101" s="23"/>
      <c r="I101" s="23"/>
      <c r="J101" s="23"/>
      <c r="K101" s="23"/>
      <c r="L101" s="23"/>
      <c r="M101" s="24"/>
    </row>
    <row r="102" spans="1:13" x14ac:dyDescent="0.25">
      <c r="A102" s="21">
        <v>88</v>
      </c>
      <c r="B102" s="22"/>
      <c r="C102" s="247" t="str">
        <f t="shared" si="2"/>
        <v xml:space="preserve"> </v>
      </c>
      <c r="D102" s="23"/>
      <c r="E102" s="23"/>
      <c r="F102" s="23"/>
      <c r="G102" s="24"/>
      <c r="H102" s="23"/>
      <c r="I102" s="23"/>
      <c r="J102" s="23"/>
      <c r="K102" s="23"/>
      <c r="L102" s="23"/>
      <c r="M102" s="24"/>
    </row>
    <row r="103" spans="1:13" x14ac:dyDescent="0.25">
      <c r="A103" s="21">
        <v>89</v>
      </c>
      <c r="B103" s="22"/>
      <c r="C103" s="247" t="str">
        <f t="shared" si="2"/>
        <v xml:space="preserve"> </v>
      </c>
      <c r="D103" s="23"/>
      <c r="E103" s="23"/>
      <c r="F103" s="23"/>
      <c r="G103" s="24"/>
      <c r="H103" s="23"/>
      <c r="I103" s="23"/>
      <c r="J103" s="23"/>
      <c r="K103" s="23"/>
      <c r="L103" s="23"/>
      <c r="M103" s="24"/>
    </row>
    <row r="104" spans="1:13" x14ac:dyDescent="0.25">
      <c r="A104" s="21">
        <v>90</v>
      </c>
      <c r="B104" s="22"/>
      <c r="C104" s="247" t="str">
        <f t="shared" si="2"/>
        <v xml:space="preserve"> </v>
      </c>
      <c r="D104" s="23"/>
      <c r="E104" s="23"/>
      <c r="F104" s="23"/>
      <c r="G104" s="24"/>
      <c r="H104" s="23"/>
      <c r="I104" s="23"/>
      <c r="J104" s="23"/>
      <c r="K104" s="23"/>
      <c r="L104" s="23"/>
      <c r="M104" s="24"/>
    </row>
    <row r="105" spans="1:13" x14ac:dyDescent="0.25">
      <c r="A105" s="21">
        <v>91</v>
      </c>
      <c r="B105" s="22"/>
      <c r="C105" s="247" t="str">
        <f t="shared" si="2"/>
        <v xml:space="preserve"> </v>
      </c>
      <c r="D105" s="23"/>
      <c r="E105" s="23"/>
      <c r="F105" s="23"/>
      <c r="G105" s="24"/>
      <c r="H105" s="23"/>
      <c r="I105" s="23"/>
      <c r="J105" s="23"/>
      <c r="K105" s="23"/>
      <c r="L105" s="23"/>
      <c r="M105" s="24"/>
    </row>
    <row r="106" spans="1:13" x14ac:dyDescent="0.25">
      <c r="A106" s="21">
        <v>92</v>
      </c>
      <c r="B106" s="22"/>
      <c r="C106" s="247" t="str">
        <f t="shared" si="2"/>
        <v xml:space="preserve"> </v>
      </c>
      <c r="D106" s="23"/>
      <c r="E106" s="23"/>
      <c r="F106" s="23"/>
      <c r="G106" s="24"/>
      <c r="H106" s="23"/>
      <c r="I106" s="23"/>
      <c r="J106" s="23"/>
      <c r="K106" s="23"/>
      <c r="L106" s="23"/>
      <c r="M106" s="24"/>
    </row>
    <row r="107" spans="1:13" x14ac:dyDescent="0.25">
      <c r="A107" s="21">
        <v>93</v>
      </c>
      <c r="B107" s="22"/>
      <c r="C107" s="247" t="str">
        <f t="shared" si="2"/>
        <v xml:space="preserve"> </v>
      </c>
      <c r="D107" s="23"/>
      <c r="E107" s="23"/>
      <c r="F107" s="23"/>
      <c r="G107" s="24"/>
      <c r="H107" s="23"/>
      <c r="I107" s="23"/>
      <c r="J107" s="23"/>
      <c r="K107" s="23"/>
      <c r="L107" s="23"/>
      <c r="M107" s="24"/>
    </row>
    <row r="108" spans="1:13" x14ac:dyDescent="0.25">
      <c r="A108" s="21">
        <v>94</v>
      </c>
      <c r="B108" s="22"/>
      <c r="C108" s="247" t="str">
        <f t="shared" si="2"/>
        <v xml:space="preserve"> </v>
      </c>
      <c r="D108" s="23"/>
      <c r="E108" s="23"/>
      <c r="F108" s="23"/>
      <c r="G108" s="24"/>
      <c r="H108" s="23"/>
      <c r="I108" s="23"/>
      <c r="J108" s="23"/>
      <c r="K108" s="23"/>
      <c r="L108" s="23"/>
      <c r="M108" s="24"/>
    </row>
    <row r="109" spans="1:13" x14ac:dyDescent="0.25">
      <c r="A109" s="21">
        <v>95</v>
      </c>
      <c r="B109" s="22"/>
      <c r="C109" s="247" t="str">
        <f t="shared" si="2"/>
        <v xml:space="preserve"> </v>
      </c>
      <c r="D109" s="23"/>
      <c r="E109" s="23"/>
      <c r="F109" s="23"/>
      <c r="G109" s="24"/>
      <c r="H109" s="23"/>
      <c r="I109" s="23"/>
      <c r="J109" s="23"/>
      <c r="K109" s="23"/>
      <c r="L109" s="23"/>
      <c r="M109" s="24"/>
    </row>
    <row r="110" spans="1:13" x14ac:dyDescent="0.25">
      <c r="A110" s="21">
        <v>96</v>
      </c>
      <c r="B110" s="22"/>
      <c r="C110" s="247" t="str">
        <f t="shared" si="2"/>
        <v xml:space="preserve"> </v>
      </c>
      <c r="D110" s="23"/>
      <c r="E110" s="23"/>
      <c r="F110" s="23"/>
      <c r="G110" s="24"/>
      <c r="H110" s="23"/>
      <c r="I110" s="23"/>
      <c r="J110" s="23"/>
      <c r="K110" s="23"/>
      <c r="L110" s="23"/>
      <c r="M110" s="24"/>
    </row>
    <row r="111" spans="1:13" x14ac:dyDescent="0.25">
      <c r="A111" s="21">
        <v>97</v>
      </c>
      <c r="B111" s="22"/>
      <c r="C111" s="247" t="str">
        <f t="shared" si="2"/>
        <v xml:space="preserve"> </v>
      </c>
      <c r="D111" s="23"/>
      <c r="E111" s="23"/>
      <c r="F111" s="23"/>
      <c r="G111" s="24"/>
      <c r="H111" s="23"/>
      <c r="I111" s="23"/>
      <c r="J111" s="23"/>
      <c r="K111" s="23"/>
      <c r="L111" s="23"/>
      <c r="M111" s="24"/>
    </row>
    <row r="112" spans="1:13" x14ac:dyDescent="0.25">
      <c r="A112" s="21">
        <v>98</v>
      </c>
      <c r="B112" s="22"/>
      <c r="C112" s="247" t="str">
        <f t="shared" si="2"/>
        <v xml:space="preserve"> </v>
      </c>
      <c r="D112" s="23"/>
      <c r="E112" s="23"/>
      <c r="F112" s="23"/>
      <c r="G112" s="24"/>
      <c r="H112" s="23"/>
      <c r="I112" s="23"/>
      <c r="J112" s="23"/>
      <c r="K112" s="23"/>
      <c r="L112" s="23"/>
      <c r="M112" s="24"/>
    </row>
    <row r="113" spans="1:13" x14ac:dyDescent="0.25">
      <c r="A113" s="21">
        <v>99</v>
      </c>
      <c r="B113" s="22"/>
      <c r="C113" s="247" t="str">
        <f t="shared" si="2"/>
        <v xml:space="preserve"> </v>
      </c>
      <c r="D113" s="23"/>
      <c r="E113" s="23"/>
      <c r="F113" s="23"/>
      <c r="G113" s="24"/>
      <c r="H113" s="23"/>
      <c r="I113" s="23"/>
      <c r="J113" s="23"/>
      <c r="K113" s="23"/>
      <c r="L113" s="23"/>
      <c r="M113" s="24"/>
    </row>
    <row r="114" spans="1:13" x14ac:dyDescent="0.25">
      <c r="A114" s="21">
        <v>100</v>
      </c>
      <c r="B114" s="22"/>
      <c r="C114" s="247" t="str">
        <f t="shared" si="2"/>
        <v xml:space="preserve"> </v>
      </c>
      <c r="D114" s="23"/>
      <c r="E114" s="23"/>
      <c r="F114" s="23"/>
      <c r="G114" s="24"/>
      <c r="H114" s="23"/>
      <c r="I114" s="23"/>
      <c r="J114" s="23"/>
      <c r="K114" s="23"/>
      <c r="L114" s="23"/>
      <c r="M114" s="24"/>
    </row>
    <row r="115" spans="1:13" x14ac:dyDescent="0.25">
      <c r="A115" s="21">
        <v>101</v>
      </c>
      <c r="B115" s="22"/>
      <c r="C115" s="247" t="str">
        <f t="shared" si="2"/>
        <v xml:space="preserve"> </v>
      </c>
      <c r="D115" s="23"/>
      <c r="E115" s="23"/>
      <c r="F115" s="23"/>
      <c r="G115" s="24"/>
      <c r="H115" s="23"/>
      <c r="I115" s="23"/>
      <c r="J115" s="23"/>
      <c r="K115" s="23"/>
      <c r="L115" s="23"/>
      <c r="M115" s="24"/>
    </row>
    <row r="116" spans="1:13" x14ac:dyDescent="0.25">
      <c r="A116" s="21">
        <v>102</v>
      </c>
      <c r="B116" s="22"/>
      <c r="C116" s="247" t="str">
        <f t="shared" si="2"/>
        <v xml:space="preserve"> </v>
      </c>
      <c r="D116" s="23"/>
      <c r="E116" s="23"/>
      <c r="F116" s="23"/>
      <c r="G116" s="24"/>
      <c r="H116" s="23"/>
      <c r="I116" s="23"/>
      <c r="J116" s="23"/>
      <c r="K116" s="23"/>
      <c r="L116" s="23"/>
      <c r="M116" s="24"/>
    </row>
    <row r="117" spans="1:13" x14ac:dyDescent="0.25">
      <c r="A117" s="21">
        <v>103</v>
      </c>
      <c r="B117" s="22"/>
      <c r="C117" s="247" t="str">
        <f t="shared" si="2"/>
        <v xml:space="preserve"> </v>
      </c>
      <c r="D117" s="23"/>
      <c r="E117" s="23"/>
      <c r="F117" s="23"/>
      <c r="G117" s="24"/>
      <c r="H117" s="23"/>
      <c r="I117" s="23"/>
      <c r="J117" s="23"/>
      <c r="K117" s="23"/>
      <c r="L117" s="23"/>
      <c r="M117" s="24"/>
    </row>
    <row r="118" spans="1:13" x14ac:dyDescent="0.25">
      <c r="A118" s="21">
        <v>104</v>
      </c>
      <c r="B118" s="22"/>
      <c r="C118" s="247" t="str">
        <f t="shared" si="2"/>
        <v xml:space="preserve"> </v>
      </c>
      <c r="D118" s="23"/>
      <c r="E118" s="23"/>
      <c r="F118" s="23"/>
      <c r="G118" s="24"/>
      <c r="H118" s="23"/>
      <c r="I118" s="23"/>
      <c r="J118" s="23"/>
      <c r="K118" s="23"/>
      <c r="L118" s="23"/>
      <c r="M118" s="24"/>
    </row>
    <row r="119" spans="1:13" x14ac:dyDescent="0.25">
      <c r="A119" s="21">
        <v>105</v>
      </c>
      <c r="B119" s="22"/>
      <c r="C119" s="247" t="str">
        <f t="shared" si="2"/>
        <v xml:space="preserve"> </v>
      </c>
      <c r="D119" s="23"/>
      <c r="E119" s="23"/>
      <c r="F119" s="23"/>
      <c r="G119" s="24"/>
      <c r="H119" s="23"/>
      <c r="I119" s="23"/>
      <c r="J119" s="23"/>
      <c r="K119" s="23"/>
      <c r="L119" s="23"/>
      <c r="M119" s="24"/>
    </row>
    <row r="120" spans="1:13" x14ac:dyDescent="0.25">
      <c r="A120" s="21">
        <v>106</v>
      </c>
      <c r="B120" s="22"/>
      <c r="C120" s="247" t="str">
        <f t="shared" si="2"/>
        <v xml:space="preserve"> </v>
      </c>
      <c r="D120" s="23"/>
      <c r="E120" s="23"/>
      <c r="F120" s="23"/>
      <c r="G120" s="24"/>
      <c r="H120" s="23"/>
      <c r="I120" s="23"/>
      <c r="J120" s="23"/>
      <c r="K120" s="23"/>
      <c r="L120" s="23"/>
      <c r="M120" s="24"/>
    </row>
    <row r="121" spans="1:13" x14ac:dyDescent="0.25">
      <c r="A121" s="21">
        <v>107</v>
      </c>
      <c r="B121" s="22"/>
      <c r="C121" s="247" t="str">
        <f t="shared" si="2"/>
        <v xml:space="preserve"> </v>
      </c>
      <c r="D121" s="23"/>
      <c r="E121" s="23"/>
      <c r="F121" s="23"/>
      <c r="G121" s="24"/>
      <c r="H121" s="23"/>
      <c r="I121" s="23"/>
      <c r="J121" s="23"/>
      <c r="K121" s="23"/>
      <c r="L121" s="23"/>
      <c r="M121" s="24"/>
    </row>
    <row r="122" spans="1:13" x14ac:dyDescent="0.25">
      <c r="A122" s="21">
        <v>108</v>
      </c>
      <c r="B122" s="22"/>
      <c r="C122" s="247" t="str">
        <f t="shared" si="2"/>
        <v xml:space="preserve"> </v>
      </c>
      <c r="D122" s="23"/>
      <c r="E122" s="23"/>
      <c r="F122" s="23"/>
      <c r="G122" s="24"/>
      <c r="H122" s="23"/>
      <c r="I122" s="23"/>
      <c r="J122" s="23"/>
      <c r="K122" s="23"/>
      <c r="L122" s="23"/>
      <c r="M122" s="24"/>
    </row>
    <row r="123" spans="1:13" x14ac:dyDescent="0.25">
      <c r="A123" s="21">
        <v>109</v>
      </c>
      <c r="B123" s="22"/>
      <c r="C123" s="247" t="str">
        <f t="shared" si="2"/>
        <v xml:space="preserve"> </v>
      </c>
      <c r="D123" s="23"/>
      <c r="E123" s="23"/>
      <c r="F123" s="23"/>
      <c r="G123" s="24"/>
      <c r="H123" s="23"/>
      <c r="I123" s="23"/>
      <c r="J123" s="23"/>
      <c r="K123" s="23"/>
      <c r="L123" s="23"/>
      <c r="M123" s="24"/>
    </row>
    <row r="124" spans="1:13" x14ac:dyDescent="0.25">
      <c r="A124" s="21">
        <v>110</v>
      </c>
      <c r="B124" s="22"/>
      <c r="C124" s="247" t="str">
        <f t="shared" si="2"/>
        <v xml:space="preserve"> </v>
      </c>
      <c r="D124" s="23"/>
      <c r="E124" s="23"/>
      <c r="F124" s="23"/>
      <c r="G124" s="24"/>
      <c r="H124" s="23"/>
      <c r="I124" s="23"/>
      <c r="J124" s="23"/>
      <c r="K124" s="23"/>
      <c r="L124" s="23"/>
      <c r="M124" s="24"/>
    </row>
    <row r="125" spans="1:13" x14ac:dyDescent="0.25">
      <c r="A125" s="21">
        <v>111</v>
      </c>
      <c r="B125" s="22"/>
      <c r="C125" s="247" t="str">
        <f t="shared" si="2"/>
        <v xml:space="preserve"> </v>
      </c>
      <c r="D125" s="23"/>
      <c r="E125" s="23"/>
      <c r="F125" s="23"/>
      <c r="G125" s="24"/>
      <c r="H125" s="23"/>
      <c r="I125" s="23"/>
      <c r="J125" s="23"/>
      <c r="K125" s="23"/>
      <c r="L125" s="23"/>
      <c r="M125" s="24"/>
    </row>
    <row r="126" spans="1:13" x14ac:dyDescent="0.25">
      <c r="A126" s="21">
        <v>112</v>
      </c>
      <c r="B126" s="22"/>
      <c r="C126" s="247" t="str">
        <f t="shared" si="2"/>
        <v xml:space="preserve"> </v>
      </c>
      <c r="D126" s="23"/>
      <c r="E126" s="23"/>
      <c r="F126" s="23"/>
      <c r="G126" s="24"/>
      <c r="H126" s="23"/>
      <c r="I126" s="23"/>
      <c r="J126" s="23"/>
      <c r="K126" s="23"/>
      <c r="L126" s="23"/>
      <c r="M126" s="24"/>
    </row>
    <row r="127" spans="1:13" x14ac:dyDescent="0.25">
      <c r="A127" s="21">
        <v>113</v>
      </c>
      <c r="B127" s="22"/>
      <c r="C127" s="247" t="str">
        <f t="shared" si="2"/>
        <v xml:space="preserve"> </v>
      </c>
      <c r="D127" s="23"/>
      <c r="E127" s="23"/>
      <c r="F127" s="23"/>
      <c r="G127" s="24"/>
      <c r="H127" s="23"/>
      <c r="I127" s="23"/>
      <c r="J127" s="23"/>
      <c r="K127" s="23"/>
      <c r="L127" s="23"/>
      <c r="M127" s="24"/>
    </row>
    <row r="128" spans="1:13" x14ac:dyDescent="0.25">
      <c r="A128" s="21">
        <v>114</v>
      </c>
      <c r="B128" s="22"/>
      <c r="C128" s="247" t="str">
        <f t="shared" si="2"/>
        <v xml:space="preserve"> </v>
      </c>
      <c r="D128" s="23"/>
      <c r="E128" s="23"/>
      <c r="F128" s="23"/>
      <c r="G128" s="24"/>
      <c r="H128" s="23"/>
      <c r="I128" s="23"/>
      <c r="J128" s="23"/>
      <c r="K128" s="23"/>
      <c r="L128" s="23"/>
      <c r="M128" s="24"/>
    </row>
    <row r="129" spans="1:13" x14ac:dyDescent="0.25">
      <c r="A129" s="21">
        <v>115</v>
      </c>
      <c r="B129" s="22"/>
      <c r="C129" s="247" t="str">
        <f t="shared" si="2"/>
        <v xml:space="preserve"> </v>
      </c>
      <c r="D129" s="23"/>
      <c r="E129" s="23"/>
      <c r="F129" s="23"/>
      <c r="G129" s="24"/>
      <c r="H129" s="23"/>
      <c r="I129" s="23"/>
      <c r="J129" s="23"/>
      <c r="K129" s="23"/>
      <c r="L129" s="23"/>
      <c r="M129" s="24"/>
    </row>
    <row r="130" spans="1:13" x14ac:dyDescent="0.25">
      <c r="A130" s="21">
        <v>116</v>
      </c>
      <c r="B130" s="22"/>
      <c r="C130" s="247" t="str">
        <f t="shared" si="2"/>
        <v xml:space="preserve"> </v>
      </c>
      <c r="D130" s="23"/>
      <c r="E130" s="23"/>
      <c r="F130" s="23"/>
      <c r="G130" s="24"/>
      <c r="H130" s="23"/>
      <c r="I130" s="23"/>
      <c r="J130" s="23"/>
      <c r="K130" s="23"/>
      <c r="L130" s="23"/>
      <c r="M130" s="24"/>
    </row>
    <row r="131" spans="1:13" x14ac:dyDescent="0.25">
      <c r="A131" s="21">
        <v>117</v>
      </c>
      <c r="B131" s="22"/>
      <c r="C131" s="247" t="str">
        <f t="shared" si="2"/>
        <v xml:space="preserve"> </v>
      </c>
      <c r="D131" s="23"/>
      <c r="E131" s="23"/>
      <c r="F131" s="23"/>
      <c r="G131" s="24"/>
      <c r="H131" s="23"/>
      <c r="I131" s="23"/>
      <c r="J131" s="23"/>
      <c r="K131" s="23"/>
      <c r="L131" s="23"/>
      <c r="M131" s="24"/>
    </row>
    <row r="132" spans="1:13" x14ac:dyDescent="0.25">
      <c r="A132" s="21">
        <v>118</v>
      </c>
      <c r="B132" s="22"/>
      <c r="C132" s="247" t="str">
        <f t="shared" si="2"/>
        <v xml:space="preserve"> </v>
      </c>
      <c r="D132" s="23"/>
      <c r="E132" s="23"/>
      <c r="F132" s="23"/>
      <c r="G132" s="24"/>
      <c r="H132" s="23"/>
      <c r="I132" s="23"/>
      <c r="J132" s="23"/>
      <c r="K132" s="23"/>
      <c r="L132" s="23"/>
      <c r="M132" s="24"/>
    </row>
    <row r="133" spans="1:13" x14ac:dyDescent="0.25">
      <c r="A133" s="21">
        <v>119</v>
      </c>
      <c r="B133" s="22"/>
      <c r="C133" s="247" t="str">
        <f t="shared" si="2"/>
        <v xml:space="preserve"> </v>
      </c>
      <c r="D133" s="23"/>
      <c r="E133" s="23"/>
      <c r="F133" s="23"/>
      <c r="G133" s="24"/>
      <c r="H133" s="23"/>
      <c r="I133" s="23"/>
      <c r="J133" s="23"/>
      <c r="K133" s="23"/>
      <c r="L133" s="23"/>
      <c r="M133" s="24"/>
    </row>
    <row r="134" spans="1:13" x14ac:dyDescent="0.25">
      <c r="A134" s="21">
        <v>120</v>
      </c>
      <c r="B134" s="22"/>
      <c r="C134" s="247" t="str">
        <f t="shared" si="2"/>
        <v xml:space="preserve"> </v>
      </c>
      <c r="D134" s="23"/>
      <c r="E134" s="23"/>
      <c r="F134" s="23"/>
      <c r="G134" s="24"/>
      <c r="H134" s="23"/>
      <c r="I134" s="23"/>
      <c r="J134" s="23"/>
      <c r="K134" s="23"/>
      <c r="L134" s="23"/>
      <c r="M134" s="24"/>
    </row>
    <row r="135" spans="1:13" x14ac:dyDescent="0.25">
      <c r="A135" s="21">
        <v>121</v>
      </c>
      <c r="B135" s="22"/>
      <c r="C135" s="247" t="str">
        <f t="shared" si="2"/>
        <v xml:space="preserve"> </v>
      </c>
      <c r="D135" s="23"/>
      <c r="E135" s="23"/>
      <c r="F135" s="23"/>
      <c r="G135" s="24"/>
      <c r="H135" s="23"/>
      <c r="I135" s="23"/>
      <c r="J135" s="23"/>
      <c r="K135" s="23"/>
      <c r="L135" s="23"/>
      <c r="M135" s="24"/>
    </row>
    <row r="136" spans="1:13" x14ac:dyDescent="0.25">
      <c r="A136" s="21">
        <v>122</v>
      </c>
      <c r="B136" s="22"/>
      <c r="C136" s="247" t="str">
        <f t="shared" si="2"/>
        <v xml:space="preserve"> </v>
      </c>
      <c r="D136" s="23"/>
      <c r="E136" s="23"/>
      <c r="F136" s="23"/>
      <c r="G136" s="24"/>
      <c r="H136" s="23"/>
      <c r="I136" s="23"/>
      <c r="J136" s="23"/>
      <c r="K136" s="23"/>
      <c r="L136" s="23"/>
      <c r="M136" s="24"/>
    </row>
    <row r="137" spans="1:13" x14ac:dyDescent="0.25">
      <c r="A137" s="21">
        <v>123</v>
      </c>
      <c r="B137" s="22"/>
      <c r="C137" s="247" t="str">
        <f t="shared" si="2"/>
        <v xml:space="preserve"> </v>
      </c>
      <c r="D137" s="23"/>
      <c r="E137" s="23"/>
      <c r="F137" s="23"/>
      <c r="G137" s="24"/>
      <c r="H137" s="23"/>
      <c r="I137" s="23"/>
      <c r="J137" s="23"/>
      <c r="K137" s="23"/>
      <c r="L137" s="23"/>
      <c r="M137" s="24"/>
    </row>
    <row r="138" spans="1:13" x14ac:dyDescent="0.25">
      <c r="A138" s="21">
        <v>124</v>
      </c>
      <c r="B138" s="22"/>
      <c r="C138" s="247" t="str">
        <f t="shared" si="2"/>
        <v xml:space="preserve"> </v>
      </c>
      <c r="D138" s="23"/>
      <c r="E138" s="23"/>
      <c r="F138" s="23"/>
      <c r="G138" s="24"/>
      <c r="H138" s="23"/>
      <c r="I138" s="23"/>
      <c r="J138" s="23"/>
      <c r="K138" s="23"/>
      <c r="L138" s="23"/>
      <c r="M138" s="24"/>
    </row>
    <row r="139" spans="1:13" x14ac:dyDescent="0.25">
      <c r="A139" s="21">
        <v>125</v>
      </c>
      <c r="B139" s="22"/>
      <c r="C139" s="247" t="str">
        <f t="shared" si="2"/>
        <v xml:space="preserve"> </v>
      </c>
      <c r="D139" s="23"/>
      <c r="E139" s="23"/>
      <c r="F139" s="23"/>
      <c r="G139" s="24"/>
      <c r="H139" s="23"/>
      <c r="I139" s="23"/>
      <c r="J139" s="23"/>
      <c r="K139" s="23"/>
      <c r="L139" s="23"/>
      <c r="M139" s="24"/>
    </row>
    <row r="140" spans="1:13" x14ac:dyDescent="0.25">
      <c r="A140" s="21">
        <v>126</v>
      </c>
      <c r="B140" s="22"/>
      <c r="C140" s="247" t="str">
        <f t="shared" si="2"/>
        <v xml:space="preserve"> </v>
      </c>
      <c r="D140" s="23"/>
      <c r="E140" s="23"/>
      <c r="F140" s="23"/>
      <c r="G140" s="24"/>
      <c r="H140" s="23"/>
      <c r="I140" s="23"/>
      <c r="J140" s="23"/>
      <c r="K140" s="23"/>
      <c r="L140" s="23"/>
      <c r="M140" s="24"/>
    </row>
    <row r="141" spans="1:13" x14ac:dyDescent="0.25">
      <c r="A141" s="21">
        <v>127</v>
      </c>
      <c r="B141" s="22"/>
      <c r="C141" s="247" t="str">
        <f t="shared" si="2"/>
        <v xml:space="preserve"> </v>
      </c>
      <c r="D141" s="23"/>
      <c r="E141" s="23"/>
      <c r="F141" s="23"/>
      <c r="G141" s="24"/>
      <c r="H141" s="23"/>
      <c r="I141" s="23"/>
      <c r="J141" s="23"/>
      <c r="K141" s="23"/>
      <c r="L141" s="23"/>
      <c r="M141" s="24"/>
    </row>
    <row r="142" spans="1:13" x14ac:dyDescent="0.25">
      <c r="A142" s="21">
        <v>128</v>
      </c>
      <c r="B142" s="22"/>
      <c r="C142" s="247" t="str">
        <f t="shared" si="2"/>
        <v xml:space="preserve"> </v>
      </c>
      <c r="D142" s="23"/>
      <c r="E142" s="23"/>
      <c r="F142" s="23"/>
      <c r="G142" s="24"/>
      <c r="H142" s="23"/>
      <c r="I142" s="23"/>
      <c r="J142" s="23"/>
      <c r="K142" s="23"/>
      <c r="L142" s="23"/>
      <c r="M142" s="24"/>
    </row>
    <row r="143" spans="1:13" x14ac:dyDescent="0.25">
      <c r="A143" s="21">
        <v>129</v>
      </c>
      <c r="B143" s="22"/>
      <c r="C143" s="247" t="str">
        <f t="shared" si="2"/>
        <v xml:space="preserve"> </v>
      </c>
      <c r="D143" s="23"/>
      <c r="E143" s="23"/>
      <c r="F143" s="23"/>
      <c r="G143" s="24"/>
      <c r="H143" s="23"/>
      <c r="I143" s="23"/>
      <c r="J143" s="23"/>
      <c r="K143" s="23"/>
      <c r="L143" s="23"/>
      <c r="M143" s="24"/>
    </row>
    <row r="144" spans="1:13" x14ac:dyDescent="0.25">
      <c r="A144" s="21">
        <v>130</v>
      </c>
      <c r="B144" s="22"/>
      <c r="C144" s="247" t="str">
        <f t="shared" ref="C144:C207" si="3">IF(B144&gt;0,$A$11-B144," ")</f>
        <v xml:space="preserve"> </v>
      </c>
      <c r="D144" s="23"/>
      <c r="E144" s="23"/>
      <c r="F144" s="23"/>
      <c r="G144" s="24"/>
      <c r="H144" s="23"/>
      <c r="I144" s="23"/>
      <c r="J144" s="23"/>
      <c r="K144" s="23"/>
      <c r="L144" s="23"/>
      <c r="M144" s="24"/>
    </row>
    <row r="145" spans="1:13" x14ac:dyDescent="0.25">
      <c r="A145" s="21">
        <v>131</v>
      </c>
      <c r="B145" s="22"/>
      <c r="C145" s="247" t="str">
        <f t="shared" si="3"/>
        <v xml:space="preserve"> </v>
      </c>
      <c r="D145" s="23"/>
      <c r="E145" s="23"/>
      <c r="F145" s="23"/>
      <c r="G145" s="24"/>
      <c r="H145" s="23"/>
      <c r="I145" s="23"/>
      <c r="J145" s="23"/>
      <c r="K145" s="23"/>
      <c r="L145" s="23"/>
      <c r="M145" s="24"/>
    </row>
    <row r="146" spans="1:13" x14ac:dyDescent="0.25">
      <c r="A146" s="21">
        <v>132</v>
      </c>
      <c r="B146" s="22"/>
      <c r="C146" s="247" t="str">
        <f t="shared" si="3"/>
        <v xml:space="preserve"> </v>
      </c>
      <c r="D146" s="23"/>
      <c r="E146" s="23"/>
      <c r="F146" s="23"/>
      <c r="G146" s="24"/>
      <c r="H146" s="23"/>
      <c r="I146" s="23"/>
      <c r="J146" s="23"/>
      <c r="K146" s="23"/>
      <c r="L146" s="23"/>
      <c r="M146" s="24"/>
    </row>
    <row r="147" spans="1:13" x14ac:dyDescent="0.25">
      <c r="A147" s="21">
        <v>133</v>
      </c>
      <c r="B147" s="22"/>
      <c r="C147" s="247" t="str">
        <f t="shared" si="3"/>
        <v xml:space="preserve"> </v>
      </c>
      <c r="D147" s="23"/>
      <c r="E147" s="23"/>
      <c r="F147" s="23"/>
      <c r="G147" s="24"/>
      <c r="H147" s="23"/>
      <c r="I147" s="23"/>
      <c r="J147" s="23"/>
      <c r="K147" s="23"/>
      <c r="L147" s="23"/>
      <c r="M147" s="24"/>
    </row>
    <row r="148" spans="1:13" x14ac:dyDescent="0.25">
      <c r="A148" s="21">
        <v>134</v>
      </c>
      <c r="B148" s="22"/>
      <c r="C148" s="247" t="str">
        <f t="shared" si="3"/>
        <v xml:space="preserve"> </v>
      </c>
      <c r="D148" s="23"/>
      <c r="E148" s="23"/>
      <c r="F148" s="23"/>
      <c r="G148" s="24"/>
      <c r="H148" s="23"/>
      <c r="I148" s="23"/>
      <c r="J148" s="23"/>
      <c r="K148" s="23"/>
      <c r="L148" s="23"/>
      <c r="M148" s="24"/>
    </row>
    <row r="149" spans="1:13" x14ac:dyDescent="0.25">
      <c r="A149" s="21">
        <v>135</v>
      </c>
      <c r="B149" s="22"/>
      <c r="C149" s="247" t="str">
        <f t="shared" si="3"/>
        <v xml:space="preserve"> </v>
      </c>
      <c r="D149" s="23"/>
      <c r="E149" s="23"/>
      <c r="F149" s="23"/>
      <c r="G149" s="24"/>
      <c r="H149" s="23"/>
      <c r="I149" s="23"/>
      <c r="J149" s="23"/>
      <c r="K149" s="23"/>
      <c r="L149" s="23"/>
      <c r="M149" s="24"/>
    </row>
    <row r="150" spans="1:13" x14ac:dyDescent="0.25">
      <c r="A150" s="21">
        <v>136</v>
      </c>
      <c r="B150" s="22"/>
      <c r="C150" s="247" t="str">
        <f t="shared" si="3"/>
        <v xml:space="preserve"> </v>
      </c>
      <c r="D150" s="23"/>
      <c r="E150" s="23"/>
      <c r="F150" s="23"/>
      <c r="G150" s="24"/>
      <c r="H150" s="23"/>
      <c r="I150" s="23"/>
      <c r="J150" s="23"/>
      <c r="K150" s="23"/>
      <c r="L150" s="23"/>
      <c r="M150" s="24"/>
    </row>
    <row r="151" spans="1:13" x14ac:dyDescent="0.25">
      <c r="A151" s="21">
        <v>137</v>
      </c>
      <c r="B151" s="22"/>
      <c r="C151" s="247" t="str">
        <f t="shared" si="3"/>
        <v xml:space="preserve"> </v>
      </c>
      <c r="D151" s="23"/>
      <c r="E151" s="23"/>
      <c r="F151" s="23"/>
      <c r="G151" s="24"/>
      <c r="H151" s="23"/>
      <c r="I151" s="23"/>
      <c r="J151" s="23"/>
      <c r="K151" s="23"/>
      <c r="L151" s="23"/>
      <c r="M151" s="24"/>
    </row>
    <row r="152" spans="1:13" x14ac:dyDescent="0.25">
      <c r="A152" s="21">
        <v>138</v>
      </c>
      <c r="B152" s="22"/>
      <c r="C152" s="247" t="str">
        <f t="shared" si="3"/>
        <v xml:space="preserve"> </v>
      </c>
      <c r="D152" s="23"/>
      <c r="E152" s="23"/>
      <c r="F152" s="23"/>
      <c r="G152" s="24"/>
      <c r="H152" s="23"/>
      <c r="I152" s="23"/>
      <c r="J152" s="23"/>
      <c r="K152" s="23"/>
      <c r="L152" s="23"/>
      <c r="M152" s="24"/>
    </row>
    <row r="153" spans="1:13" x14ac:dyDescent="0.25">
      <c r="A153" s="21">
        <v>139</v>
      </c>
      <c r="B153" s="22"/>
      <c r="C153" s="247" t="str">
        <f t="shared" si="3"/>
        <v xml:space="preserve"> </v>
      </c>
      <c r="D153" s="23"/>
      <c r="E153" s="23"/>
      <c r="F153" s="23"/>
      <c r="G153" s="24"/>
      <c r="H153" s="23"/>
      <c r="I153" s="23"/>
      <c r="J153" s="23"/>
      <c r="K153" s="23"/>
      <c r="L153" s="23"/>
      <c r="M153" s="24"/>
    </row>
    <row r="154" spans="1:13" x14ac:dyDescent="0.25">
      <c r="A154" s="21">
        <v>140</v>
      </c>
      <c r="B154" s="22"/>
      <c r="C154" s="247" t="str">
        <f t="shared" si="3"/>
        <v xml:space="preserve"> </v>
      </c>
      <c r="D154" s="23"/>
      <c r="E154" s="23"/>
      <c r="F154" s="23"/>
      <c r="G154" s="24"/>
      <c r="H154" s="23"/>
      <c r="I154" s="23"/>
      <c r="J154" s="23"/>
      <c r="K154" s="23"/>
      <c r="L154" s="23"/>
      <c r="M154" s="24"/>
    </row>
    <row r="155" spans="1:13" x14ac:dyDescent="0.25">
      <c r="A155" s="21">
        <v>141</v>
      </c>
      <c r="B155" s="22"/>
      <c r="C155" s="247" t="str">
        <f t="shared" si="3"/>
        <v xml:space="preserve"> </v>
      </c>
      <c r="D155" s="23"/>
      <c r="E155" s="23"/>
      <c r="F155" s="23"/>
      <c r="G155" s="24"/>
      <c r="H155" s="23"/>
      <c r="I155" s="23"/>
      <c r="J155" s="23"/>
      <c r="K155" s="23"/>
      <c r="L155" s="23"/>
      <c r="M155" s="24"/>
    </row>
    <row r="156" spans="1:13" x14ac:dyDescent="0.25">
      <c r="A156" s="21">
        <v>142</v>
      </c>
      <c r="B156" s="22"/>
      <c r="C156" s="247" t="str">
        <f t="shared" si="3"/>
        <v xml:space="preserve"> </v>
      </c>
      <c r="D156" s="23"/>
      <c r="E156" s="23"/>
      <c r="F156" s="23"/>
      <c r="G156" s="24"/>
      <c r="H156" s="23"/>
      <c r="I156" s="23"/>
      <c r="J156" s="23"/>
      <c r="K156" s="23"/>
      <c r="L156" s="23"/>
      <c r="M156" s="24"/>
    </row>
    <row r="157" spans="1:13" x14ac:dyDescent="0.25">
      <c r="A157" s="21">
        <v>143</v>
      </c>
      <c r="B157" s="22"/>
      <c r="C157" s="247" t="str">
        <f t="shared" si="3"/>
        <v xml:space="preserve"> </v>
      </c>
      <c r="D157" s="23"/>
      <c r="E157" s="23"/>
      <c r="F157" s="23"/>
      <c r="G157" s="24"/>
      <c r="H157" s="23"/>
      <c r="I157" s="23"/>
      <c r="J157" s="23"/>
      <c r="K157" s="23"/>
      <c r="L157" s="23"/>
      <c r="M157" s="24"/>
    </row>
    <row r="158" spans="1:13" x14ac:dyDescent="0.25">
      <c r="A158" s="21">
        <v>144</v>
      </c>
      <c r="B158" s="22"/>
      <c r="C158" s="247" t="str">
        <f t="shared" si="3"/>
        <v xml:space="preserve"> </v>
      </c>
      <c r="D158" s="23"/>
      <c r="E158" s="23"/>
      <c r="F158" s="23"/>
      <c r="G158" s="24"/>
      <c r="H158" s="23"/>
      <c r="I158" s="23"/>
      <c r="J158" s="23"/>
      <c r="K158" s="23"/>
      <c r="L158" s="23"/>
      <c r="M158" s="24"/>
    </row>
    <row r="159" spans="1:13" x14ac:dyDescent="0.25">
      <c r="A159" s="21">
        <v>145</v>
      </c>
      <c r="B159" s="22"/>
      <c r="C159" s="247" t="str">
        <f t="shared" si="3"/>
        <v xml:space="preserve"> </v>
      </c>
      <c r="D159" s="23"/>
      <c r="E159" s="23"/>
      <c r="F159" s="23"/>
      <c r="G159" s="24"/>
      <c r="H159" s="23"/>
      <c r="I159" s="23"/>
      <c r="J159" s="23"/>
      <c r="K159" s="23"/>
      <c r="L159" s="23"/>
      <c r="M159" s="24"/>
    </row>
    <row r="160" spans="1:13" x14ac:dyDescent="0.25">
      <c r="A160" s="21">
        <v>146</v>
      </c>
      <c r="B160" s="22"/>
      <c r="C160" s="247" t="str">
        <f t="shared" si="3"/>
        <v xml:space="preserve"> </v>
      </c>
      <c r="D160" s="23"/>
      <c r="E160" s="23"/>
      <c r="F160" s="23"/>
      <c r="G160" s="24"/>
      <c r="H160" s="23"/>
      <c r="I160" s="23"/>
      <c r="J160" s="23"/>
      <c r="K160" s="23"/>
      <c r="L160" s="23"/>
      <c r="M160" s="24"/>
    </row>
    <row r="161" spans="1:13" x14ac:dyDescent="0.25">
      <c r="A161" s="21">
        <v>147</v>
      </c>
      <c r="B161" s="22"/>
      <c r="C161" s="247" t="str">
        <f t="shared" si="3"/>
        <v xml:space="preserve"> </v>
      </c>
      <c r="D161" s="23"/>
      <c r="E161" s="23"/>
      <c r="F161" s="23"/>
      <c r="G161" s="24"/>
      <c r="H161" s="23"/>
      <c r="I161" s="23"/>
      <c r="J161" s="23"/>
      <c r="K161" s="23"/>
      <c r="L161" s="23"/>
      <c r="M161" s="24"/>
    </row>
    <row r="162" spans="1:13" x14ac:dyDescent="0.25">
      <c r="A162" s="21">
        <v>148</v>
      </c>
      <c r="B162" s="22"/>
      <c r="C162" s="247" t="str">
        <f t="shared" si="3"/>
        <v xml:space="preserve"> </v>
      </c>
      <c r="D162" s="23"/>
      <c r="E162" s="23"/>
      <c r="F162" s="23"/>
      <c r="G162" s="24"/>
      <c r="H162" s="23"/>
      <c r="I162" s="23"/>
      <c r="J162" s="23"/>
      <c r="K162" s="23"/>
      <c r="L162" s="23"/>
      <c r="M162" s="24"/>
    </row>
    <row r="163" spans="1:13" x14ac:dyDescent="0.25">
      <c r="A163" s="21">
        <v>149</v>
      </c>
      <c r="B163" s="22"/>
      <c r="C163" s="247" t="str">
        <f t="shared" si="3"/>
        <v xml:space="preserve"> </v>
      </c>
      <c r="D163" s="23"/>
      <c r="E163" s="23"/>
      <c r="F163" s="23"/>
      <c r="G163" s="24"/>
      <c r="H163" s="23"/>
      <c r="I163" s="23"/>
      <c r="J163" s="23"/>
      <c r="K163" s="23"/>
      <c r="L163" s="23"/>
      <c r="M163" s="24"/>
    </row>
    <row r="164" spans="1:13" x14ac:dyDescent="0.25">
      <c r="A164" s="21">
        <v>150</v>
      </c>
      <c r="B164" s="22"/>
      <c r="C164" s="247" t="str">
        <f t="shared" si="3"/>
        <v xml:space="preserve"> </v>
      </c>
      <c r="D164" s="23"/>
      <c r="E164" s="23"/>
      <c r="F164" s="23"/>
      <c r="G164" s="24"/>
      <c r="H164" s="23"/>
      <c r="I164" s="23"/>
      <c r="J164" s="23"/>
      <c r="K164" s="23"/>
      <c r="L164" s="23"/>
      <c r="M164" s="24"/>
    </row>
    <row r="165" spans="1:13" x14ac:dyDescent="0.25">
      <c r="A165" s="21">
        <v>151</v>
      </c>
      <c r="B165" s="22"/>
      <c r="C165" s="247" t="str">
        <f t="shared" si="3"/>
        <v xml:space="preserve"> </v>
      </c>
      <c r="D165" s="23"/>
      <c r="E165" s="23"/>
      <c r="F165" s="23"/>
      <c r="G165" s="24"/>
      <c r="H165" s="23"/>
      <c r="I165" s="23"/>
      <c r="J165" s="23"/>
      <c r="K165" s="23"/>
      <c r="L165" s="23"/>
      <c r="M165" s="24"/>
    </row>
    <row r="166" spans="1:13" x14ac:dyDescent="0.25">
      <c r="A166" s="21">
        <v>152</v>
      </c>
      <c r="B166" s="22"/>
      <c r="C166" s="247" t="str">
        <f t="shared" si="3"/>
        <v xml:space="preserve"> </v>
      </c>
      <c r="D166" s="23"/>
      <c r="E166" s="23"/>
      <c r="F166" s="23"/>
      <c r="G166" s="24"/>
      <c r="H166" s="23"/>
      <c r="I166" s="23"/>
      <c r="J166" s="23"/>
      <c r="K166" s="23"/>
      <c r="L166" s="23"/>
      <c r="M166" s="24"/>
    </row>
    <row r="167" spans="1:13" x14ac:dyDescent="0.25">
      <c r="A167" s="21">
        <v>153</v>
      </c>
      <c r="B167" s="22"/>
      <c r="C167" s="247" t="str">
        <f t="shared" si="3"/>
        <v xml:space="preserve"> </v>
      </c>
      <c r="D167" s="23"/>
      <c r="E167" s="23"/>
      <c r="F167" s="23"/>
      <c r="G167" s="24"/>
      <c r="H167" s="23"/>
      <c r="I167" s="23"/>
      <c r="J167" s="23"/>
      <c r="K167" s="23"/>
      <c r="L167" s="23"/>
      <c r="M167" s="24"/>
    </row>
    <row r="168" spans="1:13" x14ac:dyDescent="0.25">
      <c r="A168" s="21">
        <v>154</v>
      </c>
      <c r="B168" s="22"/>
      <c r="C168" s="247" t="str">
        <f t="shared" si="3"/>
        <v xml:space="preserve"> </v>
      </c>
      <c r="D168" s="23"/>
      <c r="E168" s="23"/>
      <c r="F168" s="23"/>
      <c r="G168" s="24"/>
      <c r="H168" s="23"/>
      <c r="I168" s="23"/>
      <c r="J168" s="23"/>
      <c r="K168" s="23"/>
      <c r="L168" s="23"/>
      <c r="M168" s="24"/>
    </row>
    <row r="169" spans="1:13" x14ac:dyDescent="0.25">
      <c r="A169" s="21">
        <v>155</v>
      </c>
      <c r="B169" s="22"/>
      <c r="C169" s="247" t="str">
        <f t="shared" si="3"/>
        <v xml:space="preserve"> </v>
      </c>
      <c r="D169" s="23"/>
      <c r="E169" s="23"/>
      <c r="F169" s="23"/>
      <c r="G169" s="24"/>
      <c r="H169" s="23"/>
      <c r="I169" s="23"/>
      <c r="J169" s="23"/>
      <c r="K169" s="23"/>
      <c r="L169" s="23"/>
      <c r="M169" s="24"/>
    </row>
    <row r="170" spans="1:13" x14ac:dyDescent="0.25">
      <c r="A170" s="21">
        <v>156</v>
      </c>
      <c r="B170" s="22"/>
      <c r="C170" s="247" t="str">
        <f t="shared" si="3"/>
        <v xml:space="preserve"> </v>
      </c>
      <c r="D170" s="23"/>
      <c r="E170" s="23"/>
      <c r="F170" s="23"/>
      <c r="G170" s="24"/>
      <c r="H170" s="23"/>
      <c r="I170" s="23"/>
      <c r="J170" s="23"/>
      <c r="K170" s="23"/>
      <c r="L170" s="23"/>
      <c r="M170" s="24"/>
    </row>
    <row r="171" spans="1:13" x14ac:dyDescent="0.25">
      <c r="A171" s="21">
        <v>157</v>
      </c>
      <c r="B171" s="22"/>
      <c r="C171" s="247" t="str">
        <f t="shared" si="3"/>
        <v xml:space="preserve"> </v>
      </c>
      <c r="D171" s="23"/>
      <c r="E171" s="23"/>
      <c r="F171" s="23"/>
      <c r="G171" s="24"/>
      <c r="H171" s="23"/>
      <c r="I171" s="23"/>
      <c r="J171" s="23"/>
      <c r="K171" s="23"/>
      <c r="L171" s="23"/>
      <c r="M171" s="24"/>
    </row>
    <row r="172" spans="1:13" x14ac:dyDescent="0.25">
      <c r="A172" s="21">
        <v>158</v>
      </c>
      <c r="B172" s="22"/>
      <c r="C172" s="247" t="str">
        <f t="shared" si="3"/>
        <v xml:space="preserve"> </v>
      </c>
      <c r="D172" s="23"/>
      <c r="E172" s="23"/>
      <c r="F172" s="23"/>
      <c r="G172" s="24"/>
      <c r="H172" s="23"/>
      <c r="I172" s="23"/>
      <c r="J172" s="23"/>
      <c r="K172" s="23"/>
      <c r="L172" s="23"/>
      <c r="M172" s="24"/>
    </row>
    <row r="173" spans="1:13" x14ac:dyDescent="0.25">
      <c r="A173" s="21">
        <v>159</v>
      </c>
      <c r="B173" s="22"/>
      <c r="C173" s="247" t="str">
        <f t="shared" si="3"/>
        <v xml:space="preserve"> </v>
      </c>
      <c r="D173" s="23"/>
      <c r="E173" s="23"/>
      <c r="F173" s="23"/>
      <c r="G173" s="24"/>
      <c r="H173" s="23"/>
      <c r="I173" s="23"/>
      <c r="J173" s="23"/>
      <c r="K173" s="23"/>
      <c r="L173" s="23"/>
      <c r="M173" s="24"/>
    </row>
    <row r="174" spans="1:13" x14ac:dyDescent="0.25">
      <c r="A174" s="21">
        <v>160</v>
      </c>
      <c r="B174" s="22"/>
      <c r="C174" s="247" t="str">
        <f t="shared" si="3"/>
        <v xml:space="preserve"> </v>
      </c>
      <c r="D174" s="23"/>
      <c r="E174" s="23"/>
      <c r="F174" s="23"/>
      <c r="G174" s="24"/>
      <c r="H174" s="23"/>
      <c r="I174" s="23"/>
      <c r="J174" s="23"/>
      <c r="K174" s="23"/>
      <c r="L174" s="23"/>
      <c r="M174" s="24"/>
    </row>
    <row r="175" spans="1:13" x14ac:dyDescent="0.25">
      <c r="A175" s="21">
        <v>161</v>
      </c>
      <c r="B175" s="22"/>
      <c r="C175" s="247" t="str">
        <f t="shared" si="3"/>
        <v xml:space="preserve"> </v>
      </c>
      <c r="D175" s="23"/>
      <c r="E175" s="23"/>
      <c r="F175" s="23"/>
      <c r="G175" s="24"/>
      <c r="H175" s="23"/>
      <c r="I175" s="23"/>
      <c r="J175" s="23"/>
      <c r="K175" s="23"/>
      <c r="L175" s="23"/>
      <c r="M175" s="24"/>
    </row>
    <row r="176" spans="1:13" x14ac:dyDescent="0.25">
      <c r="A176" s="21">
        <v>162</v>
      </c>
      <c r="B176" s="22"/>
      <c r="C176" s="247" t="str">
        <f t="shared" si="3"/>
        <v xml:space="preserve"> </v>
      </c>
      <c r="D176" s="23"/>
      <c r="E176" s="23"/>
      <c r="F176" s="23"/>
      <c r="G176" s="24"/>
      <c r="H176" s="23"/>
      <c r="I176" s="23"/>
      <c r="J176" s="23"/>
      <c r="K176" s="23"/>
      <c r="L176" s="23"/>
      <c r="M176" s="24"/>
    </row>
    <row r="177" spans="1:13" x14ac:dyDescent="0.25">
      <c r="A177" s="21">
        <v>163</v>
      </c>
      <c r="B177" s="22"/>
      <c r="C177" s="247" t="str">
        <f t="shared" si="3"/>
        <v xml:space="preserve"> </v>
      </c>
      <c r="D177" s="23"/>
      <c r="E177" s="23"/>
      <c r="F177" s="23"/>
      <c r="G177" s="24"/>
      <c r="H177" s="23"/>
      <c r="I177" s="23"/>
      <c r="J177" s="23"/>
      <c r="K177" s="23"/>
      <c r="L177" s="23"/>
      <c r="M177" s="24"/>
    </row>
    <row r="178" spans="1:13" x14ac:dyDescent="0.25">
      <c r="A178" s="21">
        <v>164</v>
      </c>
      <c r="B178" s="22"/>
      <c r="C178" s="247" t="str">
        <f t="shared" si="3"/>
        <v xml:space="preserve"> </v>
      </c>
      <c r="D178" s="23"/>
      <c r="E178" s="23"/>
      <c r="F178" s="23"/>
      <c r="G178" s="24"/>
      <c r="H178" s="23"/>
      <c r="I178" s="23"/>
      <c r="J178" s="23"/>
      <c r="K178" s="23"/>
      <c r="L178" s="23"/>
      <c r="M178" s="24"/>
    </row>
    <row r="179" spans="1:13" x14ac:dyDescent="0.25">
      <c r="A179" s="21">
        <v>165</v>
      </c>
      <c r="B179" s="22"/>
      <c r="C179" s="247" t="str">
        <f t="shared" si="3"/>
        <v xml:space="preserve"> </v>
      </c>
      <c r="D179" s="23"/>
      <c r="E179" s="23"/>
      <c r="F179" s="23"/>
      <c r="G179" s="24"/>
      <c r="H179" s="23"/>
      <c r="I179" s="23"/>
      <c r="J179" s="23"/>
      <c r="K179" s="23"/>
      <c r="L179" s="23"/>
      <c r="M179" s="24"/>
    </row>
    <row r="180" spans="1:13" x14ac:dyDescent="0.25">
      <c r="A180" s="21">
        <v>166</v>
      </c>
      <c r="B180" s="22"/>
      <c r="C180" s="247" t="str">
        <f t="shared" si="3"/>
        <v xml:space="preserve"> </v>
      </c>
      <c r="D180" s="23"/>
      <c r="E180" s="23"/>
      <c r="F180" s="23"/>
      <c r="G180" s="24"/>
      <c r="H180" s="23"/>
      <c r="I180" s="23"/>
      <c r="J180" s="23"/>
      <c r="K180" s="23"/>
      <c r="L180" s="23"/>
      <c r="M180" s="24"/>
    </row>
    <row r="181" spans="1:13" x14ac:dyDescent="0.25">
      <c r="A181" s="21">
        <v>167</v>
      </c>
      <c r="B181" s="22"/>
      <c r="C181" s="247" t="str">
        <f t="shared" si="3"/>
        <v xml:space="preserve"> </v>
      </c>
      <c r="D181" s="23"/>
      <c r="E181" s="23"/>
      <c r="F181" s="23"/>
      <c r="G181" s="24"/>
      <c r="H181" s="23"/>
      <c r="I181" s="23"/>
      <c r="J181" s="23"/>
      <c r="K181" s="23"/>
      <c r="L181" s="23"/>
      <c r="M181" s="24"/>
    </row>
    <row r="182" spans="1:13" x14ac:dyDescent="0.25">
      <c r="A182" s="21">
        <v>168</v>
      </c>
      <c r="B182" s="22"/>
      <c r="C182" s="247" t="str">
        <f t="shared" si="3"/>
        <v xml:space="preserve"> </v>
      </c>
      <c r="D182" s="23"/>
      <c r="E182" s="23"/>
      <c r="F182" s="23"/>
      <c r="G182" s="24"/>
      <c r="H182" s="23"/>
      <c r="I182" s="23"/>
      <c r="J182" s="23"/>
      <c r="K182" s="23"/>
      <c r="L182" s="23"/>
      <c r="M182" s="24"/>
    </row>
    <row r="183" spans="1:13" x14ac:dyDescent="0.25">
      <c r="A183" s="21">
        <v>169</v>
      </c>
      <c r="B183" s="22"/>
      <c r="C183" s="247" t="str">
        <f t="shared" si="3"/>
        <v xml:space="preserve"> </v>
      </c>
      <c r="D183" s="23"/>
      <c r="E183" s="23"/>
      <c r="F183" s="23"/>
      <c r="G183" s="24"/>
      <c r="H183" s="23"/>
      <c r="I183" s="23"/>
      <c r="J183" s="23"/>
      <c r="K183" s="23"/>
      <c r="L183" s="23"/>
      <c r="M183" s="24"/>
    </row>
    <row r="184" spans="1:13" x14ac:dyDescent="0.25">
      <c r="A184" s="21">
        <v>170</v>
      </c>
      <c r="B184" s="22"/>
      <c r="C184" s="247" t="str">
        <f t="shared" si="3"/>
        <v xml:space="preserve"> </v>
      </c>
      <c r="D184" s="23"/>
      <c r="E184" s="23"/>
      <c r="F184" s="23"/>
      <c r="G184" s="24"/>
      <c r="H184" s="23"/>
      <c r="I184" s="23"/>
      <c r="J184" s="23"/>
      <c r="K184" s="23"/>
      <c r="L184" s="23"/>
      <c r="M184" s="24"/>
    </row>
    <row r="185" spans="1:13" x14ac:dyDescent="0.25">
      <c r="A185" s="21">
        <v>171</v>
      </c>
      <c r="B185" s="22"/>
      <c r="C185" s="247" t="str">
        <f t="shared" si="3"/>
        <v xml:space="preserve"> </v>
      </c>
      <c r="D185" s="23"/>
      <c r="E185" s="23"/>
      <c r="F185" s="23"/>
      <c r="G185" s="24"/>
      <c r="H185" s="23"/>
      <c r="I185" s="23"/>
      <c r="J185" s="23"/>
      <c r="K185" s="23"/>
      <c r="L185" s="23"/>
      <c r="M185" s="24"/>
    </row>
    <row r="186" spans="1:13" x14ac:dyDescent="0.25">
      <c r="A186" s="21">
        <v>172</v>
      </c>
      <c r="B186" s="22"/>
      <c r="C186" s="247" t="str">
        <f t="shared" si="3"/>
        <v xml:space="preserve"> </v>
      </c>
      <c r="D186" s="23"/>
      <c r="E186" s="23"/>
      <c r="F186" s="23"/>
      <c r="G186" s="24"/>
      <c r="H186" s="23"/>
      <c r="I186" s="23"/>
      <c r="J186" s="23"/>
      <c r="K186" s="23"/>
      <c r="L186" s="23"/>
      <c r="M186" s="24"/>
    </row>
    <row r="187" spans="1:13" x14ac:dyDescent="0.25">
      <c r="A187" s="21">
        <v>173</v>
      </c>
      <c r="B187" s="22"/>
      <c r="C187" s="247" t="str">
        <f t="shared" si="3"/>
        <v xml:space="preserve"> </v>
      </c>
      <c r="D187" s="23"/>
      <c r="E187" s="23"/>
      <c r="F187" s="23"/>
      <c r="G187" s="24"/>
      <c r="H187" s="23"/>
      <c r="I187" s="23"/>
      <c r="J187" s="23"/>
      <c r="K187" s="23"/>
      <c r="L187" s="23"/>
      <c r="M187" s="24"/>
    </row>
    <row r="188" spans="1:13" x14ac:dyDescent="0.25">
      <c r="A188" s="21">
        <v>174</v>
      </c>
      <c r="B188" s="22"/>
      <c r="C188" s="247" t="str">
        <f t="shared" si="3"/>
        <v xml:space="preserve"> </v>
      </c>
      <c r="D188" s="23"/>
      <c r="E188" s="23"/>
      <c r="F188" s="23"/>
      <c r="G188" s="24"/>
      <c r="H188" s="23"/>
      <c r="I188" s="23"/>
      <c r="J188" s="23"/>
      <c r="K188" s="23"/>
      <c r="L188" s="23"/>
      <c r="M188" s="24"/>
    </row>
    <row r="189" spans="1:13" x14ac:dyDescent="0.25">
      <c r="A189" s="21">
        <v>175</v>
      </c>
      <c r="B189" s="22"/>
      <c r="C189" s="247" t="str">
        <f t="shared" si="3"/>
        <v xml:space="preserve"> </v>
      </c>
      <c r="D189" s="23"/>
      <c r="E189" s="23"/>
      <c r="F189" s="23"/>
      <c r="G189" s="24"/>
      <c r="H189" s="23"/>
      <c r="I189" s="23"/>
      <c r="J189" s="23"/>
      <c r="K189" s="23"/>
      <c r="L189" s="23"/>
      <c r="M189" s="24"/>
    </row>
    <row r="190" spans="1:13" x14ac:dyDescent="0.25">
      <c r="A190" s="21">
        <v>176</v>
      </c>
      <c r="B190" s="22"/>
      <c r="C190" s="247" t="str">
        <f t="shared" si="3"/>
        <v xml:space="preserve"> </v>
      </c>
      <c r="D190" s="23"/>
      <c r="E190" s="23"/>
      <c r="F190" s="23"/>
      <c r="G190" s="24"/>
      <c r="H190" s="23"/>
      <c r="I190" s="23"/>
      <c r="J190" s="23"/>
      <c r="K190" s="23"/>
      <c r="L190" s="23"/>
      <c r="M190" s="24"/>
    </row>
    <row r="191" spans="1:13" x14ac:dyDescent="0.25">
      <c r="A191" s="21">
        <v>177</v>
      </c>
      <c r="B191" s="22"/>
      <c r="C191" s="247" t="str">
        <f t="shared" si="3"/>
        <v xml:space="preserve"> </v>
      </c>
      <c r="D191" s="23"/>
      <c r="E191" s="23"/>
      <c r="F191" s="23"/>
      <c r="G191" s="24"/>
      <c r="H191" s="23"/>
      <c r="I191" s="23"/>
      <c r="J191" s="23"/>
      <c r="K191" s="23"/>
      <c r="L191" s="23"/>
      <c r="M191" s="24"/>
    </row>
    <row r="192" spans="1:13" x14ac:dyDescent="0.25">
      <c r="A192" s="21">
        <v>178</v>
      </c>
      <c r="B192" s="22"/>
      <c r="C192" s="247" t="str">
        <f t="shared" si="3"/>
        <v xml:space="preserve"> </v>
      </c>
      <c r="D192" s="23"/>
      <c r="E192" s="23"/>
      <c r="F192" s="23"/>
      <c r="G192" s="24"/>
      <c r="H192" s="23"/>
      <c r="I192" s="23"/>
      <c r="J192" s="23"/>
      <c r="K192" s="23"/>
      <c r="L192" s="23"/>
      <c r="M192" s="24"/>
    </row>
    <row r="193" spans="1:13" x14ac:dyDescent="0.25">
      <c r="A193" s="21">
        <v>179</v>
      </c>
      <c r="B193" s="22"/>
      <c r="C193" s="247" t="str">
        <f t="shared" si="3"/>
        <v xml:space="preserve"> </v>
      </c>
      <c r="D193" s="23"/>
      <c r="E193" s="23"/>
      <c r="F193" s="23"/>
      <c r="G193" s="24"/>
      <c r="H193" s="23"/>
      <c r="I193" s="23"/>
      <c r="J193" s="23"/>
      <c r="K193" s="23"/>
      <c r="L193" s="23"/>
      <c r="M193" s="24"/>
    </row>
    <row r="194" spans="1:13" x14ac:dyDescent="0.25">
      <c r="A194" s="21">
        <v>180</v>
      </c>
      <c r="B194" s="22"/>
      <c r="C194" s="247" t="str">
        <f t="shared" si="3"/>
        <v xml:space="preserve"> </v>
      </c>
      <c r="D194" s="23"/>
      <c r="E194" s="23"/>
      <c r="F194" s="23"/>
      <c r="G194" s="24"/>
      <c r="H194" s="23"/>
      <c r="I194" s="23"/>
      <c r="J194" s="23"/>
      <c r="K194" s="23"/>
      <c r="L194" s="23"/>
      <c r="M194" s="24"/>
    </row>
    <row r="195" spans="1:13" x14ac:dyDescent="0.25">
      <c r="A195" s="21">
        <v>181</v>
      </c>
      <c r="B195" s="22"/>
      <c r="C195" s="247" t="str">
        <f t="shared" si="3"/>
        <v xml:space="preserve"> </v>
      </c>
      <c r="D195" s="23"/>
      <c r="E195" s="23"/>
      <c r="F195" s="23"/>
      <c r="G195" s="24"/>
      <c r="H195" s="23"/>
      <c r="I195" s="23"/>
      <c r="J195" s="23"/>
      <c r="K195" s="23"/>
      <c r="L195" s="23"/>
      <c r="M195" s="24"/>
    </row>
    <row r="196" spans="1:13" x14ac:dyDescent="0.25">
      <c r="A196" s="21">
        <v>182</v>
      </c>
      <c r="B196" s="22"/>
      <c r="C196" s="247" t="str">
        <f t="shared" si="3"/>
        <v xml:space="preserve"> </v>
      </c>
      <c r="D196" s="23"/>
      <c r="E196" s="23"/>
      <c r="F196" s="23"/>
      <c r="G196" s="24"/>
      <c r="H196" s="23"/>
      <c r="I196" s="23"/>
      <c r="J196" s="23"/>
      <c r="K196" s="23"/>
      <c r="L196" s="23"/>
      <c r="M196" s="24"/>
    </row>
    <row r="197" spans="1:13" x14ac:dyDescent="0.25">
      <c r="A197" s="21">
        <v>183</v>
      </c>
      <c r="B197" s="22"/>
      <c r="C197" s="247" t="str">
        <f t="shared" si="3"/>
        <v xml:space="preserve"> </v>
      </c>
      <c r="D197" s="23"/>
      <c r="E197" s="23"/>
      <c r="F197" s="23"/>
      <c r="G197" s="24"/>
      <c r="H197" s="23"/>
      <c r="I197" s="23"/>
      <c r="J197" s="23"/>
      <c r="K197" s="23"/>
      <c r="L197" s="23"/>
      <c r="M197" s="24"/>
    </row>
    <row r="198" spans="1:13" x14ac:dyDescent="0.25">
      <c r="A198" s="21">
        <v>184</v>
      </c>
      <c r="B198" s="22"/>
      <c r="C198" s="247" t="str">
        <f t="shared" si="3"/>
        <v xml:space="preserve"> </v>
      </c>
      <c r="D198" s="23"/>
      <c r="E198" s="23"/>
      <c r="F198" s="23"/>
      <c r="G198" s="24"/>
      <c r="H198" s="23"/>
      <c r="I198" s="23"/>
      <c r="J198" s="23"/>
      <c r="K198" s="23"/>
      <c r="L198" s="23"/>
      <c r="M198" s="24"/>
    </row>
    <row r="199" spans="1:13" x14ac:dyDescent="0.25">
      <c r="A199" s="21">
        <v>185</v>
      </c>
      <c r="B199" s="22"/>
      <c r="C199" s="247" t="str">
        <f t="shared" si="3"/>
        <v xml:space="preserve"> </v>
      </c>
      <c r="D199" s="23"/>
      <c r="E199" s="23"/>
      <c r="F199" s="23"/>
      <c r="G199" s="24"/>
      <c r="H199" s="23"/>
      <c r="I199" s="23"/>
      <c r="J199" s="23"/>
      <c r="K199" s="23"/>
      <c r="L199" s="23"/>
      <c r="M199" s="24"/>
    </row>
    <row r="200" spans="1:13" x14ac:dyDescent="0.25">
      <c r="A200" s="21">
        <v>186</v>
      </c>
      <c r="B200" s="22"/>
      <c r="C200" s="247" t="str">
        <f t="shared" si="3"/>
        <v xml:space="preserve"> </v>
      </c>
      <c r="D200" s="23"/>
      <c r="E200" s="23"/>
      <c r="F200" s="23"/>
      <c r="G200" s="24"/>
      <c r="H200" s="23"/>
      <c r="I200" s="23"/>
      <c r="J200" s="23"/>
      <c r="K200" s="23"/>
      <c r="L200" s="23"/>
      <c r="M200" s="24"/>
    </row>
    <row r="201" spans="1:13" x14ac:dyDescent="0.25">
      <c r="A201" s="21">
        <v>187</v>
      </c>
      <c r="B201" s="22"/>
      <c r="C201" s="247" t="str">
        <f t="shared" si="3"/>
        <v xml:space="preserve"> </v>
      </c>
      <c r="D201" s="23"/>
      <c r="E201" s="23"/>
      <c r="F201" s="23"/>
      <c r="G201" s="24"/>
      <c r="H201" s="23"/>
      <c r="I201" s="23"/>
      <c r="J201" s="23"/>
      <c r="K201" s="23"/>
      <c r="L201" s="23"/>
      <c r="M201" s="24"/>
    </row>
    <row r="202" spans="1:13" x14ac:dyDescent="0.25">
      <c r="A202" s="21">
        <v>188</v>
      </c>
      <c r="B202" s="22"/>
      <c r="C202" s="247" t="str">
        <f t="shared" si="3"/>
        <v xml:space="preserve"> </v>
      </c>
      <c r="D202" s="23"/>
      <c r="E202" s="23"/>
      <c r="F202" s="23"/>
      <c r="G202" s="24"/>
      <c r="H202" s="23"/>
      <c r="I202" s="23"/>
      <c r="J202" s="23"/>
      <c r="K202" s="23"/>
      <c r="L202" s="23"/>
      <c r="M202" s="24"/>
    </row>
    <row r="203" spans="1:13" x14ac:dyDescent="0.25">
      <c r="A203" s="21">
        <v>189</v>
      </c>
      <c r="B203" s="22"/>
      <c r="C203" s="247" t="str">
        <f t="shared" si="3"/>
        <v xml:space="preserve"> </v>
      </c>
      <c r="D203" s="23"/>
      <c r="E203" s="23"/>
      <c r="F203" s="23"/>
      <c r="G203" s="24"/>
      <c r="H203" s="23"/>
      <c r="I203" s="23"/>
      <c r="J203" s="23"/>
      <c r="K203" s="23"/>
      <c r="L203" s="23"/>
      <c r="M203" s="24"/>
    </row>
    <row r="204" spans="1:13" x14ac:dyDescent="0.25">
      <c r="A204" s="21">
        <v>190</v>
      </c>
      <c r="B204" s="22"/>
      <c r="C204" s="247" t="str">
        <f t="shared" si="3"/>
        <v xml:space="preserve"> </v>
      </c>
      <c r="D204" s="23"/>
      <c r="E204" s="23"/>
      <c r="F204" s="23"/>
      <c r="G204" s="24"/>
      <c r="H204" s="23"/>
      <c r="I204" s="23"/>
      <c r="J204" s="23"/>
      <c r="K204" s="23"/>
      <c r="L204" s="23"/>
      <c r="M204" s="24"/>
    </row>
    <row r="205" spans="1:13" x14ac:dyDescent="0.25">
      <c r="A205" s="21">
        <v>191</v>
      </c>
      <c r="B205" s="22"/>
      <c r="C205" s="247" t="str">
        <f t="shared" si="3"/>
        <v xml:space="preserve"> </v>
      </c>
      <c r="D205" s="23"/>
      <c r="E205" s="23"/>
      <c r="F205" s="23"/>
      <c r="G205" s="24"/>
      <c r="H205" s="23"/>
      <c r="I205" s="23"/>
      <c r="J205" s="23"/>
      <c r="K205" s="23"/>
      <c r="L205" s="23"/>
      <c r="M205" s="24"/>
    </row>
    <row r="206" spans="1:13" x14ac:dyDescent="0.25">
      <c r="A206" s="21">
        <v>192</v>
      </c>
      <c r="B206" s="22"/>
      <c r="C206" s="247" t="str">
        <f t="shared" si="3"/>
        <v xml:space="preserve"> </v>
      </c>
      <c r="D206" s="23"/>
      <c r="E206" s="23"/>
      <c r="F206" s="23"/>
      <c r="G206" s="24"/>
      <c r="H206" s="23"/>
      <c r="I206" s="23"/>
      <c r="J206" s="23"/>
      <c r="K206" s="23"/>
      <c r="L206" s="23"/>
      <c r="M206" s="24"/>
    </row>
    <row r="207" spans="1:13" x14ac:dyDescent="0.25">
      <c r="A207" s="21">
        <v>193</v>
      </c>
      <c r="B207" s="22"/>
      <c r="C207" s="247" t="str">
        <f t="shared" si="3"/>
        <v xml:space="preserve"> </v>
      </c>
      <c r="D207" s="23"/>
      <c r="E207" s="23"/>
      <c r="F207" s="23"/>
      <c r="G207" s="24"/>
      <c r="H207" s="23"/>
      <c r="I207" s="23"/>
      <c r="J207" s="23"/>
      <c r="K207" s="23"/>
      <c r="L207" s="23"/>
      <c r="M207" s="24"/>
    </row>
    <row r="208" spans="1:13" x14ac:dyDescent="0.25">
      <c r="A208" s="21">
        <v>194</v>
      </c>
      <c r="B208" s="22"/>
      <c r="C208" s="247" t="str">
        <f t="shared" ref="C208:C270" si="4">IF(B208&gt;0,$A$11-B208," ")</f>
        <v xml:space="preserve"> </v>
      </c>
      <c r="D208" s="23"/>
      <c r="E208" s="23"/>
      <c r="F208" s="23"/>
      <c r="G208" s="24"/>
      <c r="H208" s="23"/>
      <c r="I208" s="23"/>
      <c r="J208" s="23"/>
      <c r="K208" s="23"/>
      <c r="L208" s="23"/>
      <c r="M208" s="24"/>
    </row>
    <row r="209" spans="1:13" x14ac:dyDescent="0.25">
      <c r="A209" s="21">
        <v>195</v>
      </c>
      <c r="B209" s="22"/>
      <c r="C209" s="247" t="str">
        <f t="shared" si="4"/>
        <v xml:space="preserve"> </v>
      </c>
      <c r="D209" s="23"/>
      <c r="E209" s="23"/>
      <c r="F209" s="23"/>
      <c r="G209" s="24"/>
      <c r="H209" s="23"/>
      <c r="I209" s="23"/>
      <c r="J209" s="23"/>
      <c r="K209" s="23"/>
      <c r="L209" s="23"/>
      <c r="M209" s="24"/>
    </row>
    <row r="210" spans="1:13" x14ac:dyDescent="0.25">
      <c r="A210" s="21">
        <v>196</v>
      </c>
      <c r="B210" s="22"/>
      <c r="C210" s="247" t="str">
        <f t="shared" si="4"/>
        <v xml:space="preserve"> </v>
      </c>
      <c r="D210" s="23"/>
      <c r="E210" s="23"/>
      <c r="F210" s="23"/>
      <c r="G210" s="24"/>
      <c r="H210" s="23"/>
      <c r="I210" s="23"/>
      <c r="J210" s="23"/>
      <c r="K210" s="23"/>
      <c r="L210" s="23"/>
      <c r="M210" s="24"/>
    </row>
    <row r="211" spans="1:13" x14ac:dyDescent="0.25">
      <c r="A211" s="21">
        <v>197</v>
      </c>
      <c r="B211" s="22"/>
      <c r="C211" s="247" t="str">
        <f t="shared" si="4"/>
        <v xml:space="preserve"> </v>
      </c>
      <c r="D211" s="23"/>
      <c r="E211" s="23"/>
      <c r="F211" s="23"/>
      <c r="G211" s="24"/>
      <c r="H211" s="23"/>
      <c r="I211" s="23"/>
      <c r="J211" s="23"/>
      <c r="K211" s="23"/>
      <c r="L211" s="23"/>
      <c r="M211" s="24"/>
    </row>
    <row r="212" spans="1:13" x14ac:dyDescent="0.25">
      <c r="A212" s="21">
        <v>198</v>
      </c>
      <c r="B212" s="22"/>
      <c r="C212" s="247" t="str">
        <f t="shared" si="4"/>
        <v xml:space="preserve"> </v>
      </c>
      <c r="D212" s="23"/>
      <c r="E212" s="23"/>
      <c r="F212" s="23"/>
      <c r="G212" s="24"/>
      <c r="H212" s="23"/>
      <c r="I212" s="23"/>
      <c r="J212" s="23"/>
      <c r="K212" s="23"/>
      <c r="L212" s="23"/>
      <c r="M212" s="24"/>
    </row>
    <row r="213" spans="1:13" x14ac:dyDescent="0.25">
      <c r="A213" s="21">
        <v>199</v>
      </c>
      <c r="B213" s="22"/>
      <c r="C213" s="247" t="str">
        <f t="shared" si="4"/>
        <v xml:space="preserve"> </v>
      </c>
      <c r="D213" s="23"/>
      <c r="E213" s="23"/>
      <c r="F213" s="23"/>
      <c r="G213" s="24"/>
      <c r="H213" s="23"/>
      <c r="I213" s="23"/>
      <c r="J213" s="23"/>
      <c r="K213" s="23"/>
      <c r="L213" s="23"/>
      <c r="M213" s="24"/>
    </row>
    <row r="214" spans="1:13" x14ac:dyDescent="0.25">
      <c r="A214" s="21">
        <v>200</v>
      </c>
      <c r="B214" s="22"/>
      <c r="C214" s="247" t="str">
        <f t="shared" si="4"/>
        <v xml:space="preserve"> </v>
      </c>
      <c r="D214" s="23"/>
      <c r="E214" s="23"/>
      <c r="F214" s="23"/>
      <c r="G214" s="24"/>
      <c r="H214" s="23"/>
      <c r="I214" s="23"/>
      <c r="J214" s="23"/>
      <c r="K214" s="23"/>
      <c r="L214" s="23"/>
      <c r="M214" s="24"/>
    </row>
    <row r="215" spans="1:13" x14ac:dyDescent="0.25">
      <c r="A215" s="21">
        <v>201</v>
      </c>
      <c r="B215" s="22"/>
      <c r="C215" s="247" t="str">
        <f t="shared" si="4"/>
        <v xml:space="preserve"> </v>
      </c>
      <c r="D215" s="23"/>
      <c r="E215" s="23"/>
      <c r="F215" s="23"/>
      <c r="G215" s="24"/>
      <c r="H215" s="23"/>
      <c r="I215" s="23"/>
      <c r="J215" s="23"/>
      <c r="K215" s="23"/>
      <c r="L215" s="23"/>
      <c r="M215" s="24"/>
    </row>
    <row r="216" spans="1:13" x14ac:dyDescent="0.25">
      <c r="A216" s="21">
        <v>202</v>
      </c>
      <c r="B216" s="22"/>
      <c r="C216" s="247" t="str">
        <f t="shared" si="4"/>
        <v xml:space="preserve"> </v>
      </c>
      <c r="D216" s="23"/>
      <c r="E216" s="23"/>
      <c r="F216" s="23"/>
      <c r="G216" s="24"/>
      <c r="H216" s="23"/>
      <c r="I216" s="23"/>
      <c r="J216" s="23"/>
      <c r="K216" s="23"/>
      <c r="L216" s="23"/>
      <c r="M216" s="24"/>
    </row>
    <row r="217" spans="1:13" x14ac:dyDescent="0.25">
      <c r="A217" s="21">
        <v>203</v>
      </c>
      <c r="B217" s="22"/>
      <c r="C217" s="247" t="str">
        <f t="shared" si="4"/>
        <v xml:space="preserve"> </v>
      </c>
      <c r="D217" s="23"/>
      <c r="E217" s="23"/>
      <c r="F217" s="23"/>
      <c r="G217" s="24"/>
      <c r="H217" s="23"/>
      <c r="I217" s="23"/>
      <c r="J217" s="23"/>
      <c r="K217" s="23"/>
      <c r="L217" s="23"/>
      <c r="M217" s="24"/>
    </row>
    <row r="218" spans="1:13" x14ac:dyDescent="0.25">
      <c r="A218" s="21">
        <v>204</v>
      </c>
      <c r="B218" s="22"/>
      <c r="C218" s="247" t="str">
        <f t="shared" si="4"/>
        <v xml:space="preserve"> </v>
      </c>
      <c r="D218" s="23"/>
      <c r="E218" s="23"/>
      <c r="F218" s="23"/>
      <c r="G218" s="24"/>
      <c r="H218" s="23"/>
      <c r="I218" s="23"/>
      <c r="J218" s="23"/>
      <c r="K218" s="23"/>
      <c r="L218" s="23"/>
      <c r="M218" s="24"/>
    </row>
    <row r="219" spans="1:13" x14ac:dyDescent="0.25">
      <c r="A219" s="21">
        <v>205</v>
      </c>
      <c r="B219" s="22"/>
      <c r="C219" s="247" t="str">
        <f t="shared" si="4"/>
        <v xml:space="preserve"> </v>
      </c>
      <c r="D219" s="23"/>
      <c r="E219" s="23"/>
      <c r="F219" s="23"/>
      <c r="G219" s="24"/>
      <c r="H219" s="23"/>
      <c r="I219" s="23"/>
      <c r="J219" s="23"/>
      <c r="K219" s="23"/>
      <c r="L219" s="23"/>
      <c r="M219" s="24"/>
    </row>
    <row r="220" spans="1:13" x14ac:dyDescent="0.25">
      <c r="A220" s="21">
        <v>206</v>
      </c>
      <c r="B220" s="22"/>
      <c r="C220" s="247" t="str">
        <f t="shared" si="4"/>
        <v xml:space="preserve"> </v>
      </c>
      <c r="D220" s="23"/>
      <c r="E220" s="23"/>
      <c r="F220" s="23"/>
      <c r="G220" s="24"/>
      <c r="H220" s="23"/>
      <c r="I220" s="23"/>
      <c r="J220" s="23"/>
      <c r="K220" s="23"/>
      <c r="L220" s="23"/>
      <c r="M220" s="24"/>
    </row>
    <row r="221" spans="1:13" x14ac:dyDescent="0.25">
      <c r="A221" s="21">
        <v>207</v>
      </c>
      <c r="B221" s="22"/>
      <c r="C221" s="247" t="str">
        <f t="shared" si="4"/>
        <v xml:space="preserve"> </v>
      </c>
      <c r="D221" s="23"/>
      <c r="E221" s="23"/>
      <c r="F221" s="23"/>
      <c r="G221" s="24"/>
      <c r="H221" s="23"/>
      <c r="I221" s="23"/>
      <c r="J221" s="23"/>
      <c r="K221" s="23"/>
      <c r="L221" s="23"/>
      <c r="M221" s="24"/>
    </row>
    <row r="222" spans="1:13" x14ac:dyDescent="0.25">
      <c r="A222" s="21">
        <v>208</v>
      </c>
      <c r="B222" s="22"/>
      <c r="C222" s="247" t="str">
        <f t="shared" si="4"/>
        <v xml:space="preserve"> </v>
      </c>
      <c r="D222" s="23"/>
      <c r="E222" s="23"/>
      <c r="F222" s="23"/>
      <c r="G222" s="24"/>
      <c r="H222" s="23"/>
      <c r="I222" s="23"/>
      <c r="J222" s="23"/>
      <c r="K222" s="23"/>
      <c r="L222" s="23"/>
      <c r="M222" s="24"/>
    </row>
    <row r="223" spans="1:13" x14ac:dyDescent="0.25">
      <c r="A223" s="21">
        <v>209</v>
      </c>
      <c r="B223" s="22"/>
      <c r="C223" s="247" t="str">
        <f t="shared" si="4"/>
        <v xml:space="preserve"> </v>
      </c>
      <c r="D223" s="23"/>
      <c r="E223" s="23"/>
      <c r="F223" s="23"/>
      <c r="G223" s="24"/>
      <c r="H223" s="23"/>
      <c r="I223" s="23"/>
      <c r="J223" s="23"/>
      <c r="K223" s="23"/>
      <c r="L223" s="23"/>
      <c r="M223" s="24"/>
    </row>
    <row r="224" spans="1:13" x14ac:dyDescent="0.25">
      <c r="A224" s="21">
        <v>210</v>
      </c>
      <c r="B224" s="22"/>
      <c r="C224" s="247" t="str">
        <f t="shared" si="4"/>
        <v xml:space="preserve"> </v>
      </c>
      <c r="D224" s="23"/>
      <c r="E224" s="23"/>
      <c r="F224" s="23"/>
      <c r="G224" s="24"/>
      <c r="H224" s="23"/>
      <c r="I224" s="23"/>
      <c r="J224" s="23"/>
      <c r="K224" s="23"/>
      <c r="L224" s="23"/>
      <c r="M224" s="24"/>
    </row>
    <row r="225" spans="1:13" x14ac:dyDescent="0.25">
      <c r="A225" s="21">
        <v>211</v>
      </c>
      <c r="B225" s="22"/>
      <c r="C225" s="247" t="str">
        <f t="shared" si="4"/>
        <v xml:space="preserve"> </v>
      </c>
      <c r="D225" s="23"/>
      <c r="E225" s="23"/>
      <c r="F225" s="23"/>
      <c r="G225" s="24"/>
      <c r="H225" s="23"/>
      <c r="I225" s="23"/>
      <c r="J225" s="23"/>
      <c r="K225" s="23"/>
      <c r="L225" s="23"/>
      <c r="M225" s="24"/>
    </row>
    <row r="226" spans="1:13" x14ac:dyDescent="0.25">
      <c r="A226" s="21">
        <v>212</v>
      </c>
      <c r="B226" s="22"/>
      <c r="C226" s="247" t="str">
        <f t="shared" si="4"/>
        <v xml:space="preserve"> </v>
      </c>
      <c r="D226" s="23"/>
      <c r="E226" s="23"/>
      <c r="F226" s="23"/>
      <c r="G226" s="24"/>
      <c r="H226" s="23"/>
      <c r="I226" s="23"/>
      <c r="J226" s="23"/>
      <c r="K226" s="23"/>
      <c r="L226" s="23"/>
      <c r="M226" s="24"/>
    </row>
    <row r="227" spans="1:13" x14ac:dyDescent="0.25">
      <c r="A227" s="21">
        <v>213</v>
      </c>
      <c r="B227" s="22"/>
      <c r="C227" s="247" t="str">
        <f t="shared" si="4"/>
        <v xml:space="preserve"> </v>
      </c>
      <c r="D227" s="23"/>
      <c r="E227" s="23"/>
      <c r="F227" s="23"/>
      <c r="G227" s="24"/>
      <c r="H227" s="23"/>
      <c r="I227" s="23"/>
      <c r="J227" s="23"/>
      <c r="K227" s="23"/>
      <c r="L227" s="23"/>
      <c r="M227" s="24"/>
    </row>
    <row r="228" spans="1:13" x14ac:dyDescent="0.25">
      <c r="A228" s="21">
        <v>214</v>
      </c>
      <c r="B228" s="22"/>
      <c r="C228" s="247" t="str">
        <f t="shared" si="4"/>
        <v xml:space="preserve"> </v>
      </c>
      <c r="D228" s="23"/>
      <c r="E228" s="23"/>
      <c r="F228" s="23"/>
      <c r="G228" s="24"/>
      <c r="H228" s="23"/>
      <c r="I228" s="23"/>
      <c r="J228" s="23"/>
      <c r="K228" s="23"/>
      <c r="L228" s="23"/>
      <c r="M228" s="24"/>
    </row>
    <row r="229" spans="1:13" x14ac:dyDescent="0.25">
      <c r="A229" s="21">
        <v>215</v>
      </c>
      <c r="B229" s="22"/>
      <c r="C229" s="247" t="str">
        <f t="shared" si="4"/>
        <v xml:space="preserve"> </v>
      </c>
      <c r="D229" s="23"/>
      <c r="E229" s="23"/>
      <c r="F229" s="23"/>
      <c r="G229" s="24"/>
      <c r="H229" s="23"/>
      <c r="I229" s="23"/>
      <c r="J229" s="23"/>
      <c r="K229" s="23"/>
      <c r="L229" s="23"/>
      <c r="M229" s="24"/>
    </row>
    <row r="230" spans="1:13" x14ac:dyDescent="0.25">
      <c r="A230" s="21">
        <v>216</v>
      </c>
      <c r="B230" s="22"/>
      <c r="C230" s="247" t="str">
        <f t="shared" si="4"/>
        <v xml:space="preserve"> </v>
      </c>
      <c r="D230" s="23"/>
      <c r="E230" s="23"/>
      <c r="F230" s="23"/>
      <c r="G230" s="24"/>
      <c r="H230" s="23"/>
      <c r="I230" s="23"/>
      <c r="J230" s="23"/>
      <c r="K230" s="23"/>
      <c r="L230" s="23"/>
      <c r="M230" s="24"/>
    </row>
    <row r="231" spans="1:13" x14ac:dyDescent="0.25">
      <c r="A231" s="21">
        <v>217</v>
      </c>
      <c r="B231" s="22"/>
      <c r="C231" s="247" t="str">
        <f t="shared" si="4"/>
        <v xml:space="preserve"> </v>
      </c>
      <c r="D231" s="23"/>
      <c r="E231" s="23"/>
      <c r="F231" s="23"/>
      <c r="G231" s="24"/>
      <c r="H231" s="23"/>
      <c r="I231" s="23"/>
      <c r="J231" s="23"/>
      <c r="K231" s="23"/>
      <c r="L231" s="23"/>
      <c r="M231" s="24"/>
    </row>
    <row r="232" spans="1:13" x14ac:dyDescent="0.25">
      <c r="A232" s="21">
        <v>218</v>
      </c>
      <c r="B232" s="22"/>
      <c r="C232" s="247" t="str">
        <f t="shared" si="4"/>
        <v xml:space="preserve"> </v>
      </c>
      <c r="D232" s="23"/>
      <c r="E232" s="23"/>
      <c r="F232" s="23"/>
      <c r="G232" s="24"/>
      <c r="H232" s="23"/>
      <c r="I232" s="23"/>
      <c r="J232" s="23"/>
      <c r="K232" s="23"/>
      <c r="L232" s="23"/>
      <c r="M232" s="24"/>
    </row>
    <row r="233" spans="1:13" x14ac:dyDescent="0.25">
      <c r="A233" s="21">
        <v>219</v>
      </c>
      <c r="B233" s="22"/>
      <c r="C233" s="247" t="str">
        <f t="shared" si="4"/>
        <v xml:space="preserve"> </v>
      </c>
      <c r="D233" s="23"/>
      <c r="E233" s="23"/>
      <c r="F233" s="23"/>
      <c r="G233" s="24"/>
      <c r="H233" s="23"/>
      <c r="I233" s="23"/>
      <c r="J233" s="23"/>
      <c r="K233" s="23"/>
      <c r="L233" s="23"/>
      <c r="M233" s="24"/>
    </row>
    <row r="234" spans="1:13" x14ac:dyDescent="0.25">
      <c r="A234" s="21">
        <v>220</v>
      </c>
      <c r="B234" s="22"/>
      <c r="C234" s="247" t="str">
        <f t="shared" si="4"/>
        <v xml:space="preserve"> </v>
      </c>
      <c r="D234" s="23"/>
      <c r="E234" s="23"/>
      <c r="F234" s="23"/>
      <c r="G234" s="24"/>
      <c r="H234" s="23"/>
      <c r="I234" s="23"/>
      <c r="J234" s="23"/>
      <c r="K234" s="23"/>
      <c r="L234" s="23"/>
      <c r="M234" s="24"/>
    </row>
    <row r="235" spans="1:13" x14ac:dyDescent="0.25">
      <c r="A235" s="21">
        <v>221</v>
      </c>
      <c r="B235" s="22"/>
      <c r="C235" s="247" t="str">
        <f t="shared" si="4"/>
        <v xml:space="preserve"> </v>
      </c>
      <c r="D235" s="23"/>
      <c r="E235" s="23"/>
      <c r="F235" s="23"/>
      <c r="G235" s="24"/>
      <c r="H235" s="23"/>
      <c r="I235" s="23"/>
      <c r="J235" s="23"/>
      <c r="K235" s="23"/>
      <c r="L235" s="23"/>
      <c r="M235" s="24"/>
    </row>
    <row r="236" spans="1:13" x14ac:dyDescent="0.25">
      <c r="A236" s="21">
        <v>222</v>
      </c>
      <c r="B236" s="22"/>
      <c r="C236" s="247" t="str">
        <f t="shared" si="4"/>
        <v xml:space="preserve"> </v>
      </c>
      <c r="D236" s="23"/>
      <c r="E236" s="23"/>
      <c r="F236" s="23"/>
      <c r="G236" s="24"/>
      <c r="H236" s="23"/>
      <c r="I236" s="23"/>
      <c r="J236" s="23"/>
      <c r="K236" s="23"/>
      <c r="L236" s="23"/>
      <c r="M236" s="24"/>
    </row>
    <row r="237" spans="1:13" x14ac:dyDescent="0.25">
      <c r="A237" s="21">
        <v>223</v>
      </c>
      <c r="B237" s="22"/>
      <c r="C237" s="247" t="str">
        <f t="shared" si="4"/>
        <v xml:space="preserve"> </v>
      </c>
      <c r="D237" s="23"/>
      <c r="E237" s="23"/>
      <c r="F237" s="23"/>
      <c r="G237" s="24"/>
      <c r="H237" s="23"/>
      <c r="I237" s="23"/>
      <c r="J237" s="23"/>
      <c r="K237" s="23"/>
      <c r="L237" s="23"/>
      <c r="M237" s="24"/>
    </row>
    <row r="238" spans="1:13" x14ac:dyDescent="0.25">
      <c r="A238" s="21">
        <v>224</v>
      </c>
      <c r="B238" s="22"/>
      <c r="C238" s="247" t="str">
        <f t="shared" si="4"/>
        <v xml:space="preserve"> </v>
      </c>
      <c r="D238" s="23"/>
      <c r="E238" s="23"/>
      <c r="F238" s="23"/>
      <c r="G238" s="24"/>
      <c r="H238" s="23"/>
      <c r="I238" s="23"/>
      <c r="J238" s="23"/>
      <c r="K238" s="23"/>
      <c r="L238" s="23"/>
      <c r="M238" s="24"/>
    </row>
    <row r="239" spans="1:13" x14ac:dyDescent="0.25">
      <c r="A239" s="21">
        <v>225</v>
      </c>
      <c r="B239" s="22"/>
      <c r="C239" s="247" t="str">
        <f t="shared" si="4"/>
        <v xml:space="preserve"> </v>
      </c>
      <c r="D239" s="23"/>
      <c r="E239" s="23"/>
      <c r="F239" s="23"/>
      <c r="G239" s="24"/>
      <c r="H239" s="23"/>
      <c r="I239" s="23"/>
      <c r="J239" s="23"/>
      <c r="K239" s="23"/>
      <c r="L239" s="23"/>
      <c r="M239" s="24"/>
    </row>
    <row r="240" spans="1:13" x14ac:dyDescent="0.25">
      <c r="A240" s="21">
        <v>226</v>
      </c>
      <c r="B240" s="22"/>
      <c r="C240" s="247" t="str">
        <f t="shared" si="4"/>
        <v xml:space="preserve"> </v>
      </c>
      <c r="D240" s="23"/>
      <c r="E240" s="23"/>
      <c r="F240" s="23"/>
      <c r="G240" s="24"/>
      <c r="H240" s="23"/>
      <c r="I240" s="23"/>
      <c r="J240" s="23"/>
      <c r="K240" s="23"/>
      <c r="L240" s="23"/>
      <c r="M240" s="24"/>
    </row>
    <row r="241" spans="1:13" x14ac:dyDescent="0.25">
      <c r="A241" s="21">
        <v>227</v>
      </c>
      <c r="B241" s="22"/>
      <c r="C241" s="247" t="str">
        <f t="shared" si="4"/>
        <v xml:space="preserve"> </v>
      </c>
      <c r="D241" s="23"/>
      <c r="E241" s="23"/>
      <c r="F241" s="23"/>
      <c r="G241" s="24"/>
      <c r="H241" s="23"/>
      <c r="I241" s="23"/>
      <c r="J241" s="23"/>
      <c r="K241" s="23"/>
      <c r="L241" s="23"/>
      <c r="M241" s="24"/>
    </row>
    <row r="242" spans="1:13" x14ac:dyDescent="0.25">
      <c r="A242" s="21">
        <v>228</v>
      </c>
      <c r="B242" s="22"/>
      <c r="C242" s="247" t="str">
        <f t="shared" si="4"/>
        <v xml:space="preserve"> </v>
      </c>
      <c r="D242" s="23"/>
      <c r="E242" s="23"/>
      <c r="F242" s="23"/>
      <c r="G242" s="24"/>
      <c r="H242" s="23"/>
      <c r="I242" s="23"/>
      <c r="J242" s="23"/>
      <c r="K242" s="23"/>
      <c r="L242" s="23"/>
      <c r="M242" s="24"/>
    </row>
    <row r="243" spans="1:13" x14ac:dyDescent="0.25">
      <c r="A243" s="21">
        <v>229</v>
      </c>
      <c r="B243" s="22"/>
      <c r="C243" s="247" t="str">
        <f t="shared" si="4"/>
        <v xml:space="preserve"> </v>
      </c>
      <c r="D243" s="23"/>
      <c r="E243" s="23"/>
      <c r="F243" s="23"/>
      <c r="G243" s="24"/>
      <c r="H243" s="23"/>
      <c r="I243" s="23"/>
      <c r="J243" s="23"/>
      <c r="K243" s="23"/>
      <c r="L243" s="23"/>
      <c r="M243" s="24"/>
    </row>
    <row r="244" spans="1:13" x14ac:dyDescent="0.25">
      <c r="A244" s="21">
        <v>230</v>
      </c>
      <c r="B244" s="22"/>
      <c r="C244" s="247" t="str">
        <f t="shared" si="4"/>
        <v xml:space="preserve"> </v>
      </c>
      <c r="D244" s="23"/>
      <c r="E244" s="23"/>
      <c r="F244" s="23"/>
      <c r="G244" s="24"/>
      <c r="H244" s="23"/>
      <c r="I244" s="23"/>
      <c r="J244" s="23"/>
      <c r="K244" s="23"/>
      <c r="L244" s="23"/>
      <c r="M244" s="24"/>
    </row>
    <row r="245" spans="1:13" x14ac:dyDescent="0.25">
      <c r="A245" s="21">
        <v>231</v>
      </c>
      <c r="B245" s="22"/>
      <c r="C245" s="247" t="str">
        <f t="shared" si="4"/>
        <v xml:space="preserve"> </v>
      </c>
      <c r="D245" s="23"/>
      <c r="E245" s="23"/>
      <c r="F245" s="23"/>
      <c r="G245" s="24"/>
      <c r="H245" s="23"/>
      <c r="I245" s="23"/>
      <c r="J245" s="23"/>
      <c r="K245" s="23"/>
      <c r="L245" s="23"/>
      <c r="M245" s="24"/>
    </row>
    <row r="246" spans="1:13" x14ac:dyDescent="0.25">
      <c r="A246" s="21">
        <v>232</v>
      </c>
      <c r="B246" s="22"/>
      <c r="C246" s="247" t="str">
        <f t="shared" si="4"/>
        <v xml:space="preserve"> </v>
      </c>
      <c r="D246" s="23"/>
      <c r="E246" s="23"/>
      <c r="F246" s="23"/>
      <c r="G246" s="24"/>
      <c r="H246" s="23"/>
      <c r="I246" s="23"/>
      <c r="J246" s="23"/>
      <c r="K246" s="23"/>
      <c r="L246" s="23"/>
      <c r="M246" s="24"/>
    </row>
    <row r="247" spans="1:13" x14ac:dyDescent="0.25">
      <c r="A247" s="21">
        <v>233</v>
      </c>
      <c r="B247" s="22"/>
      <c r="C247" s="247" t="str">
        <f t="shared" si="4"/>
        <v xml:space="preserve"> </v>
      </c>
      <c r="D247" s="23"/>
      <c r="E247" s="23"/>
      <c r="F247" s="23"/>
      <c r="G247" s="24"/>
      <c r="H247" s="23"/>
      <c r="I247" s="23"/>
      <c r="J247" s="23"/>
      <c r="K247" s="23"/>
      <c r="L247" s="23"/>
      <c r="M247" s="24"/>
    </row>
    <row r="248" spans="1:13" x14ac:dyDescent="0.25">
      <c r="A248" s="21">
        <v>234</v>
      </c>
      <c r="B248" s="22"/>
      <c r="C248" s="247" t="str">
        <f t="shared" si="4"/>
        <v xml:space="preserve"> </v>
      </c>
      <c r="D248" s="23"/>
      <c r="E248" s="23"/>
      <c r="F248" s="23"/>
      <c r="G248" s="24"/>
      <c r="H248" s="23"/>
      <c r="I248" s="23"/>
      <c r="J248" s="23"/>
      <c r="K248" s="23"/>
      <c r="L248" s="23"/>
      <c r="M248" s="24"/>
    </row>
    <row r="249" spans="1:13" x14ac:dyDescent="0.25">
      <c r="A249" s="21">
        <v>235</v>
      </c>
      <c r="B249" s="22"/>
      <c r="C249" s="247" t="str">
        <f t="shared" si="4"/>
        <v xml:space="preserve"> </v>
      </c>
      <c r="D249" s="23"/>
      <c r="E249" s="23"/>
      <c r="F249" s="23"/>
      <c r="G249" s="24"/>
      <c r="H249" s="23"/>
      <c r="I249" s="23"/>
      <c r="J249" s="23"/>
      <c r="K249" s="23"/>
      <c r="L249" s="23"/>
      <c r="M249" s="24"/>
    </row>
    <row r="250" spans="1:13" x14ac:dyDescent="0.25">
      <c r="A250" s="21">
        <v>236</v>
      </c>
      <c r="B250" s="22"/>
      <c r="C250" s="247" t="str">
        <f t="shared" si="4"/>
        <v xml:space="preserve"> </v>
      </c>
      <c r="D250" s="23"/>
      <c r="E250" s="23"/>
      <c r="F250" s="23"/>
      <c r="G250" s="24"/>
      <c r="H250" s="23"/>
      <c r="I250" s="23"/>
      <c r="J250" s="23"/>
      <c r="K250" s="23"/>
      <c r="L250" s="23"/>
      <c r="M250" s="24"/>
    </row>
    <row r="251" spans="1:13" x14ac:dyDescent="0.25">
      <c r="A251" s="21">
        <v>237</v>
      </c>
      <c r="B251" s="22"/>
      <c r="C251" s="247" t="str">
        <f t="shared" si="4"/>
        <v xml:space="preserve"> </v>
      </c>
      <c r="D251" s="23"/>
      <c r="E251" s="23"/>
      <c r="F251" s="23"/>
      <c r="G251" s="24"/>
      <c r="H251" s="23"/>
      <c r="I251" s="23"/>
      <c r="J251" s="23"/>
      <c r="K251" s="23"/>
      <c r="L251" s="23"/>
      <c r="M251" s="24"/>
    </row>
    <row r="252" spans="1:13" x14ac:dyDescent="0.25">
      <c r="A252" s="21">
        <v>238</v>
      </c>
      <c r="B252" s="22"/>
      <c r="C252" s="247" t="str">
        <f t="shared" si="4"/>
        <v xml:space="preserve"> </v>
      </c>
      <c r="D252" s="23"/>
      <c r="E252" s="23"/>
      <c r="F252" s="23"/>
      <c r="G252" s="24"/>
      <c r="H252" s="23"/>
      <c r="I252" s="23"/>
      <c r="J252" s="23"/>
      <c r="K252" s="23"/>
      <c r="L252" s="23"/>
      <c r="M252" s="24"/>
    </row>
    <row r="253" spans="1:13" x14ac:dyDescent="0.25">
      <c r="A253" s="21">
        <v>239</v>
      </c>
      <c r="B253" s="22"/>
      <c r="C253" s="247" t="str">
        <f t="shared" si="4"/>
        <v xml:space="preserve"> </v>
      </c>
      <c r="D253" s="23"/>
      <c r="E253" s="23"/>
      <c r="F253" s="23"/>
      <c r="G253" s="24"/>
      <c r="H253" s="23"/>
      <c r="I253" s="23"/>
      <c r="J253" s="23"/>
      <c r="K253" s="23"/>
      <c r="L253" s="23"/>
      <c r="M253" s="24"/>
    </row>
    <row r="254" spans="1:13" x14ac:dyDescent="0.25">
      <c r="A254" s="21">
        <v>240</v>
      </c>
      <c r="B254" s="22"/>
      <c r="C254" s="247" t="str">
        <f t="shared" si="4"/>
        <v xml:space="preserve"> </v>
      </c>
      <c r="D254" s="23"/>
      <c r="E254" s="23"/>
      <c r="F254" s="23"/>
      <c r="G254" s="24"/>
      <c r="H254" s="23"/>
      <c r="I254" s="23"/>
      <c r="J254" s="23"/>
      <c r="K254" s="23"/>
      <c r="L254" s="23"/>
      <c r="M254" s="24"/>
    </row>
    <row r="255" spans="1:13" x14ac:dyDescent="0.25">
      <c r="A255" s="21">
        <v>241</v>
      </c>
      <c r="B255" s="22"/>
      <c r="C255" s="247" t="str">
        <f t="shared" si="4"/>
        <v xml:space="preserve"> </v>
      </c>
      <c r="D255" s="23"/>
      <c r="E255" s="23"/>
      <c r="F255" s="23"/>
      <c r="G255" s="24"/>
      <c r="H255" s="23"/>
      <c r="I255" s="23"/>
      <c r="J255" s="23"/>
      <c r="K255" s="23"/>
      <c r="L255" s="23"/>
      <c r="M255" s="24"/>
    </row>
    <row r="256" spans="1:13" x14ac:dyDescent="0.25">
      <c r="A256" s="21">
        <v>242</v>
      </c>
      <c r="B256" s="22"/>
      <c r="C256" s="247" t="str">
        <f t="shared" si="4"/>
        <v xml:space="preserve"> </v>
      </c>
      <c r="D256" s="23"/>
      <c r="E256" s="23"/>
      <c r="F256" s="23"/>
      <c r="G256" s="24"/>
      <c r="H256" s="23"/>
      <c r="I256" s="23"/>
      <c r="J256" s="23"/>
      <c r="K256" s="23"/>
      <c r="L256" s="23"/>
      <c r="M256" s="24"/>
    </row>
    <row r="257" spans="1:13" x14ac:dyDescent="0.25">
      <c r="A257" s="21">
        <v>243</v>
      </c>
      <c r="B257" s="22"/>
      <c r="C257" s="247" t="str">
        <f t="shared" si="4"/>
        <v xml:space="preserve"> </v>
      </c>
      <c r="D257" s="23"/>
      <c r="E257" s="23"/>
      <c r="F257" s="23"/>
      <c r="G257" s="24"/>
      <c r="H257" s="23"/>
      <c r="I257" s="23"/>
      <c r="J257" s="23"/>
      <c r="K257" s="23"/>
      <c r="L257" s="23"/>
      <c r="M257" s="24"/>
    </row>
    <row r="258" spans="1:13" x14ac:dyDescent="0.25">
      <c r="A258" s="21">
        <v>244</v>
      </c>
      <c r="B258" s="22"/>
      <c r="C258" s="247" t="str">
        <f t="shared" si="4"/>
        <v xml:space="preserve"> </v>
      </c>
      <c r="D258" s="23"/>
      <c r="E258" s="23"/>
      <c r="F258" s="23"/>
      <c r="G258" s="24"/>
      <c r="H258" s="23"/>
      <c r="I258" s="23"/>
      <c r="J258" s="23"/>
      <c r="K258" s="23"/>
      <c r="L258" s="23"/>
      <c r="M258" s="24"/>
    </row>
    <row r="259" spans="1:13" x14ac:dyDescent="0.25">
      <c r="A259" s="21">
        <v>245</v>
      </c>
      <c r="B259" s="22"/>
      <c r="C259" s="247" t="str">
        <f t="shared" si="4"/>
        <v xml:space="preserve"> </v>
      </c>
      <c r="D259" s="23"/>
      <c r="E259" s="23"/>
      <c r="F259" s="23"/>
      <c r="G259" s="24"/>
      <c r="H259" s="23"/>
      <c r="I259" s="23"/>
      <c r="J259" s="23"/>
      <c r="K259" s="23"/>
      <c r="L259" s="23"/>
      <c r="M259" s="24"/>
    </row>
    <row r="260" spans="1:13" x14ac:dyDescent="0.25">
      <c r="A260" s="21">
        <v>246</v>
      </c>
      <c r="B260" s="22"/>
      <c r="C260" s="247" t="str">
        <f t="shared" si="4"/>
        <v xml:space="preserve"> </v>
      </c>
      <c r="D260" s="23"/>
      <c r="E260" s="23"/>
      <c r="F260" s="23"/>
      <c r="G260" s="24"/>
      <c r="H260" s="23"/>
      <c r="I260" s="23"/>
      <c r="J260" s="23"/>
      <c r="K260" s="23"/>
      <c r="L260" s="23"/>
      <c r="M260" s="24"/>
    </row>
    <row r="261" spans="1:13" x14ac:dyDescent="0.25">
      <c r="A261" s="21">
        <v>247</v>
      </c>
      <c r="B261" s="22"/>
      <c r="C261" s="247" t="str">
        <f t="shared" si="4"/>
        <v xml:space="preserve"> </v>
      </c>
      <c r="D261" s="23"/>
      <c r="E261" s="23"/>
      <c r="F261" s="23"/>
      <c r="G261" s="24"/>
      <c r="H261" s="23"/>
      <c r="I261" s="23"/>
      <c r="J261" s="23"/>
      <c r="K261" s="23"/>
      <c r="L261" s="23"/>
      <c r="M261" s="24"/>
    </row>
    <row r="262" spans="1:13" x14ac:dyDescent="0.25">
      <c r="A262" s="21">
        <v>248</v>
      </c>
      <c r="B262" s="22"/>
      <c r="C262" s="247" t="str">
        <f t="shared" si="4"/>
        <v xml:space="preserve"> </v>
      </c>
      <c r="D262" s="23"/>
      <c r="E262" s="23"/>
      <c r="F262" s="23"/>
      <c r="G262" s="24"/>
      <c r="H262" s="23"/>
      <c r="I262" s="23"/>
      <c r="J262" s="23"/>
      <c r="K262" s="23"/>
      <c r="L262" s="23"/>
      <c r="M262" s="24"/>
    </row>
    <row r="263" spans="1:13" x14ac:dyDescent="0.25">
      <c r="A263" s="21">
        <v>249</v>
      </c>
      <c r="B263" s="22"/>
      <c r="C263" s="247" t="str">
        <f t="shared" si="4"/>
        <v xml:space="preserve"> </v>
      </c>
      <c r="D263" s="23"/>
      <c r="E263" s="23"/>
      <c r="F263" s="23"/>
      <c r="G263" s="24"/>
      <c r="H263" s="23"/>
      <c r="I263" s="23"/>
      <c r="J263" s="23"/>
      <c r="K263" s="23"/>
      <c r="L263" s="23"/>
      <c r="M263" s="24"/>
    </row>
    <row r="264" spans="1:13" x14ac:dyDescent="0.25">
      <c r="A264" s="21">
        <v>250</v>
      </c>
      <c r="B264" s="22"/>
      <c r="C264" s="247" t="str">
        <f t="shared" si="4"/>
        <v xml:space="preserve"> </v>
      </c>
      <c r="D264" s="23"/>
      <c r="E264" s="23"/>
      <c r="F264" s="23"/>
      <c r="G264" s="24"/>
      <c r="H264" s="23"/>
      <c r="I264" s="23"/>
      <c r="J264" s="23"/>
      <c r="K264" s="23"/>
      <c r="L264" s="23"/>
      <c r="M264" s="24"/>
    </row>
    <row r="265" spans="1:13" x14ac:dyDescent="0.25">
      <c r="A265" s="21">
        <v>251</v>
      </c>
      <c r="B265" s="22"/>
      <c r="C265" s="247" t="str">
        <f t="shared" si="4"/>
        <v xml:space="preserve"> </v>
      </c>
      <c r="D265" s="23"/>
      <c r="E265" s="23"/>
      <c r="F265" s="23"/>
      <c r="G265" s="24"/>
      <c r="H265" s="23"/>
      <c r="I265" s="23"/>
      <c r="J265" s="23"/>
      <c r="K265" s="23"/>
      <c r="L265" s="23"/>
      <c r="M265" s="24"/>
    </row>
    <row r="266" spans="1:13" x14ac:dyDescent="0.25">
      <c r="A266" s="21">
        <v>252</v>
      </c>
      <c r="B266" s="22"/>
      <c r="C266" s="247" t="str">
        <f t="shared" si="4"/>
        <v xml:space="preserve"> </v>
      </c>
      <c r="D266" s="23"/>
      <c r="E266" s="23"/>
      <c r="F266" s="23"/>
      <c r="G266" s="24"/>
      <c r="H266" s="23"/>
      <c r="I266" s="23"/>
      <c r="J266" s="23"/>
      <c r="K266" s="23"/>
      <c r="L266" s="23"/>
      <c r="M266" s="24"/>
    </row>
    <row r="267" spans="1:13" x14ac:dyDescent="0.25">
      <c r="A267" s="21">
        <v>253</v>
      </c>
      <c r="B267" s="22"/>
      <c r="C267" s="247" t="str">
        <f t="shared" si="4"/>
        <v xml:space="preserve"> </v>
      </c>
      <c r="D267" s="23"/>
      <c r="E267" s="23"/>
      <c r="F267" s="23"/>
      <c r="G267" s="24"/>
      <c r="H267" s="23"/>
      <c r="I267" s="23"/>
      <c r="J267" s="23"/>
      <c r="K267" s="23"/>
      <c r="L267" s="23"/>
      <c r="M267" s="24"/>
    </row>
    <row r="268" spans="1:13" x14ac:dyDescent="0.25">
      <c r="A268" s="21">
        <v>254</v>
      </c>
      <c r="B268" s="22"/>
      <c r="C268" s="247" t="str">
        <f t="shared" si="4"/>
        <v xml:space="preserve"> </v>
      </c>
      <c r="D268" s="23"/>
      <c r="E268" s="23"/>
      <c r="F268" s="23"/>
      <c r="G268" s="24"/>
      <c r="H268" s="23"/>
      <c r="I268" s="23"/>
      <c r="J268" s="23"/>
      <c r="K268" s="23"/>
      <c r="L268" s="23"/>
      <c r="M268" s="24"/>
    </row>
    <row r="269" spans="1:13" x14ac:dyDescent="0.25">
      <c r="A269" s="21">
        <v>255</v>
      </c>
      <c r="B269" s="22"/>
      <c r="C269" s="247" t="str">
        <f t="shared" si="4"/>
        <v xml:space="preserve"> </v>
      </c>
      <c r="D269" s="23"/>
      <c r="E269" s="23"/>
      <c r="F269" s="23"/>
      <c r="G269" s="24"/>
      <c r="H269" s="23"/>
      <c r="I269" s="23"/>
      <c r="J269" s="23"/>
      <c r="K269" s="23"/>
      <c r="L269" s="23"/>
      <c r="M269" s="24"/>
    </row>
    <row r="270" spans="1:13" x14ac:dyDescent="0.25">
      <c r="A270" s="21">
        <v>256</v>
      </c>
      <c r="B270" s="22"/>
      <c r="C270" s="247" t="str">
        <f t="shared" si="4"/>
        <v xml:space="preserve"> </v>
      </c>
      <c r="D270" s="23"/>
      <c r="E270" s="23"/>
      <c r="F270" s="23"/>
      <c r="G270" s="24"/>
      <c r="H270" s="23"/>
      <c r="I270" s="23"/>
      <c r="J270" s="23"/>
      <c r="K270" s="23"/>
      <c r="L270" s="23"/>
      <c r="M270" s="24"/>
    </row>
  </sheetData>
  <autoFilter ref="B14:M14">
    <sortState ref="B15:M270">
      <sortCondition ref="D14"/>
    </sortState>
  </autoFilter>
  <mergeCells count="5">
    <mergeCell ref="A9:M10"/>
    <mergeCell ref="A11:M12"/>
    <mergeCell ref="H13:L13"/>
    <mergeCell ref="D2:D7"/>
    <mergeCell ref="E2:F7"/>
  </mergeCells>
  <conditionalFormatting sqref="M15:M270">
    <cfRule type="containsText" dxfId="2" priority="1" operator="containsText" text="A">
      <formula>NOT(ISERROR(SEARCH("A",M15)))</formula>
    </cfRule>
    <cfRule type="containsText" dxfId="1" priority="2" operator="containsText" text="E">
      <formula>NOT(ISERROR(SEARCH("E",M15)))</formula>
    </cfRule>
    <cfRule type="containsText" dxfId="0" priority="3" operator="containsText" text="P">
      <formula>NOT(ISERROR(SEARCH("P",M15)))</formula>
    </cfRule>
  </conditionalFormatting>
  <printOptions horizontalCentered="1" verticalCentered="1"/>
  <pageMargins left="0.25" right="0.25" top="0.75" bottom="0.75" header="0.3" footer="0.3"/>
  <pageSetup paperSize="9" scale="99" fitToHeight="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0000"/>
  </sheetPr>
  <dimension ref="A1:M17"/>
  <sheetViews>
    <sheetView zoomScaleNormal="100" workbookViewId="0">
      <selection activeCell="I16" sqref="I16"/>
    </sheetView>
  </sheetViews>
  <sheetFormatPr baseColWidth="10" defaultRowHeight="15" outlineLevelCol="1" x14ac:dyDescent="0.25"/>
  <cols>
    <col min="1" max="1" width="4.7109375" customWidth="1" outlineLevel="1"/>
    <col min="2" max="2" width="12.5703125" customWidth="1" outlineLevel="1"/>
    <col min="3" max="3" width="25" customWidth="1"/>
    <col min="4" max="4" width="1.85546875" bestFit="1" customWidth="1"/>
    <col min="5" max="5" width="23.85546875" bestFit="1" customWidth="1"/>
    <col min="6" max="13" width="5" customWidth="1"/>
  </cols>
  <sheetData>
    <row r="1" spans="1:13" ht="18.75" x14ac:dyDescent="0.3">
      <c r="E1" s="191" t="str">
        <f>'Poule 3j'!B12</f>
        <v>Poule 3j</v>
      </c>
    </row>
    <row r="3" spans="1:13" ht="18" x14ac:dyDescent="0.25">
      <c r="A3" s="57">
        <v>1</v>
      </c>
      <c r="B3" s="49" t="s">
        <v>39</v>
      </c>
      <c r="C3" s="44" t="str">
        <f>IF('Infos générales'!$E$2="x",IF(A3&gt;0,VLOOKUP(A3,'Infos joueurs'!$A:$M,4,FALSE)," ")&amp;" / "&amp;IF(A3&gt;0,VLOOKUP(A3,'Infos joueurs'!$A:$M,9,FALSE)," "),IF(A3&gt;0,VLOOKUP(A3,'Infos joueurs'!$A:$M,4,FALSE)," ")&amp;" "&amp;IF(A3&gt;0,VLOOKUP(A3,'Infos joueurs'!$A:$M,5,FALSE)," "))</f>
        <v>Begert Nicolas</v>
      </c>
      <c r="D3" s="43"/>
      <c r="E3" s="58" t="s">
        <v>298</v>
      </c>
      <c r="F3" s="59" t="s">
        <v>35</v>
      </c>
      <c r="G3" s="60"/>
      <c r="H3" s="60"/>
      <c r="I3" s="60"/>
      <c r="J3" s="60"/>
      <c r="K3" s="60"/>
      <c r="L3" s="60"/>
      <c r="M3" s="60"/>
    </row>
    <row r="4" spans="1:13" ht="15" customHeight="1" x14ac:dyDescent="0.25">
      <c r="A4" s="48"/>
      <c r="B4" s="49"/>
      <c r="C4" s="44" t="str">
        <f>IF('Infos générales'!$E$2="x",IF(A3&gt;0,VLOOKUP(A3,'Infos joueurs'!$A:$M,6,FALSE)," ")&amp;" / "&amp;IF(A3&gt;0,VLOOKUP(A3,'Infos joueurs'!$A:$M,11,FALSE)," "),IF(A3&gt;0,VLOOKUP(A3,'Infos joueurs'!$A:$M,6,FALSE)," "))</f>
        <v>Grône</v>
      </c>
      <c r="D4" s="43"/>
      <c r="E4" s="61"/>
      <c r="F4" s="51">
        <v>1</v>
      </c>
      <c r="G4" s="51">
        <v>2</v>
      </c>
      <c r="H4" s="51">
        <v>3</v>
      </c>
      <c r="I4" s="51">
        <v>4</v>
      </c>
      <c r="J4" s="51">
        <v>5</v>
      </c>
      <c r="K4" s="51">
        <v>6</v>
      </c>
      <c r="L4" s="51">
        <v>7</v>
      </c>
      <c r="M4" s="51" t="s">
        <v>299</v>
      </c>
    </row>
    <row r="5" spans="1:13" ht="19.5" customHeight="1" x14ac:dyDescent="0.25">
      <c r="D5" s="62" t="s">
        <v>304</v>
      </c>
      <c r="E5" s="54" t="str">
        <f>C3</f>
        <v>Begert Nicolas</v>
      </c>
      <c r="F5" s="52">
        <v>11</v>
      </c>
      <c r="G5" s="52">
        <v>3</v>
      </c>
      <c r="H5" s="52">
        <v>2</v>
      </c>
      <c r="I5" s="52">
        <v>8</v>
      </c>
      <c r="J5" s="52"/>
      <c r="K5" s="52"/>
      <c r="L5" s="52"/>
      <c r="M5" s="53">
        <f>IF(F5&gt;F6,1,0)+IF(G5&gt;G6,1,0)+IF(H5&gt;H6,1,0)+IF(I5&gt;I6,1,0)+IF(J5&gt;J6,1,0)+IF(K5&gt;K6,1,0)+IF(L5&gt;L6,1,0)</f>
        <v>1</v>
      </c>
    </row>
    <row r="6" spans="1:13" ht="19.5" customHeight="1" x14ac:dyDescent="0.25">
      <c r="A6" s="57">
        <v>2</v>
      </c>
      <c r="B6" s="49" t="s">
        <v>40</v>
      </c>
      <c r="C6" s="44" t="str">
        <f>IF('Infos générales'!$E$2="x",IF(A6&gt;0,VLOOKUP(A6,'Infos joueurs'!$A:$M,4,FALSE)," ")&amp;" / "&amp;IF(A6&gt;0,VLOOKUP(A6,'Infos joueurs'!$A:$M,9,FALSE)," "),IF(A6&gt;0,VLOOKUP(A6,'Infos joueurs'!$A:$M,4,FALSE)," ")&amp;" "&amp;IF(A6&gt;0,VLOOKUP(A6,'Infos joueurs'!$A:$M,5,FALSE)," "))</f>
        <v>Bellon Antoine</v>
      </c>
      <c r="D6" s="62" t="s">
        <v>305</v>
      </c>
      <c r="E6" s="63" t="str">
        <f>C6</f>
        <v>Bellon Antoine</v>
      </c>
      <c r="F6" s="64">
        <v>5</v>
      </c>
      <c r="G6" s="64">
        <v>11</v>
      </c>
      <c r="H6" s="64">
        <v>11</v>
      </c>
      <c r="I6" s="64">
        <v>11</v>
      </c>
      <c r="J6" s="64"/>
      <c r="K6" s="64"/>
      <c r="L6" s="64"/>
      <c r="M6" s="53">
        <f>IF(F6&gt;F5,1,0)+IF(G6&gt;G5,1,0)+IF(H6&gt;H5,1,0)+IF(I6&gt;I5,1,0)+IF(J6&gt;J5,1,0)+IF(K6&gt;K5,1,0)+IF(L6&gt;L5,1,0)</f>
        <v>3</v>
      </c>
    </row>
    <row r="7" spans="1:13" ht="19.5" customHeight="1" x14ac:dyDescent="0.25">
      <c r="A7" s="48"/>
      <c r="B7" s="49"/>
      <c r="C7" s="44" t="str">
        <f>IF('Infos générales'!$E$2="x",IF(A6&gt;0,VLOOKUP(A6,'Infos joueurs'!$A:$M,6,FALSE)," ")&amp;" / "&amp;IF(A6&gt;0,VLOOKUP(A6,'Infos joueurs'!$A:$M,11,FALSE)," "),IF(A6&gt;0,VLOOKUP(A6,'Infos joueurs'!$A:$M,6,FALSE)," "))</f>
        <v>Sierre</v>
      </c>
      <c r="D7" s="62"/>
      <c r="E7" s="65"/>
      <c r="F7" s="66"/>
      <c r="G7" s="66"/>
      <c r="H7" s="66"/>
      <c r="I7" s="66"/>
      <c r="J7" s="66"/>
      <c r="K7" s="66"/>
      <c r="L7" s="66"/>
      <c r="M7" s="67"/>
    </row>
    <row r="8" spans="1:13" ht="18" x14ac:dyDescent="0.25">
      <c r="D8" s="68"/>
      <c r="E8" s="58" t="s">
        <v>300</v>
      </c>
      <c r="F8" s="59" t="s">
        <v>35</v>
      </c>
      <c r="G8" s="60"/>
      <c r="H8" s="60"/>
      <c r="I8" s="60"/>
      <c r="J8" s="60"/>
      <c r="K8" s="60"/>
      <c r="L8" s="60"/>
      <c r="M8" s="60"/>
    </row>
    <row r="9" spans="1:13" ht="15" customHeight="1" x14ac:dyDescent="0.25">
      <c r="A9" s="57">
        <v>3</v>
      </c>
      <c r="B9" s="49" t="s">
        <v>41</v>
      </c>
      <c r="C9" s="44" t="str">
        <f>IF('Infos générales'!$E$2="x",IF(A9&gt;0,VLOOKUP(A9,'Infos joueurs'!$A:$M,4,FALSE)," ")&amp;" / "&amp;IF(A9&gt;0,VLOOKUP(A9,'Infos joueurs'!$A:$M,9,FALSE)," "),IF(A9&gt;0,VLOOKUP(A9,'Infos joueurs'!$A:$M,4,FALSE)," ")&amp;" "&amp;IF(A9&gt;0,VLOOKUP(A9,'Infos joueurs'!$A:$M,5,FALSE)," "))</f>
        <v>Berisha Fatlum</v>
      </c>
      <c r="D9" s="68"/>
      <c r="E9" s="61"/>
      <c r="F9" s="51">
        <v>1</v>
      </c>
      <c r="G9" s="51">
        <v>2</v>
      </c>
      <c r="H9" s="51">
        <v>3</v>
      </c>
      <c r="I9" s="51">
        <v>4</v>
      </c>
      <c r="J9" s="51">
        <v>5</v>
      </c>
      <c r="K9" s="51">
        <v>6</v>
      </c>
      <c r="L9" s="51">
        <v>7</v>
      </c>
      <c r="M9" s="51" t="s">
        <v>299</v>
      </c>
    </row>
    <row r="10" spans="1:13" ht="19.5" customHeight="1" x14ac:dyDescent="0.25">
      <c r="A10" s="45"/>
      <c r="B10" s="45"/>
      <c r="C10" s="45" t="str">
        <f>IF('Infos générales'!$E$2="x",IF(A9&gt;0,VLOOKUP(A9,'Infos joueurs'!$A:$M,6,FALSE)," ")&amp;" / "&amp;IF(A9&gt;0,VLOOKUP(A9,'Infos joueurs'!$A:$M,11,FALSE)," "),IF(A9&gt;0,VLOOKUP(A9,'Infos joueurs'!$A:$M,6,FALSE)," "))</f>
        <v>Sierre</v>
      </c>
      <c r="D10" s="62" t="s">
        <v>305</v>
      </c>
      <c r="E10" s="54" t="str">
        <f>C6</f>
        <v>Bellon Antoine</v>
      </c>
      <c r="F10" s="52">
        <v>11</v>
      </c>
      <c r="G10" s="52">
        <v>11</v>
      </c>
      <c r="H10" s="52">
        <v>11</v>
      </c>
      <c r="I10" s="52"/>
      <c r="J10" s="52"/>
      <c r="K10" s="52"/>
      <c r="L10" s="52"/>
      <c r="M10" s="53">
        <f>IF(F10&gt;F11,1,0)+IF(G10&gt;G11,1,0)+IF(H10&gt;H11,1,0)+IF(I10&gt;I11,1,0)+IF(J10&gt;J11,1,0)+IF(K10&gt;K11,1,0)+IF(L10&gt;L11,1,0)</f>
        <v>3</v>
      </c>
    </row>
    <row r="11" spans="1:13" ht="19.5" customHeight="1" x14ac:dyDescent="0.25">
      <c r="A11" s="45"/>
      <c r="B11" s="45"/>
      <c r="C11" s="45"/>
      <c r="D11" s="62" t="s">
        <v>306</v>
      </c>
      <c r="E11" s="54" t="str">
        <f>C9</f>
        <v>Berisha Fatlum</v>
      </c>
      <c r="F11" s="52">
        <v>3</v>
      </c>
      <c r="G11" s="52">
        <v>2</v>
      </c>
      <c r="H11" s="52">
        <v>3</v>
      </c>
      <c r="I11" s="52"/>
      <c r="J11" s="52"/>
      <c r="K11" s="52"/>
      <c r="L11" s="52"/>
      <c r="M11" s="53">
        <f>IF(F11&gt;F10,1,0)+IF(G11&gt;G10,1,0)+IF(H11&gt;H10,1,0)+IF(I11&gt;I10,1,0)+IF(J11&gt;J10,1,0)+IF(K11&gt;K10,1,0)+IF(L11&gt;L10,1,0)</f>
        <v>0</v>
      </c>
    </row>
    <row r="12" spans="1:13" x14ac:dyDescent="0.25">
      <c r="A12" s="45"/>
      <c r="B12" s="45"/>
      <c r="C12" s="45"/>
      <c r="D12" s="62"/>
      <c r="E12" s="70"/>
      <c r="F12" s="70"/>
      <c r="G12" s="70"/>
      <c r="H12" s="70"/>
      <c r="I12" s="70"/>
      <c r="J12" s="70"/>
      <c r="K12" s="70"/>
      <c r="L12" s="70"/>
      <c r="M12" s="70"/>
    </row>
    <row r="13" spans="1:13" ht="18" x14ac:dyDescent="0.25">
      <c r="A13" s="45"/>
      <c r="B13" s="45"/>
      <c r="C13" s="45"/>
      <c r="D13" s="62"/>
      <c r="E13" s="58" t="s">
        <v>301</v>
      </c>
      <c r="F13" s="59" t="s">
        <v>35</v>
      </c>
      <c r="G13" s="60"/>
      <c r="H13" s="60"/>
      <c r="I13" s="60"/>
      <c r="J13" s="60"/>
      <c r="K13" s="60"/>
      <c r="L13" s="60"/>
      <c r="M13" s="60"/>
    </row>
    <row r="14" spans="1:13" ht="15" customHeight="1" x14ac:dyDescent="0.25">
      <c r="A14" s="69"/>
      <c r="B14" s="49"/>
      <c r="C14" s="50"/>
      <c r="D14" s="62"/>
      <c r="E14" s="61"/>
      <c r="F14" s="51">
        <v>1</v>
      </c>
      <c r="G14" s="51">
        <v>2</v>
      </c>
      <c r="H14" s="51">
        <v>3</v>
      </c>
      <c r="I14" s="51">
        <v>4</v>
      </c>
      <c r="J14" s="51">
        <v>5</v>
      </c>
      <c r="K14" s="51">
        <v>6</v>
      </c>
      <c r="L14" s="51">
        <v>7</v>
      </c>
      <c r="M14" s="51" t="s">
        <v>299</v>
      </c>
    </row>
    <row r="15" spans="1:13" ht="19.5" customHeight="1" x14ac:dyDescent="0.25">
      <c r="A15" s="48"/>
      <c r="B15" s="49"/>
      <c r="C15" s="50"/>
      <c r="D15" s="62" t="s">
        <v>304</v>
      </c>
      <c r="E15" s="54" t="str">
        <f>C3</f>
        <v>Begert Nicolas</v>
      </c>
      <c r="F15" s="52">
        <v>5</v>
      </c>
      <c r="G15" s="52">
        <v>6</v>
      </c>
      <c r="H15" s="52">
        <v>8</v>
      </c>
      <c r="I15" s="52"/>
      <c r="J15" s="52"/>
      <c r="K15" s="52"/>
      <c r="L15" s="52"/>
      <c r="M15" s="53">
        <f>IF(F15&gt;F16,1,0)+IF(G15&gt;G16,1,0)+IF(H15&gt;H16,1,0)+IF(I15&gt;I16,1,0)+IF(J15&gt;J16,1,0)+IF(K15&gt;K16,1,0)+IF(L15&gt;L16,1,0)</f>
        <v>0</v>
      </c>
    </row>
    <row r="16" spans="1:13" ht="19.5" customHeight="1" x14ac:dyDescent="0.25">
      <c r="A16" s="69"/>
      <c r="B16" s="49"/>
      <c r="C16" s="50"/>
      <c r="D16" s="62" t="s">
        <v>306</v>
      </c>
      <c r="E16" s="54" t="str">
        <f>C9</f>
        <v>Berisha Fatlum</v>
      </c>
      <c r="F16" s="52">
        <v>11</v>
      </c>
      <c r="G16" s="52">
        <v>11</v>
      </c>
      <c r="H16" s="52">
        <v>11</v>
      </c>
      <c r="I16" s="52"/>
      <c r="J16" s="52"/>
      <c r="K16" s="52"/>
      <c r="L16" s="52"/>
      <c r="M16" s="53">
        <f>IF(F16&gt;F15,1,0)+IF(G16&gt;G15,1,0)+IF(H16&gt;H15,1,0)+IF(I16&gt;I15,1,0)+IF(J16&gt;J15,1,0)+IF(K16&gt;K15,1,0)+IF(L16&gt;L15,1,0)</f>
        <v>3</v>
      </c>
    </row>
    <row r="17" spans="1:3" ht="15.75" x14ac:dyDescent="0.25">
      <c r="A17" s="69"/>
      <c r="B17" s="49"/>
      <c r="C17" s="50"/>
    </row>
  </sheetData>
  <pageMargins left="0.25" right="0.25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4098" r:id="rId4" name="Masquer">
          <controlPr defaultSize="0" print="0" autoLine="0" r:id="rId5">
            <anchor moveWithCells="1">
              <from>
                <xdr:col>13</xdr:col>
                <xdr:colOff>361950</xdr:colOff>
                <xdr:row>3</xdr:row>
                <xdr:rowOff>28575</xdr:rowOff>
              </from>
              <to>
                <xdr:col>15</xdr:col>
                <xdr:colOff>752475</xdr:colOff>
                <xdr:row>5</xdr:row>
                <xdr:rowOff>38100</xdr:rowOff>
              </to>
            </anchor>
          </controlPr>
        </control>
      </mc:Choice>
      <mc:Fallback>
        <control shapeId="4098" r:id="rId4" name="Masquer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00"/>
  </sheetPr>
  <dimension ref="A1:M30"/>
  <sheetViews>
    <sheetView zoomScaleNormal="100" workbookViewId="0">
      <selection activeCell="H27" sqref="H27"/>
    </sheetView>
  </sheetViews>
  <sheetFormatPr baseColWidth="10" defaultRowHeight="15" outlineLevelCol="1" x14ac:dyDescent="0.25"/>
  <cols>
    <col min="1" max="1" width="3.28515625" bestFit="1" customWidth="1" outlineLevel="1"/>
    <col min="2" max="2" width="12.5703125" customWidth="1" outlineLevel="1"/>
    <col min="3" max="3" width="23.42578125" customWidth="1"/>
    <col min="4" max="4" width="1.85546875" bestFit="1" customWidth="1"/>
    <col min="5" max="5" width="23.85546875" bestFit="1" customWidth="1"/>
    <col min="6" max="13" width="5" customWidth="1"/>
  </cols>
  <sheetData>
    <row r="1" spans="1:13" ht="18.75" x14ac:dyDescent="0.3">
      <c r="E1" s="191" t="str">
        <f>'Poule 4j'!B12</f>
        <v>Poule 4j</v>
      </c>
    </row>
    <row r="3" spans="1:13" ht="18" x14ac:dyDescent="0.25">
      <c r="A3" s="57">
        <v>4</v>
      </c>
      <c r="B3" s="49" t="s">
        <v>39</v>
      </c>
      <c r="C3" s="44" t="str">
        <f>IF('Infos générales'!$E$2="x",IF(A3&gt;0,VLOOKUP(A3,'Infos joueurs'!$A:$M,4,FALSE)," ")&amp;" / "&amp;IF(A3&gt;0,VLOOKUP(A3,'Infos joueurs'!$A:$M,9,FALSE)," "),IF(A3&gt;0,VLOOKUP(A3,'Infos joueurs'!$A:$M,4,FALSE)," ")&amp;" "&amp;IF(A3&gt;0,VLOOKUP(A3,'Infos joueurs'!$A:$M,5,FALSE)," "))</f>
        <v>Blazquez Esteban</v>
      </c>
      <c r="D3" s="43"/>
      <c r="E3" s="58" t="s">
        <v>298</v>
      </c>
      <c r="F3" s="59" t="s">
        <v>35</v>
      </c>
      <c r="G3" s="60"/>
      <c r="H3" s="60"/>
      <c r="I3" s="60"/>
      <c r="J3" s="60"/>
      <c r="K3" s="60"/>
      <c r="L3" s="60"/>
      <c r="M3" s="60"/>
    </row>
    <row r="4" spans="1:13" ht="15" customHeight="1" x14ac:dyDescent="0.25">
      <c r="A4" s="48"/>
      <c r="B4" s="49"/>
      <c r="C4" s="44" t="str">
        <f>IF('Infos générales'!$E$2="x",IF(A3&gt;0,VLOOKUP(A3,'Infos joueurs'!$A:$M,6,FALSE)," ")&amp;" / "&amp;IF(A3&gt;0,VLOOKUP(A3,'Infos joueurs'!$A:$M,11,FALSE)," "),IF(A3&gt;0,VLOOKUP(A3,'Infos joueurs'!$A:$M,6,FALSE)," "))</f>
        <v>Collombey-Muraz</v>
      </c>
      <c r="D4" s="43"/>
      <c r="E4" s="61"/>
      <c r="F4" s="51">
        <v>1</v>
      </c>
      <c r="G4" s="51">
        <v>2</v>
      </c>
      <c r="H4" s="51">
        <v>3</v>
      </c>
      <c r="I4" s="51">
        <v>4</v>
      </c>
      <c r="J4" s="51">
        <v>5</v>
      </c>
      <c r="K4" s="51">
        <v>6</v>
      </c>
      <c r="L4" s="51">
        <v>7</v>
      </c>
      <c r="M4" s="51" t="s">
        <v>299</v>
      </c>
    </row>
    <row r="5" spans="1:13" ht="19.5" customHeight="1" x14ac:dyDescent="0.25">
      <c r="D5" s="62" t="s">
        <v>304</v>
      </c>
      <c r="E5" s="54" t="str">
        <f>C3</f>
        <v>Blazquez Esteban</v>
      </c>
      <c r="F5" s="52">
        <v>11</v>
      </c>
      <c r="G5" s="52">
        <v>11</v>
      </c>
      <c r="H5" s="52">
        <v>6</v>
      </c>
      <c r="I5" s="52">
        <v>9</v>
      </c>
      <c r="J5" s="52">
        <v>9</v>
      </c>
      <c r="K5" s="52"/>
      <c r="L5" s="52"/>
      <c r="M5" s="53">
        <f>IF(F5&gt;F6,1,0)+IF(G5&gt;G6,1,0)+IF(H5&gt;H6,1,0)+IF(I5&gt;I6,1,0)+IF(J5&gt;J6,1,0)+IF(K5&gt;K6,1,0)+IF(L5&gt;L6,1,0)</f>
        <v>2</v>
      </c>
    </row>
    <row r="6" spans="1:13" ht="19.5" customHeight="1" x14ac:dyDescent="0.25">
      <c r="A6" s="57">
        <v>5</v>
      </c>
      <c r="B6" s="49" t="s">
        <v>40</v>
      </c>
      <c r="C6" s="44" t="str">
        <f>IF('Infos générales'!$E$2="x",IF(A6&gt;0,VLOOKUP(A6,'Infos joueurs'!$A:$M,4,FALSE)," ")&amp;" / "&amp;IF(A6&gt;0,VLOOKUP(A6,'Infos joueurs'!$A:$M,9,FALSE)," "),IF(A6&gt;0,VLOOKUP(A6,'Infos joueurs'!$A:$M,4,FALSE)," ")&amp;" "&amp;IF(A6&gt;0,VLOOKUP(A6,'Infos joueurs'!$A:$M,5,FALSE)," "))</f>
        <v>Clausix Adam</v>
      </c>
      <c r="D6" s="62" t="s">
        <v>305</v>
      </c>
      <c r="E6" s="63" t="str">
        <f>C6</f>
        <v>Clausix Adam</v>
      </c>
      <c r="F6" s="64">
        <v>2</v>
      </c>
      <c r="G6" s="64">
        <v>2</v>
      </c>
      <c r="H6" s="64">
        <v>11</v>
      </c>
      <c r="I6" s="64">
        <v>11</v>
      </c>
      <c r="J6" s="64">
        <v>11</v>
      </c>
      <c r="K6" s="64"/>
      <c r="L6" s="64"/>
      <c r="M6" s="53">
        <f>IF(F6&gt;F5,1,0)+IF(G6&gt;G5,1,0)+IF(H6&gt;H5,1,0)+IF(I6&gt;I5,1,0)+IF(J6&gt;J5,1,0)+IF(K6&gt;K5,1,0)+IF(L6&gt;L5,1,0)</f>
        <v>3</v>
      </c>
    </row>
    <row r="7" spans="1:13" x14ac:dyDescent="0.25">
      <c r="A7" s="48"/>
      <c r="B7" s="49"/>
      <c r="C7" s="44" t="str">
        <f>IF('Infos générales'!$E$2="x",IF(A6&gt;0,VLOOKUP(A6,'Infos joueurs'!$A:$M,6,FALSE)," ")&amp;" / "&amp;IF(A6&gt;0,VLOOKUP(A6,'Infos joueurs'!$A:$M,11,FALSE)," "),IF(A6&gt;0,VLOOKUP(A6,'Infos joueurs'!$A:$M,6,FALSE)," "))</f>
        <v>Sion</v>
      </c>
      <c r="D7" s="62"/>
      <c r="E7" s="65"/>
      <c r="F7" s="66"/>
      <c r="G7" s="66"/>
      <c r="H7" s="66"/>
      <c r="I7" s="66"/>
      <c r="J7" s="66"/>
      <c r="K7" s="66"/>
      <c r="L7" s="66"/>
      <c r="M7" s="67"/>
    </row>
    <row r="8" spans="1:13" ht="19.5" customHeight="1" x14ac:dyDescent="0.25">
      <c r="D8" s="62" t="s">
        <v>306</v>
      </c>
      <c r="E8" s="54" t="str">
        <f>C9</f>
        <v>Clerc Manon</v>
      </c>
      <c r="F8" s="52">
        <v>11</v>
      </c>
      <c r="G8" s="52">
        <v>11</v>
      </c>
      <c r="H8" s="52">
        <v>11</v>
      </c>
      <c r="I8" s="52"/>
      <c r="J8" s="52"/>
      <c r="K8" s="52"/>
      <c r="L8" s="52"/>
      <c r="M8" s="53">
        <f>IF(F8&gt;F9,1,0)+IF(G8&gt;G9,1,0)+IF(H8&gt;H9,1,0)+IF(I8&gt;I9,1,0)+IF(J8&gt;J9,1,0)+IF(K8&gt;K9,1,0)+IF(L8&gt;L9,1,0)</f>
        <v>3</v>
      </c>
    </row>
    <row r="9" spans="1:13" ht="19.5" customHeight="1" x14ac:dyDescent="0.25">
      <c r="A9" s="57">
        <v>6</v>
      </c>
      <c r="B9" s="49" t="s">
        <v>41</v>
      </c>
      <c r="C9" s="44" t="str">
        <f>IF('Infos générales'!$E$2="x",IF(A9&gt;0,VLOOKUP(A9,'Infos joueurs'!$A:$M,4,FALSE)," ")&amp;" / "&amp;IF(A9&gt;0,VLOOKUP(A9,'Infos joueurs'!$A:$M,9,FALSE)," "),IF(A9&gt;0,VLOOKUP(A9,'Infos joueurs'!$A:$M,4,FALSE)," ")&amp;" "&amp;IF(A9&gt;0,VLOOKUP(A9,'Infos joueurs'!$A:$M,5,FALSE)," "))</f>
        <v>Clerc Manon</v>
      </c>
      <c r="D9" s="62" t="s">
        <v>309</v>
      </c>
      <c r="E9" s="63" t="str">
        <f>C12</f>
        <v>Debons Elie</v>
      </c>
      <c r="F9" s="64">
        <v>8</v>
      </c>
      <c r="G9" s="64">
        <v>9</v>
      </c>
      <c r="H9" s="64">
        <v>7</v>
      </c>
      <c r="I9" s="64"/>
      <c r="J9" s="64"/>
      <c r="K9" s="64"/>
      <c r="L9" s="64"/>
      <c r="M9" s="53">
        <f>IF(F9&gt;F8,1,0)+IF(G9&gt;G8,1,0)+IF(H9&gt;H8,1,0)+IF(I9&gt;I8,1,0)+IF(J9&gt;J8,1,0)+IF(K9&gt;K8,1,0)+IF(L9&gt;L8,1,0)</f>
        <v>0</v>
      </c>
    </row>
    <row r="10" spans="1:13" x14ac:dyDescent="0.25">
      <c r="A10" s="48"/>
      <c r="B10" s="49"/>
      <c r="C10" s="44" t="str">
        <f>IF('Infos générales'!$E$2="x",IF(A9&gt;0,VLOOKUP(A9,'Infos joueurs'!$A:$M,6,FALSE)," ")&amp;" / "&amp;IF(A9&gt;0,VLOOKUP(A9,'Infos joueurs'!$A:$M,11,FALSE)," "),IF(A9&gt;0,VLOOKUP(A9,'Infos joueurs'!$A:$M,6,FALSE)," "))</f>
        <v>Collombey-Muraz</v>
      </c>
      <c r="D10" s="62"/>
      <c r="E10" s="65"/>
      <c r="F10" s="66"/>
      <c r="G10" s="66"/>
      <c r="H10" s="66"/>
      <c r="I10" s="66"/>
      <c r="J10" s="66"/>
      <c r="K10" s="66"/>
      <c r="L10" s="66"/>
      <c r="M10" s="67"/>
    </row>
    <row r="11" spans="1:13" ht="19.5" customHeight="1" x14ac:dyDescent="0.25">
      <c r="D11" s="62"/>
      <c r="E11" s="120"/>
      <c r="F11" s="70"/>
      <c r="G11" s="70"/>
      <c r="H11" s="70"/>
      <c r="I11" s="70"/>
      <c r="J11" s="70"/>
      <c r="K11" s="70"/>
      <c r="L11" s="70"/>
      <c r="M11" s="70"/>
    </row>
    <row r="12" spans="1:13" ht="18" x14ac:dyDescent="0.25">
      <c r="A12" s="57">
        <v>7</v>
      </c>
      <c r="B12" s="49" t="s">
        <v>42</v>
      </c>
      <c r="C12" s="44" t="str">
        <f>IF('Infos générales'!$E$2="x",IF(A12&gt;0,VLOOKUP(A12,'Infos joueurs'!$A:$M,4,FALSE)," ")&amp;" / "&amp;IF(A12&gt;0,VLOOKUP(A12,'Infos joueurs'!$A:$M,9,FALSE)," "),IF(A12&gt;0,VLOOKUP(A12,'Infos joueurs'!$A:$M,4,FALSE)," ")&amp;" "&amp;IF(A12&gt;0,VLOOKUP(A12,'Infos joueurs'!$A:$M,5,FALSE)," "))</f>
        <v>Debons Elie</v>
      </c>
      <c r="D12" s="68"/>
      <c r="E12" s="58" t="s">
        <v>300</v>
      </c>
      <c r="F12" s="59" t="s">
        <v>35</v>
      </c>
      <c r="G12" s="60"/>
      <c r="H12" s="60"/>
      <c r="I12" s="60"/>
      <c r="J12" s="60"/>
      <c r="K12" s="60"/>
      <c r="L12" s="60"/>
      <c r="M12" s="60"/>
    </row>
    <row r="13" spans="1:13" ht="15" customHeight="1" x14ac:dyDescent="0.25">
      <c r="A13" s="69"/>
      <c r="B13" s="49"/>
      <c r="C13" s="44" t="str">
        <f>IF('Infos générales'!$E$2="x",IF(A12&gt;0,VLOOKUP(A12,'Infos joueurs'!$A:$M,6,FALSE)," ")&amp;" / "&amp;IF(A12&gt;0,VLOOKUP(A12,'Infos joueurs'!$A:$M,11,FALSE)," "),IF(A12&gt;0,VLOOKUP(A12,'Infos joueurs'!$A:$M,6,FALSE)," "))</f>
        <v>Sion</v>
      </c>
      <c r="D13" s="68"/>
      <c r="E13" s="61"/>
      <c r="F13" s="51">
        <v>1</v>
      </c>
      <c r="G13" s="51">
        <v>2</v>
      </c>
      <c r="H13" s="51">
        <v>3</v>
      </c>
      <c r="I13" s="51">
        <v>4</v>
      </c>
      <c r="J13" s="51">
        <v>5</v>
      </c>
      <c r="K13" s="51">
        <v>6</v>
      </c>
      <c r="L13" s="51">
        <v>7</v>
      </c>
      <c r="M13" s="51" t="s">
        <v>299</v>
      </c>
    </row>
    <row r="14" spans="1:13" ht="19.5" customHeight="1" x14ac:dyDescent="0.25">
      <c r="A14" s="45"/>
      <c r="B14" s="45"/>
      <c r="C14" s="45"/>
      <c r="D14" s="62" t="s">
        <v>304</v>
      </c>
      <c r="E14" s="54" t="str">
        <f>C3</f>
        <v>Blazquez Esteban</v>
      </c>
      <c r="F14" s="52">
        <v>8</v>
      </c>
      <c r="G14" s="52">
        <v>5</v>
      </c>
      <c r="H14" s="52">
        <v>2</v>
      </c>
      <c r="I14" s="52"/>
      <c r="J14" s="52"/>
      <c r="K14" s="52"/>
      <c r="L14" s="52"/>
      <c r="M14" s="53">
        <f>IF(F14&gt;F15,1,0)+IF(G14&gt;G15,1,0)+IF(H14&gt;H15,1,0)+IF(I14&gt;I15,1,0)+IF(J14&gt;J15,1,0)+IF(K14&gt;K15,1,0)+IF(L14&gt;L15,1,0)</f>
        <v>0</v>
      </c>
    </row>
    <row r="15" spans="1:13" ht="19.5" customHeight="1" x14ac:dyDescent="0.25">
      <c r="A15" s="45"/>
      <c r="B15" s="45"/>
      <c r="C15" s="45"/>
      <c r="D15" s="62" t="s">
        <v>306</v>
      </c>
      <c r="E15" s="63" t="str">
        <f>C9</f>
        <v>Clerc Manon</v>
      </c>
      <c r="F15" s="64">
        <v>11</v>
      </c>
      <c r="G15" s="64">
        <v>11</v>
      </c>
      <c r="H15" s="64">
        <v>11</v>
      </c>
      <c r="I15" s="64"/>
      <c r="J15" s="64"/>
      <c r="K15" s="64"/>
      <c r="L15" s="64"/>
      <c r="M15" s="53">
        <f>IF(F15&gt;F14,1,0)+IF(G15&gt;G14,1,0)+IF(H15&gt;H14,1,0)+IF(I15&gt;I14,1,0)+IF(J15&gt;J14,1,0)+IF(K15&gt;K14,1,0)+IF(L15&gt;L14,1,0)</f>
        <v>3</v>
      </c>
    </row>
    <row r="16" spans="1:13" x14ac:dyDescent="0.25">
      <c r="A16" s="45"/>
      <c r="B16" s="45"/>
      <c r="C16" s="45"/>
      <c r="D16" s="68"/>
      <c r="E16" s="65"/>
      <c r="F16" s="66"/>
      <c r="G16" s="66"/>
      <c r="H16" s="66"/>
      <c r="I16" s="66"/>
      <c r="J16" s="66"/>
      <c r="K16" s="66"/>
      <c r="L16" s="66"/>
      <c r="M16" s="67"/>
    </row>
    <row r="17" spans="1:13" ht="19.5" customHeight="1" x14ac:dyDescent="0.25">
      <c r="A17" s="45"/>
      <c r="B17" s="45"/>
      <c r="C17" s="45"/>
      <c r="D17" s="62" t="s">
        <v>305</v>
      </c>
      <c r="E17" s="54" t="str">
        <f>C6</f>
        <v>Clausix Adam</v>
      </c>
      <c r="F17" s="52">
        <v>11</v>
      </c>
      <c r="G17" s="52">
        <v>12</v>
      </c>
      <c r="H17" s="52">
        <v>14</v>
      </c>
      <c r="I17" s="52"/>
      <c r="J17" s="52"/>
      <c r="K17" s="52"/>
      <c r="L17" s="52"/>
      <c r="M17" s="53">
        <f>IF(F17&gt;F18,1,0)+IF(G17&gt;G18,1,0)+IF(H17&gt;H18,1,0)+IF(I17&gt;I18,1,0)+IF(J17&gt;J18,1,0)+IF(K17&gt;K18,1,0)+IF(L17&gt;L18,1,0)</f>
        <v>3</v>
      </c>
    </row>
    <row r="18" spans="1:13" ht="19.5" customHeight="1" x14ac:dyDescent="0.25">
      <c r="A18" s="45"/>
      <c r="B18" s="45"/>
      <c r="C18" s="45"/>
      <c r="D18" s="62" t="s">
        <v>309</v>
      </c>
      <c r="E18" s="63" t="str">
        <f>C12</f>
        <v>Debons Elie</v>
      </c>
      <c r="F18" s="64">
        <v>9</v>
      </c>
      <c r="G18" s="64">
        <v>10</v>
      </c>
      <c r="H18" s="64">
        <v>12</v>
      </c>
      <c r="I18" s="64"/>
      <c r="J18" s="64"/>
      <c r="K18" s="64"/>
      <c r="L18" s="64"/>
      <c r="M18" s="53">
        <f>IF(F18&gt;F17,1,0)+IF(G18&gt;G17,1,0)+IF(H18&gt;H17,1,0)+IF(I18&gt;I17,1,0)+IF(J18&gt;J17,1,0)+IF(K18&gt;K17,1,0)+IF(L18&gt;L17,1,0)</f>
        <v>0</v>
      </c>
    </row>
    <row r="19" spans="1:13" x14ac:dyDescent="0.25">
      <c r="A19" s="45"/>
      <c r="B19" s="45"/>
      <c r="C19" s="45"/>
      <c r="D19" s="62"/>
      <c r="E19" s="65"/>
      <c r="F19" s="66"/>
      <c r="G19" s="66"/>
      <c r="H19" s="66"/>
      <c r="I19" s="66"/>
      <c r="J19" s="66"/>
      <c r="K19" s="66"/>
      <c r="L19" s="66"/>
      <c r="M19" s="67"/>
    </row>
    <row r="20" spans="1:13" x14ac:dyDescent="0.25">
      <c r="A20" s="45"/>
      <c r="B20" s="45"/>
      <c r="C20" s="45"/>
      <c r="D20" s="62"/>
      <c r="E20" s="70"/>
      <c r="F20" s="70"/>
      <c r="G20" s="70"/>
      <c r="H20" s="70"/>
      <c r="I20" s="70"/>
      <c r="J20" s="70"/>
      <c r="K20" s="70"/>
      <c r="L20" s="70"/>
      <c r="M20" s="70"/>
    </row>
    <row r="21" spans="1:13" ht="18" x14ac:dyDescent="0.25">
      <c r="A21" s="45"/>
      <c r="B21" s="45"/>
      <c r="C21" s="45"/>
      <c r="D21" s="62"/>
      <c r="E21" s="58" t="s">
        <v>301</v>
      </c>
      <c r="F21" s="59" t="s">
        <v>35</v>
      </c>
      <c r="G21" s="60"/>
      <c r="H21" s="60"/>
      <c r="I21" s="60"/>
      <c r="J21" s="60"/>
      <c r="K21" s="60"/>
      <c r="L21" s="60"/>
      <c r="M21" s="60"/>
    </row>
    <row r="22" spans="1:13" ht="15" customHeight="1" x14ac:dyDescent="0.25">
      <c r="A22" s="69"/>
      <c r="B22" s="49"/>
      <c r="C22" s="50"/>
      <c r="D22" s="62"/>
      <c r="E22" s="61"/>
      <c r="F22" s="51">
        <v>1</v>
      </c>
      <c r="G22" s="51">
        <v>2</v>
      </c>
      <c r="H22" s="51">
        <v>3</v>
      </c>
      <c r="I22" s="51">
        <v>4</v>
      </c>
      <c r="J22" s="51">
        <v>5</v>
      </c>
      <c r="K22" s="51">
        <v>6</v>
      </c>
      <c r="L22" s="51">
        <v>7</v>
      </c>
      <c r="M22" s="51" t="s">
        <v>299</v>
      </c>
    </row>
    <row r="23" spans="1:13" ht="19.5" customHeight="1" x14ac:dyDescent="0.25">
      <c r="A23" s="48"/>
      <c r="B23" s="49"/>
      <c r="C23" s="50"/>
      <c r="D23" s="62" t="s">
        <v>304</v>
      </c>
      <c r="E23" s="54" t="str">
        <f>C3</f>
        <v>Blazquez Esteban</v>
      </c>
      <c r="F23" s="52">
        <v>5</v>
      </c>
      <c r="G23" s="52">
        <v>11</v>
      </c>
      <c r="H23" s="52">
        <v>13</v>
      </c>
      <c r="I23" s="52">
        <v>8</v>
      </c>
      <c r="J23" s="52">
        <v>15</v>
      </c>
      <c r="K23" s="52"/>
      <c r="L23" s="52"/>
      <c r="M23" s="53">
        <f>IF(F23&gt;F24,1,0)+IF(G23&gt;G24,1,0)+IF(H23&gt;H24,1,0)+IF(I23&gt;I24,1,0)+IF(J23&gt;J24,1,0)+IF(K23&gt;K24,1,0)+IF(L23&gt;L24,1,0)</f>
        <v>3</v>
      </c>
    </row>
    <row r="24" spans="1:13" ht="19.5" customHeight="1" x14ac:dyDescent="0.25">
      <c r="A24" s="69"/>
      <c r="B24" s="49"/>
      <c r="C24" s="50"/>
      <c r="D24" s="62" t="s">
        <v>309</v>
      </c>
      <c r="E24" s="63" t="str">
        <f>C12</f>
        <v>Debons Elie</v>
      </c>
      <c r="F24" s="64">
        <v>11</v>
      </c>
      <c r="G24" s="64">
        <v>9</v>
      </c>
      <c r="H24" s="64">
        <v>11</v>
      </c>
      <c r="I24" s="64">
        <v>11</v>
      </c>
      <c r="J24" s="64">
        <v>13</v>
      </c>
      <c r="K24" s="64"/>
      <c r="L24" s="64"/>
      <c r="M24" s="53">
        <f>IF(F24&gt;F23,1,0)+IF(G24&gt;G23,1,0)+IF(H24&gt;H23,1,0)+IF(I24&gt;I23,1,0)+IF(J24&gt;J23,1,0)+IF(K24&gt;K23,1,0)+IF(L24&gt;L23,1,0)</f>
        <v>2</v>
      </c>
    </row>
    <row r="25" spans="1:13" ht="15.75" x14ac:dyDescent="0.25">
      <c r="A25" s="48"/>
      <c r="B25" s="49"/>
      <c r="C25" s="50"/>
      <c r="D25" s="62"/>
      <c r="E25" s="65"/>
      <c r="F25" s="66"/>
      <c r="G25" s="66"/>
      <c r="H25" s="66"/>
      <c r="I25" s="66"/>
      <c r="J25" s="66"/>
      <c r="K25" s="66"/>
      <c r="L25" s="66"/>
      <c r="M25" s="67"/>
    </row>
    <row r="26" spans="1:13" ht="19.5" customHeight="1" x14ac:dyDescent="0.25">
      <c r="A26" s="69"/>
      <c r="B26" s="49"/>
      <c r="C26" s="50"/>
      <c r="D26" s="62" t="s">
        <v>305</v>
      </c>
      <c r="E26" s="54" t="str">
        <f>C6</f>
        <v>Clausix Adam</v>
      </c>
      <c r="F26" s="52">
        <v>5</v>
      </c>
      <c r="G26" s="52">
        <v>9</v>
      </c>
      <c r="H26" s="52">
        <v>11</v>
      </c>
      <c r="I26" s="52"/>
      <c r="J26" s="52"/>
      <c r="K26" s="52"/>
      <c r="L26" s="52"/>
      <c r="M26" s="53">
        <f>IF(F26&gt;F27,1,0)+IF(G26&gt;G27,1,0)+IF(H26&gt;H27,1,0)+IF(I26&gt;I27,1,0)+IF(J26&gt;J27,1,0)+IF(K26&gt;K27,1,0)+IF(L26&gt;L27,1,0)</f>
        <v>0</v>
      </c>
    </row>
    <row r="27" spans="1:13" ht="19.5" customHeight="1" x14ac:dyDescent="0.25">
      <c r="A27" s="48"/>
      <c r="B27" s="49"/>
      <c r="C27" s="50"/>
      <c r="D27" s="62" t="s">
        <v>306</v>
      </c>
      <c r="E27" s="54" t="str">
        <f>C9</f>
        <v>Clerc Manon</v>
      </c>
      <c r="F27" s="52">
        <v>11</v>
      </c>
      <c r="G27" s="52">
        <v>11</v>
      </c>
      <c r="H27" s="52">
        <v>13</v>
      </c>
      <c r="I27" s="52"/>
      <c r="J27" s="52"/>
      <c r="K27" s="52"/>
      <c r="L27" s="52"/>
      <c r="M27" s="53">
        <f>IF(F27&gt;F26,1,0)+IF(G27&gt;G26,1,0)+IF(H27&gt;H26,1,0)+IF(I27&gt;I26,1,0)+IF(J27&gt;J26,1,0)+IF(K27&gt;K26,1,0)+IF(L27&gt;L26,1,0)</f>
        <v>3</v>
      </c>
    </row>
    <row r="28" spans="1:13" ht="15.75" x14ac:dyDescent="0.25">
      <c r="A28" s="69"/>
      <c r="B28" s="49"/>
      <c r="C28" s="50"/>
      <c r="D28" s="43"/>
      <c r="E28" s="119"/>
      <c r="F28" s="119"/>
      <c r="G28" s="119"/>
      <c r="H28" s="119"/>
      <c r="I28" s="119"/>
      <c r="J28" s="119"/>
      <c r="K28" s="119"/>
      <c r="L28" s="119"/>
      <c r="M28" s="119"/>
    </row>
    <row r="29" spans="1:13" ht="15.75" x14ac:dyDescent="0.25">
      <c r="A29" s="48"/>
      <c r="B29" s="49"/>
      <c r="C29" s="50"/>
    </row>
    <row r="30" spans="1:13" ht="15.75" x14ac:dyDescent="0.25">
      <c r="A30" s="69"/>
      <c r="B30" s="49"/>
      <c r="C30" s="50"/>
    </row>
  </sheetData>
  <pageMargins left="0.25" right="0.25" top="0.75" bottom="0.75" header="0.3" footer="0.3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5122" r:id="rId4" name="Masquer">
          <controlPr defaultSize="0" print="0" autoLine="0" r:id="rId5">
            <anchor moveWithCells="1">
              <from>
                <xdr:col>13</xdr:col>
                <xdr:colOff>390525</xdr:colOff>
                <xdr:row>2</xdr:row>
                <xdr:rowOff>209550</xdr:rowOff>
              </from>
              <to>
                <xdr:col>16</xdr:col>
                <xdr:colOff>19050</xdr:colOff>
                <xdr:row>4</xdr:row>
                <xdr:rowOff>171450</xdr:rowOff>
              </to>
            </anchor>
          </controlPr>
        </control>
      </mc:Choice>
      <mc:Fallback>
        <control shapeId="5122" r:id="rId4" name="Masquer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F0"/>
  </sheetPr>
  <dimension ref="A1:X30"/>
  <sheetViews>
    <sheetView zoomScaleNormal="100" workbookViewId="0">
      <selection activeCell="I27" sqref="I27"/>
    </sheetView>
  </sheetViews>
  <sheetFormatPr baseColWidth="10" defaultRowHeight="15" outlineLevelCol="1" x14ac:dyDescent="0.25"/>
  <cols>
    <col min="1" max="1" width="3.28515625" bestFit="1" customWidth="1" outlineLevel="1"/>
    <col min="2" max="2" width="12.7109375" bestFit="1" customWidth="1" outlineLevel="1"/>
    <col min="3" max="3" width="18.42578125" customWidth="1"/>
    <col min="4" max="4" width="1.85546875" bestFit="1" customWidth="1"/>
    <col min="5" max="5" width="23.85546875" bestFit="1" customWidth="1"/>
    <col min="6" max="13" width="5" customWidth="1"/>
    <col min="14" max="14" width="4.85546875" customWidth="1"/>
    <col min="15" max="15" width="23.85546875" bestFit="1" customWidth="1"/>
    <col min="16" max="23" width="5" customWidth="1"/>
  </cols>
  <sheetData>
    <row r="1" spans="1:24" ht="18.75" x14ac:dyDescent="0.3">
      <c r="E1" s="191" t="str">
        <f>'Poule 5j'!B12</f>
        <v>Poule 5j</v>
      </c>
    </row>
    <row r="3" spans="1:24" ht="23.25" x14ac:dyDescent="0.25">
      <c r="A3" s="57">
        <v>8</v>
      </c>
      <c r="B3" s="49" t="s">
        <v>39</v>
      </c>
      <c r="C3" s="44" t="str">
        <f>IF('Infos générales'!$E$2="x",IF(A3&gt;0,VLOOKUP(A3,'Infos joueurs'!$A:$M,4,FALSE)," ")&amp;" / "&amp;IF(A3&gt;0,VLOOKUP(A3,'Infos joueurs'!$A:$M,9,FALSE)," "),IF(A3&gt;0,VLOOKUP(A3,'Infos joueurs'!$A:$M,4,FALSE)," ")&amp;" "&amp;IF(A3&gt;0,VLOOKUP(A3,'Infos joueurs'!$A:$M,5,FALSE)," "))</f>
        <v>Derivaz Valentin</v>
      </c>
      <c r="D3" s="43"/>
      <c r="E3" s="58" t="s">
        <v>298</v>
      </c>
      <c r="F3" s="59" t="s">
        <v>35</v>
      </c>
      <c r="G3" s="60"/>
      <c r="H3" s="60"/>
      <c r="I3" s="60"/>
      <c r="J3" s="60"/>
      <c r="K3" s="60"/>
      <c r="L3" s="60"/>
      <c r="M3" s="60"/>
      <c r="N3" s="121"/>
      <c r="O3" s="58" t="s">
        <v>302</v>
      </c>
      <c r="P3" s="59" t="s">
        <v>35</v>
      </c>
      <c r="Q3" s="61"/>
      <c r="R3" s="61"/>
      <c r="S3" s="61"/>
      <c r="T3" s="61"/>
      <c r="U3" s="61"/>
      <c r="V3" s="61"/>
      <c r="W3" s="61"/>
      <c r="X3" s="61"/>
    </row>
    <row r="4" spans="1:24" ht="15" customHeight="1" x14ac:dyDescent="0.25">
      <c r="A4" s="48"/>
      <c r="B4" s="49"/>
      <c r="C4" s="44" t="str">
        <f>IF('Infos générales'!$E$2="x",IF(A3&gt;0,VLOOKUP(A3,'Infos joueurs'!$A:$M,6,FALSE)," ")&amp;" / "&amp;IF(A3&gt;0,VLOOKUP(A3,'Infos joueurs'!$A:$M,11,FALSE)," "),IF(A3&gt;0,VLOOKUP(A3,'Infos joueurs'!$A:$M,6,FALSE)," "))</f>
        <v>Collombey-Muraz</v>
      </c>
      <c r="D4" s="43"/>
      <c r="E4" s="61"/>
      <c r="F4" s="51">
        <v>1</v>
      </c>
      <c r="G4" s="51">
        <v>2</v>
      </c>
      <c r="H4" s="51">
        <v>3</v>
      </c>
      <c r="I4" s="51">
        <v>4</v>
      </c>
      <c r="J4" s="51">
        <v>5</v>
      </c>
      <c r="K4" s="51">
        <v>6</v>
      </c>
      <c r="L4" s="51">
        <v>7</v>
      </c>
      <c r="M4" s="51" t="s">
        <v>299</v>
      </c>
      <c r="N4" s="122"/>
      <c r="O4" s="61"/>
      <c r="P4" s="51">
        <v>1</v>
      </c>
      <c r="Q4" s="51">
        <v>2</v>
      </c>
      <c r="R4" s="51">
        <v>3</v>
      </c>
      <c r="S4" s="51">
        <v>4</v>
      </c>
      <c r="T4" s="51">
        <v>5</v>
      </c>
      <c r="U4" s="51">
        <v>6</v>
      </c>
      <c r="V4" s="51">
        <v>7</v>
      </c>
      <c r="W4" s="51" t="s">
        <v>299</v>
      </c>
      <c r="X4" s="122"/>
    </row>
    <row r="5" spans="1:24" ht="19.5" customHeight="1" x14ac:dyDescent="0.25">
      <c r="D5" s="62" t="s">
        <v>305</v>
      </c>
      <c r="E5" s="54" t="str">
        <f>C6</f>
        <v>Emboye Tomas</v>
      </c>
      <c r="F5" s="52">
        <v>11</v>
      </c>
      <c r="G5" s="52">
        <v>11</v>
      </c>
      <c r="H5" s="52">
        <v>8</v>
      </c>
      <c r="I5" s="52">
        <v>7</v>
      </c>
      <c r="J5" s="52">
        <v>9</v>
      </c>
      <c r="K5" s="52"/>
      <c r="L5" s="52"/>
      <c r="M5" s="53">
        <f>IF(F5&gt;F6,1,0)+IF(G5&gt;G6,1,0)+IF(H5&gt;H6,1,0)+IF(I5&gt;I6,1,0)+IF(J5&gt;J6,1,0)+IF(K5&gt;K6,1,0)+IF(L5&gt;L6,1,0)</f>
        <v>2</v>
      </c>
      <c r="N5" s="123" t="s">
        <v>309</v>
      </c>
      <c r="O5" s="54" t="str">
        <f>C12</f>
        <v>Gay Valentin</v>
      </c>
      <c r="P5" s="52">
        <v>11</v>
      </c>
      <c r="Q5" s="52">
        <v>11</v>
      </c>
      <c r="R5" s="52">
        <v>11</v>
      </c>
      <c r="S5" s="52"/>
      <c r="T5" s="52"/>
      <c r="U5" s="52"/>
      <c r="V5" s="52"/>
      <c r="W5" s="53">
        <f>IF(P5&gt;P6,1,0)+IF(Q5&gt;Q6,1,0)+IF(R5&gt;R6,1,0)+IF(S5&gt;S6,1,0)+IF(T5&gt;T6,1,0)+IF(U5&gt;U6,1,0)+IF(V5&gt;V6,1,0)</f>
        <v>3</v>
      </c>
      <c r="X5" s="44"/>
    </row>
    <row r="6" spans="1:24" ht="19.5" customHeight="1" x14ac:dyDescent="0.25">
      <c r="A6" s="57">
        <v>9</v>
      </c>
      <c r="B6" s="49" t="s">
        <v>40</v>
      </c>
      <c r="C6" s="44" t="str">
        <f>IF('Infos générales'!$E$2="x",IF(A6&gt;0,VLOOKUP(A6,'Infos joueurs'!$A:$M,4,FALSE)," / ")&amp;" "&amp;IF(A6&gt;0,VLOOKUP(A6,'Infos joueurs'!$A:$M,9,FALSE)," "),IF(A6&gt;0,VLOOKUP(A6,'Infos joueurs'!$A:$M,4,FALSE)," ")&amp;" "&amp;IF(A6&gt;0,VLOOKUP(A6,'Infos joueurs'!$A:$M,5,FALSE)," "))</f>
        <v>Emboye Tomas</v>
      </c>
      <c r="D6" s="62" t="s">
        <v>306</v>
      </c>
      <c r="E6" s="63" t="str">
        <f>C9</f>
        <v>Frezghi Tarik</v>
      </c>
      <c r="F6" s="64">
        <v>2</v>
      </c>
      <c r="G6" s="64">
        <v>3</v>
      </c>
      <c r="H6" s="64">
        <v>11</v>
      </c>
      <c r="I6" s="64">
        <v>11</v>
      </c>
      <c r="J6" s="64">
        <v>11</v>
      </c>
      <c r="K6" s="64"/>
      <c r="L6" s="64"/>
      <c r="M6" s="53">
        <f>IF(F6&gt;F5,1,0)+IF(G6&gt;G5,1,0)+IF(H6&gt;H5,1,0)+IF(I6&gt;I5,1,0)+IF(J6&gt;J5,1,0)+IF(K6&gt;K5,1,0)+IF(L6&gt;L5,1,0)</f>
        <v>3</v>
      </c>
      <c r="N6" s="123" t="s">
        <v>304</v>
      </c>
      <c r="O6" s="63" t="str">
        <f>C3</f>
        <v>Derivaz Valentin</v>
      </c>
      <c r="P6" s="64">
        <v>6</v>
      </c>
      <c r="Q6" s="64">
        <v>8</v>
      </c>
      <c r="R6" s="64">
        <v>9</v>
      </c>
      <c r="S6" s="64"/>
      <c r="T6" s="64"/>
      <c r="U6" s="64"/>
      <c r="V6" s="64"/>
      <c r="W6" s="124">
        <f>IF(P6&gt;P5,1,0)+IF(Q6&gt;Q5,1,0)+IF(R6&gt;R5,1,0)+IF(S6&gt;S5,1,0)+IF(T6&gt;T5,1,0)+IF(U6&gt;U5,1,0)+IF(V6&gt;V5,1,0)</f>
        <v>0</v>
      </c>
      <c r="X6" s="44"/>
    </row>
    <row r="7" spans="1:24" x14ac:dyDescent="0.25">
      <c r="A7" s="48"/>
      <c r="B7" s="49"/>
      <c r="C7" s="44" t="str">
        <f>IF('Infos générales'!$E$2="x",IF(A6&gt;0,VLOOKUP(A6,'Infos joueurs'!$A:$M,6,FALSE)," ")&amp;" / "&amp;IF(A6&gt;0,VLOOKUP(A6,'Infos joueurs'!$A:$M,11,FALSE)," "),IF(A6&gt;0,VLOOKUP(A6,'Infos joueurs'!$A:$M,6,FALSE)," "))</f>
        <v>Sion</v>
      </c>
      <c r="D7" s="62"/>
      <c r="E7" s="65"/>
      <c r="F7" s="66"/>
      <c r="G7" s="66"/>
      <c r="H7" s="66"/>
      <c r="I7" s="66"/>
      <c r="J7" s="66"/>
      <c r="K7" s="66"/>
      <c r="L7" s="66"/>
      <c r="M7" s="67"/>
      <c r="N7" s="123"/>
      <c r="O7" s="65"/>
      <c r="P7" s="66"/>
      <c r="Q7" s="66"/>
      <c r="R7" s="66"/>
      <c r="S7" s="66"/>
      <c r="T7" s="66"/>
      <c r="U7" s="66"/>
      <c r="V7" s="66"/>
      <c r="W7" s="67"/>
      <c r="X7" s="44"/>
    </row>
    <row r="8" spans="1:24" ht="19.5" customHeight="1" x14ac:dyDescent="0.25">
      <c r="D8" s="62" t="s">
        <v>309</v>
      </c>
      <c r="E8" s="54" t="str">
        <f>C12</f>
        <v>Gay Valentin</v>
      </c>
      <c r="F8" s="52">
        <v>11</v>
      </c>
      <c r="G8" s="52">
        <v>9</v>
      </c>
      <c r="H8" s="52">
        <v>11</v>
      </c>
      <c r="I8" s="52">
        <v>11</v>
      </c>
      <c r="J8" s="52"/>
      <c r="K8" s="52"/>
      <c r="L8" s="52"/>
      <c r="M8" s="53">
        <f>IF(F8&gt;F9,1,0)+IF(G8&gt;G9,1,0)+IF(H8&gt;H9,1,0)+IF(I8&gt;I9,1,0)+IF(J8&gt;J9,1,0)+IF(K8&gt;K9,1,0)+IF(L8&gt;L9,1,0)</f>
        <v>3</v>
      </c>
      <c r="N8" s="125" t="s">
        <v>312</v>
      </c>
      <c r="O8" s="54" t="str">
        <f>C15</f>
        <v>Germanier Enzo</v>
      </c>
      <c r="P8" s="52">
        <v>11</v>
      </c>
      <c r="Q8" s="52">
        <v>11</v>
      </c>
      <c r="R8" s="52">
        <v>11</v>
      </c>
      <c r="S8" s="52"/>
      <c r="T8" s="52"/>
      <c r="U8" s="52"/>
      <c r="V8" s="52"/>
      <c r="W8" s="53">
        <f>IF(P8&gt;P9,1,0)+IF(Q8&gt;Q9,1,0)+IF(R8&gt;R9,1,0)+IF(S8&gt;S9,1,0)+IF(T8&gt;T9,1,0)+IF(U8&gt;U9,1,0)+IF(V8&gt;V9,1,0)</f>
        <v>3</v>
      </c>
      <c r="X8" s="44"/>
    </row>
    <row r="9" spans="1:24" ht="19.5" customHeight="1" x14ac:dyDescent="0.25">
      <c r="A9" s="57">
        <v>10</v>
      </c>
      <c r="B9" s="49" t="s">
        <v>41</v>
      </c>
      <c r="C9" s="44" t="str">
        <f>IF('Infos générales'!$E$2="x",IF(A9&gt;0,VLOOKUP(A9,'Infos joueurs'!$A:$M,4,FALSE)," / ")&amp;" "&amp;IF(A9&gt;0,VLOOKUP(A9,'Infos joueurs'!$A:$M,9,FALSE)," "),IF(A9&gt;0,VLOOKUP(A9,'Infos joueurs'!$A:$M,4,FALSE)," ")&amp;" "&amp;IF(A9&gt;0,VLOOKUP(A9,'Infos joueurs'!$A:$M,5,FALSE)," "))</f>
        <v>Frezghi Tarik</v>
      </c>
      <c r="D9" s="62" t="s">
        <v>312</v>
      </c>
      <c r="E9" s="63" t="str">
        <f>C15</f>
        <v>Germanier Enzo</v>
      </c>
      <c r="F9" s="64">
        <v>9</v>
      </c>
      <c r="G9" s="64">
        <v>11</v>
      </c>
      <c r="H9" s="64">
        <v>8</v>
      </c>
      <c r="I9" s="64">
        <v>6</v>
      </c>
      <c r="J9" s="64"/>
      <c r="K9" s="64"/>
      <c r="L9" s="64"/>
      <c r="M9" s="53">
        <f>IF(F9&gt;F8,1,0)+IF(G9&gt;G8,1,0)+IF(H9&gt;H8,1,0)+IF(I9&gt;I8,1,0)+IF(J9&gt;J8,1,0)+IF(K9&gt;K8,1,0)+IF(L9&gt;L8,1,0)</f>
        <v>1</v>
      </c>
      <c r="N9" s="125" t="s">
        <v>306</v>
      </c>
      <c r="O9" s="63" t="str">
        <f>C9</f>
        <v>Frezghi Tarik</v>
      </c>
      <c r="P9" s="64">
        <v>1</v>
      </c>
      <c r="Q9" s="64">
        <v>1</v>
      </c>
      <c r="R9" s="64">
        <v>1</v>
      </c>
      <c r="S9" s="64"/>
      <c r="T9" s="64"/>
      <c r="U9" s="64"/>
      <c r="V9" s="64"/>
      <c r="W9" s="124">
        <f>IF(P9&gt;P8,1,0)+IF(Q9&gt;Q8,1,0)+IF(R9&gt;R8,1,0)+IF(S9&gt;S8,1,0)+IF(T9&gt;T8,1,0)+IF(U9&gt;U8,1,0)+IF(V9&gt;V8,1,0)</f>
        <v>0</v>
      </c>
      <c r="X9" s="70"/>
    </row>
    <row r="10" spans="1:24" x14ac:dyDescent="0.25">
      <c r="A10" s="48"/>
      <c r="B10" s="49"/>
      <c r="C10" s="44" t="str">
        <f>IF('Infos générales'!$E$2="x",IF(A9&gt;0,VLOOKUP(A9,'Infos joueurs'!$A:$M,6,FALSE)," ")&amp;" / "&amp;IF(A9&gt;0,VLOOKUP(A9,'Infos joueurs'!$A:$M,11,FALSE)," "),IF(A9&gt;0,VLOOKUP(A9,'Infos joueurs'!$A:$M,6,FALSE)," "))</f>
        <v>Sion</v>
      </c>
      <c r="D10" s="62"/>
      <c r="E10" s="65"/>
      <c r="F10" s="66"/>
      <c r="G10" s="66"/>
      <c r="H10" s="66"/>
      <c r="I10" s="66"/>
      <c r="J10" s="66"/>
      <c r="K10" s="66"/>
      <c r="L10" s="66"/>
      <c r="M10" s="67"/>
      <c r="N10" s="126"/>
      <c r="O10" s="65"/>
      <c r="P10" s="66"/>
      <c r="Q10" s="66"/>
      <c r="R10" s="66"/>
      <c r="S10" s="66"/>
      <c r="T10" s="66"/>
      <c r="U10" s="66"/>
      <c r="V10" s="66"/>
      <c r="W10" s="67"/>
      <c r="X10" s="119"/>
    </row>
    <row r="11" spans="1:24" ht="19.5" customHeight="1" x14ac:dyDescent="0.25">
      <c r="D11" s="62"/>
      <c r="E11" s="120"/>
      <c r="F11" s="70"/>
      <c r="G11" s="70"/>
      <c r="H11" s="70"/>
      <c r="I11" s="70"/>
      <c r="J11" s="70"/>
      <c r="K11" s="70"/>
      <c r="L11" s="70"/>
      <c r="M11" s="70"/>
      <c r="N11" s="123"/>
      <c r="O11" s="43"/>
      <c r="P11" s="43"/>
      <c r="Q11" s="43"/>
      <c r="R11" s="43"/>
      <c r="S11" s="43"/>
      <c r="T11" s="43"/>
      <c r="U11" s="43"/>
      <c r="V11" s="43"/>
      <c r="W11" s="43"/>
      <c r="X11" s="44"/>
    </row>
    <row r="12" spans="1:24" ht="18" x14ac:dyDescent="0.25">
      <c r="A12" s="57">
        <v>11</v>
      </c>
      <c r="B12" s="49" t="s">
        <v>42</v>
      </c>
      <c r="C12" s="44" t="str">
        <f>IF('Infos générales'!$E$2="x",IF(A12&gt;0,VLOOKUP(A12,'Infos joueurs'!$A:$M,4,FALSE)," / ")&amp;" "&amp;IF(A12&gt;0,VLOOKUP(A12,'Infos joueurs'!$A:$M,9,FALSE)," "),IF(A12&gt;0,VLOOKUP(A12,'Infos joueurs'!$A:$M,4,FALSE)," ")&amp;" "&amp;IF(A12&gt;0,VLOOKUP(A12,'Infos joueurs'!$A:$M,5,FALSE)," "))</f>
        <v>Gay Valentin</v>
      </c>
      <c r="D12" s="68"/>
      <c r="E12" s="58" t="s">
        <v>300</v>
      </c>
      <c r="F12" s="59" t="s">
        <v>35</v>
      </c>
      <c r="G12" s="60"/>
      <c r="H12" s="60"/>
      <c r="I12" s="60"/>
      <c r="J12" s="60"/>
      <c r="K12" s="60"/>
      <c r="L12" s="60"/>
      <c r="M12" s="60"/>
      <c r="N12" s="123"/>
      <c r="O12" s="58" t="s">
        <v>303</v>
      </c>
      <c r="P12" s="59" t="s">
        <v>35</v>
      </c>
      <c r="Q12" s="60"/>
      <c r="R12" s="60"/>
      <c r="S12" s="60"/>
      <c r="T12" s="60"/>
      <c r="U12" s="60"/>
      <c r="V12" s="60"/>
      <c r="W12" s="60"/>
      <c r="X12" s="44"/>
    </row>
    <row r="13" spans="1:24" ht="15" customHeight="1" x14ac:dyDescent="0.25">
      <c r="A13" s="48"/>
      <c r="B13" s="49"/>
      <c r="C13" s="44" t="str">
        <f>IF('Infos générales'!$E$2="x",IF(A12&gt;0,VLOOKUP(A12,'Infos joueurs'!$A:$M,6,FALSE)," ")&amp;" / "&amp;IF(A12&gt;0,VLOOKUP(A12,'Infos joueurs'!$A:$M,11,FALSE)," "),IF(A12&gt;0,VLOOKUP(A12,'Infos joueurs'!$A:$M,6,FALSE)," "))</f>
        <v>Collombey-Muraz</v>
      </c>
      <c r="D13" s="68"/>
      <c r="E13" s="61"/>
      <c r="F13" s="51">
        <v>1</v>
      </c>
      <c r="G13" s="51">
        <v>2</v>
      </c>
      <c r="H13" s="51">
        <v>3</v>
      </c>
      <c r="I13" s="51">
        <v>4</v>
      </c>
      <c r="J13" s="51">
        <v>5</v>
      </c>
      <c r="K13" s="51">
        <v>6</v>
      </c>
      <c r="L13" s="51">
        <v>7</v>
      </c>
      <c r="M13" s="51" t="s">
        <v>299</v>
      </c>
      <c r="N13" s="123"/>
      <c r="O13" s="61"/>
      <c r="P13" s="51">
        <v>1</v>
      </c>
      <c r="Q13" s="51">
        <v>2</v>
      </c>
      <c r="R13" s="51">
        <v>3</v>
      </c>
      <c r="S13" s="51">
        <v>4</v>
      </c>
      <c r="T13" s="51">
        <v>5</v>
      </c>
      <c r="U13" s="51">
        <v>6</v>
      </c>
      <c r="V13" s="51">
        <v>7</v>
      </c>
      <c r="W13" s="51" t="s">
        <v>299</v>
      </c>
      <c r="X13" s="44"/>
    </row>
    <row r="14" spans="1:24" ht="19.5" customHeight="1" x14ac:dyDescent="0.25">
      <c r="D14" s="62" t="s">
        <v>304</v>
      </c>
      <c r="E14" s="54" t="str">
        <f>C3</f>
        <v>Derivaz Valentin</v>
      </c>
      <c r="F14" s="52">
        <v>11</v>
      </c>
      <c r="G14" s="52">
        <v>11</v>
      </c>
      <c r="H14" s="52">
        <v>11</v>
      </c>
      <c r="I14" s="52"/>
      <c r="J14" s="52"/>
      <c r="K14" s="52"/>
      <c r="L14" s="52"/>
      <c r="M14" s="53">
        <f>IF(F14&gt;F15,1,0)+IF(G14&gt;G15,1,0)+IF(H14&gt;H15,1,0)+IF(I14&gt;I15,1,0)+IF(J14&gt;J15,1,0)+IF(K14&gt;K15,1,0)+IF(L14&gt;L15,1,0)</f>
        <v>3</v>
      </c>
      <c r="N14" s="125" t="s">
        <v>304</v>
      </c>
      <c r="O14" s="54" t="str">
        <f>C3</f>
        <v>Derivaz Valentin</v>
      </c>
      <c r="P14" s="52">
        <v>11</v>
      </c>
      <c r="Q14" s="52">
        <v>11</v>
      </c>
      <c r="R14" s="52">
        <v>11</v>
      </c>
      <c r="S14" s="52"/>
      <c r="T14" s="52"/>
      <c r="U14" s="52"/>
      <c r="V14" s="52"/>
      <c r="W14" s="53">
        <f>IF(P14&gt;P15,1,0)+IF(Q14&gt;Q15,1,0)+IF(R14&gt;R15,1,0)+IF(S14&gt;S15,1,0)+IF(T14&gt;T15,1,0)+IF(U14&gt;U15,1,0)+IF(V14&gt;V15,1,0)</f>
        <v>0</v>
      </c>
      <c r="X14" s="44"/>
    </row>
    <row r="15" spans="1:24" ht="19.5" customHeight="1" x14ac:dyDescent="0.25">
      <c r="A15" s="57">
        <v>12</v>
      </c>
      <c r="B15" s="49" t="s">
        <v>43</v>
      </c>
      <c r="C15" s="44" t="str">
        <f>IF('Infos générales'!$E$2="x",IF(A15&gt;0,VLOOKUP(A15,'Infos joueurs'!$A:$M,4,FALSE)," / ")&amp;" "&amp;IF(A15&gt;0,VLOOKUP(A15,'Infos joueurs'!$A:$M,9,FALSE)," "),IF(A15&gt;0,VLOOKUP(A15,'Infos joueurs'!$A:$M,4,FALSE)," ")&amp;" "&amp;IF(A15&gt;0,VLOOKUP(A15,'Infos joueurs'!$A:$M,5,FALSE)," "))</f>
        <v>Germanier Enzo</v>
      </c>
      <c r="D15" s="62" t="s">
        <v>305</v>
      </c>
      <c r="E15" s="63" t="str">
        <f>C6</f>
        <v>Emboye Tomas</v>
      </c>
      <c r="F15" s="64">
        <v>0</v>
      </c>
      <c r="G15" s="64">
        <v>0</v>
      </c>
      <c r="H15" s="64">
        <v>0</v>
      </c>
      <c r="I15" s="64"/>
      <c r="J15" s="64"/>
      <c r="K15" s="64"/>
      <c r="L15" s="64"/>
      <c r="M15" s="53">
        <f>IF(F15&gt;F14,1,0)+IF(G15&gt;G14,1,0)+IF(H15&gt;H14,1,0)+IF(I15&gt;I14,1,0)+IF(J15&gt;J14,1,0)+IF(K15&gt;K14,1,0)+IF(L15&gt;L14,1,0)</f>
        <v>0</v>
      </c>
      <c r="N15" s="123" t="s">
        <v>312</v>
      </c>
      <c r="O15" s="63" t="str">
        <f>C15</f>
        <v>Germanier Enzo</v>
      </c>
      <c r="P15" s="64">
        <v>13</v>
      </c>
      <c r="Q15" s="64">
        <v>13</v>
      </c>
      <c r="R15" s="64">
        <v>13</v>
      </c>
      <c r="S15" s="64"/>
      <c r="T15" s="64"/>
      <c r="U15" s="64"/>
      <c r="V15" s="64"/>
      <c r="W15" s="124">
        <f>IF(P15&gt;P14,1,0)+IF(Q15&gt;Q14,1,0)+IF(R15&gt;R14,1,0)+IF(S15&gt;S14,1,0)+IF(T15&gt;T14,1,0)+IF(U15&gt;U14,1,0)+IF(V15&gt;V14,1,0)</f>
        <v>3</v>
      </c>
      <c r="X15" s="70"/>
    </row>
    <row r="16" spans="1:24" x14ac:dyDescent="0.25">
      <c r="A16" s="45"/>
      <c r="B16" s="45"/>
      <c r="C16" s="45" t="str">
        <f>IF('Infos générales'!$E$2="x",IF(A15&gt;0,VLOOKUP(A15,'Infos joueurs'!$A:$M,6,FALSE)," ")&amp;" / "&amp;IF(A15&gt;0,VLOOKUP(A15,'Infos joueurs'!$A:$M,11,FALSE)," "),IF(A15&gt;0,VLOOKUP(A15,'Infos joueurs'!$A:$M,6,FALSE)," "))</f>
        <v>Sion</v>
      </c>
      <c r="D16" s="68"/>
      <c r="E16" s="65"/>
      <c r="F16" s="66"/>
      <c r="G16" s="66"/>
      <c r="H16" s="66"/>
      <c r="I16" s="66"/>
      <c r="J16" s="66"/>
      <c r="K16" s="66"/>
      <c r="L16" s="66"/>
      <c r="M16" s="67"/>
      <c r="N16" s="126"/>
      <c r="O16" s="65"/>
      <c r="P16" s="66"/>
      <c r="Q16" s="66"/>
      <c r="R16" s="66"/>
      <c r="S16" s="66"/>
      <c r="T16" s="66"/>
      <c r="U16" s="66"/>
      <c r="V16" s="66"/>
      <c r="W16" s="67"/>
      <c r="X16" s="70"/>
    </row>
    <row r="17" spans="1:24" ht="19.5" customHeight="1" x14ac:dyDescent="0.25">
      <c r="A17" s="45"/>
      <c r="B17" s="45"/>
      <c r="C17" s="45"/>
      <c r="D17" s="62" t="s">
        <v>306</v>
      </c>
      <c r="E17" s="54" t="str">
        <f>C9</f>
        <v>Frezghi Tarik</v>
      </c>
      <c r="F17" s="52">
        <v>11</v>
      </c>
      <c r="G17" s="52">
        <v>11</v>
      </c>
      <c r="H17" s="52">
        <v>11</v>
      </c>
      <c r="I17" s="52"/>
      <c r="J17" s="52"/>
      <c r="K17" s="52"/>
      <c r="L17" s="52"/>
      <c r="M17" s="53">
        <f>IF(F17&gt;F18,1,0)+IF(G17&gt;G18,1,0)+IF(H17&gt;H18,1,0)+IF(I17&gt;I18,1,0)+IF(J17&gt;J18,1,0)+IF(K17&gt;K18,1,0)+IF(L17&gt;L18,1,0)</f>
        <v>3</v>
      </c>
      <c r="N17" s="125" t="s">
        <v>305</v>
      </c>
      <c r="O17" s="54" t="str">
        <f>C6</f>
        <v>Emboye Tomas</v>
      </c>
      <c r="P17" s="52">
        <v>1</v>
      </c>
      <c r="Q17" s="52">
        <v>5</v>
      </c>
      <c r="R17" s="52">
        <v>6</v>
      </c>
      <c r="S17" s="52"/>
      <c r="T17" s="52"/>
      <c r="U17" s="52"/>
      <c r="V17" s="52"/>
      <c r="W17" s="53">
        <f>IF(P17&gt;P18,1,0)+IF(Q17&gt;Q18,1,0)+IF(R17&gt;R18,1,0)+IF(S17&gt;S18,1,0)+IF(T17&gt;T18,1,0)+IF(U17&gt;U18,1,0)+IF(V17&gt;V18,1,0)</f>
        <v>0</v>
      </c>
      <c r="X17" s="121"/>
    </row>
    <row r="18" spans="1:24" ht="19.5" customHeight="1" x14ac:dyDescent="0.25">
      <c r="A18" s="45"/>
      <c r="B18" s="45"/>
      <c r="C18" s="45"/>
      <c r="D18" s="62" t="s">
        <v>309</v>
      </c>
      <c r="E18" s="63" t="str">
        <f>C12</f>
        <v>Gay Valentin</v>
      </c>
      <c r="F18" s="64">
        <v>1</v>
      </c>
      <c r="G18" s="64">
        <v>2</v>
      </c>
      <c r="H18" s="64">
        <v>3</v>
      </c>
      <c r="I18" s="64"/>
      <c r="J18" s="64"/>
      <c r="K18" s="64"/>
      <c r="L18" s="64"/>
      <c r="M18" s="53">
        <f>IF(F18&gt;F17,1,0)+IF(G18&gt;G17,1,0)+IF(H18&gt;H17,1,0)+IF(I18&gt;I17,1,0)+IF(J18&gt;J17,1,0)+IF(K18&gt;K17,1,0)+IF(L18&gt;L17,1,0)</f>
        <v>0</v>
      </c>
      <c r="N18" s="125" t="s">
        <v>309</v>
      </c>
      <c r="O18" s="63" t="str">
        <f>C12</f>
        <v>Gay Valentin</v>
      </c>
      <c r="P18" s="64">
        <v>11</v>
      </c>
      <c r="Q18" s="64">
        <v>11</v>
      </c>
      <c r="R18" s="64">
        <v>11</v>
      </c>
      <c r="S18" s="64"/>
      <c r="T18" s="64"/>
      <c r="U18" s="64"/>
      <c r="V18" s="64"/>
      <c r="W18" s="124">
        <f>IF(P18&gt;P17,1,0)+IF(Q18&gt;Q17,1,0)+IF(R18&gt;R17,1,0)+IF(S18&gt;S17,1,0)+IF(T18&gt;T17,1,0)+IF(U18&gt;U17,1,0)+IF(V18&gt;V17,1,0)</f>
        <v>3</v>
      </c>
      <c r="X18" s="121"/>
    </row>
    <row r="19" spans="1:24" x14ac:dyDescent="0.25">
      <c r="A19" s="45"/>
      <c r="B19" s="45"/>
      <c r="C19" s="45"/>
      <c r="D19" s="62"/>
      <c r="E19" s="65"/>
      <c r="F19" s="66"/>
      <c r="G19" s="66"/>
      <c r="H19" s="66"/>
      <c r="I19" s="66"/>
      <c r="J19" s="66"/>
      <c r="K19" s="66"/>
      <c r="L19" s="66"/>
      <c r="M19" s="67"/>
      <c r="N19" s="122"/>
      <c r="O19" s="65"/>
      <c r="P19" s="66"/>
      <c r="Q19" s="66"/>
      <c r="R19" s="66"/>
      <c r="S19" s="66"/>
      <c r="T19" s="66"/>
      <c r="U19" s="66"/>
      <c r="V19" s="66"/>
      <c r="W19" s="67"/>
      <c r="X19" s="122"/>
    </row>
    <row r="20" spans="1:24" x14ac:dyDescent="0.25">
      <c r="A20" s="45"/>
      <c r="B20" s="45"/>
      <c r="C20" s="45"/>
      <c r="D20" s="62"/>
      <c r="E20" s="70"/>
      <c r="F20" s="70"/>
      <c r="G20" s="70"/>
      <c r="H20" s="70"/>
      <c r="I20" s="70"/>
      <c r="J20" s="70"/>
      <c r="K20" s="70"/>
      <c r="L20" s="70"/>
      <c r="M20" s="70"/>
      <c r="N20" s="44"/>
      <c r="O20" s="43"/>
      <c r="P20" s="43"/>
      <c r="Q20" s="43"/>
      <c r="R20" s="43"/>
      <c r="S20" s="43"/>
      <c r="T20" s="43"/>
      <c r="U20" s="43"/>
      <c r="V20" s="43"/>
      <c r="W20" s="43"/>
      <c r="X20" s="44"/>
    </row>
    <row r="21" spans="1:24" ht="18" x14ac:dyDescent="0.25">
      <c r="A21" s="45"/>
      <c r="B21" s="45"/>
      <c r="C21" s="45"/>
      <c r="D21" s="62"/>
      <c r="E21" s="58" t="s">
        <v>301</v>
      </c>
      <c r="F21" s="59" t="s">
        <v>35</v>
      </c>
      <c r="G21" s="60"/>
      <c r="H21" s="60"/>
      <c r="I21" s="60"/>
      <c r="J21" s="60"/>
      <c r="K21" s="60"/>
      <c r="L21" s="60"/>
      <c r="M21" s="60"/>
      <c r="N21" s="44"/>
      <c r="O21" s="43"/>
      <c r="P21" s="43"/>
      <c r="Q21" s="43"/>
      <c r="R21" s="43"/>
      <c r="S21" s="43"/>
      <c r="T21" s="43"/>
      <c r="U21" s="43"/>
      <c r="V21" s="43"/>
      <c r="W21" s="43"/>
      <c r="X21" s="43"/>
    </row>
    <row r="22" spans="1:24" ht="15" customHeight="1" x14ac:dyDescent="0.25">
      <c r="A22" s="69"/>
      <c r="B22" s="49"/>
      <c r="C22" s="50"/>
      <c r="D22" s="62"/>
      <c r="E22" s="61"/>
      <c r="F22" s="51">
        <v>1</v>
      </c>
      <c r="G22" s="51">
        <v>2</v>
      </c>
      <c r="H22" s="51">
        <v>3</v>
      </c>
      <c r="I22" s="51">
        <v>4</v>
      </c>
      <c r="J22" s="51">
        <v>5</v>
      </c>
      <c r="K22" s="51">
        <v>6</v>
      </c>
      <c r="L22" s="51">
        <v>7</v>
      </c>
      <c r="M22" s="51" t="s">
        <v>299</v>
      </c>
      <c r="N22" s="44"/>
      <c r="O22" s="43"/>
      <c r="P22" s="43"/>
      <c r="Q22" s="43"/>
      <c r="R22" s="43"/>
      <c r="S22" s="43"/>
      <c r="T22" s="43"/>
      <c r="U22" s="43"/>
      <c r="V22" s="43"/>
      <c r="W22" s="43"/>
      <c r="X22" s="43"/>
    </row>
    <row r="23" spans="1:24" ht="19.5" customHeight="1" x14ac:dyDescent="0.25">
      <c r="A23" s="48"/>
      <c r="B23" s="49"/>
      <c r="C23" s="50"/>
      <c r="D23" s="62" t="s">
        <v>306</v>
      </c>
      <c r="E23" s="54" t="str">
        <f>C9</f>
        <v>Frezghi Tarik</v>
      </c>
      <c r="F23" s="52">
        <v>5</v>
      </c>
      <c r="G23" s="52">
        <v>5</v>
      </c>
      <c r="H23" s="52">
        <v>5</v>
      </c>
      <c r="I23" s="52"/>
      <c r="J23" s="52"/>
      <c r="K23" s="52"/>
      <c r="L23" s="52"/>
      <c r="M23" s="53">
        <f>IF(F23&gt;F24,1,0)+IF(G23&gt;G24,1,0)+IF(H23&gt;H24,1,0)+IF(I23&gt;I24,1,0)+IF(J23&gt;J24,1,0)+IF(K23&gt;K24,1,0)+IF(L23&gt;L24,1,0)</f>
        <v>0</v>
      </c>
      <c r="N23" s="70"/>
      <c r="O23" s="43"/>
      <c r="P23" s="43"/>
      <c r="Q23" s="43"/>
      <c r="R23" s="43"/>
      <c r="S23" s="43"/>
      <c r="T23" s="43"/>
      <c r="U23" s="43"/>
      <c r="V23" s="43"/>
      <c r="W23" s="43"/>
      <c r="X23" s="43"/>
    </row>
    <row r="24" spans="1:24" ht="19.5" customHeight="1" x14ac:dyDescent="0.25">
      <c r="A24" s="69"/>
      <c r="B24" s="49"/>
      <c r="C24" s="50"/>
      <c r="D24" s="62" t="s">
        <v>304</v>
      </c>
      <c r="E24" s="63" t="str">
        <f>C3</f>
        <v>Derivaz Valentin</v>
      </c>
      <c r="F24" s="64">
        <v>11</v>
      </c>
      <c r="G24" s="64">
        <v>11</v>
      </c>
      <c r="H24" s="64">
        <v>11</v>
      </c>
      <c r="I24" s="64"/>
      <c r="J24" s="64"/>
      <c r="K24" s="64"/>
      <c r="L24" s="64"/>
      <c r="M24" s="53">
        <f>IF(F24&gt;F23,1,0)+IF(G24&gt;G23,1,0)+IF(H24&gt;H23,1,0)+IF(I24&gt;I23,1,0)+IF(J24&gt;J23,1,0)+IF(K24&gt;K23,1,0)+IF(L24&gt;L23,1,0)</f>
        <v>3</v>
      </c>
      <c r="N24" s="70"/>
      <c r="O24" s="70"/>
      <c r="P24" s="43"/>
      <c r="Q24" s="43"/>
      <c r="R24" s="43"/>
      <c r="S24" s="43"/>
      <c r="T24" s="43"/>
      <c r="U24" s="43"/>
      <c r="V24" s="43"/>
      <c r="W24" s="43"/>
      <c r="X24" s="43"/>
    </row>
    <row r="25" spans="1:24" ht="15.75" x14ac:dyDescent="0.25">
      <c r="A25" s="48"/>
      <c r="B25" s="49"/>
      <c r="C25" s="50"/>
      <c r="D25" s="62"/>
      <c r="E25" s="65"/>
      <c r="F25" s="66"/>
      <c r="G25" s="66"/>
      <c r="H25" s="66"/>
      <c r="I25" s="66"/>
      <c r="J25" s="66"/>
      <c r="K25" s="66"/>
      <c r="L25" s="66"/>
      <c r="M25" s="67"/>
      <c r="N25" s="119"/>
      <c r="O25" s="119"/>
      <c r="P25" s="43"/>
      <c r="Q25" s="43"/>
      <c r="R25" s="43"/>
      <c r="S25" s="43"/>
      <c r="T25" s="43"/>
      <c r="U25" s="43"/>
      <c r="V25" s="43"/>
      <c r="W25" s="43"/>
      <c r="X25" s="43"/>
    </row>
    <row r="26" spans="1:24" ht="19.5" customHeight="1" x14ac:dyDescent="0.25">
      <c r="A26" s="69"/>
      <c r="B26" s="49"/>
      <c r="C26" s="50"/>
      <c r="D26" s="62" t="s">
        <v>312</v>
      </c>
      <c r="E26" s="54" t="str">
        <f>C15</f>
        <v>Germanier Enzo</v>
      </c>
      <c r="F26" s="52">
        <v>8</v>
      </c>
      <c r="G26" s="52">
        <v>9</v>
      </c>
      <c r="H26" s="52">
        <v>7</v>
      </c>
      <c r="I26" s="52"/>
      <c r="J26" s="52"/>
      <c r="K26" s="52"/>
      <c r="L26" s="52"/>
      <c r="M26" s="53">
        <f>IF(F26&gt;F27,1,0)+IF(G26&gt;G27,1,0)+IF(H26&gt;H27,1,0)+IF(I26&gt;I27,1,0)+IF(J26&gt;J27,1,0)+IF(K26&gt;K27,1,0)+IF(L26&gt;L27,1,0)</f>
        <v>0</v>
      </c>
      <c r="N26" s="44"/>
      <c r="O26" s="44"/>
      <c r="P26" s="43"/>
      <c r="Q26" s="43"/>
      <c r="R26" s="43"/>
      <c r="S26" s="43"/>
      <c r="T26" s="43"/>
      <c r="U26" s="43"/>
      <c r="V26" s="43"/>
      <c r="W26" s="43"/>
      <c r="X26" s="43"/>
    </row>
    <row r="27" spans="1:24" ht="19.5" customHeight="1" x14ac:dyDescent="0.25">
      <c r="A27" s="48"/>
      <c r="B27" s="49"/>
      <c r="C27" s="50"/>
      <c r="D27" s="62" t="s">
        <v>305</v>
      </c>
      <c r="E27" s="54" t="str">
        <f>C6</f>
        <v>Emboye Tomas</v>
      </c>
      <c r="F27" s="52">
        <v>11</v>
      </c>
      <c r="G27" s="52">
        <v>11</v>
      </c>
      <c r="H27" s="52">
        <v>11</v>
      </c>
      <c r="I27" s="52"/>
      <c r="J27" s="52"/>
      <c r="K27" s="52"/>
      <c r="L27" s="52"/>
      <c r="M27" s="53">
        <f>IF(F27&gt;F26,1,0)+IF(G27&gt;G26,1,0)+IF(H27&gt;H26,1,0)+IF(I27&gt;I26,1,0)+IF(J27&gt;J26,1,0)+IF(K27&gt;K26,1,0)+IF(L27&gt;L26,1,0)</f>
        <v>3</v>
      </c>
      <c r="N27" s="44"/>
      <c r="O27" s="44"/>
      <c r="P27" s="43"/>
      <c r="Q27" s="43"/>
      <c r="R27" s="43"/>
      <c r="S27" s="43"/>
      <c r="T27" s="43"/>
      <c r="U27" s="43"/>
      <c r="V27" s="43"/>
      <c r="W27" s="43"/>
      <c r="X27" s="43"/>
    </row>
    <row r="28" spans="1:24" ht="15.75" x14ac:dyDescent="0.25">
      <c r="A28" s="69"/>
      <c r="B28" s="49"/>
      <c r="C28" s="50"/>
      <c r="D28" s="43"/>
      <c r="E28" s="119"/>
      <c r="F28" s="119"/>
      <c r="G28" s="119"/>
      <c r="H28" s="119"/>
      <c r="I28" s="119"/>
      <c r="J28" s="119"/>
      <c r="K28" s="119"/>
      <c r="L28" s="119"/>
      <c r="M28" s="119"/>
      <c r="N28" s="44"/>
      <c r="O28" s="44"/>
      <c r="P28" s="43"/>
      <c r="Q28" s="43"/>
      <c r="R28" s="43"/>
      <c r="S28" s="43"/>
      <c r="T28" s="43"/>
      <c r="U28" s="43"/>
      <c r="V28" s="43"/>
      <c r="W28" s="43"/>
      <c r="X28" s="43"/>
    </row>
    <row r="29" spans="1:24" ht="15.75" x14ac:dyDescent="0.25">
      <c r="A29" s="48"/>
      <c r="B29" s="49"/>
      <c r="C29" s="50"/>
    </row>
    <row r="30" spans="1:24" ht="15.75" x14ac:dyDescent="0.25">
      <c r="A30" s="69"/>
      <c r="B30" s="49"/>
      <c r="C30" s="50"/>
    </row>
  </sheetData>
  <pageMargins left="0.25" right="0.25" top="0.75" bottom="0.75" header="0.3" footer="0.3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6146" r:id="rId4" name="Masquer">
          <controlPr defaultSize="0" print="0" autoLine="0" r:id="rId5">
            <anchor moveWithCells="1">
              <from>
                <xdr:col>23</xdr:col>
                <xdr:colOff>209550</xdr:colOff>
                <xdr:row>2</xdr:row>
                <xdr:rowOff>285750</xdr:rowOff>
              </from>
              <to>
                <xdr:col>25</xdr:col>
                <xdr:colOff>600075</xdr:colOff>
                <xdr:row>4</xdr:row>
                <xdr:rowOff>180975</xdr:rowOff>
              </to>
            </anchor>
          </controlPr>
        </control>
      </mc:Choice>
      <mc:Fallback>
        <control shapeId="6146" r:id="rId4" name="Masquer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7030A0"/>
  </sheetPr>
  <dimension ref="A1:X34"/>
  <sheetViews>
    <sheetView zoomScaleNormal="100" workbookViewId="0">
      <selection activeCell="I34" sqref="I34"/>
    </sheetView>
  </sheetViews>
  <sheetFormatPr baseColWidth="10" defaultRowHeight="15" outlineLevelCol="1" x14ac:dyDescent="0.25"/>
  <cols>
    <col min="1" max="1" width="3.140625" customWidth="1" outlineLevel="1"/>
    <col min="2" max="2" width="12.5703125" customWidth="1" outlineLevel="1"/>
    <col min="3" max="3" width="20.7109375" customWidth="1"/>
    <col min="4" max="4" width="1.85546875" bestFit="1" customWidth="1"/>
    <col min="5" max="5" width="23" bestFit="1" customWidth="1"/>
    <col min="6" max="13" width="5" customWidth="1"/>
    <col min="14" max="14" width="2.85546875" customWidth="1"/>
    <col min="15" max="15" width="23" bestFit="1" customWidth="1"/>
    <col min="16" max="23" width="5" customWidth="1"/>
  </cols>
  <sheetData>
    <row r="1" spans="1:24" ht="18.75" x14ac:dyDescent="0.3">
      <c r="E1" s="191" t="str">
        <f>'Poule 6j'!B12</f>
        <v>Poule 6j</v>
      </c>
    </row>
    <row r="3" spans="1:24" ht="18" customHeight="1" x14ac:dyDescent="0.25">
      <c r="A3" s="57">
        <v>13</v>
      </c>
      <c r="B3" s="49" t="s">
        <v>39</v>
      </c>
      <c r="C3" s="44" t="str">
        <f>IF('Infos générales'!$E$2="x",IF(A3&gt;0,VLOOKUP(A3,'Infos joueurs'!$A:$M,4,FALSE)," ")&amp;" / "&amp;IF(A3&gt;0,VLOOKUP(A3,'Infos joueurs'!$A:$M,9,FALSE)," "),IF(A3&gt;0,VLOOKUP(A3,'Infos joueurs'!$A:$M,4,FALSE)," ")&amp;" "&amp;IF(A3&gt;0,VLOOKUP(A3,'Infos joueurs'!$A:$M,5,FALSE)," "))</f>
        <v>Heldner Mathis</v>
      </c>
      <c r="D3" s="43"/>
      <c r="E3" s="58" t="s">
        <v>298</v>
      </c>
      <c r="F3" s="149" t="s">
        <v>35</v>
      </c>
      <c r="G3" s="149"/>
      <c r="H3" s="149"/>
      <c r="I3" s="149"/>
      <c r="J3" s="149"/>
      <c r="K3" s="149"/>
      <c r="L3" s="149"/>
      <c r="M3" s="149"/>
      <c r="N3" s="121"/>
      <c r="O3" s="58" t="s">
        <v>302</v>
      </c>
      <c r="P3" s="149" t="s">
        <v>35</v>
      </c>
      <c r="Q3" s="149"/>
      <c r="R3" s="149"/>
      <c r="S3" s="149"/>
      <c r="T3" s="149"/>
      <c r="U3" s="149"/>
      <c r="V3" s="149"/>
      <c r="W3" s="149"/>
      <c r="X3" s="61"/>
    </row>
    <row r="4" spans="1:24" ht="15" customHeight="1" x14ac:dyDescent="0.25">
      <c r="A4" s="48"/>
      <c r="B4" s="49"/>
      <c r="C4" s="44" t="str">
        <f>IF('Infos générales'!$E$2="x",IF(A3&gt;0,VLOOKUP(A3,'Infos joueurs'!$A:$M,6,FALSE)," ")&amp;" / "&amp;IF(A3&gt;0,VLOOKUP(A3,'Infos joueurs'!$A:$M,11,FALSE)," "),IF(A3&gt;0,VLOOKUP(A3,'Infos joueurs'!$A:$M,6,FALSE)," "))</f>
        <v>Sierre</v>
      </c>
      <c r="D4" s="43"/>
      <c r="E4" s="61"/>
      <c r="F4" s="148">
        <v>1</v>
      </c>
      <c r="G4" s="148">
        <v>2</v>
      </c>
      <c r="H4" s="148">
        <v>3</v>
      </c>
      <c r="I4" s="148">
        <v>4</v>
      </c>
      <c r="J4" s="148">
        <v>5</v>
      </c>
      <c r="K4" s="148">
        <v>6</v>
      </c>
      <c r="L4" s="148">
        <v>7</v>
      </c>
      <c r="M4" s="148" t="s">
        <v>299</v>
      </c>
      <c r="N4" s="122"/>
      <c r="O4" s="61"/>
      <c r="P4" s="148">
        <v>1</v>
      </c>
      <c r="Q4" s="148">
        <v>2</v>
      </c>
      <c r="R4" s="148">
        <v>3</v>
      </c>
      <c r="S4" s="148">
        <v>4</v>
      </c>
      <c r="T4" s="148">
        <v>5</v>
      </c>
      <c r="U4" s="148">
        <v>6</v>
      </c>
      <c r="V4" s="148">
        <v>7</v>
      </c>
      <c r="W4" s="148" t="s">
        <v>299</v>
      </c>
      <c r="X4" s="122"/>
    </row>
    <row r="5" spans="1:24" ht="18" customHeight="1" x14ac:dyDescent="0.25">
      <c r="D5" s="62" t="s">
        <v>304</v>
      </c>
      <c r="E5" s="54" t="str">
        <f>C3</f>
        <v>Heldner Mathis</v>
      </c>
      <c r="F5" s="52">
        <v>11</v>
      </c>
      <c r="G5" s="52">
        <v>11</v>
      </c>
      <c r="H5" s="52">
        <v>11</v>
      </c>
      <c r="I5" s="52"/>
      <c r="J5" s="52"/>
      <c r="K5" s="52"/>
      <c r="L5" s="52"/>
      <c r="M5" s="53">
        <f>IF(F5&gt;F6,1,0)+IF(G5&gt;G6,1,0)+IF(H5&gt;H6,1,0)+IF(I5&gt;I6,1,0)+IF(J5&gt;J6,1,0)+IF(K5&gt;K6,1,0)+IF(L5&gt;L6,1,0)</f>
        <v>3</v>
      </c>
      <c r="N5" s="123" t="s">
        <v>304</v>
      </c>
      <c r="O5" s="54" t="str">
        <f>C3</f>
        <v>Heldner Mathis</v>
      </c>
      <c r="P5" s="52">
        <v>11</v>
      </c>
      <c r="Q5" s="52">
        <v>11</v>
      </c>
      <c r="R5" s="52">
        <v>11</v>
      </c>
      <c r="S5" s="52"/>
      <c r="T5" s="52"/>
      <c r="U5" s="52"/>
      <c r="V5" s="52"/>
      <c r="W5" s="53">
        <f>IF(P5&gt;P6,1,0)+IF(Q5&gt;Q6,1,0)+IF(R5&gt;R6,1,0)+IF(S5&gt;S6,1,0)+IF(T5&gt;T6,1,0)+IF(U5&gt;U6,1,0)+IF(V5&gt;V6,1,0)</f>
        <v>3</v>
      </c>
      <c r="X5" s="44"/>
    </row>
    <row r="6" spans="1:24" ht="17.25" customHeight="1" x14ac:dyDescent="0.25">
      <c r="A6" s="57">
        <v>14</v>
      </c>
      <c r="B6" s="49" t="s">
        <v>40</v>
      </c>
      <c r="C6" s="44" t="str">
        <f>IF('Infos générales'!$E$2="x",IF(A6&gt;0,VLOOKUP(A6,'Infos joueurs'!$A:$M,4,FALSE)," / ")&amp;" "&amp;IF(A6&gt;0,VLOOKUP(A6,'Infos joueurs'!$A:$M,9,FALSE)," "),IF(A6&gt;0,VLOOKUP(A6,'Infos joueurs'!$A:$M,4,FALSE)," ")&amp;" "&amp;IF(A6&gt;0,VLOOKUP(A6,'Infos joueurs'!$A:$M,5,FALSE)," "))</f>
        <v>Jacquod Thibaud</v>
      </c>
      <c r="D6" s="62" t="s">
        <v>312</v>
      </c>
      <c r="E6" s="63" t="str">
        <f>C15</f>
        <v>Marjay David</v>
      </c>
      <c r="F6" s="64">
        <v>0</v>
      </c>
      <c r="G6" s="64">
        <v>0</v>
      </c>
      <c r="H6" s="64">
        <v>0</v>
      </c>
      <c r="I6" s="64"/>
      <c r="J6" s="64"/>
      <c r="K6" s="64"/>
      <c r="L6" s="64"/>
      <c r="M6" s="53">
        <f>IF(F6&gt;F5,1,0)+IF(G6&gt;G5,1,0)+IF(H6&gt;H5,1,0)+IF(I6&gt;I5,1,0)+IF(J6&gt;J5,1,0)+IF(K6&gt;K5,1,0)+IF(L6&gt;L5,1,0)</f>
        <v>0</v>
      </c>
      <c r="N6" s="123" t="s">
        <v>315</v>
      </c>
      <c r="O6" s="63" t="str">
        <f>C18</f>
        <v>Massy Kenny</v>
      </c>
      <c r="P6" s="64">
        <v>5</v>
      </c>
      <c r="Q6" s="64">
        <v>8</v>
      </c>
      <c r="R6" s="64">
        <v>9</v>
      </c>
      <c r="S6" s="64"/>
      <c r="T6" s="64"/>
      <c r="U6" s="64"/>
      <c r="V6" s="64"/>
      <c r="W6" s="124">
        <f>IF(P6&gt;P5,1,0)+IF(Q6&gt;Q5,1,0)+IF(R6&gt;R5,1,0)+IF(S6&gt;S5,1,0)+IF(T6&gt;T5,1,0)+IF(U6&gt;U5,1,0)+IF(V6&gt;V5,1,0)</f>
        <v>0</v>
      </c>
      <c r="X6" s="44"/>
    </row>
    <row r="7" spans="1:24" ht="15" customHeight="1" x14ac:dyDescent="0.25">
      <c r="A7" s="48"/>
      <c r="B7" s="49"/>
      <c r="C7" s="44" t="str">
        <f>IF('Infos générales'!$E$2="x",IF(A6&gt;0,VLOOKUP(A6,'Infos joueurs'!$A:$M,6,FALSE)," ")&amp;" / "&amp;IF(A6&gt;0,VLOOKUP(A6,'Infos joueurs'!$A:$M,11,FALSE)," "),IF(A6&gt;0,VLOOKUP(A6,'Infos joueurs'!$A:$M,6,FALSE)," "))</f>
        <v>Sion</v>
      </c>
      <c r="D7" s="62"/>
      <c r="E7" s="65"/>
      <c r="F7" s="66"/>
      <c r="G7" s="66"/>
      <c r="H7" s="66"/>
      <c r="I7" s="66"/>
      <c r="J7" s="66"/>
      <c r="K7" s="66"/>
      <c r="L7" s="66"/>
      <c r="M7" s="67"/>
      <c r="N7" s="123"/>
      <c r="O7" s="65"/>
      <c r="P7" s="66"/>
      <c r="Q7" s="66"/>
      <c r="R7" s="66"/>
      <c r="S7" s="66"/>
      <c r="T7" s="66"/>
      <c r="U7" s="66"/>
      <c r="V7" s="66"/>
      <c r="W7" s="67"/>
      <c r="X7" s="44"/>
    </row>
    <row r="8" spans="1:24" ht="17.25" customHeight="1" x14ac:dyDescent="0.25">
      <c r="D8" s="62" t="s">
        <v>305</v>
      </c>
      <c r="E8" s="54" t="str">
        <f>C6</f>
        <v>Jacquod Thibaud</v>
      </c>
      <c r="F8" s="52">
        <v>11</v>
      </c>
      <c r="G8" s="52">
        <v>11</v>
      </c>
      <c r="H8" s="52">
        <v>11</v>
      </c>
      <c r="I8" s="52"/>
      <c r="J8" s="52"/>
      <c r="K8" s="52"/>
      <c r="L8" s="52"/>
      <c r="M8" s="53">
        <f>IF(F8&gt;F9,1,0)+IF(G8&gt;G9,1,0)+IF(H8&gt;H9,1,0)+IF(I8&gt;I9,1,0)+IF(J8&gt;J9,1,0)+IF(K8&gt;K9,1,0)+IF(L8&gt;L9,1,0)</f>
        <v>3</v>
      </c>
      <c r="N8" s="125" t="s">
        <v>305</v>
      </c>
      <c r="O8" s="54" t="str">
        <f>C6</f>
        <v>Jacquod Thibaud</v>
      </c>
      <c r="P8" s="52">
        <v>10</v>
      </c>
      <c r="Q8" s="52">
        <v>11</v>
      </c>
      <c r="R8" s="52">
        <v>11</v>
      </c>
      <c r="S8" s="52">
        <v>11</v>
      </c>
      <c r="T8" s="52"/>
      <c r="U8" s="52"/>
      <c r="V8" s="52"/>
      <c r="W8" s="53">
        <f>IF(P8&gt;P9,1,0)+IF(Q8&gt;Q9,1,0)+IF(R8&gt;R9,1,0)+IF(S8&gt;S9,1,0)+IF(T8&gt;T9,1,0)+IF(U8&gt;U9,1,0)+IF(V8&gt;V9,1,0)</f>
        <v>3</v>
      </c>
      <c r="X8" s="44"/>
    </row>
    <row r="9" spans="1:24" ht="17.25" customHeight="1" x14ac:dyDescent="0.25">
      <c r="A9" s="57">
        <v>15</v>
      </c>
      <c r="B9" s="49" t="s">
        <v>41</v>
      </c>
      <c r="C9" s="44" t="str">
        <f>IF('Infos générales'!$E$2="x",IF(A9&gt;0,VLOOKUP(A9,'Infos joueurs'!$A:$M,4,FALSE)," / ")&amp;" "&amp;IF(A9&gt;0,VLOOKUP(A9,'Infos joueurs'!$A:$M,9,FALSE)," "),IF(A9&gt;0,VLOOKUP(A9,'Infos joueurs'!$A:$M,4,FALSE)," ")&amp;" "&amp;IF(A9&gt;0,VLOOKUP(A9,'Infos joueurs'!$A:$M,5,FALSE)," "))</f>
        <v>Jäger Joel</v>
      </c>
      <c r="D9" s="62" t="s">
        <v>309</v>
      </c>
      <c r="E9" s="54" t="str">
        <f>C12</f>
        <v>Knöri Alexander</v>
      </c>
      <c r="F9" s="52">
        <v>1</v>
      </c>
      <c r="G9" s="52">
        <v>2</v>
      </c>
      <c r="H9" s="52">
        <v>3</v>
      </c>
      <c r="I9" s="52"/>
      <c r="J9" s="52"/>
      <c r="K9" s="52"/>
      <c r="L9" s="52"/>
      <c r="M9" s="53">
        <f>IF(F9&gt;F8,1,0)+IF(G9&gt;G8,1,0)+IF(H9&gt;H8,1,0)+IF(I9&gt;I8,1,0)+IF(J9&gt;J8,1,0)+IF(K9&gt;K8,1,0)+IF(L9&gt;L8,1,0)</f>
        <v>0</v>
      </c>
      <c r="N9" s="125" t="s">
        <v>306</v>
      </c>
      <c r="O9" s="54" t="str">
        <f>C9</f>
        <v>Jäger Joel</v>
      </c>
      <c r="P9" s="52">
        <v>12</v>
      </c>
      <c r="Q9" s="52">
        <v>5</v>
      </c>
      <c r="R9" s="52">
        <v>9</v>
      </c>
      <c r="S9" s="52">
        <v>9</v>
      </c>
      <c r="T9" s="52"/>
      <c r="U9" s="52"/>
      <c r="V9" s="52"/>
      <c r="W9" s="53">
        <f>IF(P9&gt;P8,1,0)+IF(Q9&gt;Q8,1,0)+IF(R9&gt;R8,1,0)+IF(S9&gt;S8,1,0)+IF(T9&gt;T8,1,0)+IF(U9&gt;U8,1,0)+IF(V9&gt;V8,1,0)</f>
        <v>1</v>
      </c>
      <c r="X9" s="70"/>
    </row>
    <row r="10" spans="1:24" ht="12.75" customHeight="1" x14ac:dyDescent="0.25">
      <c r="A10" s="48"/>
      <c r="B10" s="49"/>
      <c r="C10" s="44" t="str">
        <f>IF('Infos générales'!$E$2="x",IF(A9&gt;0,VLOOKUP(A9,'Infos joueurs'!$A:$M,6,FALSE)," ")&amp;" / "&amp;IF(A9&gt;0,VLOOKUP(A9,'Infos joueurs'!$A:$M,11,FALSE)," "),IF(A9&gt;0,VLOOKUP(A9,'Infos joueurs'!$A:$M,6,FALSE)," "))</f>
        <v>Gampel-Steg</v>
      </c>
      <c r="D10" s="62"/>
      <c r="E10" s="120"/>
      <c r="F10" s="70"/>
      <c r="G10" s="70"/>
      <c r="H10" s="70"/>
      <c r="I10" s="70"/>
      <c r="J10" s="70"/>
      <c r="K10" s="70"/>
      <c r="L10" s="70"/>
      <c r="M10" s="70"/>
      <c r="N10" s="123"/>
      <c r="O10" s="43"/>
      <c r="P10" s="43"/>
      <c r="Q10" s="43"/>
      <c r="R10" s="43"/>
      <c r="S10" s="43"/>
      <c r="T10" s="43"/>
      <c r="U10" s="43"/>
      <c r="V10" s="43"/>
      <c r="W10" s="43"/>
      <c r="X10" s="44"/>
    </row>
    <row r="11" spans="1:24" ht="17.25" customHeight="1" x14ac:dyDescent="0.25">
      <c r="D11" s="62" t="s">
        <v>306</v>
      </c>
      <c r="E11" s="54" t="str">
        <f>C9</f>
        <v>Jäger Joel</v>
      </c>
      <c r="F11" s="52">
        <v>11</v>
      </c>
      <c r="G11" s="52">
        <v>11</v>
      </c>
      <c r="H11" s="52">
        <v>11</v>
      </c>
      <c r="I11" s="52"/>
      <c r="J11" s="52"/>
      <c r="K11" s="52"/>
      <c r="L11" s="52"/>
      <c r="M11" s="53">
        <f>IF(F11&gt;F12,1,0)+IF(G11&gt;G12,1,0)+IF(H11&gt;H12,1,0)+IF(I11&gt;I12,1,0)+IF(J11&gt;J12,1,0)+IF(K11&gt;K12,1,0)+IF(L11&gt;L12,1,0)</f>
        <v>3</v>
      </c>
      <c r="N11" s="125" t="s">
        <v>309</v>
      </c>
      <c r="O11" s="54" t="str">
        <f>C12</f>
        <v>Knöri Alexander</v>
      </c>
      <c r="P11" s="52">
        <v>9</v>
      </c>
      <c r="Q11" s="52">
        <v>8</v>
      </c>
      <c r="R11" s="52">
        <v>7</v>
      </c>
      <c r="S11" s="52"/>
      <c r="T11" s="52"/>
      <c r="U11" s="52"/>
      <c r="V11" s="52"/>
      <c r="W11" s="53">
        <f>IF(P11&gt;P12,1,0)+IF(Q11&gt;Q12,1,0)+IF(R11&gt;R12,1,0)+IF(S11&gt;S12,1,0)+IF(T11&gt;T12,1,0)+IF(U11&gt;U12,1,0)+IF(V11&gt;V12,1,0)</f>
        <v>0</v>
      </c>
      <c r="X11" s="44"/>
    </row>
    <row r="12" spans="1:24" ht="17.25" customHeight="1" x14ac:dyDescent="0.25">
      <c r="A12" s="57">
        <v>16</v>
      </c>
      <c r="B12" s="49" t="s">
        <v>42</v>
      </c>
      <c r="C12" s="44" t="str">
        <f>IF('Infos générales'!$E$2="x",IF(A12&gt;0,VLOOKUP(A12,'Infos joueurs'!$A:$M,4,FALSE)," / ")&amp;" "&amp;IF(A12&gt;0,VLOOKUP(A12,'Infos joueurs'!$A:$M,9,FALSE)," "),IF(A12&gt;0,VLOOKUP(A12,'Infos joueurs'!$A:$M,4,FALSE)," ")&amp;" "&amp;IF(A12&gt;0,VLOOKUP(A12,'Infos joueurs'!$A:$M,5,FALSE)," "))</f>
        <v>Knöri Alexander</v>
      </c>
      <c r="D12" s="62" t="s">
        <v>315</v>
      </c>
      <c r="E12" s="54" t="str">
        <f>C18</f>
        <v>Massy Kenny</v>
      </c>
      <c r="F12" s="52">
        <v>5</v>
      </c>
      <c r="G12" s="52">
        <v>6</v>
      </c>
      <c r="H12" s="52">
        <v>8</v>
      </c>
      <c r="I12" s="52"/>
      <c r="J12" s="52"/>
      <c r="K12" s="52"/>
      <c r="L12" s="52"/>
      <c r="M12" s="53">
        <f>IF(F12&gt;F11,1,0)+IF(G12&gt;G11,1,0)+IF(H12&gt;H11,1,0)+IF(I12&gt;I11,1,0)+IF(J12&gt;J11,1,0)+IF(K12&gt;K11,1,0)+IF(L12&gt;L11,1,0)</f>
        <v>0</v>
      </c>
      <c r="N12" s="125" t="s">
        <v>312</v>
      </c>
      <c r="O12" s="54" t="str">
        <f>C15</f>
        <v>Marjay David</v>
      </c>
      <c r="P12" s="52">
        <v>11</v>
      </c>
      <c r="Q12" s="52">
        <v>11</v>
      </c>
      <c r="R12" s="52">
        <v>11</v>
      </c>
      <c r="S12" s="52"/>
      <c r="T12" s="52"/>
      <c r="U12" s="52"/>
      <c r="V12" s="52"/>
      <c r="W12" s="53">
        <f>IF(P12&gt;P11,1,0)+IF(Q12&gt;Q11,1,0)+IF(R12&gt;R11,1,0)+IF(S12&gt;S11,1,0)+IF(T12&gt;T11,1,0)+IF(U12&gt;U11,1,0)+IF(V12&gt;V11,1,0)</f>
        <v>3</v>
      </c>
      <c r="X12" s="44"/>
    </row>
    <row r="13" spans="1:24" ht="19.5" customHeight="1" x14ac:dyDescent="0.25">
      <c r="A13" s="48"/>
      <c r="B13" s="49"/>
      <c r="C13" s="44" t="str">
        <f>IF('Infos générales'!$E$2="x",IF(A12&gt;0,VLOOKUP(A12,'Infos joueurs'!$A:$M,6,FALSE)," ")&amp;" / "&amp;IF(A12&gt;0,VLOOKUP(A12,'Infos joueurs'!$A:$M,11,FALSE)," "),IF(A12&gt;0,VLOOKUP(A12,'Infos joueurs'!$A:$M,6,FALSE)," "))</f>
        <v>Gampel-Steg</v>
      </c>
      <c r="D13" s="62"/>
      <c r="E13" s="120"/>
      <c r="F13" s="70"/>
      <c r="G13" s="70"/>
      <c r="H13" s="70"/>
      <c r="I13" s="70"/>
      <c r="J13" s="70"/>
      <c r="K13" s="70"/>
      <c r="L13" s="70"/>
      <c r="M13" s="70"/>
      <c r="N13" s="123"/>
      <c r="O13" s="43"/>
      <c r="P13" s="43"/>
      <c r="Q13" s="43"/>
      <c r="R13" s="43"/>
      <c r="S13" s="43"/>
      <c r="T13" s="43"/>
      <c r="U13" s="43"/>
      <c r="V13" s="43"/>
      <c r="W13" s="43"/>
      <c r="X13" s="44"/>
    </row>
    <row r="14" spans="1:24" ht="18" customHeight="1" x14ac:dyDescent="0.25">
      <c r="D14" s="68"/>
      <c r="E14" s="58" t="s">
        <v>300</v>
      </c>
      <c r="F14" s="149" t="s">
        <v>35</v>
      </c>
      <c r="G14" s="149"/>
      <c r="H14" s="149"/>
      <c r="I14" s="149"/>
      <c r="J14" s="149"/>
      <c r="K14" s="149"/>
      <c r="L14" s="149"/>
      <c r="M14" s="149"/>
      <c r="N14" s="123"/>
      <c r="O14" s="58" t="s">
        <v>303</v>
      </c>
      <c r="P14" s="149" t="s">
        <v>35</v>
      </c>
      <c r="Q14" s="149"/>
      <c r="R14" s="149"/>
      <c r="S14" s="149"/>
      <c r="T14" s="149"/>
      <c r="U14" s="149"/>
      <c r="V14" s="149"/>
      <c r="W14" s="149"/>
      <c r="X14" s="44"/>
    </row>
    <row r="15" spans="1:24" ht="15" customHeight="1" x14ac:dyDescent="0.25">
      <c r="A15" s="57">
        <v>17</v>
      </c>
      <c r="B15" s="49" t="s">
        <v>43</v>
      </c>
      <c r="C15" s="44" t="str">
        <f>IF('Infos générales'!$E$2="x",IF(A15&gt;0,VLOOKUP(A15,'Infos joueurs'!$A:$M,4,FALSE)," / ")&amp;" "&amp;IF(A15&gt;0,VLOOKUP(A15,'Infos joueurs'!$A:$M,9,FALSE)," "),IF(A15&gt;0,VLOOKUP(A15,'Infos joueurs'!$A:$M,4,FALSE)," ")&amp;" "&amp;IF(A15&gt;0,VLOOKUP(A15,'Infos joueurs'!$A:$M,5,FALSE)," "))</f>
        <v>Marjay David</v>
      </c>
      <c r="D15" s="68"/>
      <c r="E15" s="61"/>
      <c r="F15" s="148">
        <v>1</v>
      </c>
      <c r="G15" s="148">
        <v>2</v>
      </c>
      <c r="H15" s="148">
        <v>3</v>
      </c>
      <c r="I15" s="148">
        <v>4</v>
      </c>
      <c r="J15" s="148">
        <v>5</v>
      </c>
      <c r="K15" s="148">
        <v>6</v>
      </c>
      <c r="L15" s="148">
        <v>7</v>
      </c>
      <c r="M15" s="148" t="s">
        <v>299</v>
      </c>
      <c r="N15" s="123"/>
      <c r="O15" s="61"/>
      <c r="P15" s="148">
        <v>1</v>
      </c>
      <c r="Q15" s="148">
        <v>2</v>
      </c>
      <c r="R15" s="148">
        <v>3</v>
      </c>
      <c r="S15" s="148">
        <v>4</v>
      </c>
      <c r="T15" s="148">
        <v>5</v>
      </c>
      <c r="U15" s="148">
        <v>6</v>
      </c>
      <c r="V15" s="148">
        <v>7</v>
      </c>
      <c r="W15" s="148" t="s">
        <v>299</v>
      </c>
      <c r="X15" s="44"/>
    </row>
    <row r="16" spans="1:24" ht="17.25" customHeight="1" x14ac:dyDescent="0.25">
      <c r="A16" s="69"/>
      <c r="B16" s="49"/>
      <c r="C16" s="44" t="str">
        <f>IF('Infos générales'!$E$2="x",IF(A15&gt;0,VLOOKUP(A15,'Infos joueurs'!$A:$M,6,FALSE)," ")&amp;" / "&amp;IF(A15&gt;0,VLOOKUP(A15,'Infos joueurs'!$A:$M,11,FALSE)," "),IF(A15&gt;0,VLOOKUP(A15,'Infos joueurs'!$A:$M,6,FALSE)," "))</f>
        <v>Collombey-Muraz</v>
      </c>
      <c r="D16" s="62" t="s">
        <v>304</v>
      </c>
      <c r="E16" s="54" t="str">
        <f>C3</f>
        <v>Heldner Mathis</v>
      </c>
      <c r="F16" s="52">
        <v>11</v>
      </c>
      <c r="G16" s="52">
        <v>11</v>
      </c>
      <c r="H16" s="52">
        <v>11</v>
      </c>
      <c r="I16" s="52"/>
      <c r="J16" s="52"/>
      <c r="K16" s="52"/>
      <c r="L16" s="52"/>
      <c r="M16" s="53">
        <f>IF(F16&gt;F17,1,0)+IF(G16&gt;G17,1,0)+IF(H16&gt;H17,1,0)+IF(I16&gt;I17,1,0)+IF(J16&gt;J17,1,0)+IF(K16&gt;K17,1,0)+IF(L16&gt;L17,1,0)</f>
        <v>3</v>
      </c>
      <c r="N16" s="125" t="s">
        <v>304</v>
      </c>
      <c r="O16" s="54" t="str">
        <f>C3</f>
        <v>Heldner Mathis</v>
      </c>
      <c r="P16" s="52">
        <v>11</v>
      </c>
      <c r="Q16" s="52">
        <v>11</v>
      </c>
      <c r="R16" s="52">
        <v>11</v>
      </c>
      <c r="S16" s="52"/>
      <c r="T16" s="52"/>
      <c r="U16" s="52"/>
      <c r="V16" s="52"/>
      <c r="W16" s="53">
        <f>IF(P16&gt;P17,1,0)+IF(Q16&gt;Q17,1,0)+IF(R16&gt;R17,1,0)+IF(S16&gt;S17,1,0)+IF(T16&gt;T17,1,0)+IF(U16&gt;U17,1,0)+IF(V16&gt;V17,1,0)</f>
        <v>3</v>
      </c>
      <c r="X16" s="44"/>
    </row>
    <row r="17" spans="1:24" ht="17.25" customHeight="1" x14ac:dyDescent="0.25">
      <c r="D17" s="62" t="s">
        <v>309</v>
      </c>
      <c r="E17" s="63" t="str">
        <f>C12</f>
        <v>Knöri Alexander</v>
      </c>
      <c r="F17" s="64">
        <v>7</v>
      </c>
      <c r="G17" s="64">
        <v>8</v>
      </c>
      <c r="H17" s="64">
        <v>9</v>
      </c>
      <c r="I17" s="64"/>
      <c r="J17" s="64"/>
      <c r="K17" s="64"/>
      <c r="L17" s="64"/>
      <c r="M17" s="53">
        <f>IF(F17&gt;F16,1,0)+IF(G17&gt;G16,1,0)+IF(H17&gt;H16,1,0)+IF(I17&gt;I16,1,0)+IF(J17&gt;J16,1,0)+IF(K17&gt;K16,1,0)+IF(L17&gt;L16,1,0)</f>
        <v>0</v>
      </c>
      <c r="N17" s="123" t="s">
        <v>305</v>
      </c>
      <c r="O17" s="63" t="str">
        <f>C6</f>
        <v>Jacquod Thibaud</v>
      </c>
      <c r="P17" s="64">
        <v>5</v>
      </c>
      <c r="Q17" s="64">
        <v>5</v>
      </c>
      <c r="R17" s="64">
        <v>5</v>
      </c>
      <c r="S17" s="64"/>
      <c r="T17" s="64"/>
      <c r="U17" s="64"/>
      <c r="V17" s="64"/>
      <c r="W17" s="124">
        <f>IF(P17&gt;P16,1,0)+IF(Q17&gt;Q16,1,0)+IF(R17&gt;R16,1,0)+IF(S17&gt;S16,1,0)+IF(T17&gt;T16,1,0)+IF(U17&gt;U16,1,0)+IF(V17&gt;V16,1,0)</f>
        <v>0</v>
      </c>
      <c r="X17" s="70"/>
    </row>
    <row r="18" spans="1:24" ht="12.75" customHeight="1" x14ac:dyDescent="0.25">
      <c r="A18" s="57">
        <v>18</v>
      </c>
      <c r="B18" s="49" t="s">
        <v>44</v>
      </c>
      <c r="C18" s="44" t="str">
        <f>IF('Infos générales'!$E$2="x",IF(A18&gt;0,VLOOKUP(A18,'Infos joueurs'!$A:$M,4,FALSE)," / ")&amp;" "&amp;IF(A18&gt;0,VLOOKUP(A18,'Infos joueurs'!$A:$M,9,FALSE)," "),IF(A18&gt;0,VLOOKUP(A18,'Infos joueurs'!$A:$M,4,FALSE)," ")&amp;" "&amp;IF(A18&gt;0,VLOOKUP(A18,'Infos joueurs'!$A:$M,5,FALSE)," "))</f>
        <v>Massy Kenny</v>
      </c>
      <c r="D18" s="68"/>
      <c r="E18" s="65"/>
      <c r="F18" s="66"/>
      <c r="G18" s="66"/>
      <c r="H18" s="66"/>
      <c r="I18" s="66"/>
      <c r="J18" s="66"/>
      <c r="K18" s="66"/>
      <c r="L18" s="66"/>
      <c r="M18" s="67"/>
      <c r="N18" s="126"/>
      <c r="O18" s="65"/>
      <c r="P18" s="66"/>
      <c r="Q18" s="66"/>
      <c r="R18" s="66"/>
      <c r="S18" s="66"/>
      <c r="T18" s="66"/>
      <c r="U18" s="66"/>
      <c r="V18" s="66"/>
      <c r="W18" s="67"/>
      <c r="X18" s="70"/>
    </row>
    <row r="19" spans="1:24" ht="17.25" customHeight="1" x14ac:dyDescent="0.25">
      <c r="A19" s="45"/>
      <c r="B19" s="45"/>
      <c r="C19" s="45" t="str">
        <f>IF('Infos générales'!$E$2="x",IF(A18&gt;0,VLOOKUP(A18,'Infos joueurs'!$A:$M,6,FALSE)," ")&amp;" / "&amp;IF(A18&gt;0,VLOOKUP(A18,'Infos joueurs'!$A:$M,11,FALSE)," "),IF(A18&gt;0,VLOOKUP(A18,'Infos joueurs'!$A:$M,6,FALSE)," "))</f>
        <v>Sierre</v>
      </c>
      <c r="D19" s="62" t="s">
        <v>305</v>
      </c>
      <c r="E19" s="54" t="str">
        <f>C6</f>
        <v>Jacquod Thibaud</v>
      </c>
      <c r="F19" s="52">
        <v>11</v>
      </c>
      <c r="G19" s="52">
        <v>11</v>
      </c>
      <c r="H19" s="52">
        <v>11</v>
      </c>
      <c r="I19" s="52"/>
      <c r="J19" s="52"/>
      <c r="K19" s="52"/>
      <c r="L19" s="52"/>
      <c r="M19" s="53">
        <f>IF(F19&gt;F20,1,0)+IF(G19&gt;G20,1,0)+IF(H19&gt;H20,1,0)+IF(I19&gt;I20,1,0)+IF(J19&gt;J20,1,0)+IF(K19&gt;K20,1,0)+IF(L19&gt;L20,1,0)</f>
        <v>3</v>
      </c>
      <c r="N19" s="125" t="s">
        <v>306</v>
      </c>
      <c r="O19" s="54" t="str">
        <f>C9</f>
        <v>Jäger Joel</v>
      </c>
      <c r="P19" s="52">
        <v>6</v>
      </c>
      <c r="Q19" s="52">
        <v>6</v>
      </c>
      <c r="R19" s="52">
        <v>6</v>
      </c>
      <c r="S19" s="52"/>
      <c r="T19" s="52"/>
      <c r="U19" s="52"/>
      <c r="V19" s="52"/>
      <c r="W19" s="53">
        <f>IF(P19&gt;P20,1,0)+IF(Q19&gt;Q20,1,0)+IF(R19&gt;R20,1,0)+IF(S19&gt;S20,1,0)+IF(T19&gt;T20,1,0)+IF(U19&gt;U20,1,0)+IF(V19&gt;V20,1,0)</f>
        <v>0</v>
      </c>
      <c r="X19" s="121"/>
    </row>
    <row r="20" spans="1:24" ht="17.25" customHeight="1" x14ac:dyDescent="0.25">
      <c r="A20" s="45"/>
      <c r="B20" s="45"/>
      <c r="C20" s="45"/>
      <c r="D20" s="62" t="s">
        <v>315</v>
      </c>
      <c r="E20" s="63" t="str">
        <f>C18</f>
        <v>Massy Kenny</v>
      </c>
      <c r="F20" s="64">
        <v>7</v>
      </c>
      <c r="G20" s="64">
        <v>8</v>
      </c>
      <c r="H20" s="64">
        <v>9</v>
      </c>
      <c r="I20" s="64"/>
      <c r="J20" s="64"/>
      <c r="K20" s="64"/>
      <c r="L20" s="64"/>
      <c r="M20" s="53">
        <f>IF(F20&gt;F19,1,0)+IF(G20&gt;G19,1,0)+IF(H20&gt;H19,1,0)+IF(I20&gt;I19,1,0)+IF(J20&gt;J19,1,0)+IF(K20&gt;K19,1,0)+IF(L20&gt;L19,1,0)</f>
        <v>0</v>
      </c>
      <c r="N20" s="125" t="s">
        <v>309</v>
      </c>
      <c r="O20" s="63" t="str">
        <f>C12</f>
        <v>Knöri Alexander</v>
      </c>
      <c r="P20" s="64">
        <v>11</v>
      </c>
      <c r="Q20" s="64">
        <v>11</v>
      </c>
      <c r="R20" s="64">
        <v>11</v>
      </c>
      <c r="S20" s="64"/>
      <c r="T20" s="64"/>
      <c r="U20" s="64"/>
      <c r="V20" s="64"/>
      <c r="W20" s="124">
        <f>IF(P20&gt;P19,1,0)+IF(Q20&gt;Q19,1,0)+IF(R20&gt;R19,1,0)+IF(S20&gt;S19,1,0)+IF(T20&gt;T19,1,0)+IF(U20&gt;U19,1,0)+IF(V20&gt;V19,1,0)</f>
        <v>3</v>
      </c>
      <c r="X20" s="121"/>
    </row>
    <row r="21" spans="1:24" ht="12.75" customHeight="1" x14ac:dyDescent="0.25">
      <c r="A21" s="45"/>
      <c r="B21" s="45"/>
      <c r="C21" s="45"/>
      <c r="D21" s="62"/>
      <c r="E21" s="65"/>
      <c r="F21" s="66"/>
      <c r="G21" s="66"/>
      <c r="H21" s="66"/>
      <c r="I21" s="66"/>
      <c r="J21" s="66"/>
      <c r="K21" s="66"/>
      <c r="L21" s="66"/>
      <c r="M21" s="67"/>
      <c r="N21" s="122"/>
      <c r="O21" s="65"/>
      <c r="P21" s="66"/>
      <c r="Q21" s="66"/>
      <c r="R21" s="66"/>
      <c r="S21" s="66"/>
      <c r="T21" s="66"/>
      <c r="U21" s="66"/>
      <c r="V21" s="66"/>
      <c r="W21" s="67"/>
      <c r="X21" s="122"/>
    </row>
    <row r="22" spans="1:24" ht="17.25" customHeight="1" x14ac:dyDescent="0.25">
      <c r="D22" s="132" t="s">
        <v>306</v>
      </c>
      <c r="E22" s="54" t="str">
        <f>C9</f>
        <v>Jäger Joel</v>
      </c>
      <c r="F22" s="52">
        <v>11</v>
      </c>
      <c r="G22" s="52">
        <v>11</v>
      </c>
      <c r="H22" s="52">
        <v>11</v>
      </c>
      <c r="I22" s="52"/>
      <c r="J22" s="52"/>
      <c r="K22" s="52"/>
      <c r="L22" s="52"/>
      <c r="M22" s="53">
        <f>IF(F22&gt;F23,1,0)+IF(G22&gt;G23,1,0)+IF(H22&gt;H23,1,0)+IF(I22&gt;I23,1,0)+IF(J22&gt;J23,1,0)+IF(K22&gt;K23,1,0)+IF(L22&gt;L23,1,0)</f>
        <v>3</v>
      </c>
      <c r="N22" s="125" t="s">
        <v>312</v>
      </c>
      <c r="O22" s="54" t="str">
        <f>C15</f>
        <v>Marjay David</v>
      </c>
      <c r="P22" s="52">
        <v>9</v>
      </c>
      <c r="Q22" s="52">
        <v>8</v>
      </c>
      <c r="R22" s="52">
        <v>7</v>
      </c>
      <c r="S22" s="52"/>
      <c r="T22" s="52"/>
      <c r="U22" s="52"/>
      <c r="V22" s="52"/>
      <c r="W22" s="53">
        <f>IF(P22&gt;P23,1,0)+IF(Q22&gt;Q23,1,0)+IF(R22&gt;R23,1,0)+IF(S22&gt;S23,1,0)+IF(T22&gt;T23,1,0)+IF(U22&gt;U23,1,0)+IF(V22&gt;V23,1,0)</f>
        <v>0</v>
      </c>
    </row>
    <row r="23" spans="1:24" ht="17.25" customHeight="1" x14ac:dyDescent="0.25">
      <c r="A23" s="45"/>
      <c r="B23" s="45"/>
      <c r="C23" s="45"/>
      <c r="D23" s="132" t="s">
        <v>312</v>
      </c>
      <c r="E23" s="54" t="str">
        <f>C15</f>
        <v>Marjay David</v>
      </c>
      <c r="F23" s="52">
        <v>6</v>
      </c>
      <c r="G23" s="52">
        <v>5</v>
      </c>
      <c r="H23" s="52">
        <v>7</v>
      </c>
      <c r="I23" s="52"/>
      <c r="J23" s="52"/>
      <c r="K23" s="52"/>
      <c r="L23" s="52"/>
      <c r="M23" s="53">
        <f>IF(F23&gt;F22,1,0)+IF(G23&gt;G22,1,0)+IF(H23&gt;H22,1,0)+IF(I23&gt;I22,1,0)+IF(J23&gt;J22,1,0)+IF(K23&gt;K22,1,0)+IF(L23&gt;L22,1,0)</f>
        <v>0</v>
      </c>
      <c r="N23" s="125" t="s">
        <v>315</v>
      </c>
      <c r="O23" s="54" t="str">
        <f>C18</f>
        <v>Massy Kenny</v>
      </c>
      <c r="P23" s="52">
        <v>11</v>
      </c>
      <c r="Q23" s="52">
        <v>11</v>
      </c>
      <c r="R23" s="52">
        <v>11</v>
      </c>
      <c r="S23" s="52"/>
      <c r="T23" s="52"/>
      <c r="U23" s="52"/>
      <c r="V23" s="52"/>
      <c r="W23" s="53">
        <f>IF(P23&gt;P22,1,0)+IF(Q23&gt;Q22,1,0)+IF(R23&gt;R22,1,0)+IF(S23&gt;S22,1,0)+IF(T23&gt;T22,1,0)+IF(U23&gt;U22,1,0)+IF(V23&gt;V22,1,0)</f>
        <v>3</v>
      </c>
      <c r="X23" s="122"/>
    </row>
    <row r="24" spans="1:24" x14ac:dyDescent="0.25">
      <c r="A24" s="45"/>
      <c r="B24" s="45"/>
      <c r="C24" s="45"/>
      <c r="D24" s="62"/>
      <c r="E24" s="70"/>
      <c r="F24" s="70"/>
      <c r="G24" s="70"/>
      <c r="H24" s="70"/>
      <c r="I24" s="70"/>
      <c r="J24" s="70"/>
      <c r="K24" s="70"/>
      <c r="L24" s="70"/>
      <c r="M24" s="70"/>
      <c r="N24" s="44"/>
      <c r="O24" s="43"/>
      <c r="P24" s="43"/>
      <c r="Q24" s="43"/>
      <c r="R24" s="43"/>
      <c r="S24" s="43"/>
      <c r="T24" s="43"/>
      <c r="U24" s="43"/>
      <c r="V24" s="43"/>
      <c r="W24" s="43"/>
      <c r="X24" s="44"/>
    </row>
    <row r="25" spans="1:24" ht="18" x14ac:dyDescent="0.25">
      <c r="A25" s="45"/>
      <c r="B25" s="45"/>
      <c r="C25" s="45"/>
      <c r="D25" s="62"/>
      <c r="E25" s="58" t="s">
        <v>301</v>
      </c>
      <c r="F25" s="149" t="s">
        <v>35</v>
      </c>
      <c r="G25" s="149"/>
      <c r="H25" s="149"/>
      <c r="I25" s="149"/>
      <c r="J25" s="149"/>
      <c r="K25" s="149"/>
      <c r="L25" s="149"/>
      <c r="M25" s="149"/>
      <c r="N25" s="44"/>
      <c r="O25" s="43"/>
      <c r="P25" s="43"/>
      <c r="Q25" s="43"/>
      <c r="R25" s="43"/>
      <c r="S25" s="43"/>
      <c r="T25" s="43"/>
      <c r="U25" s="43"/>
      <c r="V25" s="43"/>
      <c r="W25" s="43"/>
      <c r="X25" s="43"/>
    </row>
    <row r="26" spans="1:24" ht="15" customHeight="1" x14ac:dyDescent="0.25">
      <c r="A26" s="69"/>
      <c r="B26" s="49"/>
      <c r="C26" s="50"/>
      <c r="D26" s="62"/>
      <c r="E26" s="61"/>
      <c r="F26" s="148">
        <v>1</v>
      </c>
      <c r="G26" s="148">
        <v>2</v>
      </c>
      <c r="H26" s="148">
        <v>3</v>
      </c>
      <c r="I26" s="148">
        <v>4</v>
      </c>
      <c r="J26" s="148">
        <v>5</v>
      </c>
      <c r="K26" s="148">
        <v>6</v>
      </c>
      <c r="L26" s="148">
        <v>7</v>
      </c>
      <c r="M26" s="148" t="s">
        <v>299</v>
      </c>
      <c r="N26" s="44"/>
      <c r="O26" s="43"/>
      <c r="P26" s="43"/>
      <c r="Q26" s="43"/>
      <c r="R26" s="43"/>
      <c r="S26" s="43"/>
      <c r="T26" s="43"/>
      <c r="U26" s="43"/>
      <c r="V26" s="43"/>
      <c r="W26" s="43"/>
      <c r="X26" s="43"/>
    </row>
    <row r="27" spans="1:24" ht="17.25" customHeight="1" x14ac:dyDescent="0.25">
      <c r="A27" s="48"/>
      <c r="B27" s="49"/>
      <c r="C27" s="50"/>
      <c r="D27" s="62" t="s">
        <v>304</v>
      </c>
      <c r="E27" s="54" t="str">
        <f>C3</f>
        <v>Heldner Mathis</v>
      </c>
      <c r="F27" s="52">
        <v>11</v>
      </c>
      <c r="G27" s="52">
        <v>13</v>
      </c>
      <c r="H27" s="52">
        <v>9</v>
      </c>
      <c r="I27" s="52">
        <v>11</v>
      </c>
      <c r="J27" s="52">
        <v>1</v>
      </c>
      <c r="K27" s="52"/>
      <c r="L27" s="52"/>
      <c r="M27" s="53">
        <f>IF(F27&gt;F28,1,0)+IF(G27&gt;G28,1,0)+IF(H27&gt;H28,1,0)+IF(I27&gt;I28,1,0)+IF(J27&gt;J28,1,0)+IF(K27&gt;K28,1,0)+IF(L27&gt;L28,1,0)</f>
        <v>2</v>
      </c>
      <c r="N27" s="70"/>
      <c r="O27" s="43"/>
      <c r="P27" s="43"/>
      <c r="Q27" s="43"/>
      <c r="R27" s="43"/>
      <c r="S27" s="43"/>
      <c r="T27" s="43"/>
      <c r="U27" s="43"/>
      <c r="V27" s="43"/>
      <c r="W27" s="43"/>
      <c r="X27" s="43"/>
    </row>
    <row r="28" spans="1:24" ht="17.25" customHeight="1" x14ac:dyDescent="0.25">
      <c r="A28" s="69"/>
      <c r="B28" s="49"/>
      <c r="C28" s="50"/>
      <c r="D28" s="62" t="s">
        <v>306</v>
      </c>
      <c r="E28" s="63" t="str">
        <f>C9</f>
        <v>Jäger Joel</v>
      </c>
      <c r="F28" s="64">
        <v>9</v>
      </c>
      <c r="G28" s="64">
        <v>15</v>
      </c>
      <c r="H28" s="64">
        <v>11</v>
      </c>
      <c r="I28" s="64">
        <v>8</v>
      </c>
      <c r="J28" s="64">
        <v>11</v>
      </c>
      <c r="K28" s="64"/>
      <c r="L28" s="64"/>
      <c r="M28" s="53">
        <f>IF(F28&gt;F27,1,0)+IF(G28&gt;G27,1,0)+IF(H28&gt;H27,1,0)+IF(I28&gt;I27,1,0)+IF(J28&gt;J27,1,0)+IF(K28&gt;K27,1,0)+IF(L28&gt;L27,1,0)</f>
        <v>3</v>
      </c>
      <c r="N28" s="70"/>
      <c r="O28" s="70"/>
      <c r="P28" s="43"/>
      <c r="Q28" s="43"/>
      <c r="R28" s="43"/>
      <c r="S28" s="43"/>
      <c r="T28" s="43"/>
      <c r="U28" s="43"/>
      <c r="V28" s="43"/>
      <c r="W28" s="43"/>
      <c r="X28" s="43"/>
    </row>
    <row r="29" spans="1:24" ht="12.75" customHeight="1" x14ac:dyDescent="0.25">
      <c r="A29" s="48"/>
      <c r="B29" s="49"/>
      <c r="C29" s="50"/>
      <c r="D29" s="62"/>
      <c r="E29" s="65"/>
      <c r="F29" s="66"/>
      <c r="G29" s="66"/>
      <c r="H29" s="66"/>
      <c r="I29" s="66"/>
      <c r="J29" s="66"/>
      <c r="K29" s="66"/>
      <c r="L29" s="66"/>
      <c r="M29" s="67"/>
      <c r="N29" s="119"/>
      <c r="O29" s="119"/>
      <c r="P29" s="43"/>
      <c r="Q29" s="43"/>
      <c r="R29" s="43"/>
      <c r="S29" s="43"/>
      <c r="T29" s="43"/>
      <c r="U29" s="43"/>
      <c r="V29" s="43"/>
      <c r="W29" s="43"/>
      <c r="X29" s="43"/>
    </row>
    <row r="30" spans="1:24" ht="17.25" customHeight="1" x14ac:dyDescent="0.25">
      <c r="A30" s="69"/>
      <c r="B30" s="49"/>
      <c r="C30" s="50"/>
      <c r="D30" s="62" t="s">
        <v>305</v>
      </c>
      <c r="E30" s="54" t="str">
        <f>C6</f>
        <v>Jacquod Thibaud</v>
      </c>
      <c r="F30" s="52">
        <v>8</v>
      </c>
      <c r="G30" s="52">
        <v>9</v>
      </c>
      <c r="H30" s="52">
        <v>5</v>
      </c>
      <c r="I30" s="52"/>
      <c r="J30" s="52"/>
      <c r="K30" s="52"/>
      <c r="L30" s="52"/>
      <c r="M30" s="53">
        <f>IF(F30&gt;F31,1,0)+IF(G30&gt;G31,1,0)+IF(H30&gt;H31,1,0)+IF(I30&gt;I31,1,0)+IF(J30&gt;J31,1,0)+IF(K30&gt;K31,1,0)+IF(L30&gt;L31,1,0)</f>
        <v>0</v>
      </c>
      <c r="N30" s="44"/>
      <c r="O30" s="44"/>
      <c r="P30" s="43"/>
      <c r="Q30" s="43"/>
      <c r="R30" s="43"/>
      <c r="S30" s="43"/>
      <c r="T30" s="43"/>
      <c r="U30" s="43"/>
      <c r="V30" s="43"/>
      <c r="W30" s="43"/>
      <c r="X30" s="43"/>
    </row>
    <row r="31" spans="1:24" ht="17.25" customHeight="1" x14ac:dyDescent="0.25">
      <c r="A31" s="48"/>
      <c r="B31" s="49"/>
      <c r="C31" s="50"/>
      <c r="D31" s="62" t="s">
        <v>312</v>
      </c>
      <c r="E31" s="54" t="str">
        <f>C15</f>
        <v>Marjay David</v>
      </c>
      <c r="F31" s="52">
        <v>11</v>
      </c>
      <c r="G31" s="52">
        <v>11</v>
      </c>
      <c r="H31" s="52">
        <v>11</v>
      </c>
      <c r="I31" s="52"/>
      <c r="J31" s="52"/>
      <c r="K31" s="52"/>
      <c r="L31" s="52"/>
      <c r="M31" s="53">
        <f>IF(F31&gt;F30,1,0)+IF(G31&gt;G30,1,0)+IF(H31&gt;H30,1,0)+IF(I31&gt;I30,1,0)+IF(J31&gt;J30,1,0)+IF(K31&gt;K30,1,0)+IF(L31&gt;L30,1,0)</f>
        <v>3</v>
      </c>
      <c r="N31" s="44"/>
      <c r="O31" s="44"/>
      <c r="P31" s="43"/>
      <c r="Q31" s="43"/>
      <c r="R31" s="43"/>
      <c r="S31" s="43"/>
      <c r="T31" s="43"/>
      <c r="U31" s="43"/>
      <c r="V31" s="43"/>
      <c r="W31" s="43"/>
      <c r="X31" s="43"/>
    </row>
    <row r="32" spans="1:24" ht="12.75" customHeight="1" x14ac:dyDescent="0.25">
      <c r="A32" s="69"/>
      <c r="B32" s="49"/>
      <c r="C32" s="50"/>
      <c r="D32" s="43"/>
      <c r="E32" s="119"/>
      <c r="F32" s="119"/>
      <c r="G32" s="119"/>
      <c r="H32" s="119"/>
      <c r="I32" s="119"/>
      <c r="J32" s="119"/>
      <c r="K32" s="119"/>
      <c r="L32" s="119"/>
      <c r="M32" s="119"/>
      <c r="N32" s="44"/>
      <c r="O32" s="44"/>
      <c r="P32" s="43"/>
      <c r="Q32" s="43"/>
      <c r="R32" s="43"/>
      <c r="S32" s="43"/>
      <c r="T32" s="43"/>
      <c r="U32" s="43"/>
      <c r="V32" s="43"/>
      <c r="W32" s="43"/>
      <c r="X32" s="43"/>
    </row>
    <row r="33" spans="1:13" ht="17.25" customHeight="1" x14ac:dyDescent="0.25">
      <c r="A33" s="48"/>
      <c r="B33" s="49"/>
      <c r="C33" s="50"/>
      <c r="D33" s="62" t="s">
        <v>309</v>
      </c>
      <c r="E33" s="54" t="str">
        <f>C12</f>
        <v>Knöri Alexander</v>
      </c>
      <c r="F33" s="52">
        <v>3</v>
      </c>
      <c r="G33" s="52">
        <v>2</v>
      </c>
      <c r="H33" s="52">
        <v>1</v>
      </c>
      <c r="I33" s="52"/>
      <c r="J33" s="52"/>
      <c r="K33" s="52"/>
      <c r="L33" s="52"/>
      <c r="M33" s="53">
        <f>IF(F33&gt;F34,1,0)+IF(G33&gt;G34,1,0)+IF(H33&gt;H34,1,0)+IF(I33&gt;I34,1,0)+IF(J33&gt;J34,1,0)+IF(K33&gt;K34,1,0)+IF(L33&gt;L34,1,0)</f>
        <v>0</v>
      </c>
    </row>
    <row r="34" spans="1:13" ht="17.25" customHeight="1" x14ac:dyDescent="0.25">
      <c r="A34" s="69"/>
      <c r="B34" s="49"/>
      <c r="C34" s="50"/>
      <c r="D34" s="62" t="s">
        <v>315</v>
      </c>
      <c r="E34" s="54" t="str">
        <f>C18</f>
        <v>Massy Kenny</v>
      </c>
      <c r="F34" s="52">
        <v>11</v>
      </c>
      <c r="G34" s="52">
        <v>11</v>
      </c>
      <c r="H34" s="52">
        <v>11</v>
      </c>
      <c r="I34" s="52"/>
      <c r="J34" s="52"/>
      <c r="K34" s="52"/>
      <c r="L34" s="52"/>
      <c r="M34" s="53">
        <f>IF(F34&gt;F33,1,0)+IF(G34&gt;G33,1,0)+IF(H34&gt;H33,1,0)+IF(I34&gt;I33,1,0)+IF(J34&gt;J33,1,0)+IF(K34&gt;K33,1,0)+IF(L34&gt;L33,1,0)</f>
        <v>3</v>
      </c>
    </row>
  </sheetData>
  <pageMargins left="0.25" right="0.25" top="0.75" bottom="0.75" header="0.3" footer="0.3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3076" r:id="rId4" name="Masquer">
          <controlPr defaultSize="0" print="0" autoLine="0" autoPict="0" r:id="rId5">
            <anchor moveWithCells="1">
              <from>
                <xdr:col>23</xdr:col>
                <xdr:colOff>228600</xdr:colOff>
                <xdr:row>3</xdr:row>
                <xdr:rowOff>0</xdr:rowOff>
              </from>
              <to>
                <xdr:col>25</xdr:col>
                <xdr:colOff>561975</xdr:colOff>
                <xdr:row>4</xdr:row>
                <xdr:rowOff>190500</xdr:rowOff>
              </to>
            </anchor>
          </controlPr>
        </control>
      </mc:Choice>
      <mc:Fallback>
        <control shapeId="3076" r:id="rId4" name="Masquer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rgb="FFFF0000"/>
  </sheetPr>
  <dimension ref="A1:BZ30"/>
  <sheetViews>
    <sheetView zoomScaleNormal="100" workbookViewId="0">
      <selection activeCell="B4" sqref="B4"/>
    </sheetView>
  </sheetViews>
  <sheetFormatPr baseColWidth="10" defaultColWidth="11.42578125" defaultRowHeight="15" customHeight="1" outlineLevelCol="1" x14ac:dyDescent="0.2"/>
  <cols>
    <col min="1" max="1" width="2.42578125" style="45" bestFit="1" customWidth="1"/>
    <col min="2" max="2" width="28" style="43" customWidth="1"/>
    <col min="3" max="3" width="3.140625" style="43" customWidth="1"/>
    <col min="4" max="4" width="1.42578125" style="43" bestFit="1" customWidth="1"/>
    <col min="5" max="6" width="3.140625" style="43" customWidth="1"/>
    <col min="7" max="7" width="1.42578125" style="43" bestFit="1" customWidth="1"/>
    <col min="8" max="9" width="3.140625" style="43" customWidth="1"/>
    <col min="10" max="10" width="1.42578125" style="43" bestFit="1" customWidth="1"/>
    <col min="11" max="11" width="3.140625" style="43" customWidth="1"/>
    <col min="12" max="12" width="5.7109375" style="43" customWidth="1"/>
    <col min="13" max="13" width="1.42578125" style="43" bestFit="1" customWidth="1"/>
    <col min="14" max="15" width="5.7109375" style="43" customWidth="1"/>
    <col min="16" max="16" width="1.42578125" style="43" bestFit="1" customWidth="1"/>
    <col min="17" max="18" width="5.7109375" style="43" customWidth="1"/>
    <col min="19" max="19" width="1.42578125" style="43" bestFit="1" customWidth="1"/>
    <col min="20" max="20" width="5.7109375" style="43" customWidth="1"/>
    <col min="21" max="22" width="6.42578125" style="43" hidden="1" customWidth="1" outlineLevel="1"/>
    <col min="23" max="23" width="17" style="43" hidden="1" customWidth="1" outlineLevel="1"/>
    <col min="24" max="24" width="4.85546875" style="43" hidden="1" customWidth="1" outlineLevel="1"/>
    <col min="25" max="25" width="4.42578125" style="43" hidden="1" customWidth="1" outlineLevel="1"/>
    <col min="26" max="26" width="3.42578125" style="43" hidden="1" customWidth="1" outlineLevel="1"/>
    <col min="27" max="28" width="6.42578125" style="43" hidden="1" customWidth="1" outlineLevel="1"/>
    <col min="29" max="29" width="17" style="43" hidden="1" customWidth="1" outlineLevel="1"/>
    <col min="30" max="30" width="5.7109375" style="43" customWidth="1" collapsed="1"/>
    <col min="31" max="31" width="3.7109375" style="43" customWidth="1"/>
    <col min="32" max="32" width="11.42578125" style="43"/>
    <col min="33" max="72" width="11.42578125" style="71"/>
    <col min="73" max="16384" width="11.42578125" style="43"/>
  </cols>
  <sheetData>
    <row r="1" spans="1:78" s="47" customFormat="1" ht="15" customHeight="1" x14ac:dyDescent="0.2">
      <c r="A1" s="70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1"/>
    </row>
    <row r="2" spans="1:78" s="47" customFormat="1" ht="15" customHeight="1" x14ac:dyDescent="0.2">
      <c r="B2" s="258" t="s">
        <v>345</v>
      </c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  <c r="BR2" s="71"/>
      <c r="BS2" s="71"/>
      <c r="BT2" s="71"/>
    </row>
    <row r="3" spans="1:78" s="47" customFormat="1" ht="15" customHeight="1" x14ac:dyDescent="0.2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</row>
    <row r="4" spans="1:78" s="47" customFormat="1" ht="15" customHeight="1" x14ac:dyDescent="0.2">
      <c r="B4" s="259">
        <v>43330</v>
      </c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  <c r="T4" s="259"/>
      <c r="U4" s="259"/>
      <c r="V4" s="259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</row>
    <row r="5" spans="1:78" s="47" customFormat="1" ht="15" customHeight="1" x14ac:dyDescent="0.2"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</row>
    <row r="6" spans="1:78" s="47" customFormat="1" ht="15" customHeight="1" x14ac:dyDescent="0.2">
      <c r="R6" s="42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</row>
    <row r="7" spans="1:78" ht="15" customHeight="1" x14ac:dyDescent="0.2">
      <c r="A7" s="72"/>
      <c r="B7" s="72"/>
      <c r="C7" s="72"/>
      <c r="D7" s="72"/>
      <c r="E7" s="72"/>
      <c r="F7" s="72"/>
      <c r="G7" s="72"/>
      <c r="H7" s="72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3"/>
      <c r="BV7" s="73"/>
    </row>
    <row r="8" spans="1:78" ht="15" customHeight="1" x14ac:dyDescent="0.2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3"/>
      <c r="BV8" s="73"/>
      <c r="BW8" s="75"/>
      <c r="BX8" s="75"/>
      <c r="BY8" s="75"/>
      <c r="BZ8" s="75"/>
    </row>
    <row r="9" spans="1:78" s="45" customFormat="1" ht="15" customHeight="1" x14ac:dyDescent="0.2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43"/>
      <c r="AF9" s="43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43"/>
      <c r="BV9" s="43"/>
      <c r="BW9" s="75"/>
      <c r="BX9" s="75"/>
      <c r="BY9" s="75"/>
      <c r="BZ9" s="75"/>
    </row>
    <row r="10" spans="1:78" ht="15" customHeight="1" x14ac:dyDescent="0.25">
      <c r="A10" s="72"/>
      <c r="B10" s="77"/>
      <c r="C10" s="260" t="s">
        <v>420</v>
      </c>
      <c r="D10" s="261"/>
      <c r="E10" s="262"/>
      <c r="F10" s="260" t="s">
        <v>421</v>
      </c>
      <c r="G10" s="261"/>
      <c r="H10" s="262"/>
      <c r="I10" s="260" t="s">
        <v>422</v>
      </c>
      <c r="J10" s="261"/>
      <c r="K10" s="262"/>
      <c r="L10" s="45"/>
      <c r="AD10" s="78"/>
      <c r="AE10" s="45"/>
      <c r="AF10" s="46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2"/>
      <c r="BV10" s="72"/>
      <c r="BW10" s="75"/>
      <c r="BX10" s="75"/>
      <c r="BY10" s="75"/>
      <c r="BZ10" s="75"/>
    </row>
    <row r="11" spans="1:78" ht="24" customHeight="1" x14ac:dyDescent="0.2">
      <c r="A11" s="72"/>
      <c r="B11" s="77"/>
      <c r="C11" s="263"/>
      <c r="D11" s="264"/>
      <c r="E11" s="265"/>
      <c r="F11" s="263"/>
      <c r="G11" s="264"/>
      <c r="H11" s="265"/>
      <c r="I11" s="263"/>
      <c r="J11" s="264"/>
      <c r="K11" s="265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2"/>
      <c r="BV11" s="72"/>
      <c r="BW11" s="75"/>
      <c r="BX11" s="75"/>
      <c r="BY11" s="75"/>
      <c r="BZ11" s="75"/>
    </row>
    <row r="12" spans="1:78" ht="30" x14ac:dyDescent="0.2">
      <c r="A12" s="72"/>
      <c r="B12" s="80" t="s">
        <v>335</v>
      </c>
      <c r="C12" s="263"/>
      <c r="D12" s="264"/>
      <c r="E12" s="265"/>
      <c r="F12" s="263"/>
      <c r="G12" s="264"/>
      <c r="H12" s="265"/>
      <c r="I12" s="263"/>
      <c r="J12" s="264"/>
      <c r="K12" s="265"/>
      <c r="L12" s="269" t="s">
        <v>295</v>
      </c>
      <c r="M12" s="270"/>
      <c r="N12" s="270"/>
      <c r="O12" s="283" t="s">
        <v>413</v>
      </c>
      <c r="P12" s="283"/>
      <c r="Q12" s="283"/>
      <c r="R12" s="283"/>
      <c r="S12" s="283"/>
      <c r="T12" s="283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F12" s="81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2"/>
      <c r="BV12" s="72"/>
      <c r="BW12" s="75"/>
      <c r="BX12" s="75"/>
      <c r="BY12" s="75"/>
      <c r="BZ12" s="75"/>
    </row>
    <row r="13" spans="1:78" ht="24" customHeight="1" x14ac:dyDescent="0.2">
      <c r="A13" s="72"/>
      <c r="C13" s="263"/>
      <c r="D13" s="264"/>
      <c r="E13" s="265"/>
      <c r="F13" s="263"/>
      <c r="G13" s="264"/>
      <c r="H13" s="265"/>
      <c r="I13" s="263"/>
      <c r="J13" s="264"/>
      <c r="K13" s="265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2"/>
      <c r="BV13" s="72"/>
    </row>
    <row r="14" spans="1:78" s="45" customFormat="1" ht="15" customHeight="1" x14ac:dyDescent="0.2">
      <c r="A14" s="72"/>
      <c r="C14" s="266"/>
      <c r="D14" s="267"/>
      <c r="E14" s="268"/>
      <c r="F14" s="266"/>
      <c r="G14" s="267"/>
      <c r="H14" s="268"/>
      <c r="I14" s="266"/>
      <c r="J14" s="267"/>
      <c r="K14" s="268"/>
      <c r="L14" s="271" t="s">
        <v>24</v>
      </c>
      <c r="M14" s="272"/>
      <c r="N14" s="273"/>
      <c r="O14" s="274" t="s">
        <v>35</v>
      </c>
      <c r="P14" s="275"/>
      <c r="Q14" s="276"/>
      <c r="R14" s="277" t="s">
        <v>296</v>
      </c>
      <c r="S14" s="278"/>
      <c r="T14" s="279"/>
      <c r="U14" s="280" t="s">
        <v>307</v>
      </c>
      <c r="V14" s="281"/>
      <c r="W14" s="281"/>
      <c r="X14" s="281"/>
      <c r="Y14" s="281"/>
      <c r="Z14" s="281"/>
      <c r="AA14" s="281"/>
      <c r="AB14" s="281"/>
      <c r="AC14" s="282"/>
      <c r="AD14" s="82" t="s">
        <v>297</v>
      </c>
      <c r="AE14" s="43"/>
      <c r="AF14" s="81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2"/>
      <c r="BV14" s="72"/>
    </row>
    <row r="15" spans="1:78" ht="30.75" customHeight="1" x14ac:dyDescent="0.2">
      <c r="A15" s="83" t="s">
        <v>304</v>
      </c>
      <c r="B15" s="145" t="s">
        <v>423</v>
      </c>
      <c r="C15" s="84"/>
      <c r="D15" s="85"/>
      <c r="E15" s="86"/>
      <c r="F15" s="87">
        <v>1</v>
      </c>
      <c r="G15" s="88" t="s">
        <v>38</v>
      </c>
      <c r="H15" s="89">
        <v>3</v>
      </c>
      <c r="I15" s="87">
        <v>0</v>
      </c>
      <c r="J15" s="88" t="s">
        <v>38</v>
      </c>
      <c r="K15" s="89">
        <v>3</v>
      </c>
      <c r="L15" s="90">
        <v>43</v>
      </c>
      <c r="M15" s="88" t="s">
        <v>38</v>
      </c>
      <c r="N15" s="91">
        <v>71</v>
      </c>
      <c r="O15" s="90">
        <v>1</v>
      </c>
      <c r="P15" s="88" t="s">
        <v>38</v>
      </c>
      <c r="Q15" s="91">
        <v>6</v>
      </c>
      <c r="R15" s="90">
        <v>0</v>
      </c>
      <c r="S15" s="88" t="s">
        <v>38</v>
      </c>
      <c r="T15" s="88">
        <v>2</v>
      </c>
      <c r="U15" s="92">
        <v>3.0303149999999999</v>
      </c>
      <c r="V15" s="93">
        <v>3</v>
      </c>
      <c r="W15" s="93" t="s">
        <v>423</v>
      </c>
      <c r="X15" s="93">
        <v>-28</v>
      </c>
      <c r="Y15" s="93">
        <v>-5</v>
      </c>
      <c r="Z15" s="93">
        <v>-2</v>
      </c>
      <c r="AA15" s="93">
        <v>1.010116</v>
      </c>
      <c r="AB15" s="93">
        <v>1</v>
      </c>
      <c r="AC15" s="94" t="s">
        <v>424</v>
      </c>
      <c r="AD15" s="255">
        <v>3</v>
      </c>
      <c r="BD15" s="95"/>
    </row>
    <row r="16" spans="1:78" ht="30.75" customHeight="1" x14ac:dyDescent="0.25">
      <c r="A16" s="96" t="s">
        <v>305</v>
      </c>
      <c r="B16" s="145" t="s">
        <v>424</v>
      </c>
      <c r="C16" s="97">
        <v>3</v>
      </c>
      <c r="D16" s="275" t="s">
        <v>38</v>
      </c>
      <c r="E16" s="99">
        <v>1</v>
      </c>
      <c r="F16" s="100"/>
      <c r="G16" s="101"/>
      <c r="H16" s="102"/>
      <c r="I16" s="97">
        <v>3</v>
      </c>
      <c r="J16" s="275" t="s">
        <v>38</v>
      </c>
      <c r="K16" s="99">
        <v>0</v>
      </c>
      <c r="L16" s="274">
        <v>71</v>
      </c>
      <c r="M16" s="275" t="s">
        <v>38</v>
      </c>
      <c r="N16" s="276">
        <v>32</v>
      </c>
      <c r="O16" s="274">
        <v>6</v>
      </c>
      <c r="P16" s="275" t="s">
        <v>38</v>
      </c>
      <c r="Q16" s="276">
        <v>1</v>
      </c>
      <c r="R16" s="274">
        <v>2</v>
      </c>
      <c r="S16" s="275" t="s">
        <v>38</v>
      </c>
      <c r="T16" s="275">
        <v>0</v>
      </c>
      <c r="U16" s="92">
        <v>1.010116</v>
      </c>
      <c r="V16" s="93">
        <v>1</v>
      </c>
      <c r="W16" s="93" t="s">
        <v>424</v>
      </c>
      <c r="X16" s="93">
        <v>39</v>
      </c>
      <c r="Y16" s="93">
        <v>5</v>
      </c>
      <c r="Z16" s="93">
        <v>2</v>
      </c>
      <c r="AA16" s="93">
        <v>2.0202170000000002</v>
      </c>
      <c r="AB16" s="93">
        <v>2</v>
      </c>
      <c r="AC16" s="94" t="s">
        <v>425</v>
      </c>
      <c r="AD16" s="255">
        <v>1</v>
      </c>
      <c r="AF16" s="105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</row>
    <row r="17" spans="1:72" s="45" customFormat="1" ht="30.75" customHeight="1" x14ac:dyDescent="0.2">
      <c r="A17" s="96" t="s">
        <v>306</v>
      </c>
      <c r="B17" s="146" t="s">
        <v>425</v>
      </c>
      <c r="C17" s="107">
        <v>3</v>
      </c>
      <c r="D17" s="108" t="s">
        <v>38</v>
      </c>
      <c r="E17" s="109">
        <v>0</v>
      </c>
      <c r="F17" s="107">
        <v>0</v>
      </c>
      <c r="G17" s="108" t="s">
        <v>38</v>
      </c>
      <c r="H17" s="109">
        <v>3</v>
      </c>
      <c r="I17" s="110"/>
      <c r="J17" s="111"/>
      <c r="K17" s="112"/>
      <c r="L17" s="113">
        <v>41</v>
      </c>
      <c r="M17" s="108" t="s">
        <v>38</v>
      </c>
      <c r="N17" s="114">
        <v>52</v>
      </c>
      <c r="O17" s="113">
        <v>3</v>
      </c>
      <c r="P17" s="108" t="s">
        <v>38</v>
      </c>
      <c r="Q17" s="114">
        <v>3</v>
      </c>
      <c r="R17" s="113">
        <v>1</v>
      </c>
      <c r="S17" s="108" t="s">
        <v>38</v>
      </c>
      <c r="T17" s="108">
        <v>1</v>
      </c>
      <c r="U17" s="92">
        <v>2.0202170000000002</v>
      </c>
      <c r="V17" s="93">
        <v>2</v>
      </c>
      <c r="W17" s="93" t="s">
        <v>425</v>
      </c>
      <c r="X17" s="93">
        <v>-11</v>
      </c>
      <c r="Y17" s="93">
        <v>0</v>
      </c>
      <c r="Z17" s="93">
        <v>0</v>
      </c>
      <c r="AA17" s="93">
        <v>3.0303149999999999</v>
      </c>
      <c r="AB17" s="93">
        <v>3</v>
      </c>
      <c r="AC17" s="94" t="s">
        <v>423</v>
      </c>
      <c r="AD17" s="255">
        <v>2</v>
      </c>
      <c r="AE17" s="43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95"/>
      <c r="AX17" s="95"/>
      <c r="AY17" s="95"/>
      <c r="AZ17" s="95"/>
      <c r="BA17" s="95"/>
      <c r="BB17" s="95"/>
      <c r="BC17" s="95"/>
      <c r="BD17" s="71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</row>
    <row r="18" spans="1:72" s="70" customFormat="1" ht="10.5" customHeight="1" x14ac:dyDescent="0.2">
      <c r="A18" s="96"/>
      <c r="B18" s="115"/>
      <c r="C18" s="116"/>
      <c r="D18" s="108"/>
      <c r="E18" s="116"/>
      <c r="F18" s="116"/>
      <c r="G18" s="108"/>
      <c r="H18" s="116"/>
      <c r="I18" s="116"/>
      <c r="J18" s="108"/>
      <c r="K18" s="116"/>
      <c r="L18" s="108"/>
      <c r="M18" s="108"/>
      <c r="N18" s="108"/>
      <c r="O18" s="108"/>
      <c r="P18" s="108"/>
      <c r="Q18" s="108"/>
      <c r="R18" s="108"/>
      <c r="S18" s="108"/>
      <c r="T18" s="108"/>
      <c r="U18" s="117"/>
      <c r="V18" s="117"/>
      <c r="W18" s="117"/>
      <c r="X18" s="117"/>
      <c r="Y18" s="117"/>
      <c r="Z18" s="117"/>
      <c r="AA18" s="117"/>
      <c r="AB18" s="117"/>
      <c r="AC18" s="117"/>
      <c r="AD18" s="118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  <c r="BQ18" s="95"/>
      <c r="BR18" s="95"/>
      <c r="BS18" s="95"/>
      <c r="BT18" s="95"/>
    </row>
    <row r="19" spans="1:72" ht="12" customHeight="1" x14ac:dyDescent="0.2">
      <c r="A19" s="96"/>
      <c r="B19" s="257" t="s">
        <v>308</v>
      </c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7"/>
      <c r="N19" s="257"/>
      <c r="O19" s="257"/>
      <c r="P19" s="257"/>
      <c r="Q19" s="257"/>
      <c r="R19" s="257"/>
      <c r="S19" s="257"/>
      <c r="T19" s="257"/>
      <c r="U19" s="257"/>
      <c r="V19" s="257"/>
      <c r="W19" s="257"/>
      <c r="X19" s="257"/>
      <c r="Y19" s="257"/>
      <c r="Z19" s="257"/>
      <c r="AA19" s="257"/>
      <c r="AB19" s="257"/>
      <c r="AC19" s="257"/>
      <c r="AD19" s="257"/>
      <c r="AE19" s="119"/>
      <c r="AF19" s="7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</row>
    <row r="20" spans="1:72" ht="15" customHeight="1" x14ac:dyDescent="0.2">
      <c r="AE20" s="119"/>
      <c r="AF20" s="119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</row>
    <row r="21" spans="1:72" ht="15" customHeight="1" x14ac:dyDescent="0.2">
      <c r="AE21" s="119"/>
      <c r="AF21" s="119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</row>
    <row r="22" spans="1:72" ht="15" customHeight="1" x14ac:dyDescent="0.2"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R22" s="81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</row>
    <row r="23" spans="1:72" ht="15" customHeight="1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R23" s="81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19"/>
      <c r="AD23" s="119"/>
      <c r="AE23" s="119"/>
      <c r="AF23" s="119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</row>
    <row r="24" spans="1:72" ht="15" customHeight="1" x14ac:dyDescent="0.2"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R24" s="81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</row>
    <row r="25" spans="1:72" ht="15" customHeight="1" x14ac:dyDescent="0.2"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R25" s="81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19"/>
      <c r="AD25" s="119"/>
      <c r="AE25" s="119"/>
      <c r="AF25" s="119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</row>
    <row r="26" spans="1:72" ht="15" customHeight="1" x14ac:dyDescent="0.2"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95"/>
      <c r="AX26" s="95"/>
      <c r="AY26" s="95"/>
    </row>
    <row r="27" spans="1:72" ht="15" customHeight="1" x14ac:dyDescent="0.2"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95"/>
      <c r="BE27" s="95"/>
      <c r="BF27" s="95"/>
      <c r="BG27" s="95"/>
    </row>
    <row r="30" spans="1:72" ht="15" customHeight="1" x14ac:dyDescent="0.2"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</row>
  </sheetData>
  <dataConsolidate/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51201" r:id="rId4" name="Afficher_FM_Poule_3j">
          <controlPr defaultSize="0" print="0" autoLine="0" r:id="rId5">
            <anchor moveWithCells="1">
              <from>
                <xdr:col>31</xdr:col>
                <xdr:colOff>228600</xdr:colOff>
                <xdr:row>12</xdr:row>
                <xdr:rowOff>295275</xdr:rowOff>
              </from>
              <to>
                <xdr:col>33</xdr:col>
                <xdr:colOff>228600</xdr:colOff>
                <xdr:row>14</xdr:row>
                <xdr:rowOff>285750</xdr:rowOff>
              </to>
            </anchor>
          </controlPr>
        </control>
      </mc:Choice>
      <mc:Fallback>
        <control shapeId="51201" r:id="rId4" name="Afficher_FM_Poule_3j"/>
      </mc:Fallback>
    </mc:AlternateContent>
    <mc:AlternateContent xmlns:mc="http://schemas.openxmlformats.org/markup-compatibility/2006">
      <mc:Choice Requires="x14">
        <control shapeId="51202" r:id="rId6" name="CommandButton1">
          <controlPr defaultSize="0" print="0" autoLine="0" r:id="rId7">
            <anchor moveWithCells="1">
              <from>
                <xdr:col>31</xdr:col>
                <xdr:colOff>228600</xdr:colOff>
                <xdr:row>15</xdr:row>
                <xdr:rowOff>152400</xdr:rowOff>
              </from>
              <to>
                <xdr:col>33</xdr:col>
                <xdr:colOff>209550</xdr:colOff>
                <xdr:row>16</xdr:row>
                <xdr:rowOff>247650</xdr:rowOff>
              </to>
            </anchor>
          </controlPr>
        </control>
      </mc:Choice>
      <mc:Fallback>
        <control shapeId="51202" r:id="rId6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FF0000"/>
  </sheetPr>
  <dimension ref="A1:BZ30"/>
  <sheetViews>
    <sheetView zoomScaleNormal="100" workbookViewId="0">
      <selection activeCell="O19" sqref="O19"/>
    </sheetView>
  </sheetViews>
  <sheetFormatPr baseColWidth="10" defaultColWidth="11.42578125" defaultRowHeight="15" customHeight="1" outlineLevelCol="1" x14ac:dyDescent="0.2"/>
  <cols>
    <col min="1" max="1" width="2.42578125" style="45" bestFit="1" customWidth="1"/>
    <col min="2" max="2" width="28" style="43" customWidth="1"/>
    <col min="3" max="3" width="3.140625" style="43" customWidth="1"/>
    <col min="4" max="4" width="1.42578125" style="43" bestFit="1" customWidth="1"/>
    <col min="5" max="6" width="3.140625" style="43" customWidth="1"/>
    <col min="7" max="7" width="1.42578125" style="43" bestFit="1" customWidth="1"/>
    <col min="8" max="9" width="3.140625" style="43" customWidth="1"/>
    <col min="10" max="10" width="1.42578125" style="43" bestFit="1" customWidth="1"/>
    <col min="11" max="11" width="3.140625" style="43" customWidth="1"/>
    <col min="12" max="12" width="5.7109375" style="43" customWidth="1"/>
    <col min="13" max="13" width="1.42578125" style="43" bestFit="1" customWidth="1"/>
    <col min="14" max="15" width="5.7109375" style="43" customWidth="1"/>
    <col min="16" max="16" width="1.42578125" style="43" bestFit="1" customWidth="1"/>
    <col min="17" max="18" width="5.7109375" style="43" customWidth="1"/>
    <col min="19" max="19" width="1.42578125" style="43" bestFit="1" customWidth="1"/>
    <col min="20" max="20" width="5.7109375" style="43" customWidth="1"/>
    <col min="21" max="22" width="6.42578125" style="43" hidden="1" customWidth="1" outlineLevel="1"/>
    <col min="23" max="23" width="17" style="43" hidden="1" customWidth="1" outlineLevel="1"/>
    <col min="24" max="24" width="4.85546875" style="43" hidden="1" customWidth="1" outlineLevel="1"/>
    <col min="25" max="25" width="4.42578125" style="43" hidden="1" customWidth="1" outlineLevel="1"/>
    <col min="26" max="26" width="3.42578125" style="43" hidden="1" customWidth="1" outlineLevel="1"/>
    <col min="27" max="28" width="6.42578125" style="43" hidden="1" customWidth="1" outlineLevel="1"/>
    <col min="29" max="29" width="17" style="43" hidden="1" customWidth="1" outlineLevel="1"/>
    <col min="30" max="30" width="5.7109375" style="43" customWidth="1" collapsed="1"/>
    <col min="31" max="31" width="3.7109375" style="43" customWidth="1"/>
    <col min="32" max="32" width="11.42578125" style="43"/>
    <col min="33" max="72" width="11.42578125" style="71"/>
    <col min="73" max="16384" width="11.42578125" style="43"/>
  </cols>
  <sheetData>
    <row r="1" spans="1:78" s="47" customFormat="1" ht="15" customHeight="1" x14ac:dyDescent="0.2">
      <c r="A1" s="70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1"/>
    </row>
    <row r="2" spans="1:78" s="47" customFormat="1" ht="15" customHeight="1" x14ac:dyDescent="0.2">
      <c r="B2" s="258" t="s">
        <v>345</v>
      </c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  <c r="BR2" s="71"/>
      <c r="BS2" s="71"/>
      <c r="BT2" s="71"/>
    </row>
    <row r="3" spans="1:78" s="47" customFormat="1" ht="15" customHeight="1" x14ac:dyDescent="0.2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</row>
    <row r="4" spans="1:78" s="47" customFormat="1" ht="15" customHeight="1" x14ac:dyDescent="0.2">
      <c r="B4" s="259">
        <v>43330</v>
      </c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  <c r="T4" s="259"/>
      <c r="U4" s="259"/>
      <c r="V4" s="259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</row>
    <row r="5" spans="1:78" s="47" customFormat="1" ht="15" customHeight="1" x14ac:dyDescent="0.2"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</row>
    <row r="6" spans="1:78" s="47" customFormat="1" ht="15" customHeight="1" x14ac:dyDescent="0.2">
      <c r="R6" s="42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</row>
    <row r="7" spans="1:78" ht="15" customHeight="1" x14ac:dyDescent="0.2">
      <c r="A7" s="72"/>
      <c r="B7" s="72"/>
      <c r="C7" s="72"/>
      <c r="D7" s="72"/>
      <c r="E7" s="72"/>
      <c r="F7" s="72"/>
      <c r="G7" s="72"/>
      <c r="H7" s="72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3"/>
      <c r="BV7" s="73"/>
    </row>
    <row r="8" spans="1:78" ht="15" customHeight="1" x14ac:dyDescent="0.2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3"/>
      <c r="BV8" s="73"/>
      <c r="BW8" s="75"/>
      <c r="BX8" s="75"/>
      <c r="BY8" s="75"/>
      <c r="BZ8" s="75"/>
    </row>
    <row r="9" spans="1:78" s="45" customFormat="1" ht="15" customHeight="1" x14ac:dyDescent="0.2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43"/>
      <c r="AF9" s="43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43"/>
      <c r="BV9" s="43"/>
      <c r="BW9" s="75"/>
      <c r="BX9" s="75"/>
      <c r="BY9" s="75"/>
      <c r="BZ9" s="75"/>
    </row>
    <row r="10" spans="1:78" ht="15" customHeight="1" x14ac:dyDescent="0.25">
      <c r="A10" s="72"/>
      <c r="B10" s="77"/>
      <c r="C10" s="260" t="s">
        <v>420</v>
      </c>
      <c r="D10" s="261"/>
      <c r="E10" s="262"/>
      <c r="F10" s="260" t="s">
        <v>421</v>
      </c>
      <c r="G10" s="261"/>
      <c r="H10" s="262"/>
      <c r="I10" s="260" t="s">
        <v>422</v>
      </c>
      <c r="J10" s="261"/>
      <c r="K10" s="262"/>
      <c r="L10" s="45"/>
      <c r="AD10" s="78"/>
      <c r="AE10" s="45"/>
      <c r="AF10" s="46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2"/>
      <c r="BV10" s="72"/>
      <c r="BW10" s="75"/>
      <c r="BX10" s="75"/>
      <c r="BY10" s="75"/>
      <c r="BZ10" s="75"/>
    </row>
    <row r="11" spans="1:78" ht="24" customHeight="1" x14ac:dyDescent="0.2">
      <c r="A11" s="72"/>
      <c r="B11" s="77"/>
      <c r="C11" s="263"/>
      <c r="D11" s="264"/>
      <c r="E11" s="265"/>
      <c r="F11" s="263"/>
      <c r="G11" s="264"/>
      <c r="H11" s="265"/>
      <c r="I11" s="263"/>
      <c r="J11" s="264"/>
      <c r="K11" s="265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2"/>
      <c r="BV11" s="72"/>
      <c r="BW11" s="75"/>
      <c r="BX11" s="75"/>
      <c r="BY11" s="75"/>
      <c r="BZ11" s="75"/>
    </row>
    <row r="12" spans="1:78" ht="30" x14ac:dyDescent="0.2">
      <c r="A12" s="72"/>
      <c r="B12" s="80" t="s">
        <v>335</v>
      </c>
      <c r="C12" s="263"/>
      <c r="D12" s="264"/>
      <c r="E12" s="265"/>
      <c r="F12" s="263"/>
      <c r="G12" s="264"/>
      <c r="H12" s="265"/>
      <c r="I12" s="263"/>
      <c r="J12" s="264"/>
      <c r="K12" s="265"/>
      <c r="L12" s="269" t="s">
        <v>295</v>
      </c>
      <c r="M12" s="270"/>
      <c r="N12" s="270"/>
      <c r="O12" s="283" t="s">
        <v>413</v>
      </c>
      <c r="P12" s="283"/>
      <c r="Q12" s="283"/>
      <c r="R12" s="283"/>
      <c r="S12" s="283"/>
      <c r="T12" s="283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F12" s="81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2"/>
      <c r="BV12" s="72"/>
      <c r="BW12" s="75"/>
      <c r="BX12" s="75"/>
      <c r="BY12" s="75"/>
      <c r="BZ12" s="75"/>
    </row>
    <row r="13" spans="1:78" ht="24" customHeight="1" x14ac:dyDescent="0.2">
      <c r="A13" s="72"/>
      <c r="C13" s="263"/>
      <c r="D13" s="264"/>
      <c r="E13" s="265"/>
      <c r="F13" s="263"/>
      <c r="G13" s="264"/>
      <c r="H13" s="265"/>
      <c r="I13" s="263"/>
      <c r="J13" s="264"/>
      <c r="K13" s="265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2"/>
      <c r="BV13" s="72"/>
    </row>
    <row r="14" spans="1:78" s="45" customFormat="1" ht="15" customHeight="1" x14ac:dyDescent="0.2">
      <c r="A14" s="72"/>
      <c r="C14" s="266"/>
      <c r="D14" s="267"/>
      <c r="E14" s="268"/>
      <c r="F14" s="266"/>
      <c r="G14" s="267"/>
      <c r="H14" s="268"/>
      <c r="I14" s="266"/>
      <c r="J14" s="267"/>
      <c r="K14" s="268"/>
      <c r="L14" s="271" t="s">
        <v>24</v>
      </c>
      <c r="M14" s="272"/>
      <c r="N14" s="273"/>
      <c r="O14" s="274" t="s">
        <v>35</v>
      </c>
      <c r="P14" s="275"/>
      <c r="Q14" s="276"/>
      <c r="R14" s="277" t="s">
        <v>296</v>
      </c>
      <c r="S14" s="278"/>
      <c r="T14" s="279"/>
      <c r="U14" s="280" t="s">
        <v>307</v>
      </c>
      <c r="V14" s="281"/>
      <c r="W14" s="281"/>
      <c r="X14" s="281"/>
      <c r="Y14" s="281"/>
      <c r="Z14" s="281"/>
      <c r="AA14" s="281"/>
      <c r="AB14" s="281"/>
      <c r="AC14" s="282"/>
      <c r="AD14" s="82" t="s">
        <v>297</v>
      </c>
      <c r="AE14" s="43"/>
      <c r="AF14" s="81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2"/>
      <c r="BV14" s="72"/>
    </row>
    <row r="15" spans="1:78" ht="30.75" customHeight="1" x14ac:dyDescent="0.2">
      <c r="A15" s="83" t="s">
        <v>304</v>
      </c>
      <c r="B15" s="145" t="s">
        <v>423</v>
      </c>
      <c r="C15" s="84"/>
      <c r="D15" s="85"/>
      <c r="E15" s="86"/>
      <c r="F15" s="87">
        <v>1</v>
      </c>
      <c r="G15" s="88" t="s">
        <v>38</v>
      </c>
      <c r="H15" s="89">
        <v>3</v>
      </c>
      <c r="I15" s="87">
        <v>0</v>
      </c>
      <c r="J15" s="88" t="s">
        <v>38</v>
      </c>
      <c r="K15" s="89">
        <v>3</v>
      </c>
      <c r="L15" s="90">
        <v>43</v>
      </c>
      <c r="M15" s="88" t="s">
        <v>38</v>
      </c>
      <c r="N15" s="91">
        <v>71</v>
      </c>
      <c r="O15" s="90">
        <v>1</v>
      </c>
      <c r="P15" s="88" t="s">
        <v>38</v>
      </c>
      <c r="Q15" s="91">
        <v>6</v>
      </c>
      <c r="R15" s="90">
        <v>0</v>
      </c>
      <c r="S15" s="88" t="s">
        <v>38</v>
      </c>
      <c r="T15" s="88">
        <v>2</v>
      </c>
      <c r="U15" s="92">
        <v>3.0303149999999999</v>
      </c>
      <c r="V15" s="93">
        <v>3</v>
      </c>
      <c r="W15" s="93" t="s">
        <v>423</v>
      </c>
      <c r="X15" s="93">
        <v>-28</v>
      </c>
      <c r="Y15" s="93">
        <v>-5</v>
      </c>
      <c r="Z15" s="93">
        <v>-2</v>
      </c>
      <c r="AA15" s="93">
        <v>1.010116</v>
      </c>
      <c r="AB15" s="93">
        <v>1</v>
      </c>
      <c r="AC15" s="94" t="s">
        <v>424</v>
      </c>
      <c r="AD15" s="255">
        <v>3</v>
      </c>
      <c r="BD15" s="95"/>
    </row>
    <row r="16" spans="1:78" ht="30.75" customHeight="1" x14ac:dyDescent="0.25">
      <c r="A16" s="96" t="s">
        <v>305</v>
      </c>
      <c r="B16" s="145" t="s">
        <v>424</v>
      </c>
      <c r="C16" s="97">
        <v>3</v>
      </c>
      <c r="D16" s="275" t="s">
        <v>38</v>
      </c>
      <c r="E16" s="99">
        <v>1</v>
      </c>
      <c r="F16" s="100"/>
      <c r="G16" s="101"/>
      <c r="H16" s="102"/>
      <c r="I16" s="97">
        <v>3</v>
      </c>
      <c r="J16" s="275" t="s">
        <v>38</v>
      </c>
      <c r="K16" s="99">
        <v>0</v>
      </c>
      <c r="L16" s="274">
        <v>71</v>
      </c>
      <c r="M16" s="275" t="s">
        <v>38</v>
      </c>
      <c r="N16" s="276">
        <v>32</v>
      </c>
      <c r="O16" s="274">
        <v>6</v>
      </c>
      <c r="P16" s="275" t="s">
        <v>38</v>
      </c>
      <c r="Q16" s="276">
        <v>1</v>
      </c>
      <c r="R16" s="274">
        <v>2</v>
      </c>
      <c r="S16" s="275" t="s">
        <v>38</v>
      </c>
      <c r="T16" s="275">
        <v>0</v>
      </c>
      <c r="U16" s="92">
        <v>1.010116</v>
      </c>
      <c r="V16" s="93">
        <v>1</v>
      </c>
      <c r="W16" s="93" t="s">
        <v>424</v>
      </c>
      <c r="X16" s="93">
        <v>39</v>
      </c>
      <c r="Y16" s="93">
        <v>5</v>
      </c>
      <c r="Z16" s="93">
        <v>2</v>
      </c>
      <c r="AA16" s="93">
        <v>2.0202170000000002</v>
      </c>
      <c r="AB16" s="93">
        <v>2</v>
      </c>
      <c r="AC16" s="94" t="s">
        <v>425</v>
      </c>
      <c r="AD16" s="255">
        <v>1</v>
      </c>
      <c r="AF16" s="105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</row>
    <row r="17" spans="1:72" s="45" customFormat="1" ht="30.75" customHeight="1" x14ac:dyDescent="0.2">
      <c r="A17" s="96" t="s">
        <v>306</v>
      </c>
      <c r="B17" s="146" t="s">
        <v>425</v>
      </c>
      <c r="C17" s="107">
        <v>3</v>
      </c>
      <c r="D17" s="108" t="s">
        <v>38</v>
      </c>
      <c r="E17" s="109">
        <v>0</v>
      </c>
      <c r="F17" s="107">
        <v>0</v>
      </c>
      <c r="G17" s="108" t="s">
        <v>38</v>
      </c>
      <c r="H17" s="109">
        <v>3</v>
      </c>
      <c r="I17" s="110"/>
      <c r="J17" s="111"/>
      <c r="K17" s="112"/>
      <c r="L17" s="113">
        <v>41</v>
      </c>
      <c r="M17" s="108" t="s">
        <v>38</v>
      </c>
      <c r="N17" s="114">
        <v>52</v>
      </c>
      <c r="O17" s="113">
        <v>3</v>
      </c>
      <c r="P17" s="108" t="s">
        <v>38</v>
      </c>
      <c r="Q17" s="114">
        <v>3</v>
      </c>
      <c r="R17" s="113">
        <v>1</v>
      </c>
      <c r="S17" s="108" t="s">
        <v>38</v>
      </c>
      <c r="T17" s="108">
        <v>1</v>
      </c>
      <c r="U17" s="92">
        <v>2.0202170000000002</v>
      </c>
      <c r="V17" s="93">
        <v>2</v>
      </c>
      <c r="W17" s="93" t="s">
        <v>425</v>
      </c>
      <c r="X17" s="93">
        <v>-11</v>
      </c>
      <c r="Y17" s="93">
        <v>0</v>
      </c>
      <c r="Z17" s="93">
        <v>0</v>
      </c>
      <c r="AA17" s="93">
        <v>3.0303149999999999</v>
      </c>
      <c r="AB17" s="93">
        <v>3</v>
      </c>
      <c r="AC17" s="94" t="s">
        <v>423</v>
      </c>
      <c r="AD17" s="255">
        <v>2</v>
      </c>
      <c r="AE17" s="43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95"/>
      <c r="AX17" s="95"/>
      <c r="AY17" s="95"/>
      <c r="AZ17" s="95"/>
      <c r="BA17" s="95"/>
      <c r="BB17" s="95"/>
      <c r="BC17" s="95"/>
      <c r="BD17" s="71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</row>
    <row r="18" spans="1:72" s="70" customFormat="1" ht="10.5" customHeight="1" x14ac:dyDescent="0.2">
      <c r="A18" s="96"/>
      <c r="B18" s="115"/>
      <c r="C18" s="116"/>
      <c r="D18" s="108"/>
      <c r="E18" s="116"/>
      <c r="F18" s="116"/>
      <c r="G18" s="108"/>
      <c r="H18" s="116"/>
      <c r="I18" s="116"/>
      <c r="J18" s="108"/>
      <c r="K18" s="116"/>
      <c r="L18" s="108"/>
      <c r="M18" s="108"/>
      <c r="N18" s="108"/>
      <c r="O18" s="108"/>
      <c r="P18" s="108"/>
      <c r="Q18" s="108"/>
      <c r="R18" s="108"/>
      <c r="S18" s="108"/>
      <c r="T18" s="108"/>
      <c r="U18" s="117"/>
      <c r="V18" s="117"/>
      <c r="W18" s="117"/>
      <c r="X18" s="117"/>
      <c r="Y18" s="117"/>
      <c r="Z18" s="117"/>
      <c r="AA18" s="117"/>
      <c r="AB18" s="117"/>
      <c r="AC18" s="117"/>
      <c r="AD18" s="118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  <c r="BQ18" s="95"/>
      <c r="BR18" s="95"/>
      <c r="BS18" s="95"/>
      <c r="BT18" s="95"/>
    </row>
    <row r="19" spans="1:72" ht="12" customHeight="1" x14ac:dyDescent="0.2">
      <c r="A19" s="96"/>
      <c r="B19" s="257" t="s">
        <v>308</v>
      </c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7"/>
      <c r="N19" s="257"/>
      <c r="O19" s="257"/>
      <c r="P19" s="257"/>
      <c r="Q19" s="257"/>
      <c r="R19" s="257"/>
      <c r="S19" s="257"/>
      <c r="T19" s="257"/>
      <c r="U19" s="257"/>
      <c r="V19" s="257"/>
      <c r="W19" s="257"/>
      <c r="X19" s="257"/>
      <c r="Y19" s="257"/>
      <c r="Z19" s="257"/>
      <c r="AA19" s="257"/>
      <c r="AB19" s="257"/>
      <c r="AC19" s="257"/>
      <c r="AD19" s="257"/>
      <c r="AE19" s="119"/>
      <c r="AF19" s="7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</row>
    <row r="20" spans="1:72" ht="15" customHeight="1" x14ac:dyDescent="0.2">
      <c r="AE20" s="119"/>
      <c r="AF20" s="119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</row>
    <row r="21" spans="1:72" ht="15" customHeight="1" x14ac:dyDescent="0.2">
      <c r="AE21" s="119"/>
      <c r="AF21" s="119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</row>
    <row r="22" spans="1:72" ht="15" customHeight="1" x14ac:dyDescent="0.2"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R22" s="81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</row>
    <row r="23" spans="1:72" ht="15" customHeight="1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R23" s="81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19"/>
      <c r="AD23" s="119"/>
      <c r="AE23" s="119"/>
      <c r="AF23" s="119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</row>
    <row r="24" spans="1:72" ht="15" customHeight="1" x14ac:dyDescent="0.2"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R24" s="81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</row>
    <row r="25" spans="1:72" ht="15" customHeight="1" x14ac:dyDescent="0.2"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R25" s="81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19"/>
      <c r="AD25" s="119"/>
      <c r="AE25" s="119"/>
      <c r="AF25" s="119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</row>
    <row r="26" spans="1:72" ht="15" customHeight="1" x14ac:dyDescent="0.2"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95"/>
      <c r="AX26" s="95"/>
      <c r="AY26" s="95"/>
    </row>
    <row r="27" spans="1:72" ht="15" customHeight="1" x14ac:dyDescent="0.2"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95"/>
      <c r="BE27" s="95"/>
      <c r="BF27" s="95"/>
      <c r="BG27" s="95"/>
    </row>
    <row r="30" spans="1:72" ht="15" customHeight="1" x14ac:dyDescent="0.2"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</row>
  </sheetData>
  <dataConsolidate/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8196" r:id="rId4" name="CommandButton1">
          <controlPr defaultSize="0" print="0" autoLine="0" r:id="rId5">
            <anchor moveWithCells="1">
              <from>
                <xdr:col>31</xdr:col>
                <xdr:colOff>228600</xdr:colOff>
                <xdr:row>15</xdr:row>
                <xdr:rowOff>152400</xdr:rowOff>
              </from>
              <to>
                <xdr:col>33</xdr:col>
                <xdr:colOff>209550</xdr:colOff>
                <xdr:row>16</xdr:row>
                <xdr:rowOff>247650</xdr:rowOff>
              </to>
            </anchor>
          </controlPr>
        </control>
      </mc:Choice>
      <mc:Fallback>
        <control shapeId="8196" r:id="rId4" name="CommandButton1"/>
      </mc:Fallback>
    </mc:AlternateContent>
    <mc:AlternateContent xmlns:mc="http://schemas.openxmlformats.org/markup-compatibility/2006">
      <mc:Choice Requires="x14">
        <control shapeId="8195" r:id="rId6" name="Afficher_FM_Poule_3j">
          <controlPr defaultSize="0" print="0" autoLine="0" r:id="rId7">
            <anchor moveWithCells="1">
              <from>
                <xdr:col>31</xdr:col>
                <xdr:colOff>228600</xdr:colOff>
                <xdr:row>12</xdr:row>
                <xdr:rowOff>295275</xdr:rowOff>
              </from>
              <to>
                <xdr:col>33</xdr:col>
                <xdr:colOff>228600</xdr:colOff>
                <xdr:row>14</xdr:row>
                <xdr:rowOff>285750</xdr:rowOff>
              </to>
            </anchor>
          </controlPr>
        </control>
      </mc:Choice>
      <mc:Fallback>
        <control shapeId="8195" r:id="rId6" name="Afficher_FM_Poule_3j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FFFF00"/>
  </sheetPr>
  <dimension ref="A1:DX30"/>
  <sheetViews>
    <sheetView topLeftCell="A7" zoomScaleNormal="100" workbookViewId="0">
      <selection activeCell="Q16" sqref="Q16"/>
    </sheetView>
  </sheetViews>
  <sheetFormatPr baseColWidth="10" defaultColWidth="11.42578125" defaultRowHeight="15" customHeight="1" outlineLevelCol="1" x14ac:dyDescent="0.2"/>
  <cols>
    <col min="1" max="1" width="2.42578125" style="45" bestFit="1" customWidth="1"/>
    <col min="2" max="2" width="28" style="43" customWidth="1"/>
    <col min="3" max="3" width="3.140625" style="43" customWidth="1"/>
    <col min="4" max="4" width="1.42578125" style="43" bestFit="1" customWidth="1"/>
    <col min="5" max="6" width="3.140625" style="43" customWidth="1"/>
    <col min="7" max="7" width="1.42578125" style="43" bestFit="1" customWidth="1"/>
    <col min="8" max="9" width="3.140625" style="43" customWidth="1"/>
    <col min="10" max="10" width="1.42578125" style="43" bestFit="1" customWidth="1"/>
    <col min="11" max="12" width="3.140625" style="43" customWidth="1"/>
    <col min="13" max="13" width="1.42578125" style="43" bestFit="1" customWidth="1"/>
    <col min="14" max="14" width="3.140625" style="43" customWidth="1"/>
    <col min="15" max="15" width="5.7109375" style="43" customWidth="1"/>
    <col min="16" max="16" width="1.42578125" style="43" bestFit="1" customWidth="1"/>
    <col min="17" max="18" width="5.7109375" style="43" customWidth="1"/>
    <col min="19" max="19" width="1.42578125" style="43" bestFit="1" customWidth="1"/>
    <col min="20" max="21" width="5.7109375" style="43" customWidth="1"/>
    <col min="22" max="22" width="1.42578125" style="43" bestFit="1" customWidth="1"/>
    <col min="23" max="23" width="5.7109375" style="43" customWidth="1"/>
    <col min="24" max="25" width="6.42578125" style="43" hidden="1" customWidth="1" outlineLevel="1"/>
    <col min="26" max="26" width="17" style="43" hidden="1" customWidth="1" outlineLevel="1"/>
    <col min="27" max="27" width="4.85546875" style="43" hidden="1" customWidth="1" outlineLevel="1"/>
    <col min="28" max="28" width="4.42578125" style="43" hidden="1" customWidth="1" outlineLevel="1"/>
    <col min="29" max="29" width="3.42578125" style="43" hidden="1" customWidth="1" outlineLevel="1"/>
    <col min="30" max="31" width="6.42578125" style="43" hidden="1" customWidth="1" outlineLevel="1"/>
    <col min="32" max="32" width="17" style="43" hidden="1" customWidth="1" outlineLevel="1"/>
    <col min="33" max="33" width="5.7109375" style="43" customWidth="1" collapsed="1"/>
    <col min="34" max="34" width="3.7109375" style="43" customWidth="1"/>
    <col min="35" max="35" width="11.42578125" style="43"/>
    <col min="36" max="36" width="16.7109375" style="43" bestFit="1" customWidth="1"/>
    <col min="37" max="44" width="5.85546875" style="43" customWidth="1"/>
    <col min="45" max="45" width="11.42578125" style="43"/>
    <col min="46" max="46" width="16.7109375" style="43" customWidth="1"/>
    <col min="47" max="54" width="5.85546875" style="43" customWidth="1"/>
    <col min="55" max="79" width="11.42578125" style="43"/>
    <col min="80" max="122" width="11.42578125" style="71"/>
    <col min="123" max="16384" width="11.42578125" style="43"/>
  </cols>
  <sheetData>
    <row r="1" spans="1:128" s="47" customFormat="1" ht="15" customHeight="1" x14ac:dyDescent="0.2">
      <c r="A1" s="70"/>
      <c r="CB1" s="71"/>
      <c r="CC1" s="71"/>
      <c r="CD1" s="71"/>
      <c r="CE1" s="71"/>
      <c r="CF1" s="71"/>
      <c r="CG1" s="71"/>
      <c r="CH1" s="71"/>
      <c r="CI1" s="71"/>
      <c r="CJ1" s="71"/>
      <c r="CK1" s="71"/>
      <c r="CL1" s="71"/>
      <c r="CM1" s="71"/>
      <c r="CN1" s="71"/>
      <c r="CO1" s="71"/>
      <c r="CP1" s="71"/>
      <c r="CQ1" s="71"/>
      <c r="CR1" s="71"/>
      <c r="CS1" s="71"/>
      <c r="CT1" s="71"/>
      <c r="CU1" s="71"/>
      <c r="CV1" s="71"/>
      <c r="CW1" s="71"/>
      <c r="CX1" s="71"/>
      <c r="CY1" s="71"/>
      <c r="CZ1" s="71"/>
      <c r="DA1" s="71"/>
      <c r="DB1" s="71"/>
      <c r="DC1" s="71"/>
      <c r="DD1" s="71"/>
      <c r="DE1" s="71"/>
      <c r="DF1" s="71"/>
      <c r="DG1" s="71"/>
      <c r="DH1" s="71"/>
      <c r="DI1" s="71"/>
      <c r="DJ1" s="71"/>
      <c r="DK1" s="71"/>
      <c r="DL1" s="71"/>
      <c r="DM1" s="71"/>
      <c r="DN1" s="71"/>
      <c r="DO1" s="71"/>
      <c r="DP1" s="71"/>
      <c r="DQ1" s="71"/>
      <c r="DR1" s="71"/>
    </row>
    <row r="2" spans="1:128" s="47" customFormat="1" ht="15" customHeight="1" x14ac:dyDescent="0.2">
      <c r="B2" s="317" t="str">
        <f>'Infos générales'!$B$1</f>
        <v>Tournoi non-licencié AVTT</v>
      </c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CB2" s="71"/>
      <c r="CC2" s="71"/>
      <c r="CD2" s="71"/>
      <c r="CE2" s="71"/>
      <c r="CF2" s="71"/>
      <c r="CG2" s="71"/>
      <c r="CH2" s="71"/>
      <c r="CI2" s="71"/>
      <c r="CJ2" s="71"/>
      <c r="CK2" s="71"/>
      <c r="CL2" s="71"/>
      <c r="CM2" s="71"/>
      <c r="CN2" s="71"/>
      <c r="CO2" s="71"/>
      <c r="CP2" s="71"/>
      <c r="CQ2" s="71"/>
      <c r="CR2" s="71"/>
      <c r="CS2" s="71"/>
      <c r="CT2" s="71"/>
      <c r="CU2" s="71"/>
      <c r="CV2" s="71"/>
      <c r="CW2" s="71"/>
      <c r="CX2" s="71"/>
      <c r="CY2" s="71"/>
      <c r="CZ2" s="71"/>
      <c r="DA2" s="71"/>
      <c r="DB2" s="71"/>
      <c r="DC2" s="71"/>
      <c r="DD2" s="71"/>
      <c r="DE2" s="71"/>
      <c r="DF2" s="71"/>
      <c r="DG2" s="71"/>
      <c r="DH2" s="71"/>
      <c r="DI2" s="71"/>
      <c r="DJ2" s="71"/>
      <c r="DK2" s="71"/>
      <c r="DL2" s="71"/>
      <c r="DM2" s="71"/>
      <c r="DN2" s="71"/>
      <c r="DO2" s="71"/>
      <c r="DP2" s="71"/>
      <c r="DQ2" s="71"/>
      <c r="DR2" s="71"/>
    </row>
    <row r="3" spans="1:128" s="47" customFormat="1" ht="15" customHeight="1" x14ac:dyDescent="0.2"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  <c r="Q3" s="317"/>
      <c r="R3" s="317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  <c r="AG3" s="317"/>
      <c r="AH3" s="317"/>
      <c r="AI3" s="317"/>
      <c r="AK3" s="71"/>
      <c r="AN3" s="71"/>
      <c r="AO3" s="71"/>
      <c r="AP3" s="71"/>
      <c r="AQ3" s="71"/>
      <c r="AR3" s="71"/>
      <c r="AT3" s="71"/>
      <c r="CB3" s="71"/>
      <c r="CC3" s="71"/>
      <c r="CD3" s="71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/>
      <c r="DA3" s="71"/>
      <c r="DB3" s="71"/>
      <c r="DC3" s="71"/>
      <c r="DD3" s="71"/>
      <c r="DE3" s="71"/>
      <c r="DF3" s="71"/>
      <c r="DG3" s="71"/>
      <c r="DH3" s="71"/>
      <c r="DI3" s="71"/>
      <c r="DJ3" s="71"/>
      <c r="DK3" s="71"/>
      <c r="DL3" s="71"/>
      <c r="DM3" s="71"/>
      <c r="DN3" s="71"/>
      <c r="DO3" s="71"/>
      <c r="DP3" s="71"/>
      <c r="DQ3" s="71"/>
      <c r="DR3" s="71"/>
    </row>
    <row r="4" spans="1:128" s="47" customFormat="1" ht="15" customHeight="1" x14ac:dyDescent="0.2">
      <c r="B4" s="318">
        <f>'Infos générales'!$B$4</f>
        <v>43330</v>
      </c>
      <c r="C4" s="318"/>
      <c r="D4" s="318"/>
      <c r="E4" s="318"/>
      <c r="F4" s="318"/>
      <c r="G4" s="318"/>
      <c r="H4" s="318"/>
      <c r="I4" s="318"/>
      <c r="J4" s="318"/>
      <c r="K4" s="318"/>
      <c r="L4" s="318"/>
      <c r="M4" s="318"/>
      <c r="N4" s="318"/>
      <c r="O4" s="318"/>
      <c r="P4" s="318"/>
      <c r="Q4" s="318"/>
      <c r="R4" s="318"/>
      <c r="S4" s="318"/>
      <c r="T4" s="318"/>
      <c r="U4" s="318"/>
      <c r="V4" s="318"/>
      <c r="W4" s="318"/>
      <c r="X4" s="318"/>
      <c r="Y4" s="318"/>
      <c r="Z4" s="318"/>
      <c r="AA4" s="318"/>
      <c r="AB4" s="318"/>
      <c r="AC4" s="318"/>
      <c r="AD4" s="318"/>
      <c r="AE4" s="318"/>
      <c r="AF4" s="318"/>
      <c r="AG4" s="318"/>
      <c r="AH4" s="318"/>
      <c r="AI4" s="318"/>
      <c r="AK4" s="71"/>
      <c r="AN4" s="71"/>
      <c r="AO4" s="71"/>
      <c r="AQ4" s="71"/>
      <c r="AR4" s="71"/>
      <c r="AT4" s="71"/>
      <c r="CB4" s="71"/>
      <c r="CC4" s="71"/>
      <c r="CD4" s="71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71"/>
      <c r="CP4" s="71"/>
      <c r="CQ4" s="71"/>
      <c r="CR4" s="71"/>
      <c r="CS4" s="71"/>
      <c r="CT4" s="71"/>
      <c r="CU4" s="71"/>
      <c r="CV4" s="71"/>
      <c r="CW4" s="71"/>
      <c r="CX4" s="71"/>
      <c r="CY4" s="71"/>
      <c r="CZ4" s="71"/>
      <c r="DA4" s="71"/>
      <c r="DB4" s="71"/>
      <c r="DC4" s="71"/>
      <c r="DD4" s="71"/>
      <c r="DE4" s="71"/>
      <c r="DF4" s="71"/>
      <c r="DG4" s="71"/>
      <c r="DH4" s="71"/>
      <c r="DI4" s="71"/>
      <c r="DJ4" s="71"/>
      <c r="DK4" s="71"/>
      <c r="DL4" s="71"/>
      <c r="DM4" s="71"/>
      <c r="DN4" s="71"/>
      <c r="DO4" s="71"/>
      <c r="DP4" s="71"/>
      <c r="DQ4" s="71"/>
      <c r="DR4" s="71"/>
    </row>
    <row r="5" spans="1:128" s="47" customFormat="1" ht="15" customHeight="1" x14ac:dyDescent="0.2"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18"/>
      <c r="T5" s="318"/>
      <c r="U5" s="318"/>
      <c r="V5" s="318"/>
      <c r="W5" s="318"/>
      <c r="X5" s="318"/>
      <c r="Y5" s="318"/>
      <c r="Z5" s="318"/>
      <c r="AA5" s="318"/>
      <c r="AB5" s="318"/>
      <c r="AC5" s="318"/>
      <c r="AD5" s="318"/>
      <c r="AE5" s="318"/>
      <c r="AF5" s="318"/>
      <c r="AG5" s="318"/>
      <c r="AH5" s="318"/>
      <c r="AI5" s="318"/>
      <c r="AK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/>
      <c r="DA5" s="71"/>
      <c r="DB5" s="71"/>
      <c r="DC5" s="71"/>
      <c r="DD5" s="71"/>
      <c r="DE5" s="71"/>
      <c r="DF5" s="71"/>
      <c r="DG5" s="71"/>
      <c r="DH5" s="71"/>
      <c r="DI5" s="71"/>
      <c r="DJ5" s="71"/>
      <c r="DK5" s="71"/>
      <c r="DL5" s="71"/>
      <c r="DM5" s="71"/>
      <c r="DN5" s="71"/>
      <c r="DO5" s="71"/>
      <c r="DP5" s="71"/>
      <c r="DQ5" s="71"/>
      <c r="DR5" s="71"/>
    </row>
    <row r="6" spans="1:128" s="47" customFormat="1" ht="15" customHeight="1" x14ac:dyDescent="0.2">
      <c r="U6" s="42"/>
      <c r="AK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71"/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71"/>
      <c r="DQ6" s="71"/>
      <c r="DR6" s="71"/>
    </row>
    <row r="7" spans="1:128" ht="15" customHeight="1" x14ac:dyDescent="0.2">
      <c r="A7" s="72"/>
      <c r="B7" s="72"/>
      <c r="C7" s="72"/>
      <c r="D7" s="72"/>
      <c r="E7" s="72"/>
      <c r="F7" s="72"/>
      <c r="G7" s="72"/>
      <c r="H7" s="72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  <c r="DI7" s="74"/>
      <c r="DJ7" s="74"/>
      <c r="DK7" s="74"/>
      <c r="DL7" s="74"/>
      <c r="DM7" s="74"/>
      <c r="DN7" s="74"/>
      <c r="DO7" s="74"/>
      <c r="DP7" s="74"/>
      <c r="DQ7" s="74"/>
      <c r="DR7" s="74"/>
      <c r="DS7" s="73"/>
      <c r="DT7" s="73"/>
    </row>
    <row r="8" spans="1:128" ht="15" customHeight="1" x14ac:dyDescent="0.2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4"/>
      <c r="DB8" s="74"/>
      <c r="DC8" s="74"/>
      <c r="DD8" s="74"/>
      <c r="DE8" s="74"/>
      <c r="DF8" s="74"/>
      <c r="DG8" s="74"/>
      <c r="DH8" s="74"/>
      <c r="DI8" s="74"/>
      <c r="DJ8" s="74"/>
      <c r="DK8" s="74"/>
      <c r="DL8" s="74"/>
      <c r="DM8" s="74"/>
      <c r="DN8" s="74"/>
      <c r="DO8" s="74"/>
      <c r="DP8" s="74"/>
      <c r="DQ8" s="74"/>
      <c r="DR8" s="74"/>
      <c r="DS8" s="73"/>
      <c r="DT8" s="73"/>
      <c r="DU8" s="75"/>
      <c r="DV8" s="75"/>
      <c r="DW8" s="75"/>
      <c r="DX8" s="75"/>
    </row>
    <row r="9" spans="1:128" s="45" customFormat="1" ht="15" customHeight="1" x14ac:dyDescent="0.2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43"/>
      <c r="AI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71"/>
      <c r="DB9" s="71"/>
      <c r="DC9" s="71"/>
      <c r="DD9" s="71"/>
      <c r="DE9" s="71"/>
      <c r="DF9" s="71"/>
      <c r="DG9" s="71"/>
      <c r="DH9" s="71"/>
      <c r="DI9" s="71"/>
      <c r="DJ9" s="71"/>
      <c r="DK9" s="71"/>
      <c r="DL9" s="71"/>
      <c r="DM9" s="71"/>
      <c r="DN9" s="71"/>
      <c r="DO9" s="71"/>
      <c r="DP9" s="71"/>
      <c r="DQ9" s="71"/>
      <c r="DR9" s="71"/>
      <c r="DS9" s="43"/>
      <c r="DT9" s="43"/>
      <c r="DU9" s="75"/>
      <c r="DV9" s="75"/>
      <c r="DW9" s="75"/>
      <c r="DX9" s="75"/>
    </row>
    <row r="10" spans="1:128" ht="15" customHeight="1" x14ac:dyDescent="0.25">
      <c r="A10" s="72"/>
      <c r="B10" s="77"/>
      <c r="C10" s="319" t="str">
        <f>" "&amp;B15</f>
        <v xml:space="preserve"> Blazquez Esteban</v>
      </c>
      <c r="D10" s="320"/>
      <c r="E10" s="321"/>
      <c r="F10" s="319" t="str">
        <f>" "&amp;B16</f>
        <v xml:space="preserve"> Clausix Adam</v>
      </c>
      <c r="G10" s="320"/>
      <c r="H10" s="321"/>
      <c r="I10" s="319" t="str">
        <f>" "&amp;B17</f>
        <v xml:space="preserve"> Clerc Manon</v>
      </c>
      <c r="J10" s="320"/>
      <c r="K10" s="321"/>
      <c r="L10" s="319" t="str">
        <f>" "&amp;B18</f>
        <v xml:space="preserve"> Debons Elie</v>
      </c>
      <c r="M10" s="320"/>
      <c r="N10" s="321"/>
      <c r="O10" s="45"/>
      <c r="AG10" s="78"/>
      <c r="AH10" s="45"/>
      <c r="AI10" s="46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79"/>
      <c r="DG10" s="79"/>
      <c r="DH10" s="79"/>
      <c r="DI10" s="79"/>
      <c r="DJ10" s="79"/>
      <c r="DK10" s="79"/>
      <c r="DL10" s="79"/>
      <c r="DM10" s="79"/>
      <c r="DN10" s="79"/>
      <c r="DO10" s="79"/>
      <c r="DP10" s="79"/>
      <c r="DQ10" s="79"/>
      <c r="DR10" s="79"/>
      <c r="DS10" s="72"/>
      <c r="DT10" s="72"/>
      <c r="DU10" s="75"/>
      <c r="DV10" s="75"/>
      <c r="DW10" s="75"/>
      <c r="DX10" s="75"/>
    </row>
    <row r="11" spans="1:128" ht="24" customHeight="1" x14ac:dyDescent="0.2">
      <c r="A11" s="72"/>
      <c r="B11" s="77"/>
      <c r="C11" s="322"/>
      <c r="D11" s="323"/>
      <c r="E11" s="324"/>
      <c r="F11" s="322"/>
      <c r="G11" s="323"/>
      <c r="H11" s="324"/>
      <c r="I11" s="322"/>
      <c r="J11" s="323"/>
      <c r="K11" s="324"/>
      <c r="L11" s="322"/>
      <c r="M11" s="323"/>
      <c r="N11" s="324"/>
      <c r="BQ11" s="72"/>
      <c r="BR11" s="72"/>
      <c r="BS11" s="72"/>
      <c r="BT11" s="72"/>
      <c r="BU11" s="72"/>
      <c r="BV11" s="72"/>
      <c r="BW11" s="72"/>
      <c r="BX11" s="72"/>
      <c r="BY11" s="72"/>
      <c r="BZ11" s="72"/>
      <c r="CA11" s="72"/>
      <c r="CB11" s="79"/>
      <c r="CC11" s="79"/>
      <c r="CD11" s="79"/>
      <c r="CE11" s="79"/>
      <c r="CF11" s="79"/>
      <c r="CG11" s="79"/>
      <c r="CH11" s="79"/>
      <c r="CI11" s="79"/>
      <c r="CJ11" s="79"/>
      <c r="CK11" s="79"/>
      <c r="CL11" s="79"/>
      <c r="CM11" s="79"/>
      <c r="CN11" s="79"/>
      <c r="CO11" s="79"/>
      <c r="CP11" s="79"/>
      <c r="CQ11" s="79"/>
      <c r="CR11" s="79"/>
      <c r="CS11" s="79"/>
      <c r="CT11" s="79"/>
      <c r="CU11" s="79"/>
      <c r="CV11" s="79"/>
      <c r="CW11" s="79"/>
      <c r="CX11" s="79"/>
      <c r="CY11" s="79"/>
      <c r="CZ11" s="79"/>
      <c r="DA11" s="79"/>
      <c r="DB11" s="79"/>
      <c r="DC11" s="79"/>
      <c r="DD11" s="79"/>
      <c r="DE11" s="79"/>
      <c r="DF11" s="79"/>
      <c r="DG11" s="79"/>
      <c r="DH11" s="79"/>
      <c r="DI11" s="79"/>
      <c r="DJ11" s="79"/>
      <c r="DK11" s="79"/>
      <c r="DL11" s="79"/>
      <c r="DM11" s="79"/>
      <c r="DN11" s="79"/>
      <c r="DO11" s="79"/>
      <c r="DP11" s="79"/>
      <c r="DQ11" s="79"/>
      <c r="DR11" s="79"/>
      <c r="DS11" s="72"/>
      <c r="DT11" s="72"/>
      <c r="DU11" s="75"/>
      <c r="DV11" s="75"/>
      <c r="DW11" s="75"/>
      <c r="DX11" s="75"/>
    </row>
    <row r="12" spans="1:128" ht="30" x14ac:dyDescent="0.2">
      <c r="A12" s="72"/>
      <c r="B12" s="80" t="s">
        <v>311</v>
      </c>
      <c r="C12" s="322"/>
      <c r="D12" s="323"/>
      <c r="E12" s="324"/>
      <c r="F12" s="322"/>
      <c r="G12" s="323"/>
      <c r="H12" s="324"/>
      <c r="I12" s="322"/>
      <c r="J12" s="323"/>
      <c r="K12" s="324"/>
      <c r="L12" s="322"/>
      <c r="M12" s="323"/>
      <c r="N12" s="324"/>
      <c r="O12" s="328" t="s">
        <v>295</v>
      </c>
      <c r="P12" s="329"/>
      <c r="Q12" s="329"/>
      <c r="R12" s="339"/>
      <c r="S12" s="339"/>
      <c r="T12" s="339"/>
      <c r="U12" s="339"/>
      <c r="V12" s="339"/>
      <c r="W12" s="339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I12" s="81"/>
      <c r="BQ12" s="72"/>
      <c r="BR12" s="72"/>
      <c r="BS12" s="72"/>
      <c r="BT12" s="72"/>
      <c r="BU12" s="72"/>
      <c r="BV12" s="72"/>
      <c r="BW12" s="72"/>
      <c r="BX12" s="72"/>
      <c r="BY12" s="72"/>
      <c r="BZ12" s="72"/>
      <c r="CA12" s="72"/>
      <c r="CB12" s="79"/>
      <c r="CC12" s="79"/>
      <c r="CD12" s="79"/>
      <c r="CE12" s="79"/>
      <c r="CF12" s="79"/>
      <c r="CG12" s="79"/>
      <c r="CH12" s="79"/>
      <c r="CI12" s="79"/>
      <c r="CJ12" s="79"/>
      <c r="CK12" s="79"/>
      <c r="CL12" s="79"/>
      <c r="CM12" s="79"/>
      <c r="CN12" s="79"/>
      <c r="CO12" s="79"/>
      <c r="CP12" s="79"/>
      <c r="CQ12" s="79"/>
      <c r="CR12" s="79"/>
      <c r="CS12" s="79"/>
      <c r="CT12" s="79"/>
      <c r="CU12" s="79"/>
      <c r="CV12" s="79"/>
      <c r="CW12" s="79"/>
      <c r="CX12" s="79"/>
      <c r="CY12" s="79"/>
      <c r="CZ12" s="79"/>
      <c r="DA12" s="79"/>
      <c r="DB12" s="79"/>
      <c r="DC12" s="79"/>
      <c r="DD12" s="79"/>
      <c r="DE12" s="79"/>
      <c r="DF12" s="79"/>
      <c r="DG12" s="79"/>
      <c r="DH12" s="79"/>
      <c r="DI12" s="79"/>
      <c r="DJ12" s="79"/>
      <c r="DK12" s="79"/>
      <c r="DL12" s="79"/>
      <c r="DM12" s="79"/>
      <c r="DN12" s="79"/>
      <c r="DO12" s="79"/>
      <c r="DP12" s="79"/>
      <c r="DQ12" s="79"/>
      <c r="DR12" s="79"/>
      <c r="DS12" s="72"/>
      <c r="DT12" s="72"/>
      <c r="DU12" s="75"/>
      <c r="DV12" s="75"/>
      <c r="DW12" s="75"/>
      <c r="DX12" s="75"/>
    </row>
    <row r="13" spans="1:128" ht="24" customHeight="1" x14ac:dyDescent="0.2">
      <c r="A13" s="72"/>
      <c r="C13" s="322"/>
      <c r="D13" s="323"/>
      <c r="E13" s="324"/>
      <c r="F13" s="322"/>
      <c r="G13" s="323"/>
      <c r="H13" s="324"/>
      <c r="I13" s="322"/>
      <c r="J13" s="323"/>
      <c r="K13" s="324"/>
      <c r="L13" s="322"/>
      <c r="M13" s="323"/>
      <c r="N13" s="324"/>
      <c r="BQ13" s="72"/>
      <c r="BR13" s="72"/>
      <c r="BS13" s="72"/>
      <c r="BT13" s="72"/>
      <c r="BU13" s="72"/>
      <c r="BV13" s="72"/>
      <c r="BW13" s="72"/>
      <c r="BX13" s="72"/>
      <c r="BY13" s="72"/>
      <c r="BZ13" s="72"/>
      <c r="CA13" s="72"/>
      <c r="CB13" s="79"/>
      <c r="CC13" s="79"/>
      <c r="CD13" s="79"/>
      <c r="CE13" s="79"/>
      <c r="CF13" s="79"/>
      <c r="CG13" s="79"/>
      <c r="CH13" s="79"/>
      <c r="CI13" s="79"/>
      <c r="CJ13" s="79"/>
      <c r="CK13" s="79"/>
      <c r="CL13" s="79"/>
      <c r="CM13" s="79"/>
      <c r="CN13" s="79"/>
      <c r="CO13" s="79"/>
      <c r="CP13" s="79"/>
      <c r="CQ13" s="79"/>
      <c r="CR13" s="79"/>
      <c r="CS13" s="79"/>
      <c r="CT13" s="79"/>
      <c r="CU13" s="79"/>
      <c r="CV13" s="79"/>
      <c r="CW13" s="79"/>
      <c r="CX13" s="79"/>
      <c r="CY13" s="79"/>
      <c r="CZ13" s="79"/>
      <c r="DA13" s="79"/>
      <c r="DB13" s="79"/>
      <c r="DC13" s="79"/>
      <c r="DD13" s="79"/>
      <c r="DE13" s="79"/>
      <c r="DF13" s="79"/>
      <c r="DG13" s="79"/>
      <c r="DH13" s="79"/>
      <c r="DI13" s="79"/>
      <c r="DJ13" s="79"/>
      <c r="DK13" s="79"/>
      <c r="DL13" s="79"/>
      <c r="DM13" s="79"/>
      <c r="DN13" s="79"/>
      <c r="DO13" s="79"/>
      <c r="DP13" s="79"/>
      <c r="DQ13" s="79"/>
      <c r="DR13" s="79"/>
      <c r="DS13" s="72"/>
      <c r="DT13" s="72"/>
    </row>
    <row r="14" spans="1:128" s="45" customFormat="1" ht="15" customHeight="1" x14ac:dyDescent="0.2">
      <c r="A14" s="72"/>
      <c r="C14" s="325"/>
      <c r="D14" s="326"/>
      <c r="E14" s="327"/>
      <c r="F14" s="325"/>
      <c r="G14" s="326"/>
      <c r="H14" s="327"/>
      <c r="I14" s="325"/>
      <c r="J14" s="326"/>
      <c r="K14" s="327"/>
      <c r="L14" s="325"/>
      <c r="M14" s="326"/>
      <c r="N14" s="327"/>
      <c r="O14" s="330" t="s">
        <v>24</v>
      </c>
      <c r="P14" s="331"/>
      <c r="Q14" s="332"/>
      <c r="R14" s="333" t="s">
        <v>35</v>
      </c>
      <c r="S14" s="334"/>
      <c r="T14" s="335"/>
      <c r="U14" s="336" t="s">
        <v>296</v>
      </c>
      <c r="V14" s="337"/>
      <c r="W14" s="338"/>
      <c r="X14" s="313" t="s">
        <v>307</v>
      </c>
      <c r="Y14" s="314"/>
      <c r="Z14" s="314"/>
      <c r="AA14" s="314"/>
      <c r="AB14" s="314"/>
      <c r="AC14" s="314"/>
      <c r="AD14" s="314"/>
      <c r="AE14" s="314"/>
      <c r="AF14" s="315"/>
      <c r="AG14" s="82" t="s">
        <v>297</v>
      </c>
      <c r="AH14" s="43"/>
      <c r="AI14" s="81"/>
      <c r="BQ14" s="72"/>
      <c r="BR14" s="72"/>
      <c r="BS14" s="72"/>
      <c r="BT14" s="72"/>
      <c r="BU14" s="72"/>
      <c r="BV14" s="72"/>
      <c r="BW14" s="72"/>
      <c r="BX14" s="72"/>
      <c r="BY14" s="72"/>
      <c r="BZ14" s="72"/>
      <c r="CA14" s="72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79"/>
      <c r="CO14" s="79"/>
      <c r="CP14" s="79"/>
      <c r="CQ14" s="79"/>
      <c r="CR14" s="79"/>
      <c r="CS14" s="79"/>
      <c r="CT14" s="79"/>
      <c r="CU14" s="79"/>
      <c r="CV14" s="79"/>
      <c r="CW14" s="79"/>
      <c r="CX14" s="79"/>
      <c r="CY14" s="79"/>
      <c r="CZ14" s="79"/>
      <c r="DA14" s="79"/>
      <c r="DB14" s="79"/>
      <c r="DC14" s="79"/>
      <c r="DD14" s="79"/>
      <c r="DE14" s="79"/>
      <c r="DF14" s="79"/>
      <c r="DG14" s="79"/>
      <c r="DH14" s="79"/>
      <c r="DI14" s="79"/>
      <c r="DJ14" s="79"/>
      <c r="DK14" s="79"/>
      <c r="DL14" s="79"/>
      <c r="DM14" s="79"/>
      <c r="DN14" s="79"/>
      <c r="DO14" s="79"/>
      <c r="DP14" s="79"/>
      <c r="DQ14" s="79"/>
      <c r="DR14" s="79"/>
      <c r="DS14" s="72"/>
      <c r="DT14" s="72"/>
    </row>
    <row r="15" spans="1:128" ht="30.75" customHeight="1" x14ac:dyDescent="0.2">
      <c r="A15" s="83" t="s">
        <v>304</v>
      </c>
      <c r="B15" s="145" t="str">
        <f>'FM Poule 4j'!C3</f>
        <v>Blazquez Esteban</v>
      </c>
      <c r="C15" s="84"/>
      <c r="D15" s="85"/>
      <c r="E15" s="86"/>
      <c r="F15" s="87">
        <f>IF('FM Poule 4j'!M5+'FM Poule 4j'!M6&gt;0,'FM Poule 4j'!M5," ")</f>
        <v>2</v>
      </c>
      <c r="G15" s="88" t="s">
        <v>38</v>
      </c>
      <c r="H15" s="89">
        <f>IF('FM Poule 4j'!M5+'FM Poule 4j'!M6&gt;0,'FM Poule 4j'!M6," ")</f>
        <v>3</v>
      </c>
      <c r="I15" s="87">
        <f>IF('FM Poule 4j'!M14+'FM Poule 4j'!M15&gt;0,'FM Poule 4j'!M14," ")</f>
        <v>0</v>
      </c>
      <c r="J15" s="88" t="s">
        <v>38</v>
      </c>
      <c r="K15" s="89">
        <f>IF('FM Poule 4j'!M14+'FM Poule 4j'!M15&gt;0,'FM Poule 4j'!M15," ")</f>
        <v>3</v>
      </c>
      <c r="L15" s="87">
        <f>IF('FM Poule 4j'!M23+'FM Poule 4j'!M24&gt;0,'FM Poule 4j'!M23," ")</f>
        <v>3</v>
      </c>
      <c r="M15" s="88" t="s">
        <v>38</v>
      </c>
      <c r="N15" s="89">
        <f>IF('FM Poule 4j'!M23+'FM Poule 4j'!M24&gt;0,'FM Poule 4j'!M24," ")</f>
        <v>2</v>
      </c>
      <c r="O15" s="90">
        <f>SUM('FM Poule 4j'!F5:L5,'FM Poule 4j'!F14:L14,'FM Poule 4j'!F23:L23)</f>
        <v>113</v>
      </c>
      <c r="P15" s="88" t="s">
        <v>38</v>
      </c>
      <c r="Q15" s="91">
        <f>SUM('FM Poule 4j'!F6:L6,'FM Poule 4j'!F15:L15,'FM Poule 4j'!F24:L24)</f>
        <v>125</v>
      </c>
      <c r="R15" s="90">
        <f>SUM('FM Poule 4j'!M5,'FM Poule 4j'!M14,'FM Poule 4j'!M23)</f>
        <v>5</v>
      </c>
      <c r="S15" s="88" t="s">
        <v>38</v>
      </c>
      <c r="T15" s="91">
        <f>SUM('FM Poule 4j'!M6,'FM Poule 4j'!M15,'FM Poule 4j'!M24)</f>
        <v>8</v>
      </c>
      <c r="U15" s="90">
        <f>IF(F15&gt;H15,1,0)+IF(I15&gt;K15,1,0)+IF(L15&gt;N15,1,0)</f>
        <v>1</v>
      </c>
      <c r="V15" s="88" t="s">
        <v>38</v>
      </c>
      <c r="W15" s="88">
        <f>IF(H15&gt;F15,1,0)+IF(K15&gt;I15,1,0)+IF(N15&gt;L15,1,0)</f>
        <v>2</v>
      </c>
      <c r="X15" s="92">
        <f>IF(B15="","-",RANK(AC15,$AC$15:$AC$18,0)+RANK(AB15,$AB$15:$AB$18,0)%+RANK(AA15,$AA$15:$AA$18,0)%%+ROW()%%%)</f>
        <v>3.0302149999999997</v>
      </c>
      <c r="Y15" s="93">
        <f>IF(X15="","",RANK(X15,$X$15:$X$18,1))</f>
        <v>3</v>
      </c>
      <c r="Z15" s="93" t="str">
        <f>'FM Poule 4j'!$C3</f>
        <v>Blazquez Esteban</v>
      </c>
      <c r="AA15" s="93">
        <f>SUM(O15-Q15)</f>
        <v>-12</v>
      </c>
      <c r="AB15" s="93">
        <f>SUM(R15-T15)</f>
        <v>-3</v>
      </c>
      <c r="AC15" s="93">
        <f>SUM(U15-W15)</f>
        <v>-1</v>
      </c>
      <c r="AD15" s="93">
        <f>SMALL($X$15:$X$18,1)</f>
        <v>1.0101169999999999</v>
      </c>
      <c r="AE15" s="93">
        <f>IF(AD15="","",RANK(AD15,$AD$15:$AD$18,1))</f>
        <v>1</v>
      </c>
      <c r="AF15" s="94" t="str">
        <f>INDEX($Z$15:$Z$18,MATCH(AD15,$X$15:$X$18,0),1)</f>
        <v>Clerc Manon</v>
      </c>
      <c r="AG15" s="255">
        <f>IF(X15="","",RANK(X15,$X$15:$X$18,1))</f>
        <v>3</v>
      </c>
      <c r="DB15" s="95"/>
    </row>
    <row r="16" spans="1:128" ht="30.75" customHeight="1" x14ac:dyDescent="0.25">
      <c r="A16" s="96" t="s">
        <v>305</v>
      </c>
      <c r="B16" s="145" t="str">
        <f>'FM Poule 4j'!C6</f>
        <v>Clausix Adam</v>
      </c>
      <c r="C16" s="97">
        <f>IF('FM Poule 4j'!M5+'FM Poule 4j'!M6&gt;0,'FM Poule 4j'!M6," ")</f>
        <v>3</v>
      </c>
      <c r="D16" s="98" t="s">
        <v>38</v>
      </c>
      <c r="E16" s="99">
        <f>IF('FM Poule 4j'!M5+'FM Poule 4j'!M6&gt;0,'FM Poule 4j'!M5," ")</f>
        <v>2</v>
      </c>
      <c r="F16" s="100"/>
      <c r="G16" s="101"/>
      <c r="H16" s="102"/>
      <c r="I16" s="97">
        <f>IF('FM Poule 4j'!M26+'FM Poule 4j'!M27&gt;0,'FM Poule 4j'!M26," ")</f>
        <v>0</v>
      </c>
      <c r="J16" s="98" t="s">
        <v>38</v>
      </c>
      <c r="K16" s="99">
        <f>IF('FM Poule 4j'!M26+'FM Poule 4j'!M27&gt;0,'FM Poule 4j'!M27," ")</f>
        <v>3</v>
      </c>
      <c r="L16" s="97">
        <f>IF('FM Poule 4j'!M17+'FM Poule 4j'!M18&gt;0,'FM Poule 4j'!M17," ")</f>
        <v>3</v>
      </c>
      <c r="M16" s="98" t="s">
        <v>38</v>
      </c>
      <c r="N16" s="99">
        <f>IF('FM Poule 4j'!M17+'FM Poule 4j'!M18&gt;0,'FM Poule 4j'!M18," ")</f>
        <v>0</v>
      </c>
      <c r="O16" s="103">
        <f>SUM('FM Poule 4j'!F6:L6,'FM Poule 4j'!F17:L17,'FM Poule 4j'!F26:L26)</f>
        <v>99</v>
      </c>
      <c r="P16" s="98" t="s">
        <v>38</v>
      </c>
      <c r="Q16" s="104">
        <f>SUM('FM Poule 4j'!F5:L5,'FM Poule 4j'!F18:L18,'FM Poule 4j'!F27:L27)</f>
        <v>112</v>
      </c>
      <c r="R16" s="103">
        <f>SUM('FM Poule 4j'!M6,'FM Poule 4j'!M17,'FM Poule 4j'!M26)</f>
        <v>6</v>
      </c>
      <c r="S16" s="98" t="s">
        <v>38</v>
      </c>
      <c r="T16" s="104">
        <f>SUM('FM Poule 4j'!M5,'FM Poule 4j'!M18,'FM Poule 4j'!M27)</f>
        <v>5</v>
      </c>
      <c r="U16" s="103">
        <f>IF(C16&gt;E16,1,0)+IF(I16&gt;K16,1,0)+IF(L16&gt;N16,1,0)</f>
        <v>2</v>
      </c>
      <c r="V16" s="98" t="s">
        <v>38</v>
      </c>
      <c r="W16" s="98">
        <f>IF(E16&gt;C16,1,0)+IF(K16&gt;I16,1,0)+IF(N16&gt;L16,1,0)</f>
        <v>1</v>
      </c>
      <c r="X16" s="92">
        <f t="shared" ref="X16:X18" si="0">IF(B16="","-",RANK(AC16,$AC$15:$AC$18,0)+RANK(AB16,$AB$15:$AB$18,0)%+RANK(AA16,$AA$15:$AA$18,0)%%+ROW()%%%)</f>
        <v>2.020416</v>
      </c>
      <c r="Y16" s="93">
        <f t="shared" ref="Y16:Y18" si="1">IF(X16="","",RANK(X16,$X$15:$X$18,1))</f>
        <v>2</v>
      </c>
      <c r="Z16" s="93" t="str">
        <f>'FM Poule 4j'!$C6</f>
        <v>Clausix Adam</v>
      </c>
      <c r="AA16" s="93">
        <f>SUM(O16-Q16)</f>
        <v>-13</v>
      </c>
      <c r="AB16" s="93">
        <f>SUM(R16-T16)</f>
        <v>1</v>
      </c>
      <c r="AC16" s="93">
        <f>SUM(U16-W16)</f>
        <v>1</v>
      </c>
      <c r="AD16" s="93">
        <f>SMALL($X$15:$X$18,2)</f>
        <v>2.020416</v>
      </c>
      <c r="AE16" s="93">
        <f t="shared" ref="AE16:AE18" si="2">IF(AD16="","",RANK(AD16,$AD$15:$AD$18,1))</f>
        <v>2</v>
      </c>
      <c r="AF16" s="94" t="str">
        <f>INDEX($Z$15:$Z$19,MATCH(AD16,$X$15:$X$19,0),1)</f>
        <v>Clausix Adam</v>
      </c>
      <c r="AG16" s="255">
        <f t="shared" ref="AG16:AG18" si="3">IF(X16="","",RANK(X16,$X$15:$X$18,1))</f>
        <v>2</v>
      </c>
      <c r="AI16" s="105"/>
      <c r="CB16" s="106"/>
      <c r="CC16" s="106"/>
      <c r="CD16" s="106"/>
      <c r="CE16" s="106"/>
      <c r="CF16" s="106"/>
      <c r="CG16" s="106"/>
      <c r="CH16" s="106"/>
      <c r="CI16" s="106"/>
      <c r="CJ16" s="106"/>
      <c r="CK16" s="106"/>
      <c r="CL16" s="106"/>
      <c r="CM16" s="106"/>
      <c r="CN16" s="106"/>
      <c r="CO16" s="106"/>
      <c r="CP16" s="106"/>
      <c r="CQ16" s="106"/>
      <c r="CR16" s="106"/>
      <c r="CS16" s="106"/>
      <c r="CT16" s="106"/>
    </row>
    <row r="17" spans="1:122" s="45" customFormat="1" ht="30.75" customHeight="1" x14ac:dyDescent="0.25">
      <c r="A17" s="96" t="s">
        <v>306</v>
      </c>
      <c r="B17" s="145" t="str">
        <f>'FM Poule 4j'!C9</f>
        <v>Clerc Manon</v>
      </c>
      <c r="C17" s="97">
        <f>IF('FM Poule 4j'!M14+'FM Poule 4j'!M15&gt;0,'FM Poule 4j'!M15," ")</f>
        <v>3</v>
      </c>
      <c r="D17" s="98" t="s">
        <v>38</v>
      </c>
      <c r="E17" s="99">
        <f>IF('FM Poule 4j'!M14+'FM Poule 4j'!M15&gt;0,'FM Poule 4j'!M14," ")</f>
        <v>0</v>
      </c>
      <c r="F17" s="97">
        <f>IF('FM Poule 4j'!M26+'FM Poule 4j'!M27&gt;0,'FM Poule 4j'!M27," ")</f>
        <v>3</v>
      </c>
      <c r="G17" s="98" t="s">
        <v>38</v>
      </c>
      <c r="H17" s="99">
        <f>IF('FM Poule 4j'!M26+'FM Poule 4j'!M27&gt;0,'FM Poule 4j'!M26," ")</f>
        <v>0</v>
      </c>
      <c r="I17" s="100"/>
      <c r="J17" s="101"/>
      <c r="K17" s="102"/>
      <c r="L17" s="97">
        <f>IF('FM Poule 4j'!M8+'FM Poule 4j'!M9&gt;0,'FM Poule 4j'!M8," ")</f>
        <v>3</v>
      </c>
      <c r="M17" s="98" t="s">
        <v>38</v>
      </c>
      <c r="N17" s="99">
        <f>IF('FM Poule 4j'!M8+'FM Poule 4j'!M9&gt;0,'FM Poule 4j'!M9," ")</f>
        <v>0</v>
      </c>
      <c r="O17" s="103">
        <f>SUM('FM Poule 4j'!F8:L8,'FM Poule 4j'!F15:L15,'FM Poule 4j'!F27:L27)</f>
        <v>101</v>
      </c>
      <c r="P17" s="98" t="s">
        <v>38</v>
      </c>
      <c r="Q17" s="104">
        <f>SUM('FM Poule 4j'!F9:L9,'FM Poule 4j'!F14:L14,'FM Poule 4j'!F26:L26)</f>
        <v>64</v>
      </c>
      <c r="R17" s="103">
        <f>SUM('FM Poule 4j'!M8,'FM Poule 4j'!M15,'FM Poule 4j'!M27)</f>
        <v>9</v>
      </c>
      <c r="S17" s="98" t="s">
        <v>38</v>
      </c>
      <c r="T17" s="104">
        <f>SUM('FM Poule 4j'!M9,'FM Poule 4j'!M14,'FM Poule 4j'!M26)</f>
        <v>0</v>
      </c>
      <c r="U17" s="103">
        <f>IF(C17&gt;E17,1,0)+IF(F17&gt;H17,1,0)+IF(L17&gt;N17,1,0)</f>
        <v>3</v>
      </c>
      <c r="V17" s="98" t="s">
        <v>38</v>
      </c>
      <c r="W17" s="98">
        <f>IF(E17&gt;C17,1,0)+IF(H17&gt;F17,1,0)+IF(N17&gt;L17,1,0)</f>
        <v>0</v>
      </c>
      <c r="X17" s="92">
        <f t="shared" si="0"/>
        <v>1.0101169999999999</v>
      </c>
      <c r="Y17" s="93">
        <f t="shared" si="1"/>
        <v>1</v>
      </c>
      <c r="Z17" s="93" t="str">
        <f>'FM Poule 4j'!$C9</f>
        <v>Clerc Manon</v>
      </c>
      <c r="AA17" s="93">
        <f>SUM(O17-Q17)</f>
        <v>37</v>
      </c>
      <c r="AB17" s="93">
        <f>SUM(R17-T17)</f>
        <v>9</v>
      </c>
      <c r="AC17" s="93">
        <f>SUM(U17-W17)</f>
        <v>3</v>
      </c>
      <c r="AD17" s="93">
        <f>SMALL($X$15:$X$18,3)</f>
        <v>3.0302149999999997</v>
      </c>
      <c r="AE17" s="93">
        <f t="shared" si="2"/>
        <v>3</v>
      </c>
      <c r="AF17" s="94" t="str">
        <f>INDEX($Z$15:$Z$19,MATCH(AD17,$X$15:$X$19,0),1)</f>
        <v>Blazquez Esteban</v>
      </c>
      <c r="AG17" s="255">
        <f t="shared" si="3"/>
        <v>1</v>
      </c>
      <c r="AH17" s="43"/>
      <c r="CA17" s="46"/>
      <c r="CB17" s="106"/>
      <c r="CC17" s="106"/>
      <c r="CD17" s="106"/>
      <c r="CE17" s="106"/>
      <c r="CF17" s="106"/>
      <c r="CG17" s="106"/>
      <c r="CH17" s="106"/>
      <c r="CI17" s="106"/>
      <c r="CJ17" s="106"/>
      <c r="CK17" s="106"/>
      <c r="CL17" s="106"/>
      <c r="CM17" s="106"/>
      <c r="CN17" s="106"/>
      <c r="CO17" s="106"/>
      <c r="CP17" s="106"/>
      <c r="CQ17" s="106"/>
      <c r="CR17" s="106"/>
      <c r="CS17" s="106"/>
      <c r="CT17" s="106"/>
      <c r="CU17" s="95"/>
      <c r="CV17" s="95"/>
      <c r="CW17" s="95"/>
      <c r="CX17" s="95"/>
      <c r="CY17" s="95"/>
      <c r="CZ17" s="95"/>
      <c r="DA17" s="95"/>
      <c r="DB17" s="71"/>
      <c r="DC17" s="95"/>
      <c r="DD17" s="95"/>
      <c r="DE17" s="95"/>
      <c r="DF17" s="95"/>
      <c r="DG17" s="95"/>
      <c r="DH17" s="95"/>
      <c r="DI17" s="95"/>
      <c r="DJ17" s="95"/>
      <c r="DK17" s="95"/>
      <c r="DL17" s="95"/>
      <c r="DM17" s="95"/>
      <c r="DN17" s="95"/>
      <c r="DO17" s="95"/>
      <c r="DP17" s="95"/>
      <c r="DQ17" s="95"/>
      <c r="DR17" s="95"/>
    </row>
    <row r="18" spans="1:122" ht="30.75" customHeight="1" x14ac:dyDescent="0.2">
      <c r="A18" s="83" t="s">
        <v>309</v>
      </c>
      <c r="B18" s="146" t="str">
        <f>'FM Poule 4j'!C12</f>
        <v>Debons Elie</v>
      </c>
      <c r="C18" s="107">
        <f>IF('FM Poule 4j'!M23+'FM Poule 4j'!M24&gt;0,'FM Poule 4j'!M24," ")</f>
        <v>2</v>
      </c>
      <c r="D18" s="108" t="s">
        <v>38</v>
      </c>
      <c r="E18" s="109">
        <f>IF('FM Poule 4j'!M23+'FM Poule 4j'!M24&gt;0,'FM Poule 4j'!M23," ")</f>
        <v>3</v>
      </c>
      <c r="F18" s="107">
        <f>IF('FM Poule 4j'!M17+'FM Poule 4j'!M18&gt;0,'FM Poule 4j'!M18," ")</f>
        <v>0</v>
      </c>
      <c r="G18" s="108" t="s">
        <v>38</v>
      </c>
      <c r="H18" s="109">
        <f>IF('FM Poule 4j'!M17+'FM Poule 4j'!M18&gt;0,'FM Poule 4j'!M17," ")</f>
        <v>3</v>
      </c>
      <c r="I18" s="107">
        <f>IF('FM Poule 4j'!M8+'FM Poule 4j'!M9&gt;0,'FM Poule 4j'!M9," ")</f>
        <v>0</v>
      </c>
      <c r="J18" s="108" t="s">
        <v>38</v>
      </c>
      <c r="K18" s="109">
        <f>IF('FM Poule 4j'!M8+'FM Poule 4j'!M9&gt;0,'FM Poule 4j'!M8," ")</f>
        <v>3</v>
      </c>
      <c r="L18" s="110"/>
      <c r="M18" s="111"/>
      <c r="N18" s="112"/>
      <c r="O18" s="113">
        <f>SUM('FM Poule 4j'!F9:L9,'FM Poule 4j'!F18:L18,'FM Poule 4j'!F24:L24)</f>
        <v>110</v>
      </c>
      <c r="P18" s="108" t="s">
        <v>38</v>
      </c>
      <c r="Q18" s="114">
        <f>SUM('FM Poule 4j'!F8:L8,'FM Poule 4j'!F17:L17,'FM Poule 4j'!F23:L23)</f>
        <v>122</v>
      </c>
      <c r="R18" s="113">
        <f>SUM('FM Poule 4j'!M9,'FM Poule 4j'!M18,'FM Poule 4j'!M24)</f>
        <v>2</v>
      </c>
      <c r="S18" s="108" t="s">
        <v>38</v>
      </c>
      <c r="T18" s="114">
        <f>SUM('FM Poule 4j'!M8,'FM Poule 4j'!M17,'FM Poule 4j'!M23)</f>
        <v>9</v>
      </c>
      <c r="U18" s="113">
        <f>IF(C18&gt;E18,1,0)+IF(F18&gt;H18,1,0)+IF(I18&gt;K18,1,0)</f>
        <v>0</v>
      </c>
      <c r="V18" s="108" t="s">
        <v>38</v>
      </c>
      <c r="W18" s="108">
        <f>IF(E18&gt;C18,1,0)+IF(H18&gt;F18,1,0)+IF(K18&gt;I18,1,0)</f>
        <v>3</v>
      </c>
      <c r="X18" s="92">
        <f t="shared" si="0"/>
        <v>4.0402180000000003</v>
      </c>
      <c r="Y18" s="93">
        <f t="shared" si="1"/>
        <v>4</v>
      </c>
      <c r="Z18" s="93" t="str">
        <f>'FM Poule 4j'!$C12</f>
        <v>Debons Elie</v>
      </c>
      <c r="AA18" s="93">
        <f>SUM(O18-Q18)</f>
        <v>-12</v>
      </c>
      <c r="AB18" s="93">
        <f>SUM(R18-T18)</f>
        <v>-7</v>
      </c>
      <c r="AC18" s="93">
        <f>SUM(U18-W18)</f>
        <v>-3</v>
      </c>
      <c r="AD18" s="93">
        <f>SMALL($X$15:$X$18,4)</f>
        <v>4.0402180000000003</v>
      </c>
      <c r="AE18" s="93">
        <f t="shared" si="2"/>
        <v>4</v>
      </c>
      <c r="AF18" s="94" t="str">
        <f>INDEX($Z$15:$Z$19,MATCH(AD18,$X$15:$X$19,0),1)</f>
        <v>Debons Elie</v>
      </c>
      <c r="AG18" s="255">
        <f t="shared" si="3"/>
        <v>4</v>
      </c>
      <c r="DB18" s="95"/>
    </row>
    <row r="19" spans="1:122" ht="12" customHeight="1" x14ac:dyDescent="0.2">
      <c r="A19" s="96"/>
      <c r="B19" s="115"/>
      <c r="C19" s="116"/>
      <c r="D19" s="108"/>
      <c r="E19" s="116"/>
      <c r="F19" s="116"/>
      <c r="G19" s="108"/>
      <c r="H19" s="116"/>
      <c r="I19" s="116"/>
      <c r="J19" s="108"/>
      <c r="K19" s="116"/>
      <c r="L19" s="116"/>
      <c r="M19" s="108"/>
      <c r="N19" s="116"/>
      <c r="O19" s="108"/>
      <c r="P19" s="108"/>
      <c r="Q19" s="108"/>
      <c r="R19" s="108"/>
      <c r="S19" s="108"/>
      <c r="T19" s="108"/>
      <c r="U19" s="108"/>
      <c r="V19" s="108"/>
      <c r="W19" s="108"/>
      <c r="X19" s="117"/>
      <c r="Y19" s="117"/>
      <c r="Z19" s="117"/>
      <c r="AA19" s="117"/>
      <c r="AB19" s="117"/>
      <c r="AC19" s="117"/>
      <c r="AD19" s="117"/>
      <c r="AE19" s="117"/>
      <c r="AF19" s="117"/>
      <c r="AG19" s="118"/>
      <c r="AH19" s="119"/>
      <c r="AI19" s="70"/>
      <c r="CB19" s="80"/>
      <c r="CC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</row>
    <row r="20" spans="1:122" ht="15" customHeight="1" x14ac:dyDescent="0.2">
      <c r="B20" s="316" t="s">
        <v>310</v>
      </c>
      <c r="C20" s="316"/>
      <c r="D20" s="316"/>
      <c r="E20" s="316"/>
      <c r="F20" s="316"/>
      <c r="G20" s="316"/>
      <c r="H20" s="316"/>
      <c r="I20" s="316"/>
      <c r="J20" s="316"/>
      <c r="K20" s="316"/>
      <c r="L20" s="316"/>
      <c r="M20" s="316"/>
      <c r="N20" s="316"/>
      <c r="O20" s="316"/>
      <c r="P20" s="316"/>
      <c r="Q20" s="316"/>
      <c r="R20" s="316"/>
      <c r="S20" s="316"/>
      <c r="T20" s="316"/>
      <c r="U20" s="316"/>
      <c r="V20" s="316"/>
      <c r="W20" s="316"/>
      <c r="X20" s="316"/>
      <c r="Y20" s="316"/>
      <c r="Z20" s="316"/>
      <c r="AA20" s="316"/>
      <c r="AB20" s="316"/>
      <c r="AC20" s="316"/>
      <c r="AD20" s="316"/>
      <c r="AE20" s="316"/>
      <c r="AF20" s="316"/>
      <c r="AG20" s="316"/>
      <c r="AH20" s="119"/>
      <c r="AI20" s="119"/>
      <c r="CB20" s="80"/>
      <c r="CC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</row>
    <row r="21" spans="1:122" ht="15" customHeight="1" x14ac:dyDescent="0.2">
      <c r="AH21" s="119"/>
      <c r="AI21" s="119"/>
      <c r="CB21" s="80"/>
      <c r="CC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</row>
    <row r="22" spans="1:122" ht="15" customHeight="1" x14ac:dyDescent="0.2"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U22" s="81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CB22" s="80"/>
      <c r="CC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</row>
    <row r="23" spans="1:122" ht="15" customHeight="1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U23" s="81"/>
      <c r="V23" s="119"/>
      <c r="W23" s="119"/>
      <c r="X23" s="119"/>
      <c r="Y23" s="119"/>
      <c r="Z23" s="119"/>
      <c r="AA23" s="119"/>
      <c r="AB23" s="119"/>
      <c r="AC23" s="119"/>
      <c r="AD23" s="119"/>
      <c r="AE23" s="119"/>
      <c r="AF23" s="119"/>
      <c r="AG23" s="119"/>
      <c r="AH23" s="119"/>
      <c r="AI23" s="119"/>
      <c r="CB23" s="80"/>
      <c r="CC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</row>
    <row r="24" spans="1:122" ht="15" customHeight="1" x14ac:dyDescent="0.2"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U24" s="81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CB24" s="80"/>
      <c r="CC24" s="80"/>
      <c r="CF24" s="80"/>
      <c r="CG24" s="80"/>
      <c r="CH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</row>
    <row r="25" spans="1:122" ht="15" customHeight="1" x14ac:dyDescent="0.2"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U25" s="81"/>
      <c r="V25" s="119"/>
      <c r="W25" s="119"/>
      <c r="X25" s="119"/>
      <c r="Y25" s="119"/>
      <c r="Z25" s="119"/>
      <c r="AA25" s="119"/>
      <c r="AB25" s="119"/>
      <c r="AC25" s="119"/>
      <c r="AD25" s="119"/>
      <c r="AE25" s="119"/>
      <c r="AF25" s="119"/>
      <c r="AG25" s="119"/>
      <c r="AH25" s="119"/>
      <c r="AI25" s="119"/>
      <c r="CB25" s="80"/>
      <c r="CC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</row>
    <row r="26" spans="1:122" ht="15" customHeight="1" x14ac:dyDescent="0.2">
      <c r="AM26" s="47"/>
      <c r="CB26" s="80"/>
      <c r="CC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95"/>
      <c r="CV26" s="95"/>
      <c r="CW26" s="95"/>
    </row>
    <row r="27" spans="1:122" ht="15" customHeight="1" x14ac:dyDescent="0.2">
      <c r="CL27" s="95"/>
      <c r="CM27" s="95"/>
      <c r="CN27" s="95"/>
      <c r="CO27" s="95"/>
      <c r="CP27" s="95"/>
      <c r="CQ27" s="95"/>
      <c r="CR27" s="95"/>
      <c r="CS27" s="95"/>
      <c r="CT27" s="95"/>
      <c r="CU27" s="95"/>
      <c r="CV27" s="95"/>
      <c r="CW27" s="95"/>
      <c r="CX27" s="95"/>
      <c r="CY27" s="95"/>
      <c r="CZ27" s="95"/>
      <c r="DA27" s="95"/>
      <c r="DB27" s="95"/>
      <c r="DC27" s="95"/>
      <c r="DD27" s="95"/>
      <c r="DE27" s="95"/>
    </row>
    <row r="30" spans="1:122" ht="15" customHeight="1" x14ac:dyDescent="0.2">
      <c r="CL30" s="95"/>
      <c r="CM30" s="95"/>
      <c r="CN30" s="95"/>
      <c r="CO30" s="95"/>
      <c r="CP30" s="95"/>
      <c r="CQ30" s="95"/>
      <c r="CR30" s="95"/>
      <c r="CS30" s="95"/>
      <c r="CT30" s="95"/>
      <c r="CU30" s="95"/>
      <c r="CV30" s="95"/>
      <c r="CW30" s="95"/>
      <c r="CX30" s="95"/>
      <c r="CY30" s="95"/>
      <c r="CZ30" s="95"/>
      <c r="DA30" s="95"/>
      <c r="DB30" s="95"/>
      <c r="DC30" s="95"/>
      <c r="DD30" s="95"/>
      <c r="DE30" s="95"/>
    </row>
  </sheetData>
  <dataConsolidate/>
  <mergeCells count="13">
    <mergeCell ref="X14:AF14"/>
    <mergeCell ref="B20:AG20"/>
    <mergeCell ref="B2:AI3"/>
    <mergeCell ref="B4:AI5"/>
    <mergeCell ref="C10:E14"/>
    <mergeCell ref="F10:H14"/>
    <mergeCell ref="I10:K14"/>
    <mergeCell ref="L10:N14"/>
    <mergeCell ref="O12:Q12"/>
    <mergeCell ref="O14:Q14"/>
    <mergeCell ref="R14:T14"/>
    <mergeCell ref="U14:W14"/>
    <mergeCell ref="R12:W12"/>
  </mergeCells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9218" r:id="rId4" name="CommandButton1">
          <controlPr defaultSize="0" print="0" autoLine="0" autoPict="0" r:id="rId5">
            <anchor moveWithCells="1">
              <from>
                <xdr:col>35</xdr:col>
                <xdr:colOff>9525</xdr:colOff>
                <xdr:row>15</xdr:row>
                <xdr:rowOff>209550</xdr:rowOff>
              </from>
              <to>
                <xdr:col>37</xdr:col>
                <xdr:colOff>323850</xdr:colOff>
                <xdr:row>16</xdr:row>
                <xdr:rowOff>285750</xdr:rowOff>
              </to>
            </anchor>
          </controlPr>
        </control>
      </mc:Choice>
      <mc:Fallback>
        <control shapeId="9218" r:id="rId4" name="CommandButton1"/>
      </mc:Fallback>
    </mc:AlternateContent>
    <mc:AlternateContent xmlns:mc="http://schemas.openxmlformats.org/markup-compatibility/2006">
      <mc:Choice Requires="x14">
        <control shapeId="9217" r:id="rId6" name="Afficher_FM_Poule_4j">
          <controlPr defaultSize="0" print="0" autoLine="0" r:id="rId7">
            <anchor moveWithCells="1">
              <from>
                <xdr:col>35</xdr:col>
                <xdr:colOff>9525</xdr:colOff>
                <xdr:row>12</xdr:row>
                <xdr:rowOff>295275</xdr:rowOff>
              </from>
              <to>
                <xdr:col>37</xdr:col>
                <xdr:colOff>323850</xdr:colOff>
                <xdr:row>14</xdr:row>
                <xdr:rowOff>352425</xdr:rowOff>
              </to>
            </anchor>
          </controlPr>
        </control>
      </mc:Choice>
      <mc:Fallback>
        <control shapeId="9217" r:id="rId6" name="Afficher_FM_Poule_4j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00B0F0"/>
  </sheetPr>
  <dimension ref="A1:EA30"/>
  <sheetViews>
    <sheetView zoomScaleNormal="100" workbookViewId="0">
      <selection activeCell="B12" sqref="B12"/>
    </sheetView>
  </sheetViews>
  <sheetFormatPr baseColWidth="10" defaultColWidth="11.42578125" defaultRowHeight="15" customHeight="1" outlineLevelCol="1" x14ac:dyDescent="0.2"/>
  <cols>
    <col min="1" max="1" width="2.42578125" style="45" bestFit="1" customWidth="1"/>
    <col min="2" max="2" width="28" style="43" customWidth="1"/>
    <col min="3" max="3" width="3.140625" style="43" customWidth="1"/>
    <col min="4" max="4" width="1.42578125" style="43" bestFit="1" customWidth="1"/>
    <col min="5" max="6" width="3.140625" style="43" customWidth="1"/>
    <col min="7" max="7" width="1.42578125" style="43" bestFit="1" customWidth="1"/>
    <col min="8" max="9" width="3.140625" style="43" customWidth="1"/>
    <col min="10" max="10" width="1.42578125" style="43" bestFit="1" customWidth="1"/>
    <col min="11" max="12" width="3.140625" style="43" customWidth="1"/>
    <col min="13" max="13" width="1.42578125" style="43" bestFit="1" customWidth="1"/>
    <col min="14" max="15" width="3.140625" style="43" customWidth="1"/>
    <col min="16" max="16" width="1.42578125" style="43" bestFit="1" customWidth="1"/>
    <col min="17" max="17" width="3.140625" style="43" customWidth="1"/>
    <col min="18" max="18" width="5.7109375" style="43" customWidth="1"/>
    <col min="19" max="19" width="1.42578125" style="43" bestFit="1" customWidth="1"/>
    <col min="20" max="21" width="5.7109375" style="43" customWidth="1"/>
    <col min="22" max="22" width="1.42578125" style="43" bestFit="1" customWidth="1"/>
    <col min="23" max="24" width="5.7109375" style="43" customWidth="1"/>
    <col min="25" max="25" width="1.42578125" style="43" bestFit="1" customWidth="1"/>
    <col min="26" max="26" width="5.7109375" style="43" customWidth="1"/>
    <col min="27" max="28" width="6.42578125" style="43" hidden="1" customWidth="1" outlineLevel="1"/>
    <col min="29" max="29" width="17" style="43" hidden="1" customWidth="1" outlineLevel="1"/>
    <col min="30" max="30" width="4.85546875" style="43" hidden="1" customWidth="1" outlineLevel="1"/>
    <col min="31" max="31" width="4.42578125" style="43" hidden="1" customWidth="1" outlineLevel="1"/>
    <col min="32" max="32" width="3.42578125" style="43" hidden="1" customWidth="1" outlineLevel="1"/>
    <col min="33" max="34" width="6.42578125" style="43" hidden="1" customWidth="1" outlineLevel="1"/>
    <col min="35" max="35" width="17" style="43" hidden="1" customWidth="1" outlineLevel="1"/>
    <col min="36" max="36" width="5.7109375" style="43" customWidth="1" collapsed="1"/>
    <col min="37" max="37" width="3.7109375" style="43" customWidth="1"/>
    <col min="38" max="38" width="11.42578125" style="43"/>
    <col min="39" max="39" width="16.7109375" style="43" bestFit="1" customWidth="1"/>
    <col min="40" max="47" width="5.85546875" style="43" customWidth="1"/>
    <col min="48" max="48" width="11.42578125" style="43"/>
    <col min="49" max="49" width="16.7109375" style="43" customWidth="1"/>
    <col min="50" max="57" width="5.85546875" style="43" customWidth="1"/>
    <col min="58" max="82" width="11.42578125" style="43"/>
    <col min="83" max="125" width="11.42578125" style="71"/>
    <col min="126" max="16384" width="11.42578125" style="43"/>
  </cols>
  <sheetData>
    <row r="1" spans="1:131" s="47" customFormat="1" ht="15" customHeight="1" x14ac:dyDescent="0.2">
      <c r="A1" s="70"/>
      <c r="CE1" s="71"/>
      <c r="CF1" s="71"/>
      <c r="CG1" s="71"/>
      <c r="CH1" s="71"/>
      <c r="CI1" s="71"/>
      <c r="CJ1" s="71"/>
      <c r="CK1" s="71"/>
      <c r="CL1" s="71"/>
      <c r="CM1" s="71"/>
      <c r="CN1" s="71"/>
      <c r="CO1" s="71"/>
      <c r="CP1" s="71"/>
      <c r="CQ1" s="71"/>
      <c r="CR1" s="71"/>
      <c r="CS1" s="71"/>
      <c r="CT1" s="71"/>
      <c r="CU1" s="71"/>
      <c r="CV1" s="71"/>
      <c r="CW1" s="71"/>
      <c r="CX1" s="71"/>
      <c r="CY1" s="71"/>
      <c r="CZ1" s="71"/>
      <c r="DA1" s="71"/>
      <c r="DB1" s="71"/>
      <c r="DC1" s="71"/>
      <c r="DD1" s="71"/>
      <c r="DE1" s="71"/>
      <c r="DF1" s="71"/>
      <c r="DG1" s="71"/>
      <c r="DH1" s="71"/>
      <c r="DI1" s="71"/>
      <c r="DJ1" s="71"/>
      <c r="DK1" s="71"/>
      <c r="DL1" s="71"/>
      <c r="DM1" s="71"/>
      <c r="DN1" s="71"/>
      <c r="DO1" s="71"/>
      <c r="DP1" s="71"/>
      <c r="DQ1" s="71"/>
      <c r="DR1" s="71"/>
      <c r="DS1" s="71"/>
      <c r="DT1" s="71"/>
      <c r="DU1" s="71"/>
    </row>
    <row r="2" spans="1:131" s="47" customFormat="1" ht="15" customHeight="1" x14ac:dyDescent="0.2">
      <c r="B2" s="317" t="str">
        <f>'Infos générales'!$B$1</f>
        <v>Tournoi non-licencié AVTT</v>
      </c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  <c r="AK2" s="317"/>
      <c r="AL2" s="317"/>
      <c r="CE2" s="71"/>
      <c r="CF2" s="71"/>
      <c r="CG2" s="71"/>
      <c r="CH2" s="71"/>
      <c r="CI2" s="71"/>
      <c r="CJ2" s="71"/>
      <c r="CK2" s="71"/>
      <c r="CL2" s="71"/>
      <c r="CM2" s="71"/>
      <c r="CN2" s="71"/>
      <c r="CO2" s="71"/>
      <c r="CP2" s="71"/>
      <c r="CQ2" s="71"/>
      <c r="CR2" s="71"/>
      <c r="CS2" s="71"/>
      <c r="CT2" s="71"/>
      <c r="CU2" s="71"/>
      <c r="CV2" s="71"/>
      <c r="CW2" s="71"/>
      <c r="CX2" s="71"/>
      <c r="CY2" s="71"/>
      <c r="CZ2" s="71"/>
      <c r="DA2" s="71"/>
      <c r="DB2" s="71"/>
      <c r="DC2" s="71"/>
      <c r="DD2" s="71"/>
      <c r="DE2" s="71"/>
      <c r="DF2" s="71"/>
      <c r="DG2" s="71"/>
      <c r="DH2" s="71"/>
      <c r="DI2" s="71"/>
      <c r="DJ2" s="71"/>
      <c r="DK2" s="71"/>
      <c r="DL2" s="71"/>
      <c r="DM2" s="71"/>
      <c r="DN2" s="71"/>
      <c r="DO2" s="71"/>
      <c r="DP2" s="71"/>
      <c r="DQ2" s="71"/>
      <c r="DR2" s="71"/>
      <c r="DS2" s="71"/>
      <c r="DT2" s="71"/>
      <c r="DU2" s="71"/>
    </row>
    <row r="3" spans="1:131" s="47" customFormat="1" ht="15" customHeight="1" x14ac:dyDescent="0.2"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  <c r="Q3" s="317"/>
      <c r="R3" s="317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  <c r="AG3" s="317"/>
      <c r="AH3" s="317"/>
      <c r="AI3" s="317"/>
      <c r="AJ3" s="317"/>
      <c r="AK3" s="317"/>
      <c r="AL3" s="317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/>
      <c r="DA3" s="71"/>
      <c r="DB3" s="71"/>
      <c r="DC3" s="71"/>
      <c r="DD3" s="71"/>
      <c r="DE3" s="71"/>
      <c r="DF3" s="71"/>
      <c r="DG3" s="71"/>
      <c r="DH3" s="71"/>
      <c r="DI3" s="71"/>
      <c r="DJ3" s="71"/>
      <c r="DK3" s="71"/>
      <c r="DL3" s="71"/>
      <c r="DM3" s="71"/>
      <c r="DN3" s="71"/>
      <c r="DO3" s="71"/>
      <c r="DP3" s="71"/>
      <c r="DQ3" s="71"/>
      <c r="DR3" s="71"/>
      <c r="DS3" s="71"/>
      <c r="DT3" s="71"/>
      <c r="DU3" s="71"/>
    </row>
    <row r="4" spans="1:131" s="47" customFormat="1" ht="15" customHeight="1" x14ac:dyDescent="0.2">
      <c r="B4" s="318">
        <f>'Infos générales'!$B$4</f>
        <v>43330</v>
      </c>
      <c r="C4" s="318"/>
      <c r="D4" s="318"/>
      <c r="E4" s="318"/>
      <c r="F4" s="318"/>
      <c r="G4" s="318"/>
      <c r="H4" s="318"/>
      <c r="I4" s="318"/>
      <c r="J4" s="318"/>
      <c r="K4" s="318"/>
      <c r="L4" s="318"/>
      <c r="M4" s="318"/>
      <c r="N4" s="318"/>
      <c r="O4" s="318"/>
      <c r="P4" s="318"/>
      <c r="Q4" s="318"/>
      <c r="R4" s="318"/>
      <c r="S4" s="318"/>
      <c r="T4" s="318"/>
      <c r="U4" s="318"/>
      <c r="V4" s="318"/>
      <c r="W4" s="318"/>
      <c r="X4" s="318"/>
      <c r="Y4" s="318"/>
      <c r="Z4" s="318"/>
      <c r="AA4" s="318"/>
      <c r="AB4" s="318"/>
      <c r="AC4" s="318"/>
      <c r="AD4" s="318"/>
      <c r="AE4" s="318"/>
      <c r="AF4" s="318"/>
      <c r="AG4" s="318"/>
      <c r="AH4" s="318"/>
      <c r="AI4" s="318"/>
      <c r="AJ4" s="318"/>
      <c r="AK4" s="318"/>
      <c r="AL4" s="318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71"/>
      <c r="CP4" s="71"/>
      <c r="CQ4" s="71"/>
      <c r="CR4" s="71"/>
      <c r="CS4" s="71"/>
      <c r="CT4" s="71"/>
      <c r="CU4" s="71"/>
      <c r="CV4" s="71"/>
      <c r="CW4" s="71"/>
      <c r="CX4" s="71"/>
      <c r="CY4" s="71"/>
      <c r="CZ4" s="71"/>
      <c r="DA4" s="71"/>
      <c r="DB4" s="71"/>
      <c r="DC4" s="71"/>
      <c r="DD4" s="71"/>
      <c r="DE4" s="71"/>
      <c r="DF4" s="71"/>
      <c r="DG4" s="71"/>
      <c r="DH4" s="71"/>
      <c r="DI4" s="71"/>
      <c r="DJ4" s="71"/>
      <c r="DK4" s="71"/>
      <c r="DL4" s="71"/>
      <c r="DM4" s="71"/>
      <c r="DN4" s="71"/>
      <c r="DO4" s="71"/>
      <c r="DP4" s="71"/>
      <c r="DQ4" s="71"/>
      <c r="DR4" s="71"/>
      <c r="DS4" s="71"/>
      <c r="DT4" s="71"/>
      <c r="DU4" s="71"/>
    </row>
    <row r="5" spans="1:131" s="47" customFormat="1" ht="15" customHeight="1" x14ac:dyDescent="0.2"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18"/>
      <c r="T5" s="318"/>
      <c r="U5" s="318"/>
      <c r="V5" s="318"/>
      <c r="W5" s="318"/>
      <c r="X5" s="318"/>
      <c r="Y5" s="318"/>
      <c r="Z5" s="318"/>
      <c r="AA5" s="318"/>
      <c r="AB5" s="318"/>
      <c r="AC5" s="318"/>
      <c r="AD5" s="318"/>
      <c r="AE5" s="318"/>
      <c r="AF5" s="318"/>
      <c r="AG5" s="318"/>
      <c r="AH5" s="318"/>
      <c r="AI5" s="318"/>
      <c r="AJ5" s="318"/>
      <c r="AK5" s="318"/>
      <c r="AL5" s="318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/>
      <c r="DA5" s="71"/>
      <c r="DB5" s="71"/>
      <c r="DC5" s="71"/>
      <c r="DD5" s="71"/>
      <c r="DE5" s="71"/>
      <c r="DF5" s="71"/>
      <c r="DG5" s="71"/>
      <c r="DH5" s="71"/>
      <c r="DI5" s="71"/>
      <c r="DJ5" s="71"/>
      <c r="DK5" s="71"/>
      <c r="DL5" s="71"/>
      <c r="DM5" s="71"/>
      <c r="DN5" s="71"/>
      <c r="DO5" s="71"/>
      <c r="DP5" s="71"/>
      <c r="DQ5" s="71"/>
      <c r="DR5" s="71"/>
      <c r="DS5" s="71"/>
      <c r="DT5" s="71"/>
      <c r="DU5" s="71"/>
    </row>
    <row r="6" spans="1:131" s="47" customFormat="1" ht="15" customHeight="1" x14ac:dyDescent="0.2">
      <c r="X6" s="42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71"/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71"/>
      <c r="DQ6" s="71"/>
      <c r="DR6" s="71"/>
      <c r="DS6" s="71"/>
      <c r="DT6" s="71"/>
      <c r="DU6" s="71"/>
    </row>
    <row r="7" spans="1:131" ht="15" customHeight="1" x14ac:dyDescent="0.2">
      <c r="A7" s="72"/>
      <c r="B7" s="72"/>
      <c r="C7" s="72"/>
      <c r="D7" s="72"/>
      <c r="E7" s="72"/>
      <c r="F7" s="72"/>
      <c r="G7" s="72"/>
      <c r="H7" s="72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  <c r="DI7" s="74"/>
      <c r="DJ7" s="74"/>
      <c r="DK7" s="74"/>
      <c r="DL7" s="74"/>
      <c r="DM7" s="74"/>
      <c r="DN7" s="74"/>
      <c r="DO7" s="74"/>
      <c r="DP7" s="74"/>
      <c r="DQ7" s="74"/>
      <c r="DR7" s="74"/>
      <c r="DS7" s="74"/>
      <c r="DT7" s="74"/>
      <c r="DU7" s="74"/>
      <c r="DV7" s="73"/>
      <c r="DW7" s="73"/>
    </row>
    <row r="8" spans="1:131" ht="15" customHeight="1" x14ac:dyDescent="0.2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4"/>
      <c r="DB8" s="74"/>
      <c r="DC8" s="74"/>
      <c r="DD8" s="74"/>
      <c r="DE8" s="74"/>
      <c r="DF8" s="74"/>
      <c r="DG8" s="74"/>
      <c r="DH8" s="74"/>
      <c r="DI8" s="74"/>
      <c r="DJ8" s="74"/>
      <c r="DK8" s="74"/>
      <c r="DL8" s="74"/>
      <c r="DM8" s="74"/>
      <c r="DN8" s="74"/>
      <c r="DO8" s="74"/>
      <c r="DP8" s="74"/>
      <c r="DQ8" s="74"/>
      <c r="DR8" s="74"/>
      <c r="DS8" s="74"/>
      <c r="DT8" s="74"/>
      <c r="DU8" s="74"/>
      <c r="DV8" s="73"/>
      <c r="DW8" s="73"/>
      <c r="DX8" s="75"/>
      <c r="DY8" s="75"/>
      <c r="DZ8" s="75"/>
      <c r="EA8" s="75"/>
    </row>
    <row r="9" spans="1:131" s="45" customFormat="1" ht="15" customHeight="1" x14ac:dyDescent="0.2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43"/>
      <c r="AL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71"/>
      <c r="DB9" s="71"/>
      <c r="DC9" s="71"/>
      <c r="DD9" s="71"/>
      <c r="DE9" s="71"/>
      <c r="DF9" s="71"/>
      <c r="DG9" s="71"/>
      <c r="DH9" s="71"/>
      <c r="DI9" s="71"/>
      <c r="DJ9" s="71"/>
      <c r="DK9" s="71"/>
      <c r="DL9" s="71"/>
      <c r="DM9" s="71"/>
      <c r="DN9" s="71"/>
      <c r="DO9" s="71"/>
      <c r="DP9" s="71"/>
      <c r="DQ9" s="71"/>
      <c r="DR9" s="71"/>
      <c r="DS9" s="71"/>
      <c r="DT9" s="71"/>
      <c r="DU9" s="71"/>
      <c r="DV9" s="43"/>
      <c r="DW9" s="43"/>
      <c r="DX9" s="75"/>
      <c r="DY9" s="75"/>
      <c r="DZ9" s="75"/>
      <c r="EA9" s="75"/>
    </row>
    <row r="10" spans="1:131" ht="15" customHeight="1" x14ac:dyDescent="0.25">
      <c r="A10" s="72"/>
      <c r="B10" s="77"/>
      <c r="C10" s="319" t="str">
        <f>" "&amp;B15</f>
        <v xml:space="preserve"> Derivaz Valentin</v>
      </c>
      <c r="D10" s="320"/>
      <c r="E10" s="321"/>
      <c r="F10" s="319" t="str">
        <f>" "&amp;B16</f>
        <v xml:space="preserve"> Emboye Tomas</v>
      </c>
      <c r="G10" s="320"/>
      <c r="H10" s="321"/>
      <c r="I10" s="319" t="str">
        <f>" "&amp;B17</f>
        <v xml:space="preserve"> Frezghi Tarik</v>
      </c>
      <c r="J10" s="320"/>
      <c r="K10" s="321"/>
      <c r="L10" s="319" t="str">
        <f>" "&amp;B18</f>
        <v xml:space="preserve"> Gay Valentin</v>
      </c>
      <c r="M10" s="320"/>
      <c r="N10" s="321"/>
      <c r="O10" s="319" t="str">
        <f>" "&amp;B19</f>
        <v xml:space="preserve"> Germanier Enzo</v>
      </c>
      <c r="P10" s="320"/>
      <c r="Q10" s="321"/>
      <c r="R10" s="45"/>
      <c r="AJ10" s="78"/>
      <c r="AK10" s="45"/>
      <c r="AL10" s="46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79"/>
      <c r="DG10" s="79"/>
      <c r="DH10" s="79"/>
      <c r="DI10" s="79"/>
      <c r="DJ10" s="79"/>
      <c r="DK10" s="79"/>
      <c r="DL10" s="79"/>
      <c r="DM10" s="79"/>
      <c r="DN10" s="79"/>
      <c r="DO10" s="79"/>
      <c r="DP10" s="79"/>
      <c r="DQ10" s="79"/>
      <c r="DR10" s="79"/>
      <c r="DS10" s="79"/>
      <c r="DT10" s="79"/>
      <c r="DU10" s="79"/>
      <c r="DV10" s="72"/>
      <c r="DW10" s="72"/>
      <c r="DX10" s="75"/>
      <c r="DY10" s="75"/>
      <c r="DZ10" s="75"/>
      <c r="EA10" s="75"/>
    </row>
    <row r="11" spans="1:131" ht="24" customHeight="1" x14ac:dyDescent="0.2">
      <c r="A11" s="72"/>
      <c r="B11" s="77"/>
      <c r="C11" s="322"/>
      <c r="D11" s="323"/>
      <c r="E11" s="324"/>
      <c r="F11" s="322"/>
      <c r="G11" s="323"/>
      <c r="H11" s="324"/>
      <c r="I11" s="322"/>
      <c r="J11" s="323"/>
      <c r="K11" s="324"/>
      <c r="L11" s="322"/>
      <c r="M11" s="323"/>
      <c r="N11" s="324"/>
      <c r="O11" s="322"/>
      <c r="P11" s="323"/>
      <c r="Q11" s="324"/>
      <c r="BT11" s="72"/>
      <c r="BU11" s="72"/>
      <c r="BV11" s="72"/>
      <c r="BW11" s="72"/>
      <c r="BX11" s="72"/>
      <c r="BY11" s="72"/>
      <c r="BZ11" s="72"/>
      <c r="CA11" s="72"/>
      <c r="CB11" s="72"/>
      <c r="CC11" s="72"/>
      <c r="CD11" s="72"/>
      <c r="CE11" s="79"/>
      <c r="CF11" s="79"/>
      <c r="CG11" s="79"/>
      <c r="CH11" s="79"/>
      <c r="CI11" s="79"/>
      <c r="CJ11" s="79"/>
      <c r="CK11" s="79"/>
      <c r="CL11" s="79"/>
      <c r="CM11" s="79"/>
      <c r="CN11" s="79"/>
      <c r="CO11" s="79"/>
      <c r="CP11" s="79"/>
      <c r="CQ11" s="79"/>
      <c r="CR11" s="79"/>
      <c r="CS11" s="79"/>
      <c r="CT11" s="79"/>
      <c r="CU11" s="79"/>
      <c r="CV11" s="79"/>
      <c r="CW11" s="79"/>
      <c r="CX11" s="79"/>
      <c r="CY11" s="79"/>
      <c r="CZ11" s="79"/>
      <c r="DA11" s="79"/>
      <c r="DB11" s="79"/>
      <c r="DC11" s="79"/>
      <c r="DD11" s="79"/>
      <c r="DE11" s="79"/>
      <c r="DF11" s="79"/>
      <c r="DG11" s="79"/>
      <c r="DH11" s="79"/>
      <c r="DI11" s="79"/>
      <c r="DJ11" s="79"/>
      <c r="DK11" s="79"/>
      <c r="DL11" s="79"/>
      <c r="DM11" s="79"/>
      <c r="DN11" s="79"/>
      <c r="DO11" s="79"/>
      <c r="DP11" s="79"/>
      <c r="DQ11" s="79"/>
      <c r="DR11" s="79"/>
      <c r="DS11" s="79"/>
      <c r="DT11" s="79"/>
      <c r="DU11" s="79"/>
      <c r="DV11" s="72"/>
      <c r="DW11" s="72"/>
      <c r="DX11" s="75"/>
      <c r="DY11" s="75"/>
      <c r="DZ11" s="75"/>
      <c r="EA11" s="75"/>
    </row>
    <row r="12" spans="1:131" ht="30" x14ac:dyDescent="0.2">
      <c r="A12" s="72"/>
      <c r="B12" s="80" t="s">
        <v>314</v>
      </c>
      <c r="C12" s="322"/>
      <c r="D12" s="323"/>
      <c r="E12" s="324"/>
      <c r="F12" s="322"/>
      <c r="G12" s="323"/>
      <c r="H12" s="324"/>
      <c r="I12" s="322"/>
      <c r="J12" s="323"/>
      <c r="K12" s="324"/>
      <c r="L12" s="322"/>
      <c r="M12" s="323"/>
      <c r="N12" s="324"/>
      <c r="O12" s="322"/>
      <c r="P12" s="323"/>
      <c r="Q12" s="324"/>
      <c r="R12" s="328" t="s">
        <v>295</v>
      </c>
      <c r="S12" s="329"/>
      <c r="T12" s="329"/>
      <c r="U12" s="339"/>
      <c r="V12" s="339"/>
      <c r="W12" s="339"/>
      <c r="X12" s="339"/>
      <c r="Y12" s="339"/>
      <c r="Z12" s="339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L12" s="81"/>
      <c r="BT12" s="72"/>
      <c r="BU12" s="72"/>
      <c r="BV12" s="72"/>
      <c r="BW12" s="72"/>
      <c r="BX12" s="72"/>
      <c r="BY12" s="72"/>
      <c r="BZ12" s="72"/>
      <c r="CA12" s="72"/>
      <c r="CB12" s="72"/>
      <c r="CC12" s="72"/>
      <c r="CD12" s="72"/>
      <c r="CE12" s="79"/>
      <c r="CF12" s="79"/>
      <c r="CG12" s="79"/>
      <c r="CH12" s="79"/>
      <c r="CI12" s="79"/>
      <c r="CJ12" s="79"/>
      <c r="CK12" s="79"/>
      <c r="CL12" s="79"/>
      <c r="CM12" s="79"/>
      <c r="CN12" s="79"/>
      <c r="CO12" s="79"/>
      <c r="CP12" s="79"/>
      <c r="CQ12" s="79"/>
      <c r="CR12" s="79"/>
      <c r="CS12" s="79"/>
      <c r="CT12" s="79"/>
      <c r="CU12" s="79"/>
      <c r="CV12" s="79"/>
      <c r="CW12" s="79"/>
      <c r="CX12" s="79"/>
      <c r="CY12" s="79"/>
      <c r="CZ12" s="79"/>
      <c r="DA12" s="79"/>
      <c r="DB12" s="79"/>
      <c r="DC12" s="79"/>
      <c r="DD12" s="79"/>
      <c r="DE12" s="79"/>
      <c r="DF12" s="79"/>
      <c r="DG12" s="79"/>
      <c r="DH12" s="79"/>
      <c r="DI12" s="79"/>
      <c r="DJ12" s="79"/>
      <c r="DK12" s="79"/>
      <c r="DL12" s="79"/>
      <c r="DM12" s="79"/>
      <c r="DN12" s="79"/>
      <c r="DO12" s="79"/>
      <c r="DP12" s="79"/>
      <c r="DQ12" s="79"/>
      <c r="DR12" s="79"/>
      <c r="DS12" s="79"/>
      <c r="DT12" s="79"/>
      <c r="DU12" s="79"/>
      <c r="DV12" s="72"/>
      <c r="DW12" s="72"/>
      <c r="DX12" s="75"/>
      <c r="DY12" s="75"/>
      <c r="DZ12" s="75"/>
      <c r="EA12" s="75"/>
    </row>
    <row r="13" spans="1:131" ht="24" customHeight="1" x14ac:dyDescent="0.2">
      <c r="A13" s="72"/>
      <c r="C13" s="322"/>
      <c r="D13" s="323"/>
      <c r="E13" s="324"/>
      <c r="F13" s="322"/>
      <c r="G13" s="323"/>
      <c r="H13" s="324"/>
      <c r="I13" s="322"/>
      <c r="J13" s="323"/>
      <c r="K13" s="324"/>
      <c r="L13" s="322"/>
      <c r="M13" s="323"/>
      <c r="N13" s="324"/>
      <c r="O13" s="322"/>
      <c r="P13" s="323"/>
      <c r="Q13" s="324"/>
      <c r="BT13" s="72"/>
      <c r="BU13" s="72"/>
      <c r="BV13" s="72"/>
      <c r="BW13" s="72"/>
      <c r="BX13" s="72"/>
      <c r="BY13" s="72"/>
      <c r="BZ13" s="72"/>
      <c r="CA13" s="72"/>
      <c r="CB13" s="72"/>
      <c r="CC13" s="72"/>
      <c r="CD13" s="72"/>
      <c r="CE13" s="79"/>
      <c r="CF13" s="79"/>
      <c r="CG13" s="79"/>
      <c r="CH13" s="79"/>
      <c r="CI13" s="79"/>
      <c r="CJ13" s="79"/>
      <c r="CK13" s="79"/>
      <c r="CL13" s="79"/>
      <c r="CM13" s="79"/>
      <c r="CN13" s="79"/>
      <c r="CO13" s="79"/>
      <c r="CP13" s="79"/>
      <c r="CQ13" s="79"/>
      <c r="CR13" s="79"/>
      <c r="CS13" s="79"/>
      <c r="CT13" s="79"/>
      <c r="CU13" s="79"/>
      <c r="CV13" s="79"/>
      <c r="CW13" s="79"/>
      <c r="CX13" s="79"/>
      <c r="CY13" s="79"/>
      <c r="CZ13" s="79"/>
      <c r="DA13" s="79"/>
      <c r="DB13" s="79"/>
      <c r="DC13" s="79"/>
      <c r="DD13" s="79"/>
      <c r="DE13" s="79"/>
      <c r="DF13" s="79"/>
      <c r="DG13" s="79"/>
      <c r="DH13" s="79"/>
      <c r="DI13" s="79"/>
      <c r="DJ13" s="79"/>
      <c r="DK13" s="79"/>
      <c r="DL13" s="79"/>
      <c r="DM13" s="79"/>
      <c r="DN13" s="79"/>
      <c r="DO13" s="79"/>
      <c r="DP13" s="79"/>
      <c r="DQ13" s="79"/>
      <c r="DR13" s="79"/>
      <c r="DS13" s="79"/>
      <c r="DT13" s="79"/>
      <c r="DU13" s="79"/>
      <c r="DV13" s="72"/>
      <c r="DW13" s="72"/>
    </row>
    <row r="14" spans="1:131" s="45" customFormat="1" ht="15" customHeight="1" x14ac:dyDescent="0.2">
      <c r="A14" s="72"/>
      <c r="C14" s="325"/>
      <c r="D14" s="326"/>
      <c r="E14" s="327"/>
      <c r="F14" s="325"/>
      <c r="G14" s="326"/>
      <c r="H14" s="327"/>
      <c r="I14" s="325"/>
      <c r="J14" s="326"/>
      <c r="K14" s="327"/>
      <c r="L14" s="325"/>
      <c r="M14" s="326"/>
      <c r="N14" s="327"/>
      <c r="O14" s="325"/>
      <c r="P14" s="326"/>
      <c r="Q14" s="327"/>
      <c r="R14" s="330" t="s">
        <v>24</v>
      </c>
      <c r="S14" s="331"/>
      <c r="T14" s="332"/>
      <c r="U14" s="333" t="s">
        <v>35</v>
      </c>
      <c r="V14" s="334"/>
      <c r="W14" s="335"/>
      <c r="X14" s="336" t="s">
        <v>296</v>
      </c>
      <c r="Y14" s="337"/>
      <c r="Z14" s="338"/>
      <c r="AA14" s="313" t="s">
        <v>307</v>
      </c>
      <c r="AB14" s="314"/>
      <c r="AC14" s="314"/>
      <c r="AD14" s="314"/>
      <c r="AE14" s="314"/>
      <c r="AF14" s="314"/>
      <c r="AG14" s="314"/>
      <c r="AH14" s="314"/>
      <c r="AI14" s="315"/>
      <c r="AJ14" s="82" t="s">
        <v>297</v>
      </c>
      <c r="AK14" s="43"/>
      <c r="AL14" s="81"/>
      <c r="BT14" s="72"/>
      <c r="BU14" s="72"/>
      <c r="BV14" s="72"/>
      <c r="BW14" s="72"/>
      <c r="BX14" s="72"/>
      <c r="BY14" s="72"/>
      <c r="BZ14" s="72"/>
      <c r="CA14" s="72"/>
      <c r="CB14" s="72"/>
      <c r="CC14" s="72"/>
      <c r="CD14" s="72"/>
      <c r="CE14" s="79"/>
      <c r="CF14" s="79"/>
      <c r="CG14" s="79"/>
      <c r="CH14" s="79"/>
      <c r="CI14" s="79"/>
      <c r="CJ14" s="79"/>
      <c r="CK14" s="79"/>
      <c r="CL14" s="79"/>
      <c r="CM14" s="79"/>
      <c r="CN14" s="79"/>
      <c r="CO14" s="79"/>
      <c r="CP14" s="79"/>
      <c r="CQ14" s="79"/>
      <c r="CR14" s="79"/>
      <c r="CS14" s="79"/>
      <c r="CT14" s="79"/>
      <c r="CU14" s="79"/>
      <c r="CV14" s="79"/>
      <c r="CW14" s="79"/>
      <c r="CX14" s="79"/>
      <c r="CY14" s="79"/>
      <c r="CZ14" s="79"/>
      <c r="DA14" s="79"/>
      <c r="DB14" s="79"/>
      <c r="DC14" s="79"/>
      <c r="DD14" s="79"/>
      <c r="DE14" s="79"/>
      <c r="DF14" s="79"/>
      <c r="DG14" s="79"/>
      <c r="DH14" s="79"/>
      <c r="DI14" s="79"/>
      <c r="DJ14" s="79"/>
      <c r="DK14" s="79"/>
      <c r="DL14" s="79"/>
      <c r="DM14" s="79"/>
      <c r="DN14" s="79"/>
      <c r="DO14" s="79"/>
      <c r="DP14" s="79"/>
      <c r="DQ14" s="79"/>
      <c r="DR14" s="79"/>
      <c r="DS14" s="79"/>
      <c r="DT14" s="79"/>
      <c r="DU14" s="79"/>
      <c r="DV14" s="72"/>
      <c r="DW14" s="72"/>
    </row>
    <row r="15" spans="1:131" ht="30.75" customHeight="1" x14ac:dyDescent="0.2">
      <c r="A15" s="83" t="s">
        <v>304</v>
      </c>
      <c r="B15" s="145" t="str">
        <f>'FM Poule 5j'!C3</f>
        <v>Derivaz Valentin</v>
      </c>
      <c r="C15" s="84"/>
      <c r="D15" s="85"/>
      <c r="E15" s="86"/>
      <c r="F15" s="87">
        <f>IF('FM Poule 5j'!M14+'FM Poule 5j'!M15&gt;0,'FM Poule 5j'!M14," ")</f>
        <v>3</v>
      </c>
      <c r="G15" s="88" t="s">
        <v>38</v>
      </c>
      <c r="H15" s="89">
        <f>IF('FM Poule 5j'!M14+'FM Poule 5j'!M15&gt;0,'FM Poule 5j'!M15," ")</f>
        <v>0</v>
      </c>
      <c r="I15" s="87">
        <f>IF('FM Poule 5j'!M23+'FM Poule 5j'!M24&gt;0,'FM Poule 5j'!M24," ")</f>
        <v>3</v>
      </c>
      <c r="J15" s="88" t="s">
        <v>38</v>
      </c>
      <c r="K15" s="89">
        <f>IF('FM Poule 5j'!M23+'FM Poule 5j'!M24&gt;0,'FM Poule 5j'!M23," ")</f>
        <v>0</v>
      </c>
      <c r="L15" s="87">
        <f>IF('FM Poule 5j'!W5+'FM Poule 5j'!W6&gt;0,'FM Poule 5j'!W6," ")</f>
        <v>0</v>
      </c>
      <c r="M15" s="88" t="s">
        <v>38</v>
      </c>
      <c r="N15" s="89">
        <f>IF('FM Poule 5j'!W5+'FM Poule 5j'!W6&gt;0,'FM Poule 5j'!W5," ")</f>
        <v>3</v>
      </c>
      <c r="O15" s="87">
        <f>IF('FM Poule 5j'!W14+'FM Poule 5j'!W15&gt;0,'FM Poule 5j'!W14," ")</f>
        <v>0</v>
      </c>
      <c r="P15" s="88" t="s">
        <v>38</v>
      </c>
      <c r="Q15" s="127">
        <f>IF('FM Poule 5j'!W14+'FM Poule 5j'!W15&gt;0,'FM Poule 5j'!W15," ")</f>
        <v>3</v>
      </c>
      <c r="R15" s="90">
        <f>SUM('FM Poule 5j'!F14:L14,'FM Poule 5j'!F24:L24,'FM Poule 5j'!P6:V6,'FM Poule 5j'!P14:V14)</f>
        <v>122</v>
      </c>
      <c r="S15" s="88" t="s">
        <v>38</v>
      </c>
      <c r="T15" s="91">
        <f>SUM('FM Poule 5j'!F15:L15,'FM Poule 5j'!F23:L23,'FM Poule 5j'!P5:V5,'FM Poule 5j'!P15:V15)</f>
        <v>87</v>
      </c>
      <c r="U15" s="90">
        <f>SUM('FM Poule 5j'!M14,'FM Poule 5j'!M24,'FM Poule 5j'!W6,'FM Poule 5j'!W14)</f>
        <v>6</v>
      </c>
      <c r="V15" s="88" t="s">
        <v>38</v>
      </c>
      <c r="W15" s="91">
        <f>SUM('FM Poule 5j'!M15,'FM Poule 5j'!M23,'FM Poule 5j'!W5,'FM Poule 5j'!W15)</f>
        <v>6</v>
      </c>
      <c r="X15" s="90">
        <f>IF(F15&gt;H15,1,0)+IF(I15&gt;K15,1,0)+IF(L15&gt;N15,1,0)+IF(O15&gt;Q15,1,0)</f>
        <v>2</v>
      </c>
      <c r="Y15" s="88" t="s">
        <v>38</v>
      </c>
      <c r="Z15" s="88">
        <f>IF(H15&gt;F15,1,0)+IF(K15&gt;I15,1,0)+IF(N15&gt;L15,1,0)+IF(Q15&gt;O15,1,0)</f>
        <v>2</v>
      </c>
      <c r="AA15" s="92">
        <f>IF(B15="","-",RANK(AF15,$AF$15:$AF$19,0)+RANK(AE15,$AE$15:$AE$19,0)%+RANK(AD15,$AD$15:$AD$19,0)%%+ROW()%%%)</f>
        <v>2.0301149999999999</v>
      </c>
      <c r="AB15" s="93">
        <f>IF(AA15="","",RANK(AA15,$AA$15:$AA$19,1))</f>
        <v>3</v>
      </c>
      <c r="AC15" s="93" t="str">
        <f>'FM Poule 5j'!$C3</f>
        <v>Derivaz Valentin</v>
      </c>
      <c r="AD15" s="93">
        <f>SUM(R15-T15)</f>
        <v>35</v>
      </c>
      <c r="AE15" s="93">
        <f>SUM(U15-W15)</f>
        <v>0</v>
      </c>
      <c r="AF15" s="93">
        <f>SUM(X15-Z15)</f>
        <v>0</v>
      </c>
      <c r="AG15" s="93">
        <f>SMALL($AA$15:$AA$19,1)</f>
        <v>1.010318</v>
      </c>
      <c r="AH15" s="93">
        <f>IF(AG15="","",RANK(AG15,$AG$15:$AG$19,1))</f>
        <v>1</v>
      </c>
      <c r="AI15" s="94" t="str">
        <f>INDEX($AC$15:$AC$19,MATCH(AG15,$AA$15:$AA$19,0),1)</f>
        <v>Gay Valentin</v>
      </c>
      <c r="AJ15" s="255">
        <f>IF(AA15="","",RANK(AA15,$AA$15:$AA$19,1))</f>
        <v>3</v>
      </c>
      <c r="DE15" s="95"/>
    </row>
    <row r="16" spans="1:131" ht="30.75" customHeight="1" x14ac:dyDescent="0.25">
      <c r="A16" s="96" t="s">
        <v>305</v>
      </c>
      <c r="B16" s="145" t="str">
        <f>'FM Poule 5j'!C6</f>
        <v>Emboye Tomas</v>
      </c>
      <c r="C16" s="97">
        <f>IF('FM Poule 5j'!M14+'FM Poule 5j'!M15&gt;0,'FM Poule 5j'!M15," ")</f>
        <v>0</v>
      </c>
      <c r="D16" s="98" t="s">
        <v>38</v>
      </c>
      <c r="E16" s="99">
        <f>IF('FM Poule 5j'!M14+'FM Poule 5j'!M15&gt;0,'FM Poule 5j'!M14," ")</f>
        <v>3</v>
      </c>
      <c r="F16" s="100"/>
      <c r="G16" s="101"/>
      <c r="H16" s="102"/>
      <c r="I16" s="97">
        <f>IF('FM Poule 5j'!M5+'FM Poule 5j'!M6&gt;0,'FM Poule 5j'!M5," ")</f>
        <v>2</v>
      </c>
      <c r="J16" s="98" t="s">
        <v>38</v>
      </c>
      <c r="K16" s="99">
        <f>IF('FM Poule 5j'!M5+'FM Poule 5j'!M6&gt;0,'FM Poule 5j'!M6," ")</f>
        <v>3</v>
      </c>
      <c r="L16" s="97">
        <f>IF('FM Poule 5j'!W17+'FM Poule 5j'!W18&gt;0,'FM Poule 5j'!W17," ")</f>
        <v>0</v>
      </c>
      <c r="M16" s="98" t="s">
        <v>38</v>
      </c>
      <c r="N16" s="99">
        <f>IF('FM Poule 5j'!W17+'FM Poule 5j'!W18&gt;0,'FM Poule 5j'!W18," ")</f>
        <v>3</v>
      </c>
      <c r="O16" s="97">
        <f>IF('FM Poule 5j'!M26+'FM Poule 5j'!M27&gt;0,'FM Poule 5j'!M27," ")</f>
        <v>3</v>
      </c>
      <c r="P16" s="98" t="s">
        <v>38</v>
      </c>
      <c r="Q16" s="128">
        <f>IF('FM Poule 5j'!M26+'FM Poule 5j'!M27&gt;0,'FM Poule 5j'!M26," ")</f>
        <v>0</v>
      </c>
      <c r="R16" s="103">
        <f>SUM('FM Poule 5j'!F5:L5,'FM Poule 5j'!F15:L15,'FM Poule 5j'!F27:L27,'FM Poule 5j'!P17:V17)</f>
        <v>91</v>
      </c>
      <c r="S16" s="98" t="s">
        <v>38</v>
      </c>
      <c r="T16" s="104">
        <f>SUM('FM Poule 5j'!F6:L6,'FM Poule 5j'!F14:L14,'FM Poule 5j'!F26:L26,'FM Poule 5j'!P18:V18)</f>
        <v>128</v>
      </c>
      <c r="U16" s="103">
        <f>SUM('FM Poule 5j'!M5,'FM Poule 5j'!M15,'FM Poule 5j'!M27,'FM Poule 5j'!W17)</f>
        <v>5</v>
      </c>
      <c r="V16" s="98" t="s">
        <v>38</v>
      </c>
      <c r="W16" s="104">
        <f>SUM('FM Poule 5j'!M6,'FM Poule 5j'!M14,'FM Poule 5j'!M26,'FM Poule 5j'!W18)</f>
        <v>9</v>
      </c>
      <c r="X16" s="103">
        <f>IF(C16&gt;E16,1,0)+IF(I16&gt;K16,1,0)+IF(L16&gt;N16,1,0)+IF(O16&gt;Q16,1,0)</f>
        <v>1</v>
      </c>
      <c r="Y16" s="98" t="s">
        <v>38</v>
      </c>
      <c r="Z16" s="98">
        <f>IF(E16&gt;C16,1,0)+IF(K16&gt;I16,1,0)+IF(N16&gt;L16,1,0)+IF(Q16&gt;O16,1,0)</f>
        <v>3</v>
      </c>
      <c r="AA16" s="92">
        <f t="shared" ref="AA16:AA19" si="0">IF(B16="","-",RANK(AF16,$AF$15:$AF$19,0)+RANK(AE16,$AE$15:$AE$19,0)%+RANK(AD16,$AD$15:$AD$19,0)%%+ROW()%%%)</f>
        <v>5.0505159999999991</v>
      </c>
      <c r="AB16" s="93">
        <f t="shared" ref="AB16:AB19" si="1">IF(AA16="","",RANK(AA16,$AA$15:$AA$19,1))</f>
        <v>5</v>
      </c>
      <c r="AC16" s="93" t="str">
        <f>'FM Poule 5j'!$C6</f>
        <v>Emboye Tomas</v>
      </c>
      <c r="AD16" s="93">
        <f>SUM(R16-T16)</f>
        <v>-37</v>
      </c>
      <c r="AE16" s="93">
        <f>SUM(U16-W16)</f>
        <v>-4</v>
      </c>
      <c r="AF16" s="93">
        <f>SUM(X16-Z16)</f>
        <v>-2</v>
      </c>
      <c r="AG16" s="93">
        <f>SMALL($AA$15:$AA$19,2)</f>
        <v>2.020219</v>
      </c>
      <c r="AH16" s="93">
        <f t="shared" ref="AH16:AH19" si="2">IF(AG16="","",RANK(AG16,$AG$15:$AG$19,1))</f>
        <v>2</v>
      </c>
      <c r="AI16" s="94" t="str">
        <f t="shared" ref="AI16:AI19" si="3">INDEX($AC$15:$AC$19,MATCH(AG16,$AA$15:$AA$19,0),1)</f>
        <v>Germanier Enzo</v>
      </c>
      <c r="AJ16" s="255">
        <f>IF(AA16="","",RANK(AA16,$AA$15:$AA$19,1))</f>
        <v>5</v>
      </c>
      <c r="AL16" s="105"/>
      <c r="CE16" s="106"/>
      <c r="CF16" s="106"/>
      <c r="CG16" s="106"/>
      <c r="CH16" s="106"/>
      <c r="CI16" s="106"/>
      <c r="CJ16" s="106"/>
      <c r="CK16" s="106"/>
      <c r="CL16" s="106"/>
      <c r="CM16" s="106"/>
      <c r="CN16" s="106"/>
      <c r="CO16" s="106"/>
      <c r="CP16" s="106"/>
      <c r="CQ16" s="106"/>
      <c r="CR16" s="106"/>
      <c r="CS16" s="106"/>
      <c r="CT16" s="106"/>
      <c r="CU16" s="106"/>
      <c r="CV16" s="106"/>
      <c r="CW16" s="106"/>
    </row>
    <row r="17" spans="1:125" s="45" customFormat="1" ht="30.75" customHeight="1" x14ac:dyDescent="0.25">
      <c r="A17" s="96" t="s">
        <v>306</v>
      </c>
      <c r="B17" s="145" t="str">
        <f>'FM Poule 5j'!C9</f>
        <v>Frezghi Tarik</v>
      </c>
      <c r="C17" s="97">
        <f>IF('FM Poule 5j'!M23+'FM Poule 5j'!M24&gt;0,'FM Poule 5j'!M23," ")</f>
        <v>0</v>
      </c>
      <c r="D17" s="98" t="s">
        <v>38</v>
      </c>
      <c r="E17" s="99">
        <f>IF('FM Poule 5j'!M23+'FM Poule 5j'!M24&gt;0,'FM Poule 5j'!M24," ")</f>
        <v>3</v>
      </c>
      <c r="F17" s="97">
        <f>IF('FM Poule 5j'!M5+'FM Poule 5j'!M6&gt;0,'FM Poule 5j'!M6," ")</f>
        <v>3</v>
      </c>
      <c r="G17" s="98" t="s">
        <v>38</v>
      </c>
      <c r="H17" s="99">
        <f>IF('FM Poule 5j'!M5+'FM Poule 5j'!M6&gt;0,'FM Poule 5j'!M5," ")</f>
        <v>2</v>
      </c>
      <c r="I17" s="100"/>
      <c r="J17" s="101"/>
      <c r="K17" s="102"/>
      <c r="L17" s="97">
        <f>IF('FM Poule 5j'!M17+'FM Poule 5j'!M18&gt;0,'FM Poule 5j'!M17," ")</f>
        <v>3</v>
      </c>
      <c r="M17" s="98" t="s">
        <v>38</v>
      </c>
      <c r="N17" s="99">
        <f>IF('FM Poule 5j'!M17+'FM Poule 5j'!M18&gt;0,'FM Poule 5j'!M18," ")</f>
        <v>0</v>
      </c>
      <c r="O17" s="97">
        <f>IF('FM Poule 5j'!W8+'FM Poule 5j'!W9&gt;0,'FM Poule 5j'!W9," ")</f>
        <v>0</v>
      </c>
      <c r="P17" s="98" t="s">
        <v>38</v>
      </c>
      <c r="Q17" s="128">
        <f>IF('FM Poule 5j'!W8+'FM Poule 5j'!W9&gt;0,'FM Poule 5j'!W8," ")</f>
        <v>3</v>
      </c>
      <c r="R17" s="103">
        <f>SUM('FM Poule 5j'!F6:L6,'FM Poule 5j'!F17:L17,'FM Poule 5j'!F23:L23,'FM Poule 5j'!P9:V9)</f>
        <v>89</v>
      </c>
      <c r="S17" s="98" t="s">
        <v>38</v>
      </c>
      <c r="T17" s="104">
        <f>SUM('FM Poule 5j'!F5:L5,'FM Poule 5j'!F18:L18,'FM Poule 5j'!F24:L24,'FM Poule 5j'!P8:V8)</f>
        <v>118</v>
      </c>
      <c r="U17" s="103">
        <f>SUM('FM Poule 5j'!M6,'FM Poule 5j'!M17,'FM Poule 5j'!M23,'FM Poule 5j'!W9)</f>
        <v>6</v>
      </c>
      <c r="V17" s="98" t="s">
        <v>38</v>
      </c>
      <c r="W17" s="104">
        <f>SUM('FM Poule 5j'!M5,'FM Poule 5j'!M18,'FM Poule 5j'!M24,'FM Poule 5j'!W8)</f>
        <v>8</v>
      </c>
      <c r="X17" s="103">
        <f>IF(C17&gt;E17,1,0)+IF(F17&gt;H17,1,0)+IF(L17&gt;N17,1,0)+IF(O17&gt;Q17,1,0)</f>
        <v>2</v>
      </c>
      <c r="Y17" s="98" t="s">
        <v>38</v>
      </c>
      <c r="Z17" s="98">
        <f>IF(E17&gt;C17,1,0)+IF(H17&gt;F17,1,0)+IF(N17&gt;L17,1,0)+IF(Q17&gt;O17,1,0)</f>
        <v>2</v>
      </c>
      <c r="AA17" s="92">
        <f t="shared" si="0"/>
        <v>2.0404170000000001</v>
      </c>
      <c r="AB17" s="93">
        <f t="shared" si="1"/>
        <v>4</v>
      </c>
      <c r="AC17" s="93" t="str">
        <f>'FM Poule 5j'!$C9</f>
        <v>Frezghi Tarik</v>
      </c>
      <c r="AD17" s="93">
        <f>SUM(R17-T17)</f>
        <v>-29</v>
      </c>
      <c r="AE17" s="93">
        <f>SUM(U17-W17)</f>
        <v>-2</v>
      </c>
      <c r="AF17" s="93">
        <f>SUM(X17-Z17)</f>
        <v>0</v>
      </c>
      <c r="AG17" s="93">
        <f>SMALL($AA$15:$AA$19,3)</f>
        <v>2.0301149999999999</v>
      </c>
      <c r="AH17" s="93">
        <f t="shared" si="2"/>
        <v>3</v>
      </c>
      <c r="AI17" s="94" t="str">
        <f t="shared" si="3"/>
        <v>Derivaz Valentin</v>
      </c>
      <c r="AJ17" s="255">
        <f>IF(AA17="","",RANK(AA17,$AA$15:$AA$19,1))</f>
        <v>4</v>
      </c>
      <c r="AK17" s="43"/>
      <c r="CD17" s="46"/>
      <c r="CE17" s="106"/>
      <c r="CF17" s="106"/>
      <c r="CG17" s="106"/>
      <c r="CH17" s="106"/>
      <c r="CI17" s="106"/>
      <c r="CJ17" s="106"/>
      <c r="CK17" s="106"/>
      <c r="CL17" s="106"/>
      <c r="CM17" s="106"/>
      <c r="CN17" s="106"/>
      <c r="CO17" s="106"/>
      <c r="CP17" s="106"/>
      <c r="CQ17" s="106"/>
      <c r="CR17" s="106"/>
      <c r="CS17" s="106"/>
      <c r="CT17" s="106"/>
      <c r="CU17" s="106"/>
      <c r="CV17" s="106"/>
      <c r="CW17" s="106"/>
      <c r="CX17" s="95"/>
      <c r="CY17" s="95"/>
      <c r="CZ17" s="95"/>
      <c r="DA17" s="95"/>
      <c r="DB17" s="95"/>
      <c r="DC17" s="95"/>
      <c r="DD17" s="95"/>
      <c r="DE17" s="71"/>
      <c r="DF17" s="95"/>
      <c r="DG17" s="95"/>
      <c r="DH17" s="95"/>
      <c r="DI17" s="95"/>
      <c r="DJ17" s="95"/>
      <c r="DK17" s="95"/>
      <c r="DL17" s="95"/>
      <c r="DM17" s="95"/>
      <c r="DN17" s="95"/>
      <c r="DO17" s="95"/>
      <c r="DP17" s="95"/>
      <c r="DQ17" s="95"/>
      <c r="DR17" s="95"/>
      <c r="DS17" s="95"/>
      <c r="DT17" s="95"/>
      <c r="DU17" s="95"/>
    </row>
    <row r="18" spans="1:125" ht="30.75" customHeight="1" x14ac:dyDescent="0.2">
      <c r="A18" s="83" t="s">
        <v>309</v>
      </c>
      <c r="B18" s="145" t="str">
        <f>'FM Poule 5j'!C12</f>
        <v>Gay Valentin</v>
      </c>
      <c r="C18" s="97">
        <f>IF('FM Poule 5j'!W5+'FM Poule 5j'!W6&gt;0,'FM Poule 5j'!W5," ")</f>
        <v>3</v>
      </c>
      <c r="D18" s="98" t="s">
        <v>38</v>
      </c>
      <c r="E18" s="99">
        <f>IF('FM Poule 5j'!W5+'FM Poule 5j'!W6&gt;0,'FM Poule 5j'!W6," ")</f>
        <v>0</v>
      </c>
      <c r="F18" s="97">
        <f>IF('FM Poule 5j'!W17+'FM Poule 5j'!W18&gt;0,'FM Poule 5j'!W18," ")</f>
        <v>3</v>
      </c>
      <c r="G18" s="98" t="s">
        <v>38</v>
      </c>
      <c r="H18" s="99">
        <f>IF('FM Poule 5j'!W17+'FM Poule 5j'!W18&gt;0,'FM Poule 5j'!W17," ")</f>
        <v>0</v>
      </c>
      <c r="I18" s="97">
        <f>IF('FM Poule 5j'!M17+'FM Poule 5j'!M18&gt;0,'FM Poule 5j'!M18," ")</f>
        <v>0</v>
      </c>
      <c r="J18" s="98" t="s">
        <v>38</v>
      </c>
      <c r="K18" s="99">
        <f>IF('FM Poule 5j'!M17+'FM Poule 5j'!M18&gt;0,'FM Poule 5j'!M17," ")</f>
        <v>3</v>
      </c>
      <c r="L18" s="100"/>
      <c r="M18" s="101"/>
      <c r="N18" s="102"/>
      <c r="O18" s="97">
        <f>IF('FM Poule 5j'!M8+'FM Poule 5j'!M9&gt;0,'FM Poule 5j'!M8," ")</f>
        <v>3</v>
      </c>
      <c r="P18" s="98" t="s">
        <v>38</v>
      </c>
      <c r="Q18" s="128">
        <f>IF('FM Poule 5j'!M8+'FM Poule 5j'!M9&gt;0,'FM Poule 5j'!M9," ")</f>
        <v>1</v>
      </c>
      <c r="R18" s="103">
        <f>SUM('FM Poule 5j'!F8:L8,'FM Poule 5j'!F18:L18,'FM Poule 5j'!P5:V5,'FM Poule 5j'!P18:V18)</f>
        <v>114</v>
      </c>
      <c r="S18" s="98" t="s">
        <v>38</v>
      </c>
      <c r="T18" s="104">
        <f>SUM('FM Poule 5j'!F9:L9,'FM Poule 5j'!F17:L17,'FM Poule 5j'!P6:V6,'FM Poule 5j'!P17:V17)</f>
        <v>102</v>
      </c>
      <c r="U18" s="103">
        <f>SUM('FM Poule 5j'!M8,'FM Poule 5j'!M18,'FM Poule 5j'!W5,'FM Poule 5j'!W18)</f>
        <v>9</v>
      </c>
      <c r="V18" s="98" t="s">
        <v>38</v>
      </c>
      <c r="W18" s="104">
        <f>SUM('FM Poule 5j'!M9,'FM Poule 5j'!M17,'FM Poule 5j'!W6,'FM Poule 5j'!W17)</f>
        <v>4</v>
      </c>
      <c r="X18" s="103">
        <f>IF(C18&gt;E18,1,0)+IF(F18&gt;H18,1,0)+IF(I18&gt;K18,1,0)+IF(O18&gt;Q18,1,0)</f>
        <v>3</v>
      </c>
      <c r="Y18" s="98" t="s">
        <v>38</v>
      </c>
      <c r="Z18" s="98">
        <f>IF(E18&gt;C18,1,0)+IF(H18&gt;F18,1,0)+IF(K18&gt;I18,1,0)+IF(Q18&gt;O18,1,0)</f>
        <v>1</v>
      </c>
      <c r="AA18" s="92">
        <f t="shared" si="0"/>
        <v>1.010318</v>
      </c>
      <c r="AB18" s="93">
        <f t="shared" si="1"/>
        <v>1</v>
      </c>
      <c r="AC18" s="93" t="str">
        <f>'FM Poule 5j'!$C12</f>
        <v>Gay Valentin</v>
      </c>
      <c r="AD18" s="93">
        <f>SUM(R18-T18)</f>
        <v>12</v>
      </c>
      <c r="AE18" s="93">
        <f>SUM(U18-W18)</f>
        <v>5</v>
      </c>
      <c r="AF18" s="93">
        <f>SUM(X18-Z18)</f>
        <v>2</v>
      </c>
      <c r="AG18" s="93">
        <f>SMALL($AA$15:$AA$19,4)</f>
        <v>2.0404170000000001</v>
      </c>
      <c r="AH18" s="93">
        <f t="shared" si="2"/>
        <v>4</v>
      </c>
      <c r="AI18" s="94" t="str">
        <f t="shared" si="3"/>
        <v>Frezghi Tarik</v>
      </c>
      <c r="AJ18" s="255">
        <f>IF(AA18="","",RANK(AA18,$AA$15:$AA$19,1))</f>
        <v>1</v>
      </c>
      <c r="DE18" s="95"/>
    </row>
    <row r="19" spans="1:125" ht="30.75" customHeight="1" x14ac:dyDescent="0.2">
      <c r="A19" s="83" t="s">
        <v>312</v>
      </c>
      <c r="B19" s="145" t="str">
        <f>'FM Poule 5j'!C15</f>
        <v>Germanier Enzo</v>
      </c>
      <c r="C19" s="97">
        <f>IF('FM Poule 5j'!W14+'FM Poule 5j'!W15&gt;0,'FM Poule 5j'!W15," ")</f>
        <v>3</v>
      </c>
      <c r="D19" s="98" t="s">
        <v>38</v>
      </c>
      <c r="E19" s="99">
        <f>IF('FM Poule 5j'!W14+'FM Poule 5j'!W15&gt;0,'FM Poule 5j'!W14," ")</f>
        <v>0</v>
      </c>
      <c r="F19" s="97">
        <f>IF('FM Poule 5j'!M26+'FM Poule 5j'!M27&gt;0,'FM Poule 5j'!M26," ")</f>
        <v>0</v>
      </c>
      <c r="G19" s="98" t="s">
        <v>38</v>
      </c>
      <c r="H19" s="99">
        <f>IF('FM Poule 5j'!M26+'FM Poule 5j'!M27&gt;0,'FM Poule 5j'!M27," ")</f>
        <v>3</v>
      </c>
      <c r="I19" s="97">
        <f>IF('FM Poule 5j'!W8+'FM Poule 5j'!W9&gt;0,'FM Poule 5j'!W8," ")</f>
        <v>3</v>
      </c>
      <c r="J19" s="98" t="s">
        <v>38</v>
      </c>
      <c r="K19" s="99">
        <f>IF('FM Poule 5j'!W8+'FM Poule 5j'!W9&gt;0,'FM Poule 5j'!W9," ")</f>
        <v>0</v>
      </c>
      <c r="L19" s="97">
        <f>IF('FM Poule 5j'!M8+'FM Poule 5j'!M9&gt;0,'FM Poule 5j'!M9," ")</f>
        <v>1</v>
      </c>
      <c r="M19" s="98" t="s">
        <v>38</v>
      </c>
      <c r="N19" s="99">
        <f>IF('FM Poule 5j'!M8+'FM Poule 5j'!M9&gt;0,'FM Poule 5j'!M8," ")</f>
        <v>3</v>
      </c>
      <c r="O19" s="129"/>
      <c r="P19" s="130"/>
      <c r="Q19" s="130"/>
      <c r="R19" s="103">
        <f>SUM('FM Poule 5j'!F9:L9,'FM Poule 5j'!F26:L26,'FM Poule 5j'!P8:V8,'FM Poule 5j'!P15:V15)</f>
        <v>130</v>
      </c>
      <c r="S19" s="98" t="s">
        <v>38</v>
      </c>
      <c r="T19" s="104">
        <f>SUM('FM Poule 5j'!F8:L8,'FM Poule 5j'!F27:L27,'FM Poule 5j'!P9:V9,'FM Poule 5j'!P14:V14)</f>
        <v>111</v>
      </c>
      <c r="U19" s="103">
        <f>SUM('FM Poule 5j'!M9,'FM Poule 5j'!M26,'FM Poule 5j'!W8,'FM Poule 5j'!W15)</f>
        <v>7</v>
      </c>
      <c r="V19" s="98" t="s">
        <v>38</v>
      </c>
      <c r="W19" s="104">
        <f>SUM('FM Poule 5j'!M8,'FM Poule 5j'!M27,'FM Poule 5j'!W9,'FM Poule 5j'!W14)</f>
        <v>6</v>
      </c>
      <c r="X19" s="103">
        <f>IF(C19&gt;E19,1,0)+IF(F19&gt;H19,1,0)+IF(I19&gt;K19,1,0)+IF(L19&gt;N19,1,0)</f>
        <v>2</v>
      </c>
      <c r="Y19" s="98" t="s">
        <v>38</v>
      </c>
      <c r="Z19" s="98">
        <f>IF(E19&gt;C19,1,0)+IF(H19&gt;F19,1,0)+IF(K19&gt;I19,1,0)+IF(N19&gt;L19,1,0)</f>
        <v>2</v>
      </c>
      <c r="AA19" s="55">
        <f t="shared" si="0"/>
        <v>2.020219</v>
      </c>
      <c r="AB19" s="131">
        <f t="shared" si="1"/>
        <v>2</v>
      </c>
      <c r="AC19" s="131" t="str">
        <f>'FM Poule 5j'!$C15</f>
        <v>Germanier Enzo</v>
      </c>
      <c r="AD19" s="131">
        <f>SUM(R19-T19)</f>
        <v>19</v>
      </c>
      <c r="AE19" s="131">
        <f>SUM(U19-W19)</f>
        <v>1</v>
      </c>
      <c r="AF19" s="131">
        <f>SUM(X19-Z19)</f>
        <v>0</v>
      </c>
      <c r="AG19" s="131">
        <f>SMALL($AA$15:$AA$19,5)</f>
        <v>5.0505159999999991</v>
      </c>
      <c r="AH19" s="131">
        <f t="shared" si="2"/>
        <v>5</v>
      </c>
      <c r="AI19" s="56" t="str">
        <f t="shared" si="3"/>
        <v>Emboye Tomas</v>
      </c>
      <c r="AJ19" s="255">
        <f>IF(AA19="","",RANK(AA19,$AA$15:$AA$19,1))</f>
        <v>2</v>
      </c>
      <c r="AK19" s="119"/>
      <c r="CE19" s="80"/>
      <c r="CF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80"/>
    </row>
    <row r="20" spans="1:125" ht="15" customHeight="1" x14ac:dyDescent="0.2">
      <c r="B20" s="316" t="s">
        <v>313</v>
      </c>
      <c r="C20" s="316"/>
      <c r="D20" s="316"/>
      <c r="E20" s="316"/>
      <c r="F20" s="316"/>
      <c r="G20" s="316"/>
      <c r="H20" s="316"/>
      <c r="I20" s="316"/>
      <c r="J20" s="316"/>
      <c r="K20" s="316"/>
      <c r="L20" s="316"/>
      <c r="M20" s="316"/>
      <c r="N20" s="316"/>
      <c r="O20" s="316"/>
      <c r="P20" s="316"/>
      <c r="Q20" s="316"/>
      <c r="R20" s="316"/>
      <c r="S20" s="316"/>
      <c r="T20" s="316"/>
      <c r="U20" s="316"/>
      <c r="V20" s="316"/>
      <c r="W20" s="316"/>
      <c r="X20" s="316"/>
      <c r="Y20" s="316"/>
      <c r="Z20" s="316"/>
      <c r="AA20" s="316"/>
      <c r="AB20" s="316"/>
      <c r="AC20" s="316"/>
      <c r="AD20" s="316"/>
      <c r="AE20" s="316"/>
      <c r="AF20" s="316"/>
      <c r="AG20" s="316"/>
      <c r="AH20" s="316"/>
      <c r="AI20" s="316"/>
      <c r="AJ20" s="316"/>
      <c r="AK20" s="119"/>
      <c r="AL20" s="119"/>
      <c r="CE20" s="80"/>
      <c r="CF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80"/>
    </row>
    <row r="21" spans="1:125" ht="15" customHeight="1" x14ac:dyDescent="0.2">
      <c r="AK21" s="119"/>
      <c r="AL21" s="119"/>
      <c r="CE21" s="80"/>
      <c r="CF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80"/>
    </row>
    <row r="22" spans="1:125" ht="15" customHeight="1" x14ac:dyDescent="0.2"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X22" s="81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CE22" s="80"/>
      <c r="CF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80"/>
    </row>
    <row r="23" spans="1:125" ht="15" customHeight="1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X23" s="81"/>
      <c r="Y23" s="119"/>
      <c r="Z23" s="119"/>
      <c r="AA23" s="119"/>
      <c r="AB23" s="119"/>
      <c r="AC23" s="119"/>
      <c r="AD23" s="119"/>
      <c r="AE23" s="119"/>
      <c r="AF23" s="119"/>
      <c r="AG23" s="119"/>
      <c r="AH23" s="119"/>
      <c r="AI23" s="119"/>
      <c r="AJ23" s="119"/>
      <c r="AK23" s="119"/>
      <c r="AL23" s="119"/>
      <c r="CE23" s="80"/>
      <c r="CF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80"/>
      <c r="CW23" s="80"/>
    </row>
    <row r="24" spans="1:125" ht="15" customHeight="1" x14ac:dyDescent="0.2"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X24" s="81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CE24" s="80"/>
      <c r="CF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  <c r="CU24" s="80"/>
      <c r="CV24" s="80"/>
      <c r="CW24" s="80"/>
    </row>
    <row r="25" spans="1:125" ht="15" customHeight="1" x14ac:dyDescent="0.2"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X25" s="81"/>
      <c r="Y25" s="119"/>
      <c r="Z25" s="119"/>
      <c r="AA25" s="119"/>
      <c r="AB25" s="119"/>
      <c r="AC25" s="119"/>
      <c r="AD25" s="119"/>
      <c r="AE25" s="119"/>
      <c r="AF25" s="119"/>
      <c r="AG25" s="119"/>
      <c r="AH25" s="119"/>
      <c r="AI25" s="119"/>
      <c r="AJ25" s="119"/>
      <c r="AK25" s="119"/>
      <c r="AL25" s="119"/>
      <c r="CE25" s="80"/>
      <c r="CF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80"/>
    </row>
    <row r="26" spans="1:125" ht="15" customHeight="1" x14ac:dyDescent="0.2">
      <c r="AP26" s="47"/>
      <c r="CE26" s="80"/>
      <c r="CF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80"/>
      <c r="CX26" s="95"/>
      <c r="CY26" s="95"/>
      <c r="CZ26" s="95"/>
    </row>
    <row r="27" spans="1:125" ht="15" customHeight="1" x14ac:dyDescent="0.2">
      <c r="CO27" s="95"/>
      <c r="CP27" s="95"/>
      <c r="CQ27" s="95"/>
      <c r="CR27" s="95"/>
      <c r="CS27" s="95"/>
      <c r="CT27" s="95"/>
      <c r="CU27" s="95"/>
      <c r="CV27" s="95"/>
      <c r="CW27" s="95"/>
      <c r="CX27" s="95"/>
      <c r="CY27" s="95"/>
      <c r="CZ27" s="95"/>
      <c r="DA27" s="95"/>
      <c r="DB27" s="95"/>
      <c r="DC27" s="95"/>
      <c r="DD27" s="95"/>
      <c r="DE27" s="95"/>
      <c r="DF27" s="95"/>
      <c r="DG27" s="95"/>
      <c r="DH27" s="95"/>
    </row>
    <row r="30" spans="1:125" ht="15" customHeight="1" x14ac:dyDescent="0.2">
      <c r="CO30" s="95"/>
      <c r="CP30" s="95"/>
      <c r="CQ30" s="95"/>
      <c r="CR30" s="95"/>
      <c r="CS30" s="95"/>
      <c r="CT30" s="95"/>
      <c r="CU30" s="95"/>
      <c r="CV30" s="95"/>
      <c r="CW30" s="95"/>
      <c r="CX30" s="95"/>
      <c r="CY30" s="95"/>
      <c r="CZ30" s="95"/>
      <c r="DA30" s="95"/>
      <c r="DB30" s="95"/>
      <c r="DC30" s="95"/>
      <c r="DD30" s="95"/>
      <c r="DE30" s="95"/>
      <c r="DF30" s="95"/>
      <c r="DG30" s="95"/>
      <c r="DH30" s="95"/>
    </row>
  </sheetData>
  <dataConsolidate/>
  <mergeCells count="14">
    <mergeCell ref="X14:Z14"/>
    <mergeCell ref="AA14:AI14"/>
    <mergeCell ref="B20:AJ20"/>
    <mergeCell ref="B2:AL3"/>
    <mergeCell ref="B4:AL5"/>
    <mergeCell ref="C10:E14"/>
    <mergeCell ref="F10:H14"/>
    <mergeCell ref="I10:K14"/>
    <mergeCell ref="L10:N14"/>
    <mergeCell ref="O10:Q14"/>
    <mergeCell ref="R12:T12"/>
    <mergeCell ref="R14:T14"/>
    <mergeCell ref="U14:W14"/>
    <mergeCell ref="U12:Z12"/>
  </mergeCells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42" r:id="rId4" name="CommandButton1">
          <controlPr defaultSize="0" print="0" autoLine="0" autoPict="0" r:id="rId5">
            <anchor moveWithCells="1">
              <from>
                <xdr:col>37</xdr:col>
                <xdr:colOff>752475</xdr:colOff>
                <xdr:row>14</xdr:row>
                <xdr:rowOff>76200</xdr:rowOff>
              </from>
              <to>
                <xdr:col>41</xdr:col>
                <xdr:colOff>85725</xdr:colOff>
                <xdr:row>15</xdr:row>
                <xdr:rowOff>152400</xdr:rowOff>
              </to>
            </anchor>
          </controlPr>
        </control>
      </mc:Choice>
      <mc:Fallback>
        <control shapeId="10242" r:id="rId4" name="CommandButton1"/>
      </mc:Fallback>
    </mc:AlternateContent>
    <mc:AlternateContent xmlns:mc="http://schemas.openxmlformats.org/markup-compatibility/2006">
      <mc:Choice Requires="x14">
        <control shapeId="10241" r:id="rId6" name="Afficher_FM_Poule_5j">
          <controlPr defaultSize="0" print="0" autoLine="0" autoPict="0" r:id="rId7">
            <anchor moveWithCells="1">
              <from>
                <xdr:col>38</xdr:col>
                <xdr:colOff>9525</xdr:colOff>
                <xdr:row>11</xdr:row>
                <xdr:rowOff>209550</xdr:rowOff>
              </from>
              <to>
                <xdr:col>41</xdr:col>
                <xdr:colOff>38100</xdr:colOff>
                <xdr:row>12</xdr:row>
                <xdr:rowOff>285750</xdr:rowOff>
              </to>
            </anchor>
          </controlPr>
        </control>
      </mc:Choice>
      <mc:Fallback>
        <control shapeId="10241" r:id="rId6" name="Afficher_FM_Poule_5j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7030A0"/>
  </sheetPr>
  <dimension ref="A1:DG30"/>
  <sheetViews>
    <sheetView topLeftCell="A5" zoomScaleNormal="100" workbookViewId="0">
      <selection activeCell="B12" sqref="B12"/>
    </sheetView>
  </sheetViews>
  <sheetFormatPr baseColWidth="10" defaultColWidth="11.42578125" defaultRowHeight="15" customHeight="1" outlineLevelCol="1" x14ac:dyDescent="0.2"/>
  <cols>
    <col min="1" max="1" width="2.42578125" style="45" bestFit="1" customWidth="1"/>
    <col min="2" max="2" width="28" style="43" customWidth="1"/>
    <col min="3" max="3" width="3.140625" style="43" customWidth="1"/>
    <col min="4" max="4" width="1.42578125" style="43" bestFit="1" customWidth="1"/>
    <col min="5" max="6" width="3.140625" style="43" customWidth="1"/>
    <col min="7" max="7" width="1.42578125" style="43" bestFit="1" customWidth="1"/>
    <col min="8" max="9" width="3.140625" style="43" customWidth="1"/>
    <col min="10" max="10" width="1.42578125" style="43" bestFit="1" customWidth="1"/>
    <col min="11" max="12" width="3.140625" style="43" customWidth="1"/>
    <col min="13" max="13" width="1.42578125" style="43" bestFit="1" customWidth="1"/>
    <col min="14" max="15" width="3.140625" style="43" customWidth="1"/>
    <col min="16" max="16" width="1.42578125" style="43" bestFit="1" customWidth="1"/>
    <col min="17" max="18" width="3.140625" style="43" customWidth="1"/>
    <col min="19" max="19" width="1.7109375" style="43" bestFit="1" customWidth="1"/>
    <col min="20" max="20" width="3.140625" style="43" customWidth="1"/>
    <col min="21" max="21" width="5.7109375" style="43" customWidth="1"/>
    <col min="22" max="22" width="1.42578125" style="43" bestFit="1" customWidth="1"/>
    <col min="23" max="24" width="5.7109375" style="43" customWidth="1"/>
    <col min="25" max="25" width="1.42578125" style="43" bestFit="1" customWidth="1"/>
    <col min="26" max="27" width="5.7109375" style="43" customWidth="1"/>
    <col min="28" max="28" width="1.42578125" style="43" bestFit="1" customWidth="1"/>
    <col min="29" max="29" width="5.7109375" style="43" customWidth="1"/>
    <col min="30" max="31" width="6.42578125" style="43" hidden="1" customWidth="1" outlineLevel="1"/>
    <col min="32" max="32" width="17" style="43" hidden="1" customWidth="1" outlineLevel="1"/>
    <col min="33" max="33" width="4.85546875" style="43" hidden="1" customWidth="1" outlineLevel="1"/>
    <col min="34" max="34" width="4.42578125" style="43" hidden="1" customWidth="1" outlineLevel="1"/>
    <col min="35" max="35" width="3.42578125" style="43" hidden="1" customWidth="1" outlineLevel="1"/>
    <col min="36" max="37" width="6.42578125" style="43" hidden="1" customWidth="1" outlineLevel="1"/>
    <col min="38" max="38" width="17" style="43" hidden="1" customWidth="1" outlineLevel="1"/>
    <col min="39" max="39" width="5.7109375" style="43" customWidth="1" collapsed="1"/>
    <col min="40" max="40" width="3.7109375" style="43" customWidth="1"/>
    <col min="41" max="62" width="11.42578125" style="43"/>
    <col min="63" max="105" width="11.42578125" style="71"/>
    <col min="106" max="16384" width="11.42578125" style="43"/>
  </cols>
  <sheetData>
    <row r="1" spans="1:111" s="47" customFormat="1" ht="15" customHeight="1" x14ac:dyDescent="0.2">
      <c r="A1" s="70"/>
      <c r="BK1" s="71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71"/>
      <c r="BX1" s="71"/>
      <c r="BY1" s="71"/>
      <c r="BZ1" s="71"/>
      <c r="CA1" s="71"/>
      <c r="CB1" s="71"/>
      <c r="CC1" s="71"/>
      <c r="CD1" s="71"/>
      <c r="CE1" s="71"/>
      <c r="CF1" s="71"/>
      <c r="CG1" s="71"/>
      <c r="CH1" s="71"/>
      <c r="CI1" s="71"/>
      <c r="CJ1" s="71"/>
      <c r="CK1" s="71"/>
      <c r="CL1" s="71"/>
      <c r="CM1" s="71"/>
      <c r="CN1" s="71"/>
      <c r="CO1" s="71"/>
      <c r="CP1" s="71"/>
      <c r="CQ1" s="71"/>
      <c r="CR1" s="71"/>
      <c r="CS1" s="71"/>
      <c r="CT1" s="71"/>
      <c r="CU1" s="71"/>
      <c r="CV1" s="71"/>
      <c r="CW1" s="71"/>
      <c r="CX1" s="71"/>
      <c r="CY1" s="71"/>
      <c r="CZ1" s="71"/>
      <c r="DA1" s="71"/>
    </row>
    <row r="2" spans="1:111" s="47" customFormat="1" ht="15" customHeight="1" x14ac:dyDescent="0.2">
      <c r="B2" s="317" t="str">
        <f>'Infos générales'!$B$1</f>
        <v>Tournoi non-licencié AVTT</v>
      </c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  <c r="AK2" s="317"/>
      <c r="AL2" s="317"/>
      <c r="AM2" s="317"/>
      <c r="AN2" s="317"/>
      <c r="AO2" s="317"/>
      <c r="BK2" s="71"/>
      <c r="BL2" s="71"/>
      <c r="BM2" s="71"/>
      <c r="BN2" s="71"/>
      <c r="BO2" s="71"/>
      <c r="BP2" s="71"/>
      <c r="BQ2" s="71"/>
      <c r="BR2" s="71"/>
      <c r="BS2" s="71"/>
      <c r="BT2" s="71"/>
      <c r="BU2" s="71"/>
      <c r="BV2" s="71"/>
      <c r="BW2" s="71"/>
      <c r="BX2" s="71"/>
      <c r="BY2" s="71"/>
      <c r="BZ2" s="71"/>
      <c r="CA2" s="71"/>
      <c r="CB2" s="71"/>
      <c r="CC2" s="71"/>
      <c r="CD2" s="71"/>
      <c r="CE2" s="71"/>
      <c r="CF2" s="71"/>
      <c r="CG2" s="71"/>
      <c r="CH2" s="71"/>
      <c r="CI2" s="71"/>
      <c r="CJ2" s="71"/>
      <c r="CK2" s="71"/>
      <c r="CL2" s="71"/>
      <c r="CM2" s="71"/>
      <c r="CN2" s="71"/>
      <c r="CO2" s="71"/>
      <c r="CP2" s="71"/>
      <c r="CQ2" s="71"/>
      <c r="CR2" s="71"/>
      <c r="CS2" s="71"/>
      <c r="CT2" s="71"/>
      <c r="CU2" s="71"/>
      <c r="CV2" s="71"/>
      <c r="CW2" s="71"/>
      <c r="CX2" s="71"/>
      <c r="CY2" s="71"/>
      <c r="CZ2" s="71"/>
      <c r="DA2" s="71"/>
    </row>
    <row r="3" spans="1:111" s="47" customFormat="1" ht="15" customHeight="1" x14ac:dyDescent="0.2"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  <c r="Q3" s="317"/>
      <c r="R3" s="317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  <c r="AG3" s="317"/>
      <c r="AH3" s="317"/>
      <c r="AI3" s="317"/>
      <c r="AJ3" s="317"/>
      <c r="AK3" s="317"/>
      <c r="AL3" s="317"/>
      <c r="AM3" s="317"/>
      <c r="AN3" s="317"/>
      <c r="AO3" s="317"/>
      <c r="BK3" s="71"/>
      <c r="BL3" s="71"/>
      <c r="BM3" s="71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/>
      <c r="DA3" s="71"/>
    </row>
    <row r="4" spans="1:111" s="47" customFormat="1" ht="15" customHeight="1" x14ac:dyDescent="0.2">
      <c r="B4" s="318">
        <f>'Infos générales'!$B$4</f>
        <v>43330</v>
      </c>
      <c r="C4" s="318"/>
      <c r="D4" s="318"/>
      <c r="E4" s="318"/>
      <c r="F4" s="318"/>
      <c r="G4" s="318"/>
      <c r="H4" s="318"/>
      <c r="I4" s="318"/>
      <c r="J4" s="318"/>
      <c r="K4" s="318"/>
      <c r="L4" s="318"/>
      <c r="M4" s="318"/>
      <c r="N4" s="318"/>
      <c r="O4" s="318"/>
      <c r="P4" s="318"/>
      <c r="Q4" s="318"/>
      <c r="R4" s="318"/>
      <c r="S4" s="318"/>
      <c r="T4" s="318"/>
      <c r="U4" s="318"/>
      <c r="V4" s="318"/>
      <c r="W4" s="318"/>
      <c r="X4" s="318"/>
      <c r="Y4" s="318"/>
      <c r="Z4" s="318"/>
      <c r="AA4" s="318"/>
      <c r="AB4" s="318"/>
      <c r="AC4" s="318"/>
      <c r="AD4" s="318"/>
      <c r="AE4" s="318"/>
      <c r="AF4" s="318"/>
      <c r="AG4" s="318"/>
      <c r="AH4" s="318"/>
      <c r="AI4" s="318"/>
      <c r="AJ4" s="318"/>
      <c r="AK4" s="318"/>
      <c r="AL4" s="318"/>
      <c r="AM4" s="318"/>
      <c r="AN4" s="318"/>
      <c r="AO4" s="318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71"/>
      <c r="CP4" s="71"/>
      <c r="CQ4" s="71"/>
      <c r="CR4" s="71"/>
      <c r="CS4" s="71"/>
      <c r="CT4" s="71"/>
      <c r="CU4" s="71"/>
      <c r="CV4" s="71"/>
      <c r="CW4" s="71"/>
      <c r="CX4" s="71"/>
      <c r="CY4" s="71"/>
      <c r="CZ4" s="71"/>
      <c r="DA4" s="71"/>
    </row>
    <row r="5" spans="1:111" s="47" customFormat="1" ht="15" customHeight="1" x14ac:dyDescent="0.2"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18"/>
      <c r="T5" s="318"/>
      <c r="U5" s="318"/>
      <c r="V5" s="318"/>
      <c r="W5" s="318"/>
      <c r="X5" s="318"/>
      <c r="Y5" s="318"/>
      <c r="Z5" s="318"/>
      <c r="AA5" s="318"/>
      <c r="AB5" s="318"/>
      <c r="AC5" s="318"/>
      <c r="AD5" s="318"/>
      <c r="AE5" s="318"/>
      <c r="AF5" s="318"/>
      <c r="AG5" s="318"/>
      <c r="AH5" s="318"/>
      <c r="AI5" s="318"/>
      <c r="AJ5" s="318"/>
      <c r="AK5" s="318"/>
      <c r="AL5" s="318"/>
      <c r="AM5" s="318"/>
      <c r="AN5" s="318"/>
      <c r="AO5" s="318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/>
      <c r="DA5" s="71"/>
    </row>
    <row r="6" spans="1:111" s="47" customFormat="1" ht="15" customHeight="1" x14ac:dyDescent="0.2">
      <c r="AA6" s="42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71"/>
    </row>
    <row r="7" spans="1:111" ht="15" customHeight="1" x14ac:dyDescent="0.2">
      <c r="A7" s="72"/>
      <c r="B7" s="72"/>
      <c r="C7" s="72"/>
      <c r="D7" s="72"/>
      <c r="E7" s="72"/>
      <c r="F7" s="72"/>
      <c r="G7" s="72"/>
      <c r="H7" s="72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3"/>
      <c r="DC7" s="73"/>
    </row>
    <row r="8" spans="1:111" ht="15" customHeight="1" x14ac:dyDescent="0.2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4"/>
      <c r="DB8" s="73"/>
      <c r="DC8" s="73"/>
      <c r="DD8" s="75"/>
      <c r="DE8" s="75"/>
      <c r="DF8" s="75"/>
      <c r="DG8" s="75"/>
    </row>
    <row r="9" spans="1:111" s="45" customFormat="1" ht="15" customHeight="1" x14ac:dyDescent="0.2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43"/>
      <c r="AO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71"/>
      <c r="DB9" s="43"/>
      <c r="DC9" s="43"/>
      <c r="DD9" s="75"/>
      <c r="DE9" s="75"/>
      <c r="DF9" s="75"/>
      <c r="DG9" s="75"/>
    </row>
    <row r="10" spans="1:111" ht="15" customHeight="1" x14ac:dyDescent="0.25">
      <c r="A10" s="72"/>
      <c r="B10" s="77"/>
      <c r="C10" s="319" t="str">
        <f>" "&amp;B15</f>
        <v xml:space="preserve"> Heldner Mathis</v>
      </c>
      <c r="D10" s="320"/>
      <c r="E10" s="321"/>
      <c r="F10" s="319" t="str">
        <f>" "&amp;B16</f>
        <v xml:space="preserve"> Jacquod Thibaud</v>
      </c>
      <c r="G10" s="320"/>
      <c r="H10" s="321"/>
      <c r="I10" s="319" t="str">
        <f>" "&amp;B17</f>
        <v xml:space="preserve"> Jäger Joel</v>
      </c>
      <c r="J10" s="320"/>
      <c r="K10" s="321"/>
      <c r="L10" s="319" t="str">
        <f>" "&amp;B18</f>
        <v xml:space="preserve"> Knöri Alexander</v>
      </c>
      <c r="M10" s="320"/>
      <c r="N10" s="321"/>
      <c r="O10" s="319" t="str">
        <f>" "&amp;B19</f>
        <v xml:space="preserve"> Marjay David</v>
      </c>
      <c r="P10" s="320"/>
      <c r="Q10" s="321"/>
      <c r="R10" s="319" t="str">
        <f>" "&amp;B20</f>
        <v xml:space="preserve"> Massy Kenny</v>
      </c>
      <c r="S10" s="320"/>
      <c r="T10" s="321"/>
      <c r="U10" s="45"/>
      <c r="AM10" s="78"/>
      <c r="AN10" s="45"/>
      <c r="AO10" s="46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2"/>
      <c r="DC10" s="72"/>
      <c r="DD10" s="75"/>
      <c r="DE10" s="75"/>
      <c r="DF10" s="75"/>
      <c r="DG10" s="75"/>
    </row>
    <row r="11" spans="1:111" ht="24" customHeight="1" x14ac:dyDescent="0.2">
      <c r="A11" s="72"/>
      <c r="B11" s="77"/>
      <c r="C11" s="322"/>
      <c r="D11" s="323"/>
      <c r="E11" s="324"/>
      <c r="F11" s="322"/>
      <c r="G11" s="323"/>
      <c r="H11" s="324"/>
      <c r="I11" s="322"/>
      <c r="J11" s="323"/>
      <c r="K11" s="324"/>
      <c r="L11" s="322"/>
      <c r="M11" s="323"/>
      <c r="N11" s="324"/>
      <c r="O11" s="322"/>
      <c r="P11" s="323"/>
      <c r="Q11" s="324"/>
      <c r="R11" s="322"/>
      <c r="S11" s="323"/>
      <c r="T11" s="324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79"/>
      <c r="CJ11" s="79"/>
      <c r="CK11" s="79"/>
      <c r="CL11" s="79"/>
      <c r="CM11" s="79"/>
      <c r="CN11" s="79"/>
      <c r="CO11" s="79"/>
      <c r="CP11" s="79"/>
      <c r="CQ11" s="79"/>
      <c r="CR11" s="79"/>
      <c r="CS11" s="79"/>
      <c r="CT11" s="79"/>
      <c r="CU11" s="79"/>
      <c r="CV11" s="79"/>
      <c r="CW11" s="79"/>
      <c r="CX11" s="79"/>
      <c r="CY11" s="79"/>
      <c r="CZ11" s="79"/>
      <c r="DA11" s="79"/>
      <c r="DB11" s="72"/>
      <c r="DC11" s="72"/>
      <c r="DD11" s="75"/>
      <c r="DE11" s="75"/>
      <c r="DF11" s="75"/>
      <c r="DG11" s="75"/>
    </row>
    <row r="12" spans="1:111" ht="30" x14ac:dyDescent="0.2">
      <c r="A12" s="72"/>
      <c r="B12" s="80" t="s">
        <v>317</v>
      </c>
      <c r="C12" s="322"/>
      <c r="D12" s="323"/>
      <c r="E12" s="324"/>
      <c r="F12" s="322"/>
      <c r="G12" s="323"/>
      <c r="H12" s="324"/>
      <c r="I12" s="322"/>
      <c r="J12" s="323"/>
      <c r="K12" s="324"/>
      <c r="L12" s="322"/>
      <c r="M12" s="323"/>
      <c r="N12" s="324"/>
      <c r="O12" s="322"/>
      <c r="P12" s="323"/>
      <c r="Q12" s="324"/>
      <c r="R12" s="322"/>
      <c r="S12" s="323"/>
      <c r="T12" s="324"/>
      <c r="U12" s="328" t="s">
        <v>295</v>
      </c>
      <c r="V12" s="329"/>
      <c r="W12" s="329"/>
      <c r="X12" s="339"/>
      <c r="Y12" s="339"/>
      <c r="Z12" s="339"/>
      <c r="AA12" s="339"/>
      <c r="AB12" s="339"/>
      <c r="AC12" s="339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O12" s="81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9"/>
      <c r="BV12" s="79"/>
      <c r="BW12" s="79"/>
      <c r="BX12" s="79"/>
      <c r="BY12" s="79"/>
      <c r="BZ12" s="79"/>
      <c r="CA12" s="79"/>
      <c r="CB12" s="79"/>
      <c r="CC12" s="79"/>
      <c r="CD12" s="79"/>
      <c r="CE12" s="79"/>
      <c r="CF12" s="79"/>
      <c r="CG12" s="79"/>
      <c r="CH12" s="79"/>
      <c r="CI12" s="79"/>
      <c r="CJ12" s="79"/>
      <c r="CK12" s="79"/>
      <c r="CL12" s="79"/>
      <c r="CM12" s="79"/>
      <c r="CN12" s="79"/>
      <c r="CO12" s="79"/>
      <c r="CP12" s="79"/>
      <c r="CQ12" s="79"/>
      <c r="CR12" s="79"/>
      <c r="CS12" s="79"/>
      <c r="CT12" s="79"/>
      <c r="CU12" s="79"/>
      <c r="CV12" s="79"/>
      <c r="CW12" s="79"/>
      <c r="CX12" s="79"/>
      <c r="CY12" s="79"/>
      <c r="CZ12" s="79"/>
      <c r="DA12" s="79"/>
      <c r="DB12" s="72"/>
      <c r="DC12" s="72"/>
      <c r="DD12" s="75"/>
      <c r="DE12" s="75"/>
      <c r="DF12" s="75"/>
      <c r="DG12" s="75"/>
    </row>
    <row r="13" spans="1:111" ht="24" customHeight="1" x14ac:dyDescent="0.2">
      <c r="A13" s="72"/>
      <c r="C13" s="322"/>
      <c r="D13" s="323"/>
      <c r="E13" s="324"/>
      <c r="F13" s="322"/>
      <c r="G13" s="323"/>
      <c r="H13" s="324"/>
      <c r="I13" s="322"/>
      <c r="J13" s="323"/>
      <c r="K13" s="324"/>
      <c r="L13" s="322"/>
      <c r="M13" s="323"/>
      <c r="N13" s="324"/>
      <c r="O13" s="322"/>
      <c r="P13" s="323"/>
      <c r="Q13" s="324"/>
      <c r="R13" s="322"/>
      <c r="S13" s="323"/>
      <c r="T13" s="324"/>
      <c r="AZ13" s="72"/>
      <c r="BA13" s="72"/>
      <c r="BB13" s="72"/>
      <c r="BC13" s="72"/>
      <c r="BD13" s="72"/>
      <c r="BE13" s="72"/>
      <c r="BF13" s="72"/>
      <c r="BG13" s="72"/>
      <c r="BH13" s="72"/>
      <c r="BI13" s="72"/>
      <c r="BJ13" s="72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9"/>
      <c r="BV13" s="79"/>
      <c r="BW13" s="79"/>
      <c r="BX13" s="79"/>
      <c r="BY13" s="79"/>
      <c r="BZ13" s="79"/>
      <c r="CA13" s="79"/>
      <c r="CB13" s="79"/>
      <c r="CC13" s="79"/>
      <c r="CD13" s="79"/>
      <c r="CE13" s="79"/>
      <c r="CF13" s="79"/>
      <c r="CG13" s="79"/>
      <c r="CH13" s="79"/>
      <c r="CI13" s="79"/>
      <c r="CJ13" s="79"/>
      <c r="CK13" s="79"/>
      <c r="CL13" s="79"/>
      <c r="CM13" s="79"/>
      <c r="CN13" s="79"/>
      <c r="CO13" s="79"/>
      <c r="CP13" s="79"/>
      <c r="CQ13" s="79"/>
      <c r="CR13" s="79"/>
      <c r="CS13" s="79"/>
      <c r="CT13" s="79"/>
      <c r="CU13" s="79"/>
      <c r="CV13" s="79"/>
      <c r="CW13" s="79"/>
      <c r="CX13" s="79"/>
      <c r="CY13" s="79"/>
      <c r="CZ13" s="79"/>
      <c r="DA13" s="79"/>
      <c r="DB13" s="72"/>
      <c r="DC13" s="72"/>
    </row>
    <row r="14" spans="1:111" s="45" customFormat="1" ht="15" customHeight="1" x14ac:dyDescent="0.2">
      <c r="A14" s="72"/>
      <c r="C14" s="325"/>
      <c r="D14" s="326"/>
      <c r="E14" s="327"/>
      <c r="F14" s="325"/>
      <c r="G14" s="326"/>
      <c r="H14" s="327"/>
      <c r="I14" s="325"/>
      <c r="J14" s="326"/>
      <c r="K14" s="327"/>
      <c r="L14" s="325"/>
      <c r="M14" s="326"/>
      <c r="N14" s="327"/>
      <c r="O14" s="325"/>
      <c r="P14" s="326"/>
      <c r="Q14" s="327"/>
      <c r="R14" s="325"/>
      <c r="S14" s="326"/>
      <c r="T14" s="327"/>
      <c r="U14" s="330" t="s">
        <v>24</v>
      </c>
      <c r="V14" s="331"/>
      <c r="W14" s="332"/>
      <c r="X14" s="333" t="s">
        <v>35</v>
      </c>
      <c r="Y14" s="334"/>
      <c r="Z14" s="335"/>
      <c r="AA14" s="336" t="s">
        <v>296</v>
      </c>
      <c r="AB14" s="337"/>
      <c r="AC14" s="338"/>
      <c r="AD14" s="313" t="s">
        <v>307</v>
      </c>
      <c r="AE14" s="314"/>
      <c r="AF14" s="314"/>
      <c r="AG14" s="314"/>
      <c r="AH14" s="314"/>
      <c r="AI14" s="314"/>
      <c r="AJ14" s="314"/>
      <c r="AK14" s="314"/>
      <c r="AL14" s="315"/>
      <c r="AM14" s="82" t="s">
        <v>297</v>
      </c>
      <c r="AN14" s="43"/>
      <c r="AO14" s="81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79"/>
      <c r="CO14" s="79"/>
      <c r="CP14" s="79"/>
      <c r="CQ14" s="79"/>
      <c r="CR14" s="79"/>
      <c r="CS14" s="79"/>
      <c r="CT14" s="79"/>
      <c r="CU14" s="79"/>
      <c r="CV14" s="79"/>
      <c r="CW14" s="79"/>
      <c r="CX14" s="79"/>
      <c r="CY14" s="79"/>
      <c r="CZ14" s="79"/>
      <c r="DA14" s="79"/>
      <c r="DB14" s="72"/>
      <c r="DC14" s="72"/>
    </row>
    <row r="15" spans="1:111" ht="30.75" customHeight="1" x14ac:dyDescent="0.2">
      <c r="A15" s="83" t="s">
        <v>304</v>
      </c>
      <c r="B15" s="145" t="str">
        <f>'FM Poule 6j'!C3</f>
        <v>Heldner Mathis</v>
      </c>
      <c r="C15" s="84"/>
      <c r="D15" s="85"/>
      <c r="E15" s="86"/>
      <c r="F15" s="87">
        <f>IF('FM Poule 6j'!W16+'FM Poule 6j'!W17&gt;0,'FM Poule 6j'!W16," ")</f>
        <v>3</v>
      </c>
      <c r="G15" s="88" t="s">
        <v>38</v>
      </c>
      <c r="H15" s="89">
        <f>IF('FM Poule 6j'!W16+'FM Poule 6j'!W17&gt;0,'FM Poule 6j'!W17," ")</f>
        <v>0</v>
      </c>
      <c r="I15" s="87">
        <f>IF('FM Poule 6j'!M27+'FM Poule 6j'!M28&gt;0,'FM Poule 6j'!M27," ")</f>
        <v>2</v>
      </c>
      <c r="J15" s="88" t="s">
        <v>38</v>
      </c>
      <c r="K15" s="89">
        <f>IF('FM Poule 6j'!M27+'FM Poule 6j'!M28&gt;0,'FM Poule 6j'!M28," ")</f>
        <v>3</v>
      </c>
      <c r="L15" s="87">
        <f>IF('FM Poule 6j'!M16+'FM Poule 6j'!M17&gt;0,'FM Poule 6j'!M16," ")</f>
        <v>3</v>
      </c>
      <c r="M15" s="88" t="s">
        <v>38</v>
      </c>
      <c r="N15" s="127">
        <f>IF('FM Poule 6j'!M16+'FM Poule 6j'!M17&gt;0,'FM Poule 6j'!M17," ")</f>
        <v>0</v>
      </c>
      <c r="O15" s="97">
        <f>IF('FM Poule 6j'!M5+'FM Poule 6j'!M6&gt;0,'FM Poule 6j'!M5," ")</f>
        <v>3</v>
      </c>
      <c r="P15" s="98" t="s">
        <v>38</v>
      </c>
      <c r="Q15" s="99">
        <f>IF('FM Poule 6j'!M5+'FM Poule 6j'!M6&gt;0,'FM Poule 6j'!M6," ")</f>
        <v>0</v>
      </c>
      <c r="R15" s="97">
        <f>IF('FM Poule 6j'!W5+'FM Poule 6j'!W6&gt;0,'FM Poule 6j'!W5," ")</f>
        <v>3</v>
      </c>
      <c r="S15" s="128" t="s">
        <v>38</v>
      </c>
      <c r="T15" s="99">
        <f>IF('FM Poule 6j'!W5+'FM Poule 6j'!W6&gt;0,'FM Poule 6j'!W6," ")</f>
        <v>0</v>
      </c>
      <c r="U15" s="88">
        <f>SUM('FM Poule 6j'!F5:L5,'FM Poule 6j'!F16:L16,'FM Poule 6j'!F27:L27,'FM Poule 6j'!P5:V5,'FM Poule 6j'!P16:V16)</f>
        <v>177</v>
      </c>
      <c r="V15" s="88" t="s">
        <v>38</v>
      </c>
      <c r="W15" s="91">
        <f>SUM('FM Poule 6j'!F6:L6,'FM Poule 6j'!F17:L17,'FM Poule 6j'!F28:L28,'FM Poule 6j'!P6:V6,'FM Poule 6j'!P17:V17)</f>
        <v>115</v>
      </c>
      <c r="X15" s="90">
        <f>SUM('FM Poule 6j'!M5,'FM Poule 6j'!M16,'FM Poule 6j'!M27,'FM Poule 6j'!W5,'FM Poule 6j'!W16)</f>
        <v>14</v>
      </c>
      <c r="Y15" s="88" t="s">
        <v>38</v>
      </c>
      <c r="Z15" s="91">
        <f>SUM('FM Poule 6j'!M6,'FM Poule 6j'!M17,'FM Poule 6j'!M28,'FM Poule 6j'!W6,'FM Poule 6j'!W17)</f>
        <v>3</v>
      </c>
      <c r="AA15" s="90">
        <f>IF(F15&gt;H15,1,0)+IF(I15&gt;K15,1,0)+IF(L15&gt;N15,1,0)+IF(O15&gt;Q15,1,0)+IF(R15&gt;T15,1,0)</f>
        <v>4</v>
      </c>
      <c r="AB15" s="88" t="s">
        <v>38</v>
      </c>
      <c r="AC15" s="88">
        <f>IF(H15&gt;F15,1,0)+IF(K15&gt;I15,1,0)+IF(N15&gt;L15,1,0)+IF(Q15&gt;O15,1,0)+IF(T15&gt;R15,1,0)</f>
        <v>1</v>
      </c>
      <c r="AD15" s="92">
        <f>IF(B15="","-",RANK(AI15,$AI$15:$AI$20,0)+RANK(AH15,$AH$15:$AH$20,0)%+RANK(AG15,$AG$15:$AG$20,0)%%+ROW()%%%)</f>
        <v>1.0101150000000001</v>
      </c>
      <c r="AE15" s="93">
        <f>IF(AD15="","",RANK(AD15,$AD$15:$AD$20,1))</f>
        <v>1</v>
      </c>
      <c r="AF15" s="93" t="str">
        <f>'FM Poule 6j'!$C3</f>
        <v>Heldner Mathis</v>
      </c>
      <c r="AG15" s="93">
        <f>SUM(U15-W15)</f>
        <v>62</v>
      </c>
      <c r="AH15" s="93">
        <f>SUM(X15-Z15)</f>
        <v>11</v>
      </c>
      <c r="AI15" s="93">
        <f>SUM(AA15-AC15)</f>
        <v>3</v>
      </c>
      <c r="AJ15" s="93">
        <f>SMALL($AD$15:$AD$20,1)</f>
        <v>1.0101150000000001</v>
      </c>
      <c r="AK15" s="93">
        <f>IF(AJ15="","",RANK(AJ15,$AJ$15:$AJ$20,1))</f>
        <v>1</v>
      </c>
      <c r="AL15" s="94" t="str">
        <f>INDEX($AF$15:$AF$20,MATCH(AJ15,$AD$15:$AD$20,0),1)</f>
        <v>Heldner Mathis</v>
      </c>
      <c r="AM15" s="255">
        <f>IF(AD15="","",RANK(AD15,$AD$15:$AD$20,1))</f>
        <v>1</v>
      </c>
      <c r="CK15" s="95"/>
    </row>
    <row r="16" spans="1:111" ht="30.75" customHeight="1" x14ac:dyDescent="0.25">
      <c r="A16" s="96" t="s">
        <v>305</v>
      </c>
      <c r="B16" s="145" t="str">
        <f>'FM Poule 6j'!C6</f>
        <v>Jacquod Thibaud</v>
      </c>
      <c r="C16" s="97">
        <f>IF('FM Poule 6j'!W16+'FM Poule 6j'!W17&gt;0,'FM Poule 6j'!W17," ")</f>
        <v>0</v>
      </c>
      <c r="D16" s="98" t="s">
        <v>38</v>
      </c>
      <c r="E16" s="99">
        <f>IF('FM Poule 6j'!W16+'FM Poule 6j'!W17&gt;0,'FM Poule 6j'!W16," ")</f>
        <v>3</v>
      </c>
      <c r="F16" s="100"/>
      <c r="G16" s="101"/>
      <c r="H16" s="102"/>
      <c r="I16" s="97">
        <f>IF('FM Poule 6j'!W8+'FM Poule 6j'!W9&gt;0,'FM Poule 6j'!W8," ")</f>
        <v>3</v>
      </c>
      <c r="J16" s="98" t="s">
        <v>38</v>
      </c>
      <c r="K16" s="99">
        <f>IF('FM Poule 6j'!W8+'FM Poule 6j'!W9&gt;0,'FM Poule 6j'!W9," ")</f>
        <v>1</v>
      </c>
      <c r="L16" s="97">
        <f>IF('FM Poule 6j'!M8+'FM Poule 6j'!M9&gt;0,'FM Poule 6j'!M8," ")</f>
        <v>3</v>
      </c>
      <c r="M16" s="98" t="s">
        <v>38</v>
      </c>
      <c r="N16" s="128">
        <f>IF('FM Poule 6j'!M8+'FM Poule 6j'!M9&gt;0,'FM Poule 6j'!M9," ")</f>
        <v>0</v>
      </c>
      <c r="O16" s="97">
        <f>IF('FM Poule 6j'!M30+'FM Poule 6j'!M31&gt;0,'FM Poule 6j'!M30," ")</f>
        <v>0</v>
      </c>
      <c r="P16" s="98" t="s">
        <v>38</v>
      </c>
      <c r="Q16" s="99">
        <f>IF('FM Poule 6j'!M30+'FM Poule 6j'!M31&gt;0,'FM Poule 6j'!M31," ")</f>
        <v>3</v>
      </c>
      <c r="R16" s="97">
        <f>IF('FM Poule 6j'!M19+'FM Poule 6j'!M20&gt;0,'FM Poule 6j'!M19," ")</f>
        <v>3</v>
      </c>
      <c r="S16" s="128" t="s">
        <v>38</v>
      </c>
      <c r="T16" s="99">
        <f>IF('FM Poule 6j'!M19+'FM Poule 6j'!M20&gt;0,'FM Poule 6j'!M20," ")</f>
        <v>0</v>
      </c>
      <c r="U16" s="98">
        <f>SUM('FM Poule 6j'!F8:L8,'FM Poule 6j'!F19:L19,'FM Poule 6j'!F30:L30,'FM Poule 6j'!P8:V8,'FM Poule 6j'!P17:V17)</f>
        <v>146</v>
      </c>
      <c r="V16" s="98" t="s">
        <v>38</v>
      </c>
      <c r="W16" s="104">
        <f>SUM('FM Poule 6j'!F9:L9,'FM Poule 6j'!F20:L20,'FM Poule 6j'!F31:L31,'FM Poule 6j'!P9:V9,'FM Poule 6j'!P16:V16)</f>
        <v>131</v>
      </c>
      <c r="X16" s="103">
        <f>SUM('FM Poule 6j'!M8,'FM Poule 6j'!M19,'FM Poule 6j'!M30,'FM Poule 6j'!W8,'FM Poule 6j'!W17)</f>
        <v>9</v>
      </c>
      <c r="Y16" s="98" t="s">
        <v>38</v>
      </c>
      <c r="Z16" s="104">
        <f>SUM('FM Poule 6j'!M9,'FM Poule 6j'!M20,'FM Poule 6j'!M31,'FM Poule 6j'!W9,'FM Poule 6j'!W16)</f>
        <v>7</v>
      </c>
      <c r="AA16" s="103">
        <f>IF(C16&gt;E16,1,0)+IF(I16&gt;K16,1,0)+IF(L16&gt;N16,1,0)+IF(O16&gt;Q16,1,0)+IF(R16&gt;T16,1,0)</f>
        <v>3</v>
      </c>
      <c r="AB16" s="98" t="s">
        <v>38</v>
      </c>
      <c r="AC16" s="98">
        <f>IF(E16&gt;C16,1,0)+IF(K16&gt;I16,1,0)+IF(N16&gt;L16,1,0)+IF(Q16&gt;O16,1,0)+IF(T16&gt;R16,1,0)</f>
        <v>2</v>
      </c>
      <c r="AD16" s="92">
        <f t="shared" ref="AD16:AD20" si="0">IF(B16="","-",RANK(AI16,$AI$15:$AI$20,0)+RANK(AH16,$AH$15:$AH$20,0)%+RANK(AG16,$AG$15:$AG$20,0)%%+ROW()%%%)</f>
        <v>2.020216</v>
      </c>
      <c r="AE16" s="93">
        <f t="shared" ref="AE16:AE20" si="1">IF(AD16="","",RANK(AD16,$AD$15:$AD$20,1))</f>
        <v>2</v>
      </c>
      <c r="AF16" s="93" t="str">
        <f>'FM Poule 6j'!$C6</f>
        <v>Jacquod Thibaud</v>
      </c>
      <c r="AG16" s="93">
        <f t="shared" ref="AG16:AG20" si="2">SUM(U16-W16)</f>
        <v>15</v>
      </c>
      <c r="AH16" s="93">
        <f t="shared" ref="AH16:AH20" si="3">SUM(X16-Z16)</f>
        <v>2</v>
      </c>
      <c r="AI16" s="93">
        <f t="shared" ref="AI16:AI20" si="4">SUM(AA16-AC16)</f>
        <v>1</v>
      </c>
      <c r="AJ16" s="93">
        <f>SMALL($AD$15:$AD$20,2)</f>
        <v>2.020216</v>
      </c>
      <c r="AK16" s="93">
        <f t="shared" ref="AK16:AK20" si="5">IF(AJ16="","",RANK(AJ16,$AJ$15:$AJ$20,1))</f>
        <v>2</v>
      </c>
      <c r="AL16" s="94" t="str">
        <f t="shared" ref="AL16:AL20" si="6">INDEX($AF$15:$AF$20,MATCH(AJ16,$AD$15:$AD$20,0),1)</f>
        <v>Jacquod Thibaud</v>
      </c>
      <c r="AM16" s="255">
        <f t="shared" ref="AM16:AM20" si="7">IF(AD16="","",RANK(AD16,$AD$15:$AD$20,1))</f>
        <v>2</v>
      </c>
      <c r="AO16" s="105"/>
      <c r="BK16" s="106"/>
      <c r="BL16" s="106"/>
      <c r="BM16" s="106"/>
      <c r="BN16" s="106"/>
      <c r="BO16" s="106"/>
      <c r="BP16" s="106"/>
      <c r="BQ16" s="106"/>
      <c r="BR16" s="106"/>
      <c r="BS16" s="106"/>
      <c r="BT16" s="106"/>
      <c r="BU16" s="106"/>
      <c r="BV16" s="106"/>
      <c r="BW16" s="106"/>
      <c r="BX16" s="106"/>
      <c r="BY16" s="106"/>
      <c r="BZ16" s="106"/>
      <c r="CA16" s="106"/>
      <c r="CB16" s="106"/>
      <c r="CC16" s="106"/>
    </row>
    <row r="17" spans="1:105" s="45" customFormat="1" ht="30.75" customHeight="1" x14ac:dyDescent="0.25">
      <c r="A17" s="96" t="s">
        <v>306</v>
      </c>
      <c r="B17" s="145" t="str">
        <f>'FM Poule 6j'!C9</f>
        <v>Jäger Joel</v>
      </c>
      <c r="C17" s="97">
        <f>IF('FM Poule 6j'!M27+'FM Poule 6j'!M28&gt;0,'FM Poule 6j'!M28," ")</f>
        <v>3</v>
      </c>
      <c r="D17" s="98" t="s">
        <v>38</v>
      </c>
      <c r="E17" s="99">
        <f>IF('FM Poule 6j'!M27+'FM Poule 6j'!M28&gt;0,'FM Poule 6j'!M27," ")</f>
        <v>2</v>
      </c>
      <c r="F17" s="97">
        <f>IF('FM Poule 6j'!W8+'FM Poule 6j'!W9&gt;0,'FM Poule 6j'!W9," ")</f>
        <v>1</v>
      </c>
      <c r="G17" s="98" t="s">
        <v>38</v>
      </c>
      <c r="H17" s="99">
        <f>IF('FM Poule 6j'!W8+'FM Poule 6j'!W9&gt;0,'FM Poule 6j'!W8," ")</f>
        <v>3</v>
      </c>
      <c r="I17" s="100"/>
      <c r="J17" s="101"/>
      <c r="K17" s="102"/>
      <c r="L17" s="97">
        <f>IF('FM Poule 6j'!W19+'FM Poule 6j'!W20&gt;0,'FM Poule 6j'!W19," ")</f>
        <v>0</v>
      </c>
      <c r="M17" s="98" t="s">
        <v>38</v>
      </c>
      <c r="N17" s="128">
        <f>IF('FM Poule 6j'!W19+'FM Poule 6j'!W20&gt;0,'FM Poule 6j'!W20," ")</f>
        <v>3</v>
      </c>
      <c r="O17" s="97">
        <f>IF('FM Poule 6j'!M22+'FM Poule 6j'!M23&gt;0,'FM Poule 6j'!M22," ")</f>
        <v>3</v>
      </c>
      <c r="P17" s="98" t="s">
        <v>38</v>
      </c>
      <c r="Q17" s="99">
        <f>IF('FM Poule 6j'!M22+'FM Poule 6j'!M23&gt;0,'FM Poule 6j'!M23," ")</f>
        <v>0</v>
      </c>
      <c r="R17" s="97">
        <f>IF('FM Poule 6j'!M11+'FM Poule 6j'!M12&gt;0,'FM Poule 6j'!M11," ")</f>
        <v>3</v>
      </c>
      <c r="S17" s="128" t="s">
        <v>38</v>
      </c>
      <c r="T17" s="99">
        <f>IF('FM Poule 6j'!M11+'FM Poule 6j'!M12&gt;0,'FM Poule 6j'!M12," ")</f>
        <v>0</v>
      </c>
      <c r="U17" s="98">
        <f>SUM('FM Poule 6j'!F11:L11,'FM Poule 6j'!F22:L22,'FM Poule 6j'!F28:L28,'FM Poule 6j'!P9:V9,'FM Poule 6j'!P19:V19)</f>
        <v>173</v>
      </c>
      <c r="V17" s="98" t="s">
        <v>38</v>
      </c>
      <c r="W17" s="104">
        <f>SUM('FM Poule 6j'!F12:L12,'FM Poule 6j'!F23:L23,'FM Poule 6j'!F27:L27,'FM Poule 6j'!P8:V8,'FM Poule 6j'!P20:V20)</f>
        <v>158</v>
      </c>
      <c r="X17" s="103">
        <f>SUM('FM Poule 6j'!M11,'FM Poule 6j'!M22,'FM Poule 6j'!M28,'FM Poule 6j'!W9,'FM Poule 6j'!W19)</f>
        <v>10</v>
      </c>
      <c r="Y17" s="98" t="s">
        <v>38</v>
      </c>
      <c r="Z17" s="104">
        <f>SUM('FM Poule 6j'!M12,'FM Poule 6j'!M23,'FM Poule 6j'!M27,'FM Poule 6j'!W8,'FM Poule 6j'!W20)</f>
        <v>8</v>
      </c>
      <c r="AA17" s="103">
        <f>IF(C17&gt;E17,1,0)+IF(F17&gt;H17,1,0)+IF(L17&gt;N17,1,0)+IF(O17&gt;Q17,1,0)+IF(R17&gt;T17,1,0)</f>
        <v>3</v>
      </c>
      <c r="AB17" s="98" t="s">
        <v>38</v>
      </c>
      <c r="AC17" s="98">
        <f>IF(E17&gt;C17,1,0)+IF(H17&gt;F17,1,0)+IF(N17&gt;L17,1,0)+IF(Q17&gt;O17,1,0)+IF(T17&gt;R17,1,0)</f>
        <v>2</v>
      </c>
      <c r="AD17" s="92">
        <f t="shared" si="0"/>
        <v>2.0202170000000002</v>
      </c>
      <c r="AE17" s="93">
        <f t="shared" si="1"/>
        <v>3</v>
      </c>
      <c r="AF17" s="93" t="str">
        <f>'FM Poule 6j'!$C9</f>
        <v>Jäger Joel</v>
      </c>
      <c r="AG17" s="93">
        <f t="shared" si="2"/>
        <v>15</v>
      </c>
      <c r="AH17" s="93">
        <f t="shared" si="3"/>
        <v>2</v>
      </c>
      <c r="AI17" s="93">
        <f t="shared" si="4"/>
        <v>1</v>
      </c>
      <c r="AJ17" s="93">
        <f>SMALL($AD$15:$AD$20,3)</f>
        <v>2.0202170000000002</v>
      </c>
      <c r="AK17" s="93">
        <f t="shared" si="5"/>
        <v>3</v>
      </c>
      <c r="AL17" s="94" t="str">
        <f t="shared" si="6"/>
        <v>Jäger Joel</v>
      </c>
      <c r="AM17" s="255">
        <f t="shared" si="7"/>
        <v>3</v>
      </c>
      <c r="AN17" s="43"/>
      <c r="BJ17" s="46"/>
      <c r="BK17" s="106"/>
      <c r="BL17" s="106"/>
      <c r="BM17" s="106"/>
      <c r="BN17" s="106"/>
      <c r="BO17" s="106"/>
      <c r="BP17" s="106"/>
      <c r="BQ17" s="106"/>
      <c r="BR17" s="106"/>
      <c r="BS17" s="106"/>
      <c r="BT17" s="106"/>
      <c r="BU17" s="106"/>
      <c r="BV17" s="106"/>
      <c r="BW17" s="106"/>
      <c r="BX17" s="106"/>
      <c r="BY17" s="106"/>
      <c r="BZ17" s="106"/>
      <c r="CA17" s="106"/>
      <c r="CB17" s="106"/>
      <c r="CC17" s="106"/>
      <c r="CD17" s="95"/>
      <c r="CE17" s="95"/>
      <c r="CF17" s="95"/>
      <c r="CG17" s="95"/>
      <c r="CH17" s="95"/>
      <c r="CI17" s="95"/>
      <c r="CJ17" s="95"/>
      <c r="CK17" s="71"/>
      <c r="CL17" s="95"/>
      <c r="CM17" s="95"/>
      <c r="CN17" s="95"/>
      <c r="CO17" s="95"/>
      <c r="CP17" s="95"/>
      <c r="CQ17" s="95"/>
      <c r="CR17" s="95"/>
      <c r="CS17" s="95"/>
      <c r="CT17" s="95"/>
      <c r="CU17" s="95"/>
      <c r="CV17" s="95"/>
      <c r="CW17" s="95"/>
      <c r="CX17" s="95"/>
      <c r="CY17" s="95"/>
      <c r="CZ17" s="95"/>
      <c r="DA17" s="95"/>
    </row>
    <row r="18" spans="1:105" ht="30.75" customHeight="1" x14ac:dyDescent="0.2">
      <c r="A18" s="83" t="s">
        <v>309</v>
      </c>
      <c r="B18" s="145" t="str">
        <f>'FM Poule 6j'!C12</f>
        <v>Knöri Alexander</v>
      </c>
      <c r="C18" s="97">
        <f>IF('FM Poule 6j'!M16+'FM Poule 6j'!M17&gt;0,'FM Poule 6j'!M17," ")</f>
        <v>0</v>
      </c>
      <c r="D18" s="98" t="s">
        <v>38</v>
      </c>
      <c r="E18" s="99">
        <f>IF('FM Poule 6j'!M16+'FM Poule 6j'!M17&gt;0,'FM Poule 6j'!M16," ")</f>
        <v>3</v>
      </c>
      <c r="F18" s="97">
        <f>IF('FM Poule 6j'!M8+'FM Poule 6j'!M9&gt;0,'FM Poule 6j'!M9," ")</f>
        <v>0</v>
      </c>
      <c r="G18" s="98" t="s">
        <v>38</v>
      </c>
      <c r="H18" s="99">
        <f>IF('FM Poule 6j'!M8+'FM Poule 6j'!M9&gt;0,'FM Poule 6j'!M8," ")</f>
        <v>3</v>
      </c>
      <c r="I18" s="97">
        <f>IF('FM Poule 6j'!W19+'FM Poule 6j'!W20&gt;0,'FM Poule 6j'!W20," ")</f>
        <v>3</v>
      </c>
      <c r="J18" s="98" t="s">
        <v>38</v>
      </c>
      <c r="K18" s="99">
        <f>IF('FM Poule 6j'!W19+'FM Poule 6j'!W20&gt;0,'FM Poule 6j'!W19," ")</f>
        <v>0</v>
      </c>
      <c r="L18" s="100"/>
      <c r="M18" s="101"/>
      <c r="N18" s="101"/>
      <c r="O18" s="97">
        <f>IF('FM Poule 6j'!W11+'FM Poule 6j'!W12&gt;0,'FM Poule 6j'!W11," ")</f>
        <v>0</v>
      </c>
      <c r="P18" s="98" t="s">
        <v>38</v>
      </c>
      <c r="Q18" s="99">
        <f>IF('FM Poule 6j'!W11+'FM Poule 6j'!W12&gt;0,'FM Poule 6j'!W12," ")</f>
        <v>3</v>
      </c>
      <c r="R18" s="97">
        <f>IF('FM Poule 6j'!M33+'FM Poule 6j'!M34&gt;0,'FM Poule 6j'!M33," ")</f>
        <v>0</v>
      </c>
      <c r="S18" s="128" t="s">
        <v>38</v>
      </c>
      <c r="T18" s="99">
        <f>IF('FM Poule 6j'!M33+'FM Poule 6j'!M34&gt;0,'FM Poule 6j'!M34," ")</f>
        <v>3</v>
      </c>
      <c r="U18" s="98">
        <f>SUM('FM Poule 6j'!F9:L9,'FM Poule 6j'!F17:L17,'FM Poule 6j'!F33:L33,'FM Poule 6j'!P11:V11,'FM Poule 6j'!P20:V20)</f>
        <v>93</v>
      </c>
      <c r="V18" s="98" t="s">
        <v>38</v>
      </c>
      <c r="W18" s="104">
        <f>SUM('FM Poule 6j'!F8:L8,'FM Poule 6j'!F16:L16,'FM Poule 6j'!F34:L34,'FM Poule 6j'!P12:V12,'FM Poule 6j'!P19:V19)</f>
        <v>150</v>
      </c>
      <c r="X18" s="103">
        <f>SUM('FM Poule 6j'!M9,'FM Poule 6j'!M17,'FM Poule 6j'!M33,'FM Poule 6j'!W11,'FM Poule 6j'!W20)</f>
        <v>3</v>
      </c>
      <c r="Y18" s="98" t="s">
        <v>38</v>
      </c>
      <c r="Z18" s="104">
        <f>SUM('FM Poule 6j'!M8,'FM Poule 6j'!M16,'FM Poule 6j'!M34,'FM Poule 6j'!W12,'FM Poule 6j'!W19)</f>
        <v>12</v>
      </c>
      <c r="AA18" s="103">
        <f>IF(C18&gt;E18,1,0)+IF(F18&gt;H18,1,0)+IF(I18&gt;K18,1,0)+IF(O18&gt;Q18,1,0)+IF(R18&gt;T18,1,0)</f>
        <v>1</v>
      </c>
      <c r="AB18" s="98" t="s">
        <v>38</v>
      </c>
      <c r="AC18" s="98">
        <f>IF(E18&gt;C18,1,0)+IF(H18&gt;F18,1,0)+IF(K18&gt;I18,1,0)+IF(Q18&gt;O18,1,0)+IF(T18&gt;R18,1,0)</f>
        <v>4</v>
      </c>
      <c r="AD18" s="92">
        <f t="shared" si="0"/>
        <v>6.0606179999999998</v>
      </c>
      <c r="AE18" s="93">
        <f t="shared" si="1"/>
        <v>6</v>
      </c>
      <c r="AF18" s="93" t="str">
        <f>'FM Poule 6j'!$C12</f>
        <v>Knöri Alexander</v>
      </c>
      <c r="AG18" s="93">
        <f t="shared" si="2"/>
        <v>-57</v>
      </c>
      <c r="AH18" s="93">
        <f t="shared" si="3"/>
        <v>-9</v>
      </c>
      <c r="AI18" s="93">
        <f t="shared" si="4"/>
        <v>-3</v>
      </c>
      <c r="AJ18" s="93">
        <f>SMALL($AD$15:$AD$20,4)</f>
        <v>4.0404200000000001</v>
      </c>
      <c r="AK18" s="93">
        <f t="shared" si="5"/>
        <v>4</v>
      </c>
      <c r="AL18" s="94" t="str">
        <f t="shared" si="6"/>
        <v>Massy Kenny</v>
      </c>
      <c r="AM18" s="255">
        <f t="shared" si="7"/>
        <v>6</v>
      </c>
      <c r="CK18" s="95"/>
    </row>
    <row r="19" spans="1:105" ht="30.75" customHeight="1" x14ac:dyDescent="0.2">
      <c r="A19" s="83" t="s">
        <v>312</v>
      </c>
      <c r="B19" s="146" t="str">
        <f>'FM Poule 6j'!C15</f>
        <v>Marjay David</v>
      </c>
      <c r="C19" s="107">
        <f>IF('FM Poule 6j'!M5+'FM Poule 6j'!M6&gt;0,'FM Poule 6j'!M6," ")</f>
        <v>0</v>
      </c>
      <c r="D19" s="108" t="s">
        <v>38</v>
      </c>
      <c r="E19" s="109">
        <f>IF('FM Poule 6j'!M5+'FM Poule 6j'!M6&gt;0,'FM Poule 6j'!M5," ")</f>
        <v>3</v>
      </c>
      <c r="F19" s="107">
        <f>IF('FM Poule 6j'!M30+'FM Poule 6j'!M31&gt;0,'FM Poule 6j'!M31," ")</f>
        <v>3</v>
      </c>
      <c r="G19" s="108" t="s">
        <v>38</v>
      </c>
      <c r="H19" s="109">
        <f>IF('FM Poule 6j'!M30+'FM Poule 6j'!M31&gt;0,'FM Poule 6j'!M30," ")</f>
        <v>0</v>
      </c>
      <c r="I19" s="107">
        <f>IF('FM Poule 6j'!M22+'FM Poule 6j'!M23&gt;0,'FM Poule 6j'!M23," ")</f>
        <v>0</v>
      </c>
      <c r="J19" s="108" t="s">
        <v>38</v>
      </c>
      <c r="K19" s="109">
        <f>IF('FM Poule 6j'!M22+'FM Poule 6j'!M23&gt;0,'FM Poule 6j'!M22," ")</f>
        <v>3</v>
      </c>
      <c r="L19" s="107">
        <f>IF('FM Poule 6j'!W11+'FM Poule 6j'!W12&gt;0,'FM Poule 6j'!W12," ")</f>
        <v>3</v>
      </c>
      <c r="M19" s="108" t="s">
        <v>38</v>
      </c>
      <c r="N19" s="116">
        <f>IF('FM Poule 6j'!W11+'FM Poule 6j'!W12&gt;0,'FM Poule 6j'!W11," ")</f>
        <v>0</v>
      </c>
      <c r="O19" s="129"/>
      <c r="P19" s="130"/>
      <c r="Q19" s="133"/>
      <c r="R19" s="134">
        <f>IF('FM Poule 6j'!W22+'FM Poule 6j'!W23&gt;0,'FM Poule 6j'!W22," ")</f>
        <v>0</v>
      </c>
      <c r="S19" s="135" t="s">
        <v>38</v>
      </c>
      <c r="T19" s="136">
        <f>IF('FM Poule 6j'!W22+'FM Poule 6j'!W23&gt;0,'FM Poule 6j'!W23," ")</f>
        <v>3</v>
      </c>
      <c r="U19" s="108">
        <f>SUM('FM Poule 6j'!F6:L6,'FM Poule 6j'!F23:L23,'FM Poule 6j'!F31:L31,'FM Poule 6j'!P12:V12,'FM Poule 6j'!P22:V22)</f>
        <v>108</v>
      </c>
      <c r="V19" s="108" t="s">
        <v>38</v>
      </c>
      <c r="W19" s="114">
        <f>SUM('FM Poule 6j'!F5:L5,'FM Poule 6j'!F22:L22,'FM Poule 6j'!F30:L30,'FM Poule 6j'!P11:V11,'FM Poule 6j'!P23:V23)</f>
        <v>145</v>
      </c>
      <c r="X19" s="113">
        <f>SUM('FM Poule 6j'!M6,'FM Poule 6j'!M23,'FM Poule 6j'!M31,'FM Poule 6j'!W12,'FM Poule 6j'!W22)</f>
        <v>6</v>
      </c>
      <c r="Y19" s="108" t="s">
        <v>38</v>
      </c>
      <c r="Z19" s="114">
        <f>SUM('FM Poule 6j'!M5,'FM Poule 6j'!M22,'FM Poule 6j'!M30,'FM Poule 6j'!W11,'FM Poule 6j'!W23)</f>
        <v>9</v>
      </c>
      <c r="AA19" s="113">
        <f>IF(C19&gt;E19,1,0)+IF(F19&gt;H19,1,0)+IF(I19&gt;K19,1,0)+IF(L19&gt;N19,1,0)+IF(R19&gt;T19,1,0)</f>
        <v>2</v>
      </c>
      <c r="AB19" s="108" t="s">
        <v>38</v>
      </c>
      <c r="AC19" s="108">
        <f>IF(E19&gt;C19,1,0)+IF(H19&gt;F19,1,0)+IF(K19&gt;I19,1,0)+IF(N19&gt;L19,1,0)+IF(T19&gt;R19,1,0)</f>
        <v>3</v>
      </c>
      <c r="AD19" s="92">
        <f t="shared" si="0"/>
        <v>4.0405189999999997</v>
      </c>
      <c r="AE19" s="93">
        <f t="shared" si="1"/>
        <v>5</v>
      </c>
      <c r="AF19" s="93" t="str">
        <f>'FM Poule 6j'!$C15</f>
        <v>Marjay David</v>
      </c>
      <c r="AG19" s="93">
        <f t="shared" si="2"/>
        <v>-37</v>
      </c>
      <c r="AH19" s="93">
        <f t="shared" si="3"/>
        <v>-3</v>
      </c>
      <c r="AI19" s="93">
        <f t="shared" si="4"/>
        <v>-1</v>
      </c>
      <c r="AJ19" s="93">
        <f>SMALL($AD$15:$AD$20,5)</f>
        <v>4.0405189999999997</v>
      </c>
      <c r="AK19" s="93">
        <f t="shared" si="5"/>
        <v>5</v>
      </c>
      <c r="AL19" s="94" t="str">
        <f t="shared" si="6"/>
        <v>Marjay David</v>
      </c>
      <c r="AM19" s="255">
        <f t="shared" si="7"/>
        <v>5</v>
      </c>
      <c r="AN19" s="119"/>
      <c r="BK19" s="80"/>
      <c r="BL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</row>
    <row r="20" spans="1:105" ht="30.75" customHeight="1" x14ac:dyDescent="0.2">
      <c r="A20" s="137" t="s">
        <v>315</v>
      </c>
      <c r="B20" s="147" t="str">
        <f>'FM Poule 6j'!C18</f>
        <v>Massy Kenny</v>
      </c>
      <c r="C20" s="138">
        <f>IF('FM Poule 6j'!W5+'FM Poule 6j'!W6&gt;0,'FM Poule 6j'!W6," ")</f>
        <v>0</v>
      </c>
      <c r="D20" s="139" t="s">
        <v>38</v>
      </c>
      <c r="E20" s="140">
        <f>IF('FM Poule 6j'!W5+'FM Poule 6j'!W6&gt;0,'FM Poule 6j'!W5," ")</f>
        <v>3</v>
      </c>
      <c r="F20" s="138">
        <f>IF('FM Poule 6j'!M19+'FM Poule 6j'!M20&gt;0,'FM Poule 6j'!M20," ")</f>
        <v>0</v>
      </c>
      <c r="G20" s="139" t="s">
        <v>38</v>
      </c>
      <c r="H20" s="140">
        <f>IF('FM Poule 6j'!M19+'FM Poule 6j'!M20&gt;0,'FM Poule 6j'!M19," ")</f>
        <v>3</v>
      </c>
      <c r="I20" s="138">
        <f>IF('FM Poule 6j'!M11+'FM Poule 6j'!M12&gt;0,'FM Poule 6j'!M12," ")</f>
        <v>0</v>
      </c>
      <c r="J20" s="139" t="s">
        <v>38</v>
      </c>
      <c r="K20" s="140">
        <f>IF('FM Poule 6j'!M11+'FM Poule 6j'!M12&gt;0,'FM Poule 6j'!M11," ")</f>
        <v>3</v>
      </c>
      <c r="L20" s="138">
        <f>IF('FM Poule 6j'!M33+'FM Poule 6j'!M34&gt;0,'FM Poule 6j'!M34," ")</f>
        <v>3</v>
      </c>
      <c r="M20" s="139" t="s">
        <v>38</v>
      </c>
      <c r="N20" s="140">
        <f>IF('FM Poule 6j'!M33+'FM Poule 6j'!M34&gt;0,'FM Poule 6j'!M33," ")</f>
        <v>0</v>
      </c>
      <c r="O20" s="138">
        <f>IF('FM Poule 6j'!W22+'FM Poule 6j'!W23&gt;0,'FM Poule 6j'!W23," ")</f>
        <v>3</v>
      </c>
      <c r="P20" s="139" t="s">
        <v>38</v>
      </c>
      <c r="Q20" s="141">
        <f>IF('FM Poule 6j'!W22+'FM Poule 6j'!W23&gt;0,'FM Poule 6j'!W22," ")</f>
        <v>0</v>
      </c>
      <c r="R20" s="142"/>
      <c r="S20" s="143"/>
      <c r="T20" s="144"/>
      <c r="U20" s="141">
        <f>SUM('FM Poule 6j'!F12:L12,'FM Poule 6j'!F20:L20,'FM Poule 6j'!F34:L34,'FM Poule 6j'!P6:V6,'FM Poule 6j'!P23:V23)</f>
        <v>131</v>
      </c>
      <c r="V20" s="139" t="s">
        <v>38</v>
      </c>
      <c r="W20" s="140">
        <f>SUM('FM Poule 6j'!F11:L11,'FM Poule 6j'!F19:L19,'FM Poule 6j'!F33:L33,'FM Poule 6j'!P5:V5,'FM Poule 6j'!P22:V22)</f>
        <v>129</v>
      </c>
      <c r="X20" s="138">
        <f>SUM('FM Poule 6j'!M12,'FM Poule 6j'!M20,'FM Poule 6j'!M34,'FM Poule 6j'!W6,'FM Poule 6j'!W23)</f>
        <v>6</v>
      </c>
      <c r="Y20" s="139" t="s">
        <v>38</v>
      </c>
      <c r="Z20" s="140">
        <f>SUM('FM Poule 6j'!M11,'FM Poule 6j'!M19,'FM Poule 6j'!M33,'FM Poule 6j'!W5,'FM Poule 6j'!W22)</f>
        <v>9</v>
      </c>
      <c r="AA20" s="103">
        <f>IF(C20&gt;E20,1,0)+IF(F20&gt;H20,1,0)+IF(I20&gt;K20,1,0)+IF(L20&gt;N20,1,0)+IF(O20&gt;Q20,1,0)</f>
        <v>2</v>
      </c>
      <c r="AB20" s="139" t="s">
        <v>38</v>
      </c>
      <c r="AC20" s="104">
        <f>IF(E20&gt;C20,1,0)+IF(H20&gt;F20,1,0)+IF(K20&gt;I20,1,0)+IF(N20&gt;L20,1,0)+IF(Q20&gt;O20,1,0)</f>
        <v>3</v>
      </c>
      <c r="AD20" s="55">
        <f t="shared" si="0"/>
        <v>4.0404200000000001</v>
      </c>
      <c r="AE20" s="131">
        <f t="shared" si="1"/>
        <v>4</v>
      </c>
      <c r="AF20" s="131" t="str">
        <f>'FM Poule 6j'!$C18</f>
        <v>Massy Kenny</v>
      </c>
      <c r="AG20" s="131">
        <f t="shared" si="2"/>
        <v>2</v>
      </c>
      <c r="AH20" s="131">
        <f t="shared" si="3"/>
        <v>-3</v>
      </c>
      <c r="AI20" s="131">
        <f t="shared" si="4"/>
        <v>-1</v>
      </c>
      <c r="AJ20" s="131">
        <f>SMALL($AD$15:$AD$20,6)</f>
        <v>6.0606179999999998</v>
      </c>
      <c r="AK20" s="131">
        <f t="shared" si="5"/>
        <v>6</v>
      </c>
      <c r="AL20" s="56" t="str">
        <f t="shared" si="6"/>
        <v>Knöri Alexander</v>
      </c>
      <c r="AM20" s="255">
        <f t="shared" si="7"/>
        <v>4</v>
      </c>
      <c r="AN20" s="119"/>
      <c r="AO20" s="119"/>
      <c r="BK20" s="80"/>
      <c r="BL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</row>
    <row r="21" spans="1:105" ht="15" customHeight="1" x14ac:dyDescent="0.2">
      <c r="B21" s="316" t="s">
        <v>316</v>
      </c>
      <c r="C21" s="316"/>
      <c r="D21" s="316"/>
      <c r="E21" s="316"/>
      <c r="F21" s="316"/>
      <c r="G21" s="316"/>
      <c r="H21" s="316"/>
      <c r="I21" s="316"/>
      <c r="J21" s="316"/>
      <c r="K21" s="316"/>
      <c r="L21" s="316"/>
      <c r="M21" s="316"/>
      <c r="N21" s="316"/>
      <c r="O21" s="316"/>
      <c r="P21" s="316"/>
      <c r="Q21" s="316"/>
      <c r="R21" s="316"/>
      <c r="S21" s="316"/>
      <c r="T21" s="316"/>
      <c r="U21" s="316"/>
      <c r="V21" s="316"/>
      <c r="W21" s="316"/>
      <c r="X21" s="316"/>
      <c r="Y21" s="316"/>
      <c r="Z21" s="316"/>
      <c r="AA21" s="316"/>
      <c r="AB21" s="316"/>
      <c r="AC21" s="316"/>
      <c r="AD21" s="316"/>
      <c r="AE21" s="316"/>
      <c r="AF21" s="316"/>
      <c r="AG21" s="316"/>
      <c r="AH21" s="316"/>
      <c r="AI21" s="316"/>
      <c r="AJ21" s="316"/>
      <c r="AK21" s="316"/>
      <c r="AL21" s="316"/>
      <c r="AM21" s="316"/>
      <c r="AN21" s="119"/>
      <c r="AO21" s="119"/>
      <c r="BK21" s="80"/>
      <c r="BL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</row>
    <row r="22" spans="1:105" ht="15" customHeight="1" x14ac:dyDescent="0.2"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AA22" s="81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BK22" s="80"/>
      <c r="BL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</row>
    <row r="23" spans="1:105" ht="15" customHeight="1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AA23" s="81"/>
      <c r="AB23" s="119"/>
      <c r="AC23" s="119"/>
      <c r="AD23" s="119"/>
      <c r="AE23" s="119"/>
      <c r="AF23" s="119"/>
      <c r="AG23" s="119"/>
      <c r="AH23" s="119"/>
      <c r="AI23" s="119"/>
      <c r="AJ23" s="119"/>
      <c r="AK23" s="119"/>
      <c r="AL23" s="119"/>
      <c r="AM23" s="119"/>
      <c r="AN23" s="119"/>
      <c r="AO23" s="119"/>
      <c r="BK23" s="80"/>
      <c r="BL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</row>
    <row r="24" spans="1:105" ht="15" customHeight="1" x14ac:dyDescent="0.2"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AA24" s="81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BK24" s="80"/>
      <c r="BL24" s="80"/>
      <c r="BO24" s="80"/>
      <c r="BP24" s="80"/>
      <c r="BQ24" s="80"/>
      <c r="BR24" s="80"/>
      <c r="BS24" s="80"/>
      <c r="BT24" s="80"/>
      <c r="BU24" s="80"/>
      <c r="BV24" s="80"/>
      <c r="BW24" s="80"/>
      <c r="BX24" s="80"/>
      <c r="BY24" s="80"/>
      <c r="BZ24" s="80"/>
      <c r="CA24" s="80"/>
      <c r="CB24" s="80"/>
      <c r="CC24" s="80"/>
    </row>
    <row r="25" spans="1:105" ht="15" customHeight="1" x14ac:dyDescent="0.2"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U25" s="45"/>
      <c r="AA25" s="81"/>
      <c r="AB25" s="119"/>
      <c r="AC25" s="119"/>
      <c r="AD25" s="119"/>
      <c r="AE25" s="119"/>
      <c r="AF25" s="119"/>
      <c r="AG25" s="119"/>
      <c r="AH25" s="119"/>
      <c r="AI25" s="119"/>
      <c r="AJ25" s="119"/>
      <c r="AK25" s="119"/>
      <c r="AL25" s="119"/>
      <c r="AM25" s="119"/>
      <c r="AN25" s="119"/>
      <c r="AO25" s="119"/>
      <c r="BK25" s="80"/>
      <c r="BL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</row>
    <row r="26" spans="1:105" ht="15" customHeight="1" x14ac:dyDescent="0.2">
      <c r="T26" s="45"/>
      <c r="BK26" s="80"/>
      <c r="BL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95"/>
      <c r="CE26" s="95"/>
      <c r="CF26" s="95"/>
    </row>
    <row r="27" spans="1:105" ht="15" customHeight="1" x14ac:dyDescent="0.2">
      <c r="BU27" s="95"/>
      <c r="BV27" s="95"/>
      <c r="BW27" s="95"/>
      <c r="BX27" s="95"/>
      <c r="BY27" s="95"/>
      <c r="BZ27" s="95"/>
      <c r="CA27" s="95"/>
      <c r="CB27" s="95"/>
      <c r="CC27" s="95"/>
      <c r="CD27" s="95"/>
      <c r="CE27" s="95"/>
      <c r="CF27" s="95"/>
      <c r="CG27" s="95"/>
      <c r="CH27" s="95"/>
      <c r="CI27" s="95"/>
      <c r="CJ27" s="95"/>
      <c r="CK27" s="95"/>
      <c r="CL27" s="95"/>
      <c r="CM27" s="95"/>
      <c r="CN27" s="95"/>
    </row>
    <row r="30" spans="1:105" ht="15" customHeight="1" x14ac:dyDescent="0.2">
      <c r="BU30" s="95"/>
      <c r="BV30" s="95"/>
      <c r="BW30" s="95"/>
      <c r="BX30" s="95"/>
      <c r="BY30" s="95"/>
      <c r="BZ30" s="95"/>
      <c r="CA30" s="95"/>
      <c r="CB30" s="95"/>
      <c r="CC30" s="95"/>
      <c r="CD30" s="95"/>
      <c r="CE30" s="95"/>
      <c r="CF30" s="95"/>
      <c r="CG30" s="95"/>
      <c r="CH30" s="95"/>
      <c r="CI30" s="95"/>
      <c r="CJ30" s="95"/>
      <c r="CK30" s="95"/>
      <c r="CL30" s="95"/>
      <c r="CM30" s="95"/>
      <c r="CN30" s="95"/>
    </row>
  </sheetData>
  <dataConsolidate/>
  <mergeCells count="15">
    <mergeCell ref="X14:Z14"/>
    <mergeCell ref="AA14:AC14"/>
    <mergeCell ref="AD14:AL14"/>
    <mergeCell ref="B21:AM21"/>
    <mergeCell ref="B2:AO3"/>
    <mergeCell ref="B4:AO5"/>
    <mergeCell ref="C10:E14"/>
    <mergeCell ref="F10:H14"/>
    <mergeCell ref="I10:K14"/>
    <mergeCell ref="L10:N14"/>
    <mergeCell ref="O10:Q14"/>
    <mergeCell ref="R10:T14"/>
    <mergeCell ref="U12:W12"/>
    <mergeCell ref="U14:W14"/>
    <mergeCell ref="X12:AC12"/>
  </mergeCells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1266" r:id="rId4" name="CommandButton1">
          <controlPr defaultSize="0" print="0" autoLine="0" autoPict="0" r:id="rId5">
            <anchor moveWithCells="1">
              <from>
                <xdr:col>40</xdr:col>
                <xdr:colOff>371475</xdr:colOff>
                <xdr:row>14</xdr:row>
                <xdr:rowOff>295275</xdr:rowOff>
              </from>
              <to>
                <xdr:col>43</xdr:col>
                <xdr:colOff>0</xdr:colOff>
                <xdr:row>16</xdr:row>
                <xdr:rowOff>9525</xdr:rowOff>
              </to>
            </anchor>
          </controlPr>
        </control>
      </mc:Choice>
      <mc:Fallback>
        <control shapeId="11266" r:id="rId4" name="CommandButton1"/>
      </mc:Fallback>
    </mc:AlternateContent>
    <mc:AlternateContent xmlns:mc="http://schemas.openxmlformats.org/markup-compatibility/2006">
      <mc:Choice Requires="x14">
        <control shapeId="11265" r:id="rId6" name="Afficher_FM_Poule_6j">
          <controlPr defaultSize="0" print="0" autoLine="0" r:id="rId7">
            <anchor moveWithCells="1">
              <from>
                <xdr:col>40</xdr:col>
                <xdr:colOff>361950</xdr:colOff>
                <xdr:row>11</xdr:row>
                <xdr:rowOff>295275</xdr:rowOff>
              </from>
              <to>
                <xdr:col>43</xdr:col>
                <xdr:colOff>0</xdr:colOff>
                <xdr:row>14</xdr:row>
                <xdr:rowOff>0</xdr:rowOff>
              </to>
            </anchor>
          </controlPr>
        </control>
      </mc:Choice>
      <mc:Fallback>
        <control shapeId="11265" r:id="rId6" name="Afficher_FM_Poule_6j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B266"/>
  <sheetViews>
    <sheetView topLeftCell="E1" zoomScale="110" zoomScaleNormal="110" workbookViewId="0">
      <selection activeCell="R7" sqref="R7"/>
    </sheetView>
  </sheetViews>
  <sheetFormatPr baseColWidth="10" defaultRowHeight="15" x14ac:dyDescent="0.25"/>
  <cols>
    <col min="1" max="1" width="9" customWidth="1"/>
    <col min="2" max="2" width="4" customWidth="1"/>
    <col min="3" max="6" width="4.28515625" customWidth="1"/>
    <col min="7" max="7" width="9" customWidth="1"/>
    <col min="8" max="8" width="5.28515625" customWidth="1"/>
    <col min="9" max="9" width="18.5703125" bestFit="1" customWidth="1"/>
    <col min="10" max="10" width="6.140625" customWidth="1"/>
    <col min="11" max="11" width="1.5703125" customWidth="1"/>
    <col min="12" max="13" width="6.140625" customWidth="1"/>
    <col min="14" max="14" width="1.5703125" customWidth="1"/>
    <col min="15" max="16" width="6.140625" customWidth="1"/>
    <col min="17" max="17" width="1.5703125" customWidth="1"/>
    <col min="18" max="18" width="6.140625" customWidth="1"/>
    <col min="19" max="19" width="7.140625" bestFit="1" customWidth="1"/>
    <col min="20" max="20" width="4.7109375" customWidth="1"/>
    <col min="21" max="21" width="4.28515625" customWidth="1"/>
    <col min="22" max="22" width="16.7109375" customWidth="1"/>
    <col min="23" max="23" width="30.28515625" customWidth="1"/>
    <col min="24" max="24" width="3.140625" customWidth="1"/>
    <col min="25" max="25" width="4.28515625" customWidth="1"/>
    <col min="26" max="26" width="35" customWidth="1"/>
    <col min="27" max="27" width="23.7109375" customWidth="1"/>
    <col min="28" max="28" width="4.28515625" customWidth="1"/>
  </cols>
  <sheetData>
    <row r="2" spans="1:28" ht="15" customHeight="1" x14ac:dyDescent="0.25">
      <c r="A2" s="341" t="s">
        <v>27</v>
      </c>
      <c r="B2" s="342"/>
      <c r="C2" s="254"/>
      <c r="E2" s="304">
        <v>3</v>
      </c>
      <c r="F2" s="343"/>
      <c r="G2" s="343"/>
      <c r="H2" s="307" t="s">
        <v>412</v>
      </c>
      <c r="I2" s="346"/>
      <c r="J2" s="346"/>
      <c r="K2" s="308"/>
      <c r="L2" s="27"/>
    </row>
    <row r="3" spans="1:28" ht="15" customHeight="1" x14ac:dyDescent="0.25">
      <c r="A3" s="341" t="s">
        <v>28</v>
      </c>
      <c r="B3" s="342"/>
      <c r="C3" s="254"/>
      <c r="E3" s="305"/>
      <c r="F3" s="344"/>
      <c r="G3" s="344"/>
      <c r="H3" s="309"/>
      <c r="I3" s="347"/>
      <c r="J3" s="347"/>
      <c r="K3" s="310"/>
      <c r="L3" s="27"/>
    </row>
    <row r="4" spans="1:28" ht="15" customHeight="1" x14ac:dyDescent="0.25">
      <c r="A4" s="341" t="s">
        <v>29</v>
      </c>
      <c r="B4" s="342"/>
      <c r="C4" s="254"/>
      <c r="E4" s="305"/>
      <c r="F4" s="344"/>
      <c r="G4" s="344"/>
      <c r="H4" s="309"/>
      <c r="I4" s="347"/>
      <c r="J4" s="347"/>
      <c r="K4" s="310"/>
      <c r="L4" s="27"/>
    </row>
    <row r="5" spans="1:28" ht="15" customHeight="1" x14ac:dyDescent="0.25">
      <c r="A5" s="341" t="s">
        <v>30</v>
      </c>
      <c r="B5" s="342"/>
      <c r="C5" s="254"/>
      <c r="E5" s="305"/>
      <c r="F5" s="344"/>
      <c r="G5" s="344"/>
      <c r="H5" s="309"/>
      <c r="I5" s="347"/>
      <c r="J5" s="347"/>
      <c r="K5" s="310"/>
      <c r="L5" s="27"/>
    </row>
    <row r="6" spans="1:28" ht="15" customHeight="1" x14ac:dyDescent="0.25">
      <c r="A6" s="341" t="s">
        <v>31</v>
      </c>
      <c r="B6" s="342"/>
      <c r="C6" s="254"/>
      <c r="E6" s="305"/>
      <c r="F6" s="344"/>
      <c r="G6" s="344"/>
      <c r="H6" s="309"/>
      <c r="I6" s="347"/>
      <c r="J6" s="347"/>
      <c r="K6" s="310"/>
      <c r="L6" s="27"/>
    </row>
    <row r="7" spans="1:28" ht="15" customHeight="1" x14ac:dyDescent="0.25">
      <c r="A7" s="341" t="s">
        <v>32</v>
      </c>
      <c r="B7" s="342"/>
      <c r="C7" s="254"/>
      <c r="E7" s="306"/>
      <c r="F7" s="345"/>
      <c r="G7" s="345"/>
      <c r="H7" s="311"/>
      <c r="I7" s="348"/>
      <c r="J7" s="348"/>
      <c r="K7" s="312"/>
      <c r="L7" s="27"/>
    </row>
    <row r="8" spans="1:28" ht="15" customHeight="1" x14ac:dyDescent="0.25">
      <c r="A8" s="25"/>
      <c r="B8" s="25"/>
      <c r="C8" s="25"/>
      <c r="E8" s="26"/>
      <c r="F8" s="26"/>
      <c r="G8" s="26"/>
      <c r="H8" s="27"/>
      <c r="I8" s="27"/>
      <c r="J8" s="27"/>
      <c r="K8" s="28"/>
      <c r="L8" s="28"/>
      <c r="M8" s="29"/>
      <c r="O8" s="28"/>
      <c r="P8" s="28"/>
      <c r="Q8" s="28"/>
      <c r="R8" s="30"/>
    </row>
    <row r="9" spans="1:28" x14ac:dyDescent="0.25">
      <c r="Y9" s="18" t="s">
        <v>33</v>
      </c>
      <c r="Z9" s="18" t="s">
        <v>34</v>
      </c>
      <c r="AA9" s="18" t="s">
        <v>23</v>
      </c>
      <c r="AB9" s="31" t="s">
        <v>18</v>
      </c>
    </row>
    <row r="10" spans="1:28" x14ac:dyDescent="0.25">
      <c r="J10" s="340" t="s">
        <v>24</v>
      </c>
      <c r="K10" s="340"/>
      <c r="L10" s="340"/>
      <c r="M10" s="340" t="s">
        <v>35</v>
      </c>
      <c r="N10" s="340"/>
      <c r="O10" s="340"/>
      <c r="P10" s="340" t="s">
        <v>36</v>
      </c>
      <c r="Q10" s="340"/>
      <c r="R10" s="340"/>
      <c r="S10" s="32" t="s">
        <v>37</v>
      </c>
      <c r="Y10" s="33"/>
    </row>
    <row r="11" spans="1:28" x14ac:dyDescent="0.25">
      <c r="A11">
        <f>IF($C$2="x",(IFERROR(IF(W11="","-",RANK(D11,$D$11:$D$14,0)+RANK(E11,$E$11:$E$14,0)%+RANK(F11,$F$11:$F$14,0)%%+ROW()%%%),"-")),IF($C$3="x",(IFERROR(IF(W11="","-",RANK(D11,$D$11:$D$18,0)+RANK(E11,$E$11:$E$18,0)%+RANK(F11,$F$11:$F$18,0)%%+ROW()%%%),"-")),IF($C$4="x",(IFERROR(IF(W11="","-",RANK(D11,$D$11:$D$26,0)+RANK(E11,$E$11:$E$26,0)%+RANK(F11,$F$11:$F$26,0)%%+ROW()%%%),"-")),IF($C$5="x",(IFERROR(IF(W11="","-",RANK(D11,$D$11:$D$42,0)+RANK(E11,$E$11:$E$42,0)%+RANK(F11,$F$11:$F$42,0)%%+ROW()%%%),"-")),IF($C$6="x",(IFERROR(IF(W11="","-",RANK(D11,$D$11:$D$74,0)+RANK(E11,$E$11:$E$74,0)%+RANK(F11,$F$11:$F$74,0)%%+ROW()%%%),"-")),IF($C$7="x",(IFERROR(IF(W11="","-",RANK(D11,$D$11:$D$138,0)+RANK(E11,$E$11:$E$138,0)%+RANK(F11,$F$11:$F$138,0)%%+ROW()%%%),"-")),(IFERROR(IF(W11="","-",RANK(D11,$D$11:$D$266,0)+RANK(E11,$E$11:$E$266,0)%+RANK(F11,$F$11:$F$266,0)%%+ROW()%%%),"-"))))))))</f>
        <v>1.010111</v>
      </c>
      <c r="B11">
        <f>IF($C$2="x",IFERROR(IF(A11="","",RANK(A11,$A$11:$A$14,1)),"-"),IF($C$3="x",IFERROR(IF(A11="","",RANK(A11,$A$11:$A$18,1)),"-"),IF($C$4="x",IFERROR(IF(A11="","",RANK(A11,$A$11:$A$26,1)),"-"),IF($C$5="x",IFERROR(IF(A11="","",RANK(A11,$A$11:$A$42,1)),"-"),IF($C$6="x",IFERROR(IF(A11="","",RANK(A11,$A$11:$A$74,1)),"-"),IF($C$7="x",IFERROR(IF(A11="","",RANK(A11,$A$11:$A$138,1)),"-"),IFERROR(IF(A11="","",RANK(A11,$A$11:$A$266,1)),"-")))))))</f>
        <v>1</v>
      </c>
      <c r="C11" t="str">
        <f>W11</f>
        <v>Begert Nicolas</v>
      </c>
      <c r="D11">
        <f>SUM(J11-L11)</f>
        <v>0</v>
      </c>
      <c r="E11">
        <f>SUM(M11-O11)</f>
        <v>0</v>
      </c>
      <c r="F11">
        <f>SUM(P11-R11)</f>
        <v>0</v>
      </c>
      <c r="G11">
        <f>IF($C$2="x",IFERROR(SMALL($A$11:$A$14,1),0),IF($C$3="x",IFERROR(SMALL($A$11:$A$18,1),0),IF($C$4="x",IFERROR(SMALL($A$11:$A$26,1),0),IF($C$5="x",IFERROR(SMALL($A$11:$A$42,1),0),IF($C$6="x",IFERROR(SMALL($A$11:$A$74,1),0),IF($C$7="x",IFERROR(SMALL($A$11:$A$138,1),0),IFERROR(SMALL($A$11:$A$266,1),0)))))))</f>
        <v>1.010111</v>
      </c>
      <c r="H11">
        <f>IF($C$2="x",IFERROR(IF(G11="","",RANK(G11,$G$11:$G$14,1)),0),IF($C$3="x",IFERROR(IF(G11="","",RANK(G11,$G$11:$G$18,1)),0),IF($C$4="x",IFERROR(IF(G11="","",RANK(G11,$G$11:$G$26,1)),0),IF($C$5="x",IFERROR(IF(G11="","",RANK(G11,$G$11:$G$42,1)),0),IF($C$6="x",IFERROR(IF(G11="","",RANK(G11,$G$11:$G$74,1)),0),IF($C$7="x",IFERROR(IF(G11="","",RANK(G11,$G$11:$G$138,1)),0),IFERROR(IF(G11="","",RANK(G11,$G$11:$G$266,1)),0)))))))</f>
        <v>1</v>
      </c>
      <c r="I11" t="str">
        <f>IF($C$2="x",IFERROR(INDEX($C$11:$C$14,MATCH(G11,$A$11:$A$14,0),1),0),IF($C$3="x",IFERROR(INDEX($C$11:$C$18,MATCH(G11,$A$11:$A$18,0),1),0),IF($C$4="x",IFERROR(INDEX($C$11:$C$26,MATCH(G11,$A$11:$A$26,0),1),0),IF($C$5="x",IFERROR(INDEX($C$11:$C$42,MATCH(G11,$A$11:$A$42,0),1),0),IF($C$6="x",IFERROR(INDEX($C$11:$C$74,MATCH(G11,$A$11:$A$74,0),1),0),IF($C$7="x",IFERROR(INDEX($C$11:$C$138,MATCH(G11,$A$11:$A$138,0),1),0),IFERROR(INDEX($C$11:$C$266,MATCH(G11,$A$11:$A$266,0),1),0)))))))</f>
        <v>Begert Nicolas</v>
      </c>
      <c r="J11" s="34"/>
      <c r="K11" s="35" t="s">
        <v>38</v>
      </c>
      <c r="L11" s="36"/>
      <c r="M11" s="34"/>
      <c r="N11" s="35" t="s">
        <v>38</v>
      </c>
      <c r="O11" s="36"/>
      <c r="P11" s="34"/>
      <c r="Q11" s="35" t="s">
        <v>38</v>
      </c>
      <c r="R11" s="36"/>
      <c r="S11" s="37">
        <f>IF($C$2="x",IFERROR(IF(A11="","",RANK(A11,$A$11:$A$14,1)),0),IF($C$3="x",IFERROR(IF(A11="","",RANK(A11,$A$11:$A$18,1)),0),IF($C$4="x",IFERROR(IF(A11="","",RANK(A11,$A$11:$A$26,1)),0),IF($C$5="x",IFERROR(IF(A11="","",RANK(A11,$A$11:$A$42,1)),0),IF($C$6="x",IFERROR(IF(A11="","",RANK(A11,$A$11:$A$74,1)),0),IF($C$7="x",IFERROR(IF(A11="","",RANK(A11,$A$11:$A$138,1)),0),IFERROR(IF(A11="","",RANK(A11,$A$11:$A$266,1)),0)))))))</f>
        <v>1</v>
      </c>
      <c r="U11" s="38">
        <v>1</v>
      </c>
      <c r="V11" s="39" t="s">
        <v>39</v>
      </c>
      <c r="W11" s="40" t="str">
        <f>IF('Infos générales'!$E$2="x",IF(U11&gt;0,VLOOKUP(U11,'Infos joueurs'!$A:$M,4,FALSE)&amp;" / "&amp;VLOOKUP(U11,'Infos joueurs'!$A:$M,9,FALSE)," "),IF(U11&gt;0,VLOOKUP(U11,'Infos joueurs'!$A:$M,4,FALSE)&amp;" "&amp;VLOOKUP(U11,'Infos joueurs'!$A:$M,5,FALSE)," "))</f>
        <v>Begert Nicolas</v>
      </c>
      <c r="Y11" s="33">
        <v>1</v>
      </c>
      <c r="Z11" s="40" t="str">
        <f>I11</f>
        <v>Begert Nicolas</v>
      </c>
      <c r="AA11" s="41" t="str">
        <f>IFERROR(INDEX('Infos joueurs'!$F$15:$F$270,MATCH(AB11,'Infos joueurs'!$A$15:$A$270,0))," ")</f>
        <v>Grône</v>
      </c>
      <c r="AB11" s="38">
        <f>IFERROR(INDEX($U$11:$U$266,MATCH(Z11,$W$11:$W$266,0)),0)</f>
        <v>1</v>
      </c>
    </row>
    <row r="12" spans="1:28" x14ac:dyDescent="0.25">
      <c r="A12">
        <f t="shared" ref="A12:A75" si="0">IF($C$2="x",(IFERROR(IF(W12="","-",RANK(D12,$D$11:$D$14,0)+RANK(E12,$E$11:$E$14,0)%+RANK(F12,$F$11:$F$14,0)%%+ROW()%%%),"-")),IF($C$3="x",(IFERROR(IF(W12="","-",RANK(D12,$D$11:$D$18,0)+RANK(E12,$E$11:$E$18,0)%+RANK(F12,$F$11:$F$18,0)%%+ROW()%%%),"-")),IF($C$4="x",(IFERROR(IF(W12="","-",RANK(D12,$D$11:$D$26,0)+RANK(E12,$E$11:$E$26,0)%+RANK(F12,$F$11:$F$26,0)%%+ROW()%%%),"-")),IF($C$5="x",(IFERROR(IF(W12="","-",RANK(D12,$D$11:$D$42,0)+RANK(E12,$E$11:$E$42,0)%+RANK(F12,$F$11:$F$42,0)%%+ROW()%%%),"-")),IF($C$6="x",(IFERROR(IF(W12="","-",RANK(D12,$D$11:$D$74,0)+RANK(E12,$E$11:$E$74,0)%+RANK(F12,$F$11:$F$74,0)%%+ROW()%%%),"-")),IF($C$7="x",(IFERROR(IF(W12="","-",RANK(D12,$D$11:$D$138,0)+RANK(E12,$E$11:$E$138,0)%+RANK(F12,$F$11:$F$138,0)%%+ROW()%%%),"-")),(IFERROR(IF(W12="","-",RANK(D12,$D$11:$D$266,0)+RANK(E12,$E$11:$E$266,0)%+RANK(F12,$F$11:$F$266,0)%%+ROW()%%%),"-"))))))))</f>
        <v>1.0101119999999999</v>
      </c>
      <c r="B12">
        <f t="shared" ref="B12:B75" si="1">IF($C$2="x",IFERROR(IF(A12="","",RANK(A12,$A$11:$A$14,1)),"-"),IF($C$3="x",IFERROR(IF(A12="","",RANK(A12,$A$11:$A$18,1)),"-"),IF($C$4="x",IFERROR(IF(A12="","",RANK(A12,$A$11:$A$26,1)),"-"),IF($C$5="x",IFERROR(IF(A12="","",RANK(A12,$A$11:$A$42,1)),"-"),IF($C$6="x",IFERROR(IF(A12="","",RANK(A12,$A$11:$A$74,1)),"-"),IF($C$7="x",IFERROR(IF(A12="","",RANK(A12,$A$11:$A$138,1)),"-"),IFERROR(IF(A12="","",RANK(A12,$A$11:$A$266,1)),"-")))))))</f>
        <v>2</v>
      </c>
      <c r="C12" t="str">
        <f t="shared" ref="C12:C75" si="2">W12</f>
        <v>Bellon Antoine</v>
      </c>
      <c r="D12">
        <f t="shared" ref="D12:D75" si="3">SUM(J12-L12)</f>
        <v>0</v>
      </c>
      <c r="E12">
        <f t="shared" ref="E12:E75" si="4">SUM(M12-O12)</f>
        <v>0</v>
      </c>
      <c r="F12">
        <f t="shared" ref="F12:F75" si="5">SUM(P12-R12)</f>
        <v>0</v>
      </c>
      <c r="G12">
        <f>IF($C$2="x",IFERROR(SMALL($A$11:$A$14,2),0),IF($C$3="x",IFERROR(SMALL($A$11:$A$18,2),0),IF($C$4="x",IFERROR(SMALL($A$11:$A$26,2),0),IF($C$5="x",IFERROR(SMALL($A$11:$A$42,2),0),IF($C$6="x",IFERROR(SMALL($A$11:$A$74,2),0),IF($C$7="x",IFERROR(SMALL($A$11:$A$138,2),0),IFERROR(SMALL($A$11:$A$266,2),0)))))))</f>
        <v>1.0101119999999999</v>
      </c>
      <c r="H12">
        <f t="shared" ref="H12:H75" si="6">IF($C$2="x",IFERROR(IF(G12="","",RANK(G12,$G$11:$G$14,1)),0),IF($C$3="x",IFERROR(IF(G12="","",RANK(G12,$G$11:$G$18,1)),0),IF($C$4="x",IFERROR(IF(G12="","",RANK(G12,$G$11:$G$26,1)),0),IF($C$5="x",IFERROR(IF(G12="","",RANK(G12,$G$11:$G$42,1)),0),IF($C$6="x",IFERROR(IF(G12="","",RANK(G12,$G$11:$G$74,1)),0),IF($C$7="x",IFERROR(IF(G12="","",RANK(G12,$G$11:$G$138,1)),0),IFERROR(IF(G12="","",RANK(G12,$G$11:$G$266,1)),0)))))))</f>
        <v>2</v>
      </c>
      <c r="I12" t="str">
        <f t="shared" ref="I12:I75" si="7">IF($C$2="x",IFERROR(INDEX($C$11:$C$14,MATCH(G12,$A$11:$A$14,0),1),0),IF($C$3="x",IFERROR(INDEX($C$11:$C$18,MATCH(G12,$A$11:$A$18,0),1),0),IF($C$4="x",IFERROR(INDEX($C$11:$C$26,MATCH(G12,$A$11:$A$26,0),1),0),IF($C$5="x",IFERROR(INDEX($C$11:$C$42,MATCH(G12,$A$11:$A$42,0),1),0),IF($C$6="x",IFERROR(INDEX($C$11:$C$74,MATCH(G12,$A$11:$A$74,0),1),0),IF($C$7="x",IFERROR(INDEX($C$11:$C$138,MATCH(G12,$A$11:$A$138,0),1),0),IFERROR(INDEX($C$11:$C$266,MATCH(G12,$A$11:$A$266,0),1),0)))))))</f>
        <v>Bellon Antoine</v>
      </c>
      <c r="J12" s="34"/>
      <c r="K12" s="35" t="s">
        <v>38</v>
      </c>
      <c r="L12" s="36"/>
      <c r="M12" s="34"/>
      <c r="N12" s="35" t="s">
        <v>38</v>
      </c>
      <c r="O12" s="36"/>
      <c r="P12" s="34"/>
      <c r="Q12" s="35" t="s">
        <v>38</v>
      </c>
      <c r="R12" s="36"/>
      <c r="S12" s="37">
        <f t="shared" ref="S12:S75" si="8">IF($C$2="x",IFERROR(IF(A12="","",RANK(A12,$A$11:$A$14,1)),0),IF($C$3="x",IFERROR(IF(A12="","",RANK(A12,$A$11:$A$18,1)),0),IF($C$4="x",IFERROR(IF(A12="","",RANK(A12,$A$11:$A$26,1)),0),IF($C$5="x",IFERROR(IF(A12="","",RANK(A12,$A$11:$A$42,1)),0),IF($C$6="x",IFERROR(IF(A12="","",RANK(A12,$A$11:$A$74,1)),0),IF($C$7="x",IFERROR(IF(A12="","",RANK(A12,$A$11:$A$138,1)),0),IFERROR(IF(A12="","",RANK(A12,$A$11:$A$266,1)),0)))))))</f>
        <v>2</v>
      </c>
      <c r="U12" s="38">
        <v>2</v>
      </c>
      <c r="V12" s="39" t="s">
        <v>40</v>
      </c>
      <c r="W12" s="40" t="str">
        <f>IF('Infos générales'!$E$2="x",IF(U12&gt;0,VLOOKUP(U12,'Infos joueurs'!$A:$M,4,FALSE)&amp;" / "&amp;VLOOKUP(U12,'Infos joueurs'!$A:$M,9,FALSE)," "),IF(U12&gt;0,VLOOKUP(U12,'Infos joueurs'!$A:$M,4,FALSE)&amp;" "&amp;VLOOKUP(U12,'Infos joueurs'!$A:$M,5,FALSE)," "))</f>
        <v>Bellon Antoine</v>
      </c>
      <c r="Y12" s="33">
        <v>2</v>
      </c>
      <c r="Z12" s="256" t="str">
        <f t="shared" ref="Z12:Z75" si="9">I12</f>
        <v>Bellon Antoine</v>
      </c>
      <c r="AA12" s="41" t="str">
        <f>IFERROR(INDEX('Infos joueurs'!$F$15:$F$270,MATCH(AB12,'Infos joueurs'!$A$15:$A$270,0))," ")</f>
        <v>Sierre</v>
      </c>
      <c r="AB12" s="38">
        <f t="shared" ref="AB12:AB75" si="10">IFERROR(INDEX($U$11:$U$266,MATCH(Z12,$W$11:$W$266,0)),0)</f>
        <v>2</v>
      </c>
    </row>
    <row r="13" spans="1:28" x14ac:dyDescent="0.25">
      <c r="A13">
        <f t="shared" si="0"/>
        <v>1.010113</v>
      </c>
      <c r="B13">
        <f t="shared" si="1"/>
        <v>3</v>
      </c>
      <c r="C13" t="str">
        <f t="shared" si="2"/>
        <v>Berisha Fatlum</v>
      </c>
      <c r="D13">
        <f t="shared" si="3"/>
        <v>0</v>
      </c>
      <c r="E13">
        <f t="shared" si="4"/>
        <v>0</v>
      </c>
      <c r="F13">
        <f t="shared" si="5"/>
        <v>0</v>
      </c>
      <c r="G13">
        <f>IF($C$2="x",IFERROR(SMALL($A$11:$A$14,3),0),IF($C$3="x",IFERROR(SMALL($A$11:$A$18,3),0),IF($C$4="x",IFERROR(SMALL($A$11:$A$26,3),0),IF($C$5="x",IFERROR(SMALL($A$11:$A$42,3),0),IF($C$6="x",IFERROR(SMALL($A$11:$A$74,3),0),IF($C$7="x",IFERROR(SMALL($A$11:$A$138,3),0),IFERROR(SMALL($A$11:$A$266,3),0)))))))</f>
        <v>1.010113</v>
      </c>
      <c r="H13">
        <f t="shared" si="6"/>
        <v>3</v>
      </c>
      <c r="I13" t="str">
        <f t="shared" si="7"/>
        <v>Berisha Fatlum</v>
      </c>
      <c r="J13" s="34"/>
      <c r="K13" s="35" t="s">
        <v>38</v>
      </c>
      <c r="L13" s="36"/>
      <c r="M13" s="34"/>
      <c r="N13" s="35" t="s">
        <v>38</v>
      </c>
      <c r="O13" s="36"/>
      <c r="P13" s="34"/>
      <c r="Q13" s="35" t="s">
        <v>38</v>
      </c>
      <c r="R13" s="36"/>
      <c r="S13" s="37">
        <f>IF($C$2="x",IFERROR(IF(A13="","",RANK(A13,$A$11:$A$14,1)),0),IF($C$3="x",IFERROR(IF(A13="","",RANK(A13,$A$11:$A$18,1)),0),IF($C$4="x",IFERROR(IF(A13="","",RANK(A13,$A$11:$A$26,1)),0),IF($C$5="x",IFERROR(IF(A13="","",RANK(A13,$A$11:$A$42,1)),0),IF($C$6="x",IFERROR(IF(A13="","",RANK(A13,$A$11:$A$74,1)),0),IF($C$7="x",IFERROR(IF(A13="","",RANK(A13,$A$11:$A$138,1)),0),IFERROR(IF(A13="","",RANK(A13,$A$11:$A$266,1)),0)))))))</f>
        <v>3</v>
      </c>
      <c r="U13" s="38">
        <v>3</v>
      </c>
      <c r="V13" s="39" t="s">
        <v>41</v>
      </c>
      <c r="W13" s="40" t="str">
        <f>IF('Infos générales'!$E$2="x",IF(U13&gt;0,VLOOKUP(U13,'Infos joueurs'!$A:$M,4,FALSE)&amp;" / "&amp;VLOOKUP(U13,'Infos joueurs'!$A:$M,9,FALSE)," "),IF(U13&gt;0,VLOOKUP(U13,'Infos joueurs'!$A:$M,4,FALSE)&amp;" "&amp;VLOOKUP(U13,'Infos joueurs'!$A:$M,5,FALSE)," "))</f>
        <v>Berisha Fatlum</v>
      </c>
      <c r="Y13" s="33">
        <v>3</v>
      </c>
      <c r="Z13" s="256" t="str">
        <f t="shared" si="9"/>
        <v>Berisha Fatlum</v>
      </c>
      <c r="AA13" s="41" t="str">
        <f>IFERROR(INDEX('Infos joueurs'!$F$15:$F$270,MATCH(AB13,'Infos joueurs'!$A$15:$A$270,0))," ")</f>
        <v>Sierre</v>
      </c>
      <c r="AB13" s="38">
        <f t="shared" si="10"/>
        <v>3</v>
      </c>
    </row>
    <row r="14" spans="1:28" x14ac:dyDescent="0.25">
      <c r="A14">
        <f t="shared" si="0"/>
        <v>1.010114</v>
      </c>
      <c r="B14">
        <f t="shared" si="1"/>
        <v>4</v>
      </c>
      <c r="C14" t="str">
        <f t="shared" si="2"/>
        <v>Blazquez Esteban</v>
      </c>
      <c r="D14">
        <f t="shared" si="3"/>
        <v>0</v>
      </c>
      <c r="E14">
        <f t="shared" si="4"/>
        <v>0</v>
      </c>
      <c r="F14">
        <f t="shared" si="5"/>
        <v>0</v>
      </c>
      <c r="G14">
        <f>IF($C$2="x",IFERROR(SMALL($A$11:$A$14,4),0),IF($C$3="x",IFERROR(SMALL($A$11:$A$18,4),0),IF($C$4="x",IFERROR(SMALL($A$11:$A$26,4),0),IF($C$5="x",IFERROR(SMALL($A$11:$A$42,4),0),IF($C$6="x",IFERROR(SMALL($A$11:$A$74,4),0),IF($C$7="x",IFERROR(SMALL($A$11:$A$138,4),0),IFERROR(SMALL($A$11:$A$266,4),0)))))))</f>
        <v>1.010114</v>
      </c>
      <c r="H14">
        <f t="shared" si="6"/>
        <v>4</v>
      </c>
      <c r="I14" t="str">
        <f t="shared" si="7"/>
        <v>Blazquez Esteban</v>
      </c>
      <c r="J14" s="34"/>
      <c r="K14" s="35" t="s">
        <v>38</v>
      </c>
      <c r="L14" s="36"/>
      <c r="M14" s="34"/>
      <c r="N14" s="35" t="s">
        <v>38</v>
      </c>
      <c r="O14" s="36"/>
      <c r="P14" s="34"/>
      <c r="Q14" s="35" t="s">
        <v>38</v>
      </c>
      <c r="R14" s="36"/>
      <c r="S14" s="37">
        <f t="shared" si="8"/>
        <v>4</v>
      </c>
      <c r="U14" s="38">
        <v>4</v>
      </c>
      <c r="V14" s="39" t="s">
        <v>42</v>
      </c>
      <c r="W14" s="40" t="str">
        <f>IF('Infos générales'!$E$2="x",IF(U14&gt;0,VLOOKUP(U14,'Infos joueurs'!$A:$M,4,FALSE)&amp;" / "&amp;VLOOKUP(U14,'Infos joueurs'!$A:$M,9,FALSE)," "),IF(U14&gt;0,VLOOKUP(U14,'Infos joueurs'!$A:$M,4,FALSE)&amp;" "&amp;VLOOKUP(U14,'Infos joueurs'!$A:$M,5,FALSE)," "))</f>
        <v>Blazquez Esteban</v>
      </c>
      <c r="Y14" s="33">
        <v>4</v>
      </c>
      <c r="Z14" s="256" t="str">
        <f t="shared" si="9"/>
        <v>Blazquez Esteban</v>
      </c>
      <c r="AA14" s="41" t="str">
        <f>IFERROR(INDEX('Infos joueurs'!$F$15:$F$270,MATCH(AB14,'Infos joueurs'!$A$15:$A$270,0))," ")</f>
        <v>Collombey-Muraz</v>
      </c>
      <c r="AB14" s="38">
        <f t="shared" si="10"/>
        <v>4</v>
      </c>
    </row>
    <row r="15" spans="1:28" x14ac:dyDescent="0.25">
      <c r="A15">
        <f t="shared" si="0"/>
        <v>1.0101150000000001</v>
      </c>
      <c r="B15">
        <f t="shared" si="1"/>
        <v>5</v>
      </c>
      <c r="C15" t="str">
        <f t="shared" si="2"/>
        <v>Clausix Adam</v>
      </c>
      <c r="D15">
        <f t="shared" si="3"/>
        <v>0</v>
      </c>
      <c r="E15">
        <f t="shared" si="4"/>
        <v>0</v>
      </c>
      <c r="F15">
        <f t="shared" si="5"/>
        <v>0</v>
      </c>
      <c r="G15">
        <f>IF($C$2="x",IFERROR(SMALL($A$11:$A$14,5),0),IF($C$3="x",IFERROR(SMALL($A$11:$A$18,5),0),IF($C$4="x",IFERROR(SMALL($A$11:$A$26,5),0),IF($C$5="x",IFERROR(SMALL($A$11:$A$42,5),0),IF($C$6="x",IFERROR(SMALL($A$11:$A$74,5),0),IF($C$7="x",IFERROR(SMALL($A$11:$A$138,5),0),IFERROR(SMALL($A$11:$A$266,5),0)))))))</f>
        <v>1.0101150000000001</v>
      </c>
      <c r="H15">
        <f t="shared" si="6"/>
        <v>5</v>
      </c>
      <c r="I15" t="str">
        <f t="shared" si="7"/>
        <v>Clausix Adam</v>
      </c>
      <c r="J15" s="34"/>
      <c r="K15" s="35" t="s">
        <v>38</v>
      </c>
      <c r="L15" s="36"/>
      <c r="M15" s="34"/>
      <c r="N15" s="35" t="s">
        <v>38</v>
      </c>
      <c r="O15" s="36"/>
      <c r="P15" s="34"/>
      <c r="Q15" s="35" t="s">
        <v>38</v>
      </c>
      <c r="R15" s="36"/>
      <c r="S15" s="37">
        <f t="shared" si="8"/>
        <v>5</v>
      </c>
      <c r="U15" s="38">
        <v>5</v>
      </c>
      <c r="V15" s="39" t="s">
        <v>43</v>
      </c>
      <c r="W15" s="40" t="str">
        <f>IF('Infos générales'!$E$2="x",IF(U15&gt;0,VLOOKUP(U15,'Infos joueurs'!$A:$M,4,FALSE)&amp;" / "&amp;VLOOKUP(U15,'Infos joueurs'!$A:$M,9,FALSE)," "),IF(U15&gt;0,VLOOKUP(U15,'Infos joueurs'!$A:$M,4,FALSE)&amp;" "&amp;VLOOKUP(U15,'Infos joueurs'!$A:$M,5,FALSE)," "))</f>
        <v>Clausix Adam</v>
      </c>
      <c r="Y15" s="33">
        <v>5</v>
      </c>
      <c r="Z15" s="256" t="str">
        <f t="shared" si="9"/>
        <v>Clausix Adam</v>
      </c>
      <c r="AA15" s="41" t="str">
        <f>IFERROR(INDEX('Infos joueurs'!$F$15:$F$270,MATCH(AB15,'Infos joueurs'!$A$15:$A$270,0))," ")</f>
        <v>Sion</v>
      </c>
      <c r="AB15" s="38">
        <f t="shared" si="10"/>
        <v>5</v>
      </c>
    </row>
    <row r="16" spans="1:28" x14ac:dyDescent="0.25">
      <c r="A16">
        <f t="shared" si="0"/>
        <v>1.010116</v>
      </c>
      <c r="B16">
        <f t="shared" si="1"/>
        <v>6</v>
      </c>
      <c r="C16" t="str">
        <f t="shared" si="2"/>
        <v>Clerc Manon</v>
      </c>
      <c r="D16">
        <f t="shared" si="3"/>
        <v>0</v>
      </c>
      <c r="E16">
        <f t="shared" si="4"/>
        <v>0</v>
      </c>
      <c r="F16">
        <f t="shared" si="5"/>
        <v>0</v>
      </c>
      <c r="G16">
        <f>IF($C$2="x",IFERROR(SMALL($A$11:$A$14,6),0),IF($C$3="x",IFERROR(SMALL($A$11:$A$18,6),0),IF($C$4="x",IFERROR(SMALL($A$11:$A$26,6),0),IF($C$5="x",IFERROR(SMALL($A$11:$A$42,6),0),IF($C$6="x",IFERROR(SMALL($A$11:$A$74,6),0),IF($C$7="x",IFERROR(SMALL($A$11:$A$138,6),0),IFERROR(SMALL($A$11:$A$266,6),0)))))))</f>
        <v>1.010116</v>
      </c>
      <c r="H16">
        <f t="shared" si="6"/>
        <v>6</v>
      </c>
      <c r="I16" t="str">
        <f t="shared" si="7"/>
        <v>Clerc Manon</v>
      </c>
      <c r="J16" s="34"/>
      <c r="K16" s="35" t="s">
        <v>38</v>
      </c>
      <c r="L16" s="36"/>
      <c r="M16" s="34"/>
      <c r="N16" s="35" t="s">
        <v>38</v>
      </c>
      <c r="O16" s="36"/>
      <c r="P16" s="34"/>
      <c r="Q16" s="35" t="s">
        <v>38</v>
      </c>
      <c r="R16" s="36"/>
      <c r="S16" s="37">
        <f t="shared" si="8"/>
        <v>6</v>
      </c>
      <c r="U16" s="38">
        <v>6</v>
      </c>
      <c r="V16" s="39" t="s">
        <v>44</v>
      </c>
      <c r="W16" s="40" t="str">
        <f>IF('Infos générales'!$E$2="x",IF(U16&gt;0,VLOOKUP(U16,'Infos joueurs'!$A:$M,4,FALSE)&amp;" / "&amp;VLOOKUP(U16,'Infos joueurs'!$A:$M,9,FALSE)," "),IF(U16&gt;0,VLOOKUP(U16,'Infos joueurs'!$A:$M,4,FALSE)&amp;" "&amp;VLOOKUP(U16,'Infos joueurs'!$A:$M,5,FALSE)," "))</f>
        <v>Clerc Manon</v>
      </c>
      <c r="Y16" s="33">
        <v>6</v>
      </c>
      <c r="Z16" s="256" t="str">
        <f t="shared" si="9"/>
        <v>Clerc Manon</v>
      </c>
      <c r="AA16" s="41" t="str">
        <f>IFERROR(INDEX('Infos joueurs'!$F$15:$F$270,MATCH(AB16,'Infos joueurs'!$A$15:$A$270,0))," ")</f>
        <v>Collombey-Muraz</v>
      </c>
      <c r="AB16" s="38">
        <f t="shared" si="10"/>
        <v>6</v>
      </c>
    </row>
    <row r="17" spans="1:28" x14ac:dyDescent="0.25">
      <c r="A17">
        <f t="shared" si="0"/>
        <v>1.0101169999999999</v>
      </c>
      <c r="B17">
        <f t="shared" si="1"/>
        <v>7</v>
      </c>
      <c r="C17" t="str">
        <f t="shared" si="2"/>
        <v>Debons Elie</v>
      </c>
      <c r="D17">
        <f t="shared" si="3"/>
        <v>0</v>
      </c>
      <c r="E17">
        <f t="shared" si="4"/>
        <v>0</v>
      </c>
      <c r="F17">
        <f t="shared" si="5"/>
        <v>0</v>
      </c>
      <c r="G17">
        <f>IF($C$2="x",IFERROR(SMALL($A$11:$A$14,7),0),IF($C$3="x",IFERROR(SMALL($A$11:$A$18,7),0),IF($C$4="x",IFERROR(SMALL($A$11:$A$26,7),0),IF($C$5="x",IFERROR(SMALL($A$11:$A$42,7),0),IF($C$6="x",IFERROR(SMALL($A$11:$A$74,7),0),IF($C$7="x",IFERROR(SMALL($A$11:$A$138,7),0),IFERROR(SMALL($A$11:$A$266,7),0)))))))</f>
        <v>1.0101169999999999</v>
      </c>
      <c r="H17">
        <f t="shared" si="6"/>
        <v>7</v>
      </c>
      <c r="I17" t="str">
        <f t="shared" si="7"/>
        <v>Debons Elie</v>
      </c>
      <c r="J17" s="34"/>
      <c r="K17" s="35" t="s">
        <v>38</v>
      </c>
      <c r="L17" s="36"/>
      <c r="M17" s="34"/>
      <c r="N17" s="35" t="s">
        <v>38</v>
      </c>
      <c r="O17" s="36"/>
      <c r="P17" s="34"/>
      <c r="Q17" s="35" t="s">
        <v>38</v>
      </c>
      <c r="R17" s="36"/>
      <c r="S17" s="37">
        <f t="shared" si="8"/>
        <v>7</v>
      </c>
      <c r="U17" s="38">
        <v>7</v>
      </c>
      <c r="V17" s="39" t="s">
        <v>45</v>
      </c>
      <c r="W17" s="40" t="str">
        <f>IF('Infos générales'!$E$2="x",IF(U17&gt;0,VLOOKUP(U17,'Infos joueurs'!$A:$M,4,FALSE)&amp;" / "&amp;VLOOKUP(U17,'Infos joueurs'!$A:$M,9,FALSE)," "),IF(U17&gt;0,VLOOKUP(U17,'Infos joueurs'!$A:$M,4,FALSE)&amp;" "&amp;VLOOKUP(U17,'Infos joueurs'!$A:$M,5,FALSE)," "))</f>
        <v>Debons Elie</v>
      </c>
      <c r="Y17" s="33">
        <v>7</v>
      </c>
      <c r="Z17" s="256" t="str">
        <f t="shared" si="9"/>
        <v>Debons Elie</v>
      </c>
      <c r="AA17" s="41" t="str">
        <f>IFERROR(INDEX('Infos joueurs'!$F$15:$F$270,MATCH(AB17,'Infos joueurs'!$A$15:$A$270,0))," ")</f>
        <v>Sion</v>
      </c>
      <c r="AB17" s="38">
        <f t="shared" si="10"/>
        <v>7</v>
      </c>
    </row>
    <row r="18" spans="1:28" x14ac:dyDescent="0.25">
      <c r="A18">
        <f t="shared" si="0"/>
        <v>1.0101180000000001</v>
      </c>
      <c r="B18">
        <f t="shared" si="1"/>
        <v>8</v>
      </c>
      <c r="C18" t="str">
        <f t="shared" si="2"/>
        <v>Derivaz Valentin</v>
      </c>
      <c r="D18">
        <f t="shared" si="3"/>
        <v>0</v>
      </c>
      <c r="E18">
        <f t="shared" si="4"/>
        <v>0</v>
      </c>
      <c r="F18">
        <f t="shared" si="5"/>
        <v>0</v>
      </c>
      <c r="G18">
        <f>IF($C$2="x",IFERROR(SMALL($A$11:$A$14,8),0),IF($C$3="x",IFERROR(SMALL($A$11:$A$18,8),0),IF($C$4="x",IFERROR(SMALL($A$11:$A$26,8),0),IF($C$5="x",IFERROR(SMALL($A$11:$A$42,8),0),IF($C$6="x",IFERROR(SMALL($A$11:$A$74,8),0),IF($C$7="x",IFERROR(SMALL($A$11:$A$138,8),0),IFERROR(SMALL($A$11:$A$266,8),0)))))))</f>
        <v>1.0101180000000001</v>
      </c>
      <c r="H18">
        <f t="shared" si="6"/>
        <v>8</v>
      </c>
      <c r="I18" t="str">
        <f t="shared" si="7"/>
        <v>Derivaz Valentin</v>
      </c>
      <c r="J18" s="34"/>
      <c r="K18" s="35" t="s">
        <v>38</v>
      </c>
      <c r="L18" s="36"/>
      <c r="M18" s="34"/>
      <c r="N18" s="35" t="s">
        <v>38</v>
      </c>
      <c r="O18" s="36"/>
      <c r="P18" s="34"/>
      <c r="Q18" s="35" t="s">
        <v>38</v>
      </c>
      <c r="R18" s="36"/>
      <c r="S18" s="37">
        <f t="shared" si="8"/>
        <v>8</v>
      </c>
      <c r="U18" s="38">
        <v>8</v>
      </c>
      <c r="V18" s="39" t="s">
        <v>46</v>
      </c>
      <c r="W18" s="40" t="str">
        <f>IF('Infos générales'!$E$2="x",IF(U18&gt;0,VLOOKUP(U18,'Infos joueurs'!$A:$M,4,FALSE)&amp;" / "&amp;VLOOKUP(U18,'Infos joueurs'!$A:$M,9,FALSE)," "),IF(U18&gt;0,VLOOKUP(U18,'Infos joueurs'!$A:$M,4,FALSE)&amp;" "&amp;VLOOKUP(U18,'Infos joueurs'!$A:$M,5,FALSE)," "))</f>
        <v>Derivaz Valentin</v>
      </c>
      <c r="Y18" s="33">
        <v>8</v>
      </c>
      <c r="Z18" s="256" t="str">
        <f t="shared" si="9"/>
        <v>Derivaz Valentin</v>
      </c>
      <c r="AA18" s="41" t="str">
        <f>IFERROR(INDEX('Infos joueurs'!$F$15:$F$270,MATCH(AB18,'Infos joueurs'!$A$15:$A$270,0))," ")</f>
        <v>Collombey-Muraz</v>
      </c>
      <c r="AB18" s="38">
        <f t="shared" si="10"/>
        <v>8</v>
      </c>
    </row>
    <row r="19" spans="1:28" x14ac:dyDescent="0.25">
      <c r="A19">
        <f t="shared" si="0"/>
        <v>1.010119</v>
      </c>
      <c r="B19">
        <f t="shared" si="1"/>
        <v>9</v>
      </c>
      <c r="C19" t="str">
        <f t="shared" si="2"/>
        <v>Emboye Tomas</v>
      </c>
      <c r="D19">
        <f t="shared" si="3"/>
        <v>0</v>
      </c>
      <c r="E19">
        <f t="shared" si="4"/>
        <v>0</v>
      </c>
      <c r="F19">
        <f t="shared" si="5"/>
        <v>0</v>
      </c>
      <c r="G19">
        <f>IF($C$2="x",IFERROR(SMALL($A$11:$A$14,9),0),IF($C$3="x",IFERROR(SMALL($A$11:$A$18,9),0),IF($C$4="x",IFERROR(SMALL($A$11:$A$26,9),0),IF($C$5="x",IFERROR(SMALL($A$11:$A$42,9),0),IF($C$6="x",IFERROR(SMALL($A$11:$A$74,9),0),IF($C$7="x",IFERROR(SMALL($A$11:$A$138,9),0),IFERROR(SMALL($A$11:$A$266,9),0)))))))</f>
        <v>1.010119</v>
      </c>
      <c r="H19">
        <f t="shared" si="6"/>
        <v>9</v>
      </c>
      <c r="I19" t="str">
        <f t="shared" si="7"/>
        <v>Emboye Tomas</v>
      </c>
      <c r="J19" s="34"/>
      <c r="K19" s="35" t="s">
        <v>38</v>
      </c>
      <c r="L19" s="36"/>
      <c r="M19" s="34"/>
      <c r="N19" s="35" t="s">
        <v>38</v>
      </c>
      <c r="O19" s="36"/>
      <c r="P19" s="34"/>
      <c r="Q19" s="35" t="s">
        <v>38</v>
      </c>
      <c r="R19" s="36"/>
      <c r="S19" s="37">
        <f t="shared" si="8"/>
        <v>9</v>
      </c>
      <c r="U19" s="38">
        <v>9</v>
      </c>
      <c r="V19" s="39" t="s">
        <v>47</v>
      </c>
      <c r="W19" s="40" t="str">
        <f>IF('Infos générales'!$E$2="x",IF(U19&gt;0,VLOOKUP(U19,'Infos joueurs'!$A:$M,4,FALSE)&amp;" / "&amp;VLOOKUP(U19,'Infos joueurs'!$A:$M,9,FALSE)," "),IF(U19&gt;0,VLOOKUP(U19,'Infos joueurs'!$A:$M,4,FALSE)&amp;" "&amp;VLOOKUP(U19,'Infos joueurs'!$A:$M,5,FALSE)," "))</f>
        <v>Emboye Tomas</v>
      </c>
      <c r="Y19" s="33">
        <v>9</v>
      </c>
      <c r="Z19" s="256" t="str">
        <f t="shared" si="9"/>
        <v>Emboye Tomas</v>
      </c>
      <c r="AA19" s="41" t="str">
        <f>IFERROR(INDEX('Infos joueurs'!$F$15:$F$270,MATCH(AB19,'Infos joueurs'!$A$15:$A$270,0))," ")</f>
        <v>Sion</v>
      </c>
      <c r="AB19" s="38">
        <f t="shared" si="10"/>
        <v>9</v>
      </c>
    </row>
    <row r="20" spans="1:28" x14ac:dyDescent="0.25">
      <c r="A20">
        <f t="shared" si="0"/>
        <v>1.0101199999999999</v>
      </c>
      <c r="B20">
        <f t="shared" si="1"/>
        <v>10</v>
      </c>
      <c r="C20" t="str">
        <f t="shared" si="2"/>
        <v>Frezghi Tarik</v>
      </c>
      <c r="D20">
        <f t="shared" si="3"/>
        <v>0</v>
      </c>
      <c r="E20">
        <f t="shared" si="4"/>
        <v>0</v>
      </c>
      <c r="F20">
        <f t="shared" si="5"/>
        <v>0</v>
      </c>
      <c r="G20">
        <f>IF($C$2="x",IFERROR(SMALL($A$11:$A$14,10),0),IF($C$3="x",IFERROR(SMALL($A$11:$A$18,10),0),IF($C$4="x",IFERROR(SMALL($A$11:$A$26,10),0),IF($C$5="x",IFERROR(SMALL($A$11:$A$42,10),0),IF($C$6="x",IFERROR(SMALL($A$11:$A$74,10),0),IF($C$7="x",IFERROR(SMALL($A$11:$A$138,10),0),IFERROR(SMALL($A$11:$A$266,10),0)))))))</f>
        <v>1.0101199999999999</v>
      </c>
      <c r="H20">
        <f t="shared" si="6"/>
        <v>10</v>
      </c>
      <c r="I20" t="str">
        <f t="shared" si="7"/>
        <v>Frezghi Tarik</v>
      </c>
      <c r="J20" s="34"/>
      <c r="K20" s="35" t="s">
        <v>38</v>
      </c>
      <c r="L20" s="36"/>
      <c r="M20" s="34"/>
      <c r="N20" s="35" t="s">
        <v>38</v>
      </c>
      <c r="O20" s="36"/>
      <c r="P20" s="34"/>
      <c r="Q20" s="35" t="s">
        <v>38</v>
      </c>
      <c r="R20" s="36"/>
      <c r="S20" s="37">
        <f t="shared" si="8"/>
        <v>10</v>
      </c>
      <c r="U20" s="38">
        <v>10</v>
      </c>
      <c r="V20" s="39" t="s">
        <v>48</v>
      </c>
      <c r="W20" s="40" t="str">
        <f>IF('Infos générales'!$E$2="x",IF(U20&gt;0,VLOOKUP(U20,'Infos joueurs'!$A:$M,4,FALSE)&amp;" / "&amp;VLOOKUP(U20,'Infos joueurs'!$A:$M,9,FALSE)," "),IF(U20&gt;0,VLOOKUP(U20,'Infos joueurs'!$A:$M,4,FALSE)&amp;" "&amp;VLOOKUP(U20,'Infos joueurs'!$A:$M,5,FALSE)," "))</f>
        <v>Frezghi Tarik</v>
      </c>
      <c r="Y20" s="33">
        <v>10</v>
      </c>
      <c r="Z20" s="256" t="str">
        <f t="shared" si="9"/>
        <v>Frezghi Tarik</v>
      </c>
      <c r="AA20" s="41" t="str">
        <f>IFERROR(INDEX('Infos joueurs'!$F$15:$F$270,MATCH(AB20,'Infos joueurs'!$A$15:$A$270,0))," ")</f>
        <v>Sion</v>
      </c>
      <c r="AB20" s="38">
        <f t="shared" si="10"/>
        <v>10</v>
      </c>
    </row>
    <row r="21" spans="1:28" x14ac:dyDescent="0.25">
      <c r="A21">
        <f t="shared" si="0"/>
        <v>1.010121</v>
      </c>
      <c r="B21">
        <f t="shared" si="1"/>
        <v>11</v>
      </c>
      <c r="C21" t="str">
        <f t="shared" si="2"/>
        <v>Gay Valentin</v>
      </c>
      <c r="D21">
        <f t="shared" si="3"/>
        <v>0</v>
      </c>
      <c r="E21">
        <f t="shared" si="4"/>
        <v>0</v>
      </c>
      <c r="F21">
        <f t="shared" si="5"/>
        <v>0</v>
      </c>
      <c r="G21">
        <f>IF($C$2="x",IFERROR(SMALL($A$11:$A$14,11),0),IF($C$3="x",IFERROR(SMALL($A$11:$A$18,11),0),IF($C$4="x",IFERROR(SMALL($A$11:$A$26,11),0),IF($C$5="x",IFERROR(SMALL($A$11:$A$42,11),0),IF($C$6="x",IFERROR(SMALL($A$11:$A$74,11),0),IF($C$7="x",IFERROR(SMALL($A$11:$A$138,11),0),IFERROR(SMALL($A$11:$A$266,11),0)))))))</f>
        <v>1.010121</v>
      </c>
      <c r="H21">
        <f t="shared" si="6"/>
        <v>11</v>
      </c>
      <c r="I21" t="str">
        <f t="shared" si="7"/>
        <v>Gay Valentin</v>
      </c>
      <c r="J21" s="34"/>
      <c r="K21" s="35" t="s">
        <v>38</v>
      </c>
      <c r="L21" s="36"/>
      <c r="M21" s="34"/>
      <c r="N21" s="35" t="s">
        <v>38</v>
      </c>
      <c r="O21" s="36"/>
      <c r="P21" s="34"/>
      <c r="Q21" s="35" t="s">
        <v>38</v>
      </c>
      <c r="R21" s="36"/>
      <c r="S21" s="37">
        <f t="shared" si="8"/>
        <v>11</v>
      </c>
      <c r="U21" s="38">
        <v>11</v>
      </c>
      <c r="V21" s="39" t="s">
        <v>49</v>
      </c>
      <c r="W21" s="40" t="str">
        <f>IF('Infos générales'!$E$2="x",IF(U21&gt;0,VLOOKUP(U21,'Infos joueurs'!$A:$M,4,FALSE)&amp;" / "&amp;VLOOKUP(U21,'Infos joueurs'!$A:$M,9,FALSE)," "),IF(U21&gt;0,VLOOKUP(U21,'Infos joueurs'!$A:$M,4,FALSE)&amp;" "&amp;VLOOKUP(U21,'Infos joueurs'!$A:$M,5,FALSE)," "))</f>
        <v>Gay Valentin</v>
      </c>
      <c r="Y21" s="33">
        <v>11</v>
      </c>
      <c r="Z21" s="256" t="str">
        <f t="shared" si="9"/>
        <v>Gay Valentin</v>
      </c>
      <c r="AA21" s="41" t="str">
        <f>IFERROR(INDEX('Infos joueurs'!$F$15:$F$270,MATCH(AB21,'Infos joueurs'!$A$15:$A$270,0))," ")</f>
        <v>Collombey-Muraz</v>
      </c>
      <c r="AB21" s="38">
        <f t="shared" si="10"/>
        <v>11</v>
      </c>
    </row>
    <row r="22" spans="1:28" x14ac:dyDescent="0.25">
      <c r="A22">
        <f t="shared" si="0"/>
        <v>1.010122</v>
      </c>
      <c r="B22">
        <f t="shared" si="1"/>
        <v>12</v>
      </c>
      <c r="C22" t="str">
        <f t="shared" si="2"/>
        <v>Germanier Enzo</v>
      </c>
      <c r="D22">
        <f t="shared" si="3"/>
        <v>0</v>
      </c>
      <c r="E22">
        <f t="shared" si="4"/>
        <v>0</v>
      </c>
      <c r="F22">
        <f t="shared" si="5"/>
        <v>0</v>
      </c>
      <c r="G22">
        <f>IF($C$2="x",IFERROR(SMALL($A$11:$A$14,12),0),IF($C$3="x",IFERROR(SMALL($A$11:$A$18,12),0),IF($C$4="x",IFERROR(SMALL($A$11:$A$26,12),0),IF($C$5="x",IFERROR(SMALL($A$11:$A$42,12),0),IF($C$6="x",IFERROR(SMALL($A$11:$A$74,12),0),IF($C$7="x",IFERROR(SMALL($A$11:$A$138,12),0),IFERROR(SMALL($A$11:$A$266,12),0)))))))</f>
        <v>1.010122</v>
      </c>
      <c r="H22">
        <f t="shared" si="6"/>
        <v>12</v>
      </c>
      <c r="I22" t="str">
        <f t="shared" si="7"/>
        <v>Germanier Enzo</v>
      </c>
      <c r="J22" s="34"/>
      <c r="K22" s="35" t="s">
        <v>38</v>
      </c>
      <c r="L22" s="36"/>
      <c r="M22" s="34"/>
      <c r="N22" s="35" t="s">
        <v>38</v>
      </c>
      <c r="O22" s="36"/>
      <c r="P22" s="34"/>
      <c r="Q22" s="35" t="s">
        <v>38</v>
      </c>
      <c r="R22" s="36"/>
      <c r="S22" s="37">
        <f t="shared" si="8"/>
        <v>12</v>
      </c>
      <c r="U22" s="38">
        <v>12</v>
      </c>
      <c r="V22" s="39" t="s">
        <v>50</v>
      </c>
      <c r="W22" s="40" t="str">
        <f>IF('Infos générales'!$E$2="x",IF(U22&gt;0,VLOOKUP(U22,'Infos joueurs'!$A:$M,4,FALSE)&amp;" / "&amp;VLOOKUP(U22,'Infos joueurs'!$A:$M,9,FALSE)," "),IF(U22&gt;0,VLOOKUP(U22,'Infos joueurs'!$A:$M,4,FALSE)&amp;" "&amp;VLOOKUP(U22,'Infos joueurs'!$A:$M,5,FALSE)," "))</f>
        <v>Germanier Enzo</v>
      </c>
      <c r="Y22" s="33">
        <v>12</v>
      </c>
      <c r="Z22" s="256" t="str">
        <f t="shared" si="9"/>
        <v>Germanier Enzo</v>
      </c>
      <c r="AA22" s="41" t="str">
        <f>IFERROR(INDEX('Infos joueurs'!$F$15:$F$270,MATCH(AB22,'Infos joueurs'!$A$15:$A$270,0))," ")</f>
        <v>Sion</v>
      </c>
      <c r="AB22" s="38">
        <f t="shared" si="10"/>
        <v>12</v>
      </c>
    </row>
    <row r="23" spans="1:28" x14ac:dyDescent="0.25">
      <c r="A23">
        <f t="shared" si="0"/>
        <v>1.0101230000000001</v>
      </c>
      <c r="B23">
        <f t="shared" si="1"/>
        <v>13</v>
      </c>
      <c r="C23" t="str">
        <f t="shared" si="2"/>
        <v>Heldner Mathis</v>
      </c>
      <c r="D23">
        <f t="shared" si="3"/>
        <v>0</v>
      </c>
      <c r="E23">
        <f t="shared" si="4"/>
        <v>0</v>
      </c>
      <c r="F23">
        <f t="shared" si="5"/>
        <v>0</v>
      </c>
      <c r="G23">
        <f>IF($C$2="x",IFERROR(SMALL($A$11:$A$14,13),0),IF($C$3="x",IFERROR(SMALL($A$11:$A$18,13),0),IF($C$4="x",IFERROR(SMALL($A$11:$A$26,13),0),IF($C$5="x",IFERROR(SMALL($A$11:$A$42,13),0),IF($C$6="x",IFERROR(SMALL($A$11:$A$74,13),0),IF($C$7="x",IFERROR(SMALL($A$11:$A$138,13),0),IFERROR(SMALL($A$11:$A$266,13),0)))))))</f>
        <v>1.0101230000000001</v>
      </c>
      <c r="H23">
        <f t="shared" si="6"/>
        <v>13</v>
      </c>
      <c r="I23" t="str">
        <f t="shared" si="7"/>
        <v>Heldner Mathis</v>
      </c>
      <c r="J23" s="34"/>
      <c r="K23" s="35" t="s">
        <v>38</v>
      </c>
      <c r="L23" s="36"/>
      <c r="M23" s="34"/>
      <c r="N23" s="35" t="s">
        <v>38</v>
      </c>
      <c r="O23" s="36"/>
      <c r="P23" s="34"/>
      <c r="Q23" s="35" t="s">
        <v>38</v>
      </c>
      <c r="R23" s="36"/>
      <c r="S23" s="37">
        <f t="shared" si="8"/>
        <v>13</v>
      </c>
      <c r="U23" s="38">
        <v>13</v>
      </c>
      <c r="V23" s="39" t="s">
        <v>51</v>
      </c>
      <c r="W23" s="40" t="str">
        <f>IF('Infos générales'!$E$2="x",IF(U23&gt;0,VLOOKUP(U23,'Infos joueurs'!$A:$M,4,FALSE)&amp;" / "&amp;VLOOKUP(U23,'Infos joueurs'!$A:$M,9,FALSE)," "),IF(U23&gt;0,VLOOKUP(U23,'Infos joueurs'!$A:$M,4,FALSE)&amp;" "&amp;VLOOKUP(U23,'Infos joueurs'!$A:$M,5,FALSE)," "))</f>
        <v>Heldner Mathis</v>
      </c>
      <c r="Y23" s="33">
        <v>13</v>
      </c>
      <c r="Z23" s="256" t="str">
        <f t="shared" si="9"/>
        <v>Heldner Mathis</v>
      </c>
      <c r="AA23" s="41" t="str">
        <f>IFERROR(INDEX('Infos joueurs'!$F$15:$F$270,MATCH(AB23,'Infos joueurs'!$A$15:$A$270,0))," ")</f>
        <v>Sierre</v>
      </c>
      <c r="AB23" s="38">
        <f t="shared" si="10"/>
        <v>13</v>
      </c>
    </row>
    <row r="24" spans="1:28" x14ac:dyDescent="0.25">
      <c r="A24">
        <f t="shared" si="0"/>
        <v>1.010124</v>
      </c>
      <c r="B24">
        <f t="shared" si="1"/>
        <v>14</v>
      </c>
      <c r="C24" t="str">
        <f t="shared" si="2"/>
        <v>Jacquod Thibaud</v>
      </c>
      <c r="D24">
        <f t="shared" si="3"/>
        <v>0</v>
      </c>
      <c r="E24">
        <f t="shared" si="4"/>
        <v>0</v>
      </c>
      <c r="F24">
        <f t="shared" si="5"/>
        <v>0</v>
      </c>
      <c r="G24">
        <f>IF($C$2="x",IFERROR(SMALL($A$11:$A$14,14),0),IF($C$3="x",IFERROR(SMALL($A$11:$A$18,14),0),IF($C$4="x",IFERROR(SMALL($A$11:$A$26,14),0),IF($C$5="x",IFERROR(SMALL($A$11:$A$42,14),0),IF($C$6="x",IFERROR(SMALL($A$11:$A$74,14),0),IF($C$7="x",IFERROR(SMALL($A$11:$A$138,14),0),IFERROR(SMALL($A$11:$A$266,14),0)))))))</f>
        <v>1.010124</v>
      </c>
      <c r="H24">
        <f t="shared" si="6"/>
        <v>14</v>
      </c>
      <c r="I24" t="str">
        <f t="shared" si="7"/>
        <v>Jacquod Thibaud</v>
      </c>
      <c r="J24" s="34"/>
      <c r="K24" s="35" t="s">
        <v>38</v>
      </c>
      <c r="L24" s="36"/>
      <c r="M24" s="34"/>
      <c r="N24" s="35" t="s">
        <v>38</v>
      </c>
      <c r="O24" s="36"/>
      <c r="P24" s="34"/>
      <c r="Q24" s="35" t="s">
        <v>38</v>
      </c>
      <c r="R24" s="36"/>
      <c r="S24" s="37">
        <f t="shared" si="8"/>
        <v>14</v>
      </c>
      <c r="U24" s="38">
        <v>14</v>
      </c>
      <c r="V24" s="39" t="s">
        <v>52</v>
      </c>
      <c r="W24" s="40" t="str">
        <f>IF('Infos générales'!$E$2="x",IF(U24&gt;0,VLOOKUP(U24,'Infos joueurs'!$A:$M,4,FALSE)&amp;" / "&amp;VLOOKUP(U24,'Infos joueurs'!$A:$M,9,FALSE)," "),IF(U24&gt;0,VLOOKUP(U24,'Infos joueurs'!$A:$M,4,FALSE)&amp;" "&amp;VLOOKUP(U24,'Infos joueurs'!$A:$M,5,FALSE)," "))</f>
        <v>Jacquod Thibaud</v>
      </c>
      <c r="Y24" s="33">
        <v>14</v>
      </c>
      <c r="Z24" s="256" t="str">
        <f t="shared" si="9"/>
        <v>Jacquod Thibaud</v>
      </c>
      <c r="AA24" s="41" t="str">
        <f>IFERROR(INDEX('Infos joueurs'!$F$15:$F$270,MATCH(AB24,'Infos joueurs'!$A$15:$A$270,0))," ")</f>
        <v>Sion</v>
      </c>
      <c r="AB24" s="38">
        <f t="shared" si="10"/>
        <v>14</v>
      </c>
    </row>
    <row r="25" spans="1:28" x14ac:dyDescent="0.25">
      <c r="A25">
        <f t="shared" si="0"/>
        <v>1.0101249999999999</v>
      </c>
      <c r="B25">
        <f t="shared" si="1"/>
        <v>15</v>
      </c>
      <c r="C25" t="str">
        <f t="shared" si="2"/>
        <v>Jäger Joel</v>
      </c>
      <c r="D25">
        <f t="shared" si="3"/>
        <v>0</v>
      </c>
      <c r="E25">
        <f t="shared" si="4"/>
        <v>0</v>
      </c>
      <c r="F25">
        <f t="shared" si="5"/>
        <v>0</v>
      </c>
      <c r="G25">
        <f>IF($C$2="x",IFERROR(SMALL($A$11:$A$14,15),0),IF($C$3="x",IFERROR(SMALL($A$11:$A$18,15),0),IF($C$4="x",IFERROR(SMALL($A$11:$A$26,15),0),IF($C$5="x",IFERROR(SMALL($A$11:$A$42,15),0),IF($C$6="x",IFERROR(SMALL($A$11:$A$74,15),0),IF($C$7="x",IFERROR(SMALL($A$11:$A$138,15),0),IFERROR(SMALL($A$11:$A$266,15),0)))))))</f>
        <v>1.0101249999999999</v>
      </c>
      <c r="H25">
        <f t="shared" si="6"/>
        <v>15</v>
      </c>
      <c r="I25" t="str">
        <f t="shared" si="7"/>
        <v>Jäger Joel</v>
      </c>
      <c r="J25" s="34"/>
      <c r="K25" s="35" t="s">
        <v>38</v>
      </c>
      <c r="L25" s="36"/>
      <c r="M25" s="34"/>
      <c r="N25" s="35" t="s">
        <v>38</v>
      </c>
      <c r="O25" s="36"/>
      <c r="P25" s="34"/>
      <c r="Q25" s="35" t="s">
        <v>38</v>
      </c>
      <c r="R25" s="36"/>
      <c r="S25" s="37">
        <f t="shared" si="8"/>
        <v>15</v>
      </c>
      <c r="U25" s="38">
        <v>15</v>
      </c>
      <c r="V25" s="39" t="s">
        <v>53</v>
      </c>
      <c r="W25" s="40" t="str">
        <f>IF('Infos générales'!$E$2="x",IF(U25&gt;0,VLOOKUP(U25,'Infos joueurs'!$A:$M,4,FALSE)&amp;" / "&amp;VLOOKUP(U25,'Infos joueurs'!$A:$M,9,FALSE)," "),IF(U25&gt;0,VLOOKUP(U25,'Infos joueurs'!$A:$M,4,FALSE)&amp;" "&amp;VLOOKUP(U25,'Infos joueurs'!$A:$M,5,FALSE)," "))</f>
        <v>Jäger Joel</v>
      </c>
      <c r="Y25" s="33">
        <v>15</v>
      </c>
      <c r="Z25" s="256" t="str">
        <f t="shared" si="9"/>
        <v>Jäger Joel</v>
      </c>
      <c r="AA25" s="41" t="str">
        <f>IFERROR(INDEX('Infos joueurs'!$F$15:$F$270,MATCH(AB25,'Infos joueurs'!$A$15:$A$270,0))," ")</f>
        <v>Gampel-Steg</v>
      </c>
      <c r="AB25" s="38">
        <f t="shared" si="10"/>
        <v>15</v>
      </c>
    </row>
    <row r="26" spans="1:28" x14ac:dyDescent="0.25">
      <c r="A26">
        <f t="shared" si="0"/>
        <v>1.0101260000000001</v>
      </c>
      <c r="B26">
        <f t="shared" si="1"/>
        <v>16</v>
      </c>
      <c r="C26" t="str">
        <f t="shared" si="2"/>
        <v>Knöri Alexander</v>
      </c>
      <c r="D26">
        <f t="shared" si="3"/>
        <v>0</v>
      </c>
      <c r="E26">
        <f t="shared" si="4"/>
        <v>0</v>
      </c>
      <c r="F26">
        <f t="shared" si="5"/>
        <v>0</v>
      </c>
      <c r="G26">
        <f>IF($C$2="x",IFERROR(SMALL($A$11:$A$14,16),0),IF($C$3="x",IFERROR(SMALL($A$11:$A$18,16),0),IF($C$4="x",IFERROR(SMALL($A$11:$A$26,16),0),IF($C$5="x",IFERROR(SMALL($A$11:$A$42,16),0),IF($C$6="x",IFERROR(SMALL($A$11:$A$74,16),0),IF($C$7="x",IFERROR(SMALL($A$11:$A$138,16),0),IFERROR(SMALL($A$11:$A$266,16),0)))))))</f>
        <v>1.0101260000000001</v>
      </c>
      <c r="H26">
        <f t="shared" si="6"/>
        <v>16</v>
      </c>
      <c r="I26" t="str">
        <f t="shared" si="7"/>
        <v>Knöri Alexander</v>
      </c>
      <c r="J26" s="34"/>
      <c r="K26" s="35" t="s">
        <v>38</v>
      </c>
      <c r="L26" s="36"/>
      <c r="M26" s="34"/>
      <c r="N26" s="35" t="s">
        <v>38</v>
      </c>
      <c r="O26" s="36"/>
      <c r="P26" s="34"/>
      <c r="Q26" s="35" t="s">
        <v>38</v>
      </c>
      <c r="R26" s="36"/>
      <c r="S26" s="37">
        <f t="shared" si="8"/>
        <v>16</v>
      </c>
      <c r="U26" s="38">
        <v>16</v>
      </c>
      <c r="V26" s="39" t="s">
        <v>54</v>
      </c>
      <c r="W26" s="40" t="str">
        <f>IF('Infos générales'!$E$2="x",IF(U26&gt;0,VLOOKUP(U26,'Infos joueurs'!$A:$M,4,FALSE)&amp;" / "&amp;VLOOKUP(U26,'Infos joueurs'!$A:$M,9,FALSE)," "),IF(U26&gt;0,VLOOKUP(U26,'Infos joueurs'!$A:$M,4,FALSE)&amp;" "&amp;VLOOKUP(U26,'Infos joueurs'!$A:$M,5,FALSE)," "))</f>
        <v>Knöri Alexander</v>
      </c>
      <c r="Y26" s="33">
        <v>16</v>
      </c>
      <c r="Z26" s="256" t="str">
        <f t="shared" si="9"/>
        <v>Knöri Alexander</v>
      </c>
      <c r="AA26" s="41" t="str">
        <f>IFERROR(INDEX('Infos joueurs'!$F$15:$F$270,MATCH(AB26,'Infos joueurs'!$A$15:$A$270,0))," ")</f>
        <v>Gampel-Steg</v>
      </c>
      <c r="AB26" s="38">
        <f t="shared" si="10"/>
        <v>16</v>
      </c>
    </row>
    <row r="27" spans="1:28" x14ac:dyDescent="0.25">
      <c r="A27">
        <f t="shared" si="0"/>
        <v>1.010127</v>
      </c>
      <c r="B27">
        <f t="shared" si="1"/>
        <v>17</v>
      </c>
      <c r="C27" t="str">
        <f t="shared" si="2"/>
        <v>Marjay David</v>
      </c>
      <c r="D27">
        <f t="shared" si="3"/>
        <v>0</v>
      </c>
      <c r="E27">
        <f t="shared" si="4"/>
        <v>0</v>
      </c>
      <c r="F27">
        <f t="shared" si="5"/>
        <v>0</v>
      </c>
      <c r="G27">
        <f>IF($C$2="x",IFERROR(SMALL($A$11:$A$14,17),0),IF($C$3="x",IFERROR(SMALL($A$11:$A$18,17),0),IF($C$4="x",IFERROR(SMALL($A$11:$A$26,17),0),IF($C$5="x",IFERROR(SMALL($A$11:$A$42,17),0),IF($C$6="x",IFERROR(SMALL($A$11:$A$74,17),0),IF($C$7="x",IFERROR(SMALL($A$11:$A$138,17),0),IFERROR(SMALL($A$11:$A$266,17),0)))))))</f>
        <v>1.010127</v>
      </c>
      <c r="H27">
        <f t="shared" si="6"/>
        <v>17</v>
      </c>
      <c r="I27" t="str">
        <f t="shared" si="7"/>
        <v>Marjay David</v>
      </c>
      <c r="J27" s="34"/>
      <c r="K27" s="35" t="s">
        <v>38</v>
      </c>
      <c r="L27" s="36"/>
      <c r="M27" s="34"/>
      <c r="N27" s="35" t="s">
        <v>38</v>
      </c>
      <c r="O27" s="36"/>
      <c r="P27" s="34"/>
      <c r="Q27" s="35" t="s">
        <v>38</v>
      </c>
      <c r="R27" s="36"/>
      <c r="S27" s="37">
        <f t="shared" si="8"/>
        <v>17</v>
      </c>
      <c r="U27" s="38">
        <v>17</v>
      </c>
      <c r="V27" s="39" t="s">
        <v>55</v>
      </c>
      <c r="W27" s="40" t="str">
        <f>IF('Infos générales'!$E$2="x",IF(U27&gt;0,VLOOKUP(U27,'Infos joueurs'!$A:$M,4,FALSE)&amp;" / "&amp;VLOOKUP(U27,'Infos joueurs'!$A:$M,9,FALSE)," "),IF(U27&gt;0,VLOOKUP(U27,'Infos joueurs'!$A:$M,4,FALSE)&amp;" "&amp;VLOOKUP(U27,'Infos joueurs'!$A:$M,5,FALSE)," "))</f>
        <v>Marjay David</v>
      </c>
      <c r="Y27" s="33">
        <v>17</v>
      </c>
      <c r="Z27" s="256" t="str">
        <f t="shared" si="9"/>
        <v>Marjay David</v>
      </c>
      <c r="AA27" s="41" t="str">
        <f>IFERROR(INDEX('Infos joueurs'!$F$15:$F$270,MATCH(AB27,'Infos joueurs'!$A$15:$A$270,0))," ")</f>
        <v>Collombey-Muraz</v>
      </c>
      <c r="AB27" s="38">
        <f t="shared" si="10"/>
        <v>17</v>
      </c>
    </row>
    <row r="28" spans="1:28" x14ac:dyDescent="0.25">
      <c r="A28">
        <f t="shared" si="0"/>
        <v>1.0101279999999999</v>
      </c>
      <c r="B28">
        <f t="shared" si="1"/>
        <v>18</v>
      </c>
      <c r="C28" t="str">
        <f t="shared" si="2"/>
        <v>Massy Kenny</v>
      </c>
      <c r="D28">
        <f t="shared" si="3"/>
        <v>0</v>
      </c>
      <c r="E28">
        <f t="shared" si="4"/>
        <v>0</v>
      </c>
      <c r="F28">
        <f t="shared" si="5"/>
        <v>0</v>
      </c>
      <c r="G28">
        <f>IF($C$2="x",IFERROR(SMALL($A$11:$A$14,18),0),IF($C$3="x",IFERROR(SMALL($A$11:$A$18,18),0),IF($C$4="x",IFERROR(SMALL($A$11:$A$26,18),0),IF($C$5="x",IFERROR(SMALL($A$11:$A$42,18),0),IF($C$6="x",IFERROR(SMALL($A$11:$A$74,18),0),IF($C$7="x",IFERROR(SMALL($A$11:$A$138,18),0),IFERROR(SMALL($A$11:$A$266,18),0)))))))</f>
        <v>1.0101279999999999</v>
      </c>
      <c r="H28">
        <f t="shared" si="6"/>
        <v>18</v>
      </c>
      <c r="I28" t="str">
        <f t="shared" si="7"/>
        <v>Massy Kenny</v>
      </c>
      <c r="J28" s="34"/>
      <c r="K28" s="35" t="s">
        <v>38</v>
      </c>
      <c r="L28" s="36"/>
      <c r="M28" s="34"/>
      <c r="N28" s="35" t="s">
        <v>38</v>
      </c>
      <c r="O28" s="36"/>
      <c r="P28" s="34"/>
      <c r="Q28" s="35" t="s">
        <v>38</v>
      </c>
      <c r="R28" s="36"/>
      <c r="S28" s="37">
        <f t="shared" si="8"/>
        <v>18</v>
      </c>
      <c r="U28" s="38">
        <v>18</v>
      </c>
      <c r="V28" s="39" t="s">
        <v>56</v>
      </c>
      <c r="W28" s="40" t="str">
        <f>IF('Infos générales'!$E$2="x",IF(U28&gt;0,VLOOKUP(U28,'Infos joueurs'!$A:$M,4,FALSE)&amp;" / "&amp;VLOOKUP(U28,'Infos joueurs'!$A:$M,9,FALSE)," "),IF(U28&gt;0,VLOOKUP(U28,'Infos joueurs'!$A:$M,4,FALSE)&amp;" "&amp;VLOOKUP(U28,'Infos joueurs'!$A:$M,5,FALSE)," "))</f>
        <v>Massy Kenny</v>
      </c>
      <c r="Y28" s="33">
        <v>18</v>
      </c>
      <c r="Z28" s="256" t="str">
        <f t="shared" si="9"/>
        <v>Massy Kenny</v>
      </c>
      <c r="AA28" s="41" t="str">
        <f>IFERROR(INDEX('Infos joueurs'!$F$15:$F$270,MATCH(AB28,'Infos joueurs'!$A$15:$A$270,0))," ")</f>
        <v>Sierre</v>
      </c>
      <c r="AB28" s="38">
        <f t="shared" si="10"/>
        <v>18</v>
      </c>
    </row>
    <row r="29" spans="1:28" x14ac:dyDescent="0.25">
      <c r="A29">
        <f t="shared" si="0"/>
        <v>1.0101290000000001</v>
      </c>
      <c r="B29">
        <f t="shared" si="1"/>
        <v>19</v>
      </c>
      <c r="C29" t="str">
        <f t="shared" si="2"/>
        <v>Mauris Romain</v>
      </c>
      <c r="D29">
        <f t="shared" si="3"/>
        <v>0</v>
      </c>
      <c r="E29">
        <f t="shared" si="4"/>
        <v>0</v>
      </c>
      <c r="F29">
        <f t="shared" si="5"/>
        <v>0</v>
      </c>
      <c r="G29">
        <f>IF($C$2="x",IFERROR(SMALL($A$11:$A$14,19),0),IF($C$3="x",IFERROR(SMALL($A$11:$A$18,19),0),IF($C$4="x",IFERROR(SMALL($A$11:$A$26,19),0),IF($C$5="x",IFERROR(SMALL($A$11:$A$42,19),0),IF($C$6="x",IFERROR(SMALL($A$11:$A$74,19),0),IF($C$7="x",IFERROR(SMALL($A$11:$A$138,19),0),IFERROR(SMALL($A$11:$A$266,19),0)))))))</f>
        <v>1.0101290000000001</v>
      </c>
      <c r="H29">
        <f t="shared" si="6"/>
        <v>19</v>
      </c>
      <c r="I29" t="str">
        <f t="shared" si="7"/>
        <v>Mauris Romain</v>
      </c>
      <c r="J29" s="34"/>
      <c r="K29" s="35" t="s">
        <v>38</v>
      </c>
      <c r="L29" s="36"/>
      <c r="M29" s="34"/>
      <c r="N29" s="35" t="s">
        <v>38</v>
      </c>
      <c r="O29" s="36"/>
      <c r="P29" s="34"/>
      <c r="Q29" s="35" t="s">
        <v>38</v>
      </c>
      <c r="R29" s="36"/>
      <c r="S29" s="37">
        <f t="shared" si="8"/>
        <v>19</v>
      </c>
      <c r="U29" s="38">
        <v>19</v>
      </c>
      <c r="V29" s="39" t="s">
        <v>57</v>
      </c>
      <c r="W29" s="40" t="str">
        <f>IF('Infos générales'!$E$2="x",IF(U29&gt;0,VLOOKUP(U29,'Infos joueurs'!$A:$M,4,FALSE)&amp;" / "&amp;VLOOKUP(U29,'Infos joueurs'!$A:$M,9,FALSE)," "),IF(U29&gt;0,VLOOKUP(U29,'Infos joueurs'!$A:$M,4,FALSE)&amp;" "&amp;VLOOKUP(U29,'Infos joueurs'!$A:$M,5,FALSE)," "))</f>
        <v>Mauris Romain</v>
      </c>
      <c r="Y29" s="33">
        <v>19</v>
      </c>
      <c r="Z29" s="256" t="str">
        <f t="shared" si="9"/>
        <v>Mauris Romain</v>
      </c>
      <c r="AA29" s="41" t="str">
        <f>IFERROR(INDEX('Infos joueurs'!$F$15:$F$270,MATCH(AB29,'Infos joueurs'!$A$15:$A$270,0))," ")</f>
        <v>Sierre</v>
      </c>
      <c r="AB29" s="38">
        <f t="shared" si="10"/>
        <v>19</v>
      </c>
    </row>
    <row r="30" spans="1:28" x14ac:dyDescent="0.25">
      <c r="A30">
        <f t="shared" si="0"/>
        <v>1.01013</v>
      </c>
      <c r="B30">
        <f t="shared" si="1"/>
        <v>20</v>
      </c>
      <c r="C30" t="str">
        <f t="shared" si="2"/>
        <v>Mercier Maël</v>
      </c>
      <c r="D30">
        <f t="shared" si="3"/>
        <v>0</v>
      </c>
      <c r="E30">
        <f t="shared" si="4"/>
        <v>0</v>
      </c>
      <c r="F30">
        <f t="shared" si="5"/>
        <v>0</v>
      </c>
      <c r="G30">
        <f>IF($C$2="x",IFERROR(SMALL($A$11:$A$14,20),0),IF($C$3="x",IFERROR(SMALL($A$11:$A$18,20),0),IF($C$4="x",IFERROR(SMALL($A$11:$A$26,20),0),IF($C$5="x",IFERROR(SMALL($A$11:$A$42,20),0),IF($C$6="x",IFERROR(SMALL($A$11:$A$74,20),0),IF($C$7="x",IFERROR(SMALL($A$11:$A$138,20),0),IFERROR(SMALL($A$11:$A$266,20),0)))))))</f>
        <v>1.01013</v>
      </c>
      <c r="H30">
        <f t="shared" si="6"/>
        <v>20</v>
      </c>
      <c r="I30" t="str">
        <f t="shared" si="7"/>
        <v>Mercier Maël</v>
      </c>
      <c r="J30" s="34"/>
      <c r="K30" s="35" t="s">
        <v>38</v>
      </c>
      <c r="L30" s="36"/>
      <c r="M30" s="34"/>
      <c r="N30" s="35" t="s">
        <v>38</v>
      </c>
      <c r="O30" s="36"/>
      <c r="P30" s="34"/>
      <c r="Q30" s="35" t="s">
        <v>38</v>
      </c>
      <c r="R30" s="36"/>
      <c r="S30" s="37">
        <f t="shared" si="8"/>
        <v>20</v>
      </c>
      <c r="U30" s="38">
        <v>20</v>
      </c>
      <c r="V30" s="39" t="s">
        <v>58</v>
      </c>
      <c r="W30" s="40" t="str">
        <f>IF('Infos générales'!$E$2="x",IF(U30&gt;0,VLOOKUP(U30,'Infos joueurs'!$A:$M,4,FALSE)&amp;" / "&amp;VLOOKUP(U30,'Infos joueurs'!$A:$M,9,FALSE)," "),IF(U30&gt;0,VLOOKUP(U30,'Infos joueurs'!$A:$M,4,FALSE)&amp;" "&amp;VLOOKUP(U30,'Infos joueurs'!$A:$M,5,FALSE)," "))</f>
        <v>Mercier Maël</v>
      </c>
      <c r="Y30" s="33">
        <v>20</v>
      </c>
      <c r="Z30" s="256" t="str">
        <f t="shared" si="9"/>
        <v>Mercier Maël</v>
      </c>
      <c r="AA30" s="41" t="str">
        <f>IFERROR(INDEX('Infos joueurs'!$F$15:$F$270,MATCH(AB30,'Infos joueurs'!$A$15:$A$270,0))," ")</f>
        <v>Collombey-Muraz</v>
      </c>
      <c r="AB30" s="38">
        <f t="shared" si="10"/>
        <v>20</v>
      </c>
    </row>
    <row r="31" spans="1:28" x14ac:dyDescent="0.25">
      <c r="A31">
        <f t="shared" si="0"/>
        <v>1.0101309999999999</v>
      </c>
      <c r="B31">
        <f t="shared" si="1"/>
        <v>21</v>
      </c>
      <c r="C31" t="str">
        <f t="shared" si="2"/>
        <v>Nanez Diego</v>
      </c>
      <c r="D31">
        <f t="shared" si="3"/>
        <v>0</v>
      </c>
      <c r="E31">
        <f t="shared" si="4"/>
        <v>0</v>
      </c>
      <c r="F31">
        <f t="shared" si="5"/>
        <v>0</v>
      </c>
      <c r="G31">
        <f>IF($C$2="x",IFERROR(SMALL($A$11:$A$14,21),0),IF($C$3="x",IFERROR(SMALL($A$11:$A$18,21),0),IF($C$4="x",IFERROR(SMALL($A$11:$A$26,21),0),IF($C$5="x",IFERROR(SMALL($A$11:$A$42,21),0),IF($C$6="x",IFERROR(SMALL($A$11:$A$74,21),0),IF($C$7="x",IFERROR(SMALL($A$11:$A$138,21),0),IFERROR(SMALL($A$11:$A$266,21),0)))))))</f>
        <v>1.0101309999999999</v>
      </c>
      <c r="H31">
        <f t="shared" si="6"/>
        <v>21</v>
      </c>
      <c r="I31" t="str">
        <f t="shared" si="7"/>
        <v>Nanez Diego</v>
      </c>
      <c r="J31" s="34"/>
      <c r="K31" s="35" t="s">
        <v>38</v>
      </c>
      <c r="L31" s="36"/>
      <c r="M31" s="34"/>
      <c r="N31" s="35" t="s">
        <v>38</v>
      </c>
      <c r="O31" s="36"/>
      <c r="P31" s="34"/>
      <c r="Q31" s="35" t="s">
        <v>38</v>
      </c>
      <c r="R31" s="36"/>
      <c r="S31" s="37">
        <f t="shared" si="8"/>
        <v>21</v>
      </c>
      <c r="U31" s="38">
        <v>21</v>
      </c>
      <c r="V31" s="39" t="s">
        <v>59</v>
      </c>
      <c r="W31" s="40" t="str">
        <f>IF('Infos générales'!$E$2="x",IF(U31&gt;0,VLOOKUP(U31,'Infos joueurs'!$A:$M,4,FALSE)&amp;" / "&amp;VLOOKUP(U31,'Infos joueurs'!$A:$M,9,FALSE)," "),IF(U31&gt;0,VLOOKUP(U31,'Infos joueurs'!$A:$M,4,FALSE)&amp;" "&amp;VLOOKUP(U31,'Infos joueurs'!$A:$M,5,FALSE)," "))</f>
        <v>Nanez Diego</v>
      </c>
      <c r="Y31" s="33">
        <v>21</v>
      </c>
      <c r="Z31" s="256" t="str">
        <f t="shared" si="9"/>
        <v>Nanez Diego</v>
      </c>
      <c r="AA31" s="41" t="str">
        <f>IFERROR(INDEX('Infos joueurs'!$F$15:$F$270,MATCH(AB31,'Infos joueurs'!$A$15:$A$270,0))," ")</f>
        <v>Sion</v>
      </c>
      <c r="AB31" s="38">
        <f t="shared" si="10"/>
        <v>21</v>
      </c>
    </row>
    <row r="32" spans="1:28" x14ac:dyDescent="0.25">
      <c r="A32">
        <f t="shared" si="0"/>
        <v>1.010132</v>
      </c>
      <c r="B32">
        <f t="shared" si="1"/>
        <v>22</v>
      </c>
      <c r="C32" t="str">
        <f t="shared" si="2"/>
        <v>Pellaton Robin</v>
      </c>
      <c r="D32">
        <f t="shared" si="3"/>
        <v>0</v>
      </c>
      <c r="E32">
        <f t="shared" si="4"/>
        <v>0</v>
      </c>
      <c r="F32">
        <f t="shared" si="5"/>
        <v>0</v>
      </c>
      <c r="G32">
        <f>IF($C$2="x",IFERROR(SMALL($A$11:$A$14,22),0),IF($C$3="x",IFERROR(SMALL($A$11:$A$18,22),0),IF($C$4="x",IFERROR(SMALL($A$11:$A$26,22),0),IF($C$5="x",IFERROR(SMALL($A$11:$A$42,22),0),IF($C$6="x",IFERROR(SMALL($A$11:$A$74,22),0),IF($C$7="x",IFERROR(SMALL($A$11:$A$138,22),0),IFERROR(SMALL($A$11:$A$266,22),0)))))))</f>
        <v>1.010132</v>
      </c>
      <c r="H32">
        <f t="shared" si="6"/>
        <v>22</v>
      </c>
      <c r="I32" t="str">
        <f t="shared" si="7"/>
        <v>Pellaton Robin</v>
      </c>
      <c r="J32" s="34"/>
      <c r="K32" s="35" t="s">
        <v>38</v>
      </c>
      <c r="L32" s="36"/>
      <c r="M32" s="34"/>
      <c r="N32" s="35" t="s">
        <v>38</v>
      </c>
      <c r="O32" s="36"/>
      <c r="P32" s="34"/>
      <c r="Q32" s="35" t="s">
        <v>38</v>
      </c>
      <c r="R32" s="36"/>
      <c r="S32" s="37">
        <f t="shared" si="8"/>
        <v>22</v>
      </c>
      <c r="U32" s="38">
        <v>22</v>
      </c>
      <c r="V32" s="39" t="s">
        <v>60</v>
      </c>
      <c r="W32" s="40" t="str">
        <f>IF('Infos générales'!$E$2="x",IF(U32&gt;0,VLOOKUP(U32,'Infos joueurs'!$A:$M,4,FALSE)&amp;" / "&amp;VLOOKUP(U32,'Infos joueurs'!$A:$M,9,FALSE)," "),IF(U32&gt;0,VLOOKUP(U32,'Infos joueurs'!$A:$M,4,FALSE)&amp;" "&amp;VLOOKUP(U32,'Infos joueurs'!$A:$M,5,FALSE)," "))</f>
        <v>Pellaton Robin</v>
      </c>
      <c r="Y32" s="33">
        <v>22</v>
      </c>
      <c r="Z32" s="256" t="str">
        <f t="shared" si="9"/>
        <v>Pellaton Robin</v>
      </c>
      <c r="AA32" s="41" t="str">
        <f>IFERROR(INDEX('Infos joueurs'!$F$15:$F$270,MATCH(AB32,'Infos joueurs'!$A$15:$A$270,0))," ")</f>
        <v>Collombey-Muraz</v>
      </c>
      <c r="AB32" s="38">
        <f t="shared" si="10"/>
        <v>22</v>
      </c>
    </row>
    <row r="33" spans="1:28" x14ac:dyDescent="0.25">
      <c r="A33">
        <f t="shared" si="0"/>
        <v>1.0101329999999999</v>
      </c>
      <c r="B33">
        <f t="shared" si="1"/>
        <v>23</v>
      </c>
      <c r="C33" t="str">
        <f t="shared" si="2"/>
        <v>Praplan Romain</v>
      </c>
      <c r="D33">
        <f t="shared" si="3"/>
        <v>0</v>
      </c>
      <c r="E33">
        <f t="shared" si="4"/>
        <v>0</v>
      </c>
      <c r="F33">
        <f t="shared" si="5"/>
        <v>0</v>
      </c>
      <c r="G33">
        <f>IF($C$2="x",IFERROR(SMALL($A$11:$A$14,23),0),IF($C$3="x",IFERROR(SMALL($A$11:$A$18,23),0),IF($C$4="x",IFERROR(SMALL($A$11:$A$26,23),0),IF($C$5="x",IFERROR(SMALL($A$11:$A$42,23),0),IF($C$6="x",IFERROR(SMALL($A$11:$A$74,23),0),IF($C$7="x",IFERROR(SMALL($A$11:$A$138,23),0),IFERROR(SMALL($A$11:$A$266,23),0)))))))</f>
        <v>1.0101329999999999</v>
      </c>
      <c r="H33">
        <f t="shared" si="6"/>
        <v>23</v>
      </c>
      <c r="I33" t="str">
        <f t="shared" si="7"/>
        <v>Praplan Romain</v>
      </c>
      <c r="J33" s="34"/>
      <c r="K33" s="35" t="s">
        <v>38</v>
      </c>
      <c r="L33" s="36"/>
      <c r="M33" s="34"/>
      <c r="N33" s="35" t="s">
        <v>38</v>
      </c>
      <c r="O33" s="36"/>
      <c r="P33" s="34"/>
      <c r="Q33" s="35" t="s">
        <v>38</v>
      </c>
      <c r="R33" s="36"/>
      <c r="S33" s="37">
        <f t="shared" si="8"/>
        <v>23</v>
      </c>
      <c r="U33" s="38">
        <v>23</v>
      </c>
      <c r="V33" s="39" t="s">
        <v>61</v>
      </c>
      <c r="W33" s="40" t="str">
        <f>IF('Infos générales'!$E$2="x",IF(U33&gt;0,VLOOKUP(U33,'Infos joueurs'!$A:$M,4,FALSE)&amp;" / "&amp;VLOOKUP(U33,'Infos joueurs'!$A:$M,9,FALSE)," "),IF(U33&gt;0,VLOOKUP(U33,'Infos joueurs'!$A:$M,4,FALSE)&amp;" "&amp;VLOOKUP(U33,'Infos joueurs'!$A:$M,5,FALSE)," "))</f>
        <v>Praplan Romain</v>
      </c>
      <c r="Y33" s="33">
        <v>23</v>
      </c>
      <c r="Z33" s="256" t="str">
        <f t="shared" si="9"/>
        <v>Praplan Romain</v>
      </c>
      <c r="AA33" s="41" t="str">
        <f>IFERROR(INDEX('Infos joueurs'!$F$15:$F$270,MATCH(AB33,'Infos joueurs'!$A$15:$A$270,0))," ")</f>
        <v>Sion</v>
      </c>
      <c r="AB33" s="38">
        <f t="shared" si="10"/>
        <v>23</v>
      </c>
    </row>
    <row r="34" spans="1:28" x14ac:dyDescent="0.25">
      <c r="A34">
        <f t="shared" si="0"/>
        <v>1.0101340000000001</v>
      </c>
      <c r="B34">
        <f t="shared" si="1"/>
        <v>24</v>
      </c>
      <c r="C34" t="str">
        <f t="shared" si="2"/>
        <v>Riard Noa</v>
      </c>
      <c r="D34">
        <f t="shared" si="3"/>
        <v>0</v>
      </c>
      <c r="E34">
        <f t="shared" si="4"/>
        <v>0</v>
      </c>
      <c r="F34">
        <f t="shared" si="5"/>
        <v>0</v>
      </c>
      <c r="G34">
        <f>IF($C$2="x",IFERROR(SMALL($A$11:$A$14,24),0),IF($C$3="x",IFERROR(SMALL($A$11:$A$18,24),0),IF($C$4="x",IFERROR(SMALL($A$11:$A$26,24),0),IF($C$5="x",IFERROR(SMALL($A$11:$A$42,24),0),IF($C$6="x",IFERROR(SMALL($A$11:$A$74,24),0),IF($C$7="x",IFERROR(SMALL($A$11:$A$138,24),0),IFERROR(SMALL($A$11:$A$266,24),0)))))))</f>
        <v>1.0101340000000001</v>
      </c>
      <c r="H34">
        <f t="shared" si="6"/>
        <v>24</v>
      </c>
      <c r="I34" t="str">
        <f t="shared" si="7"/>
        <v>Riard Noa</v>
      </c>
      <c r="J34" s="34"/>
      <c r="K34" s="35" t="s">
        <v>38</v>
      </c>
      <c r="L34" s="36"/>
      <c r="M34" s="34"/>
      <c r="N34" s="35" t="s">
        <v>38</v>
      </c>
      <c r="O34" s="36"/>
      <c r="P34" s="34"/>
      <c r="Q34" s="35" t="s">
        <v>38</v>
      </c>
      <c r="R34" s="36"/>
      <c r="S34" s="37">
        <f t="shared" si="8"/>
        <v>24</v>
      </c>
      <c r="U34" s="38">
        <v>24</v>
      </c>
      <c r="V34" s="39" t="s">
        <v>62</v>
      </c>
      <c r="W34" s="40" t="str">
        <f>IF('Infos générales'!$E$2="x",IF(U34&gt;0,VLOOKUP(U34,'Infos joueurs'!$A:$M,4,FALSE)&amp;" / "&amp;VLOOKUP(U34,'Infos joueurs'!$A:$M,9,FALSE)," "),IF(U34&gt;0,VLOOKUP(U34,'Infos joueurs'!$A:$M,4,FALSE)&amp;" "&amp;VLOOKUP(U34,'Infos joueurs'!$A:$M,5,FALSE)," "))</f>
        <v>Riard Noa</v>
      </c>
      <c r="Y34" s="33">
        <v>24</v>
      </c>
      <c r="Z34" s="256" t="str">
        <f t="shared" si="9"/>
        <v>Riard Noa</v>
      </c>
      <c r="AA34" s="41" t="str">
        <f>IFERROR(INDEX('Infos joueurs'!$F$15:$F$270,MATCH(AB34,'Infos joueurs'!$A$15:$A$270,0))," ")</f>
        <v>Sierre</v>
      </c>
      <c r="AB34" s="38">
        <f t="shared" si="10"/>
        <v>24</v>
      </c>
    </row>
    <row r="35" spans="1:28" x14ac:dyDescent="0.25">
      <c r="A35">
        <f t="shared" si="0"/>
        <v>1.010135</v>
      </c>
      <c r="B35">
        <f t="shared" si="1"/>
        <v>25</v>
      </c>
      <c r="C35" t="str">
        <f t="shared" si="2"/>
        <v>Rouiller Romi</v>
      </c>
      <c r="D35">
        <f t="shared" si="3"/>
        <v>0</v>
      </c>
      <c r="E35">
        <f t="shared" si="4"/>
        <v>0</v>
      </c>
      <c r="F35">
        <f t="shared" si="5"/>
        <v>0</v>
      </c>
      <c r="G35">
        <f>IF($C$2="x",IFERROR(SMALL($A$11:$A$14,25),0),IF($C$3="x",IFERROR(SMALL($A$11:$A$18,25),0),IF($C$4="x",IFERROR(SMALL($A$11:$A$26,25),0),IF($C$5="x",IFERROR(SMALL($A$11:$A$42,25),0),IF($C$6="x",IFERROR(SMALL($A$11:$A$74,25),0),IF($C$7="x",IFERROR(SMALL($A$11:$A$138,25),0),IFERROR(SMALL($A$11:$A$266,25),0)))))))</f>
        <v>1.010135</v>
      </c>
      <c r="H35">
        <f t="shared" si="6"/>
        <v>25</v>
      </c>
      <c r="I35" t="str">
        <f t="shared" si="7"/>
        <v>Rouiller Romi</v>
      </c>
      <c r="J35" s="34"/>
      <c r="K35" s="35" t="s">
        <v>38</v>
      </c>
      <c r="L35" s="36"/>
      <c r="M35" s="34"/>
      <c r="N35" s="35" t="s">
        <v>38</v>
      </c>
      <c r="O35" s="36"/>
      <c r="P35" s="34"/>
      <c r="Q35" s="35" t="s">
        <v>38</v>
      </c>
      <c r="R35" s="36"/>
      <c r="S35" s="37">
        <f t="shared" si="8"/>
        <v>25</v>
      </c>
      <c r="U35" s="38">
        <v>25</v>
      </c>
      <c r="V35" s="39" t="s">
        <v>63</v>
      </c>
      <c r="W35" s="40" t="str">
        <f>IF('Infos générales'!$E$2="x",IF(U35&gt;0,VLOOKUP(U35,'Infos joueurs'!$A:$M,4,FALSE)&amp;" / "&amp;VLOOKUP(U35,'Infos joueurs'!$A:$M,9,FALSE)," "),IF(U35&gt;0,VLOOKUP(U35,'Infos joueurs'!$A:$M,4,FALSE)&amp;" "&amp;VLOOKUP(U35,'Infos joueurs'!$A:$M,5,FALSE)," "))</f>
        <v>Rouiller Romi</v>
      </c>
      <c r="Y35" s="33">
        <v>25</v>
      </c>
      <c r="Z35" s="256" t="str">
        <f t="shared" si="9"/>
        <v>Rouiller Romi</v>
      </c>
      <c r="AA35" s="41" t="str">
        <f>IFERROR(INDEX('Infos joueurs'!$F$15:$F$270,MATCH(AB35,'Infos joueurs'!$A$15:$A$270,0))," ")</f>
        <v>Collombey-Muraz</v>
      </c>
      <c r="AB35" s="38">
        <f t="shared" si="10"/>
        <v>25</v>
      </c>
    </row>
    <row r="36" spans="1:28" x14ac:dyDescent="0.25">
      <c r="A36">
        <f t="shared" si="0"/>
        <v>1.0101359999999999</v>
      </c>
      <c r="B36">
        <f t="shared" si="1"/>
        <v>26</v>
      </c>
      <c r="C36" t="str">
        <f t="shared" si="2"/>
        <v>Ruchet Jérémy</v>
      </c>
      <c r="D36">
        <f t="shared" si="3"/>
        <v>0</v>
      </c>
      <c r="E36">
        <f t="shared" si="4"/>
        <v>0</v>
      </c>
      <c r="F36">
        <f t="shared" si="5"/>
        <v>0</v>
      </c>
      <c r="G36">
        <f>IF($C$2="x",IFERROR(SMALL($A$11:$A$14,26),0),IF($C$3="x",IFERROR(SMALL($A$11:$A$18,26),0),IF($C$4="x",IFERROR(SMALL($A$11:$A$26,26),0),IF($C$5="x",IFERROR(SMALL($A$11:$A$42,26),0),IF($C$6="x",IFERROR(SMALL($A$11:$A$74,26),0),IF($C$7="x",IFERROR(SMALL($A$11:$A$138,26),0),IFERROR(SMALL($A$11:$A$266,26),0)))))))</f>
        <v>1.0101359999999999</v>
      </c>
      <c r="H36">
        <f t="shared" si="6"/>
        <v>26</v>
      </c>
      <c r="I36" t="str">
        <f t="shared" si="7"/>
        <v>Ruchet Jérémy</v>
      </c>
      <c r="J36" s="34"/>
      <c r="K36" s="35" t="s">
        <v>38</v>
      </c>
      <c r="L36" s="36"/>
      <c r="M36" s="34"/>
      <c r="N36" s="35" t="s">
        <v>38</v>
      </c>
      <c r="O36" s="36"/>
      <c r="P36" s="34"/>
      <c r="Q36" s="35" t="s">
        <v>38</v>
      </c>
      <c r="R36" s="36"/>
      <c r="S36" s="37">
        <f t="shared" si="8"/>
        <v>26</v>
      </c>
      <c r="U36" s="38">
        <v>26</v>
      </c>
      <c r="V36" s="39" t="s">
        <v>64</v>
      </c>
      <c r="W36" s="40" t="str">
        <f>IF('Infos générales'!$E$2="x",IF(U36&gt;0,VLOOKUP(U36,'Infos joueurs'!$A:$M,4,FALSE)&amp;" / "&amp;VLOOKUP(U36,'Infos joueurs'!$A:$M,9,FALSE)," "),IF(U36&gt;0,VLOOKUP(U36,'Infos joueurs'!$A:$M,4,FALSE)&amp;" "&amp;VLOOKUP(U36,'Infos joueurs'!$A:$M,5,FALSE)," "))</f>
        <v>Ruchet Jérémy</v>
      </c>
      <c r="Y36" s="33">
        <v>26</v>
      </c>
      <c r="Z36" s="256" t="str">
        <f t="shared" si="9"/>
        <v>Ruchet Jérémy</v>
      </c>
      <c r="AA36" s="41" t="str">
        <f>IFERROR(INDEX('Infos joueurs'!$F$15:$F$270,MATCH(AB36,'Infos joueurs'!$A$15:$A$270,0))," ")</f>
        <v>Collombey-Muraz</v>
      </c>
      <c r="AB36" s="38">
        <f t="shared" si="10"/>
        <v>26</v>
      </c>
    </row>
    <row r="37" spans="1:28" x14ac:dyDescent="0.25">
      <c r="A37">
        <f t="shared" si="0"/>
        <v>1.0101370000000001</v>
      </c>
      <c r="B37">
        <f t="shared" si="1"/>
        <v>27</v>
      </c>
      <c r="C37" t="str">
        <f t="shared" si="2"/>
        <v>Savoy David</v>
      </c>
      <c r="D37">
        <f t="shared" si="3"/>
        <v>0</v>
      </c>
      <c r="E37">
        <f t="shared" si="4"/>
        <v>0</v>
      </c>
      <c r="F37">
        <f t="shared" si="5"/>
        <v>0</v>
      </c>
      <c r="G37">
        <f>IF($C$2="x",IFERROR(SMALL($A$11:$A$14,27),0),IF($C$3="x",IFERROR(SMALL($A$11:$A$18,27),0),IF($C$4="x",IFERROR(SMALL($A$11:$A$26,27),0),IF($C$5="x",IFERROR(SMALL($A$11:$A$42,27),0),IF($C$6="x",IFERROR(SMALL($A$11:$A$74,27),0),IF($C$7="x",IFERROR(SMALL($A$11:$A$138,27),0),IFERROR(SMALL($A$11:$A$266,27),0)))))))</f>
        <v>1.0101370000000001</v>
      </c>
      <c r="H37">
        <f t="shared" si="6"/>
        <v>27</v>
      </c>
      <c r="I37" t="str">
        <f t="shared" si="7"/>
        <v>Savoy David</v>
      </c>
      <c r="J37" s="34"/>
      <c r="K37" s="35" t="s">
        <v>38</v>
      </c>
      <c r="L37" s="36"/>
      <c r="M37" s="34"/>
      <c r="N37" s="35" t="s">
        <v>38</v>
      </c>
      <c r="O37" s="36"/>
      <c r="P37" s="34"/>
      <c r="Q37" s="35" t="s">
        <v>38</v>
      </c>
      <c r="R37" s="36"/>
      <c r="S37" s="37">
        <f t="shared" si="8"/>
        <v>27</v>
      </c>
      <c r="U37" s="38">
        <v>27</v>
      </c>
      <c r="V37" s="39" t="s">
        <v>65</v>
      </c>
      <c r="W37" s="40" t="str">
        <f>IF('Infos générales'!$E$2="x",IF(U37&gt;0,VLOOKUP(U37,'Infos joueurs'!$A:$M,4,FALSE)&amp;" / "&amp;VLOOKUP(U37,'Infos joueurs'!$A:$M,9,FALSE)," "),IF(U37&gt;0,VLOOKUP(U37,'Infos joueurs'!$A:$M,4,FALSE)&amp;" "&amp;VLOOKUP(U37,'Infos joueurs'!$A:$M,5,FALSE)," "))</f>
        <v>Savoy David</v>
      </c>
      <c r="Y37" s="33">
        <v>27</v>
      </c>
      <c r="Z37" s="256" t="str">
        <f t="shared" si="9"/>
        <v>Savoy David</v>
      </c>
      <c r="AA37" s="41" t="str">
        <f>IFERROR(INDEX('Infos joueurs'!$F$15:$F$270,MATCH(AB37,'Infos joueurs'!$A$15:$A$270,0))," ")</f>
        <v>Grône</v>
      </c>
      <c r="AB37" s="38">
        <f t="shared" si="10"/>
        <v>27</v>
      </c>
    </row>
    <row r="38" spans="1:28" x14ac:dyDescent="0.25">
      <c r="A38">
        <f t="shared" si="0"/>
        <v>1.010138</v>
      </c>
      <c r="B38">
        <f t="shared" si="1"/>
        <v>28</v>
      </c>
      <c r="C38" t="str">
        <f t="shared" si="2"/>
        <v>Siggen Dann</v>
      </c>
      <c r="D38">
        <f t="shared" si="3"/>
        <v>0</v>
      </c>
      <c r="E38">
        <f t="shared" si="4"/>
        <v>0</v>
      </c>
      <c r="F38">
        <f t="shared" si="5"/>
        <v>0</v>
      </c>
      <c r="G38">
        <f>IF($C$2="x",IFERROR(SMALL($A$11:$A$14,28),0),IF($C$3="x",IFERROR(SMALL($A$11:$A$18,28),0),IF($C$4="x",IFERROR(SMALL($A$11:$A$26,28),0),IF($C$5="x",IFERROR(SMALL($A$11:$A$42,28),0),IF($C$6="x",IFERROR(SMALL($A$11:$A$74,28),0),IF($C$7="x",IFERROR(SMALL($A$11:$A$138,28),0),IFERROR(SMALL($A$11:$A$266,28),0)))))))</f>
        <v>1.010138</v>
      </c>
      <c r="H38">
        <f t="shared" si="6"/>
        <v>28</v>
      </c>
      <c r="I38" t="str">
        <f t="shared" si="7"/>
        <v>Siggen Dann</v>
      </c>
      <c r="J38" s="34"/>
      <c r="K38" s="35" t="s">
        <v>38</v>
      </c>
      <c r="L38" s="36"/>
      <c r="M38" s="34"/>
      <c r="N38" s="35" t="s">
        <v>38</v>
      </c>
      <c r="O38" s="36"/>
      <c r="P38" s="34"/>
      <c r="Q38" s="35" t="s">
        <v>38</v>
      </c>
      <c r="R38" s="36"/>
      <c r="S38" s="37">
        <f t="shared" si="8"/>
        <v>28</v>
      </c>
      <c r="U38" s="38">
        <v>28</v>
      </c>
      <c r="V38" s="39" t="s">
        <v>66</v>
      </c>
      <c r="W38" s="40" t="str">
        <f>IF('Infos générales'!$E$2="x",IF(U38&gt;0,VLOOKUP(U38,'Infos joueurs'!$A:$M,4,FALSE)&amp;" / "&amp;VLOOKUP(U38,'Infos joueurs'!$A:$M,9,FALSE)," "),IF(U38&gt;0,VLOOKUP(U38,'Infos joueurs'!$A:$M,4,FALSE)&amp;" "&amp;VLOOKUP(U38,'Infos joueurs'!$A:$M,5,FALSE)," "))</f>
        <v>Siggen Dann</v>
      </c>
      <c r="Y38" s="33">
        <v>28</v>
      </c>
      <c r="Z38" s="256" t="str">
        <f t="shared" si="9"/>
        <v>Siggen Dann</v>
      </c>
      <c r="AA38" s="41" t="str">
        <f>IFERROR(INDEX('Infos joueurs'!$F$15:$F$270,MATCH(AB38,'Infos joueurs'!$A$15:$A$270,0))," ")</f>
        <v>Grône</v>
      </c>
      <c r="AB38" s="38">
        <f t="shared" si="10"/>
        <v>28</v>
      </c>
    </row>
    <row r="39" spans="1:28" x14ac:dyDescent="0.25">
      <c r="A39">
        <f t="shared" si="0"/>
        <v>1.0101389999999999</v>
      </c>
      <c r="B39">
        <f t="shared" si="1"/>
        <v>29</v>
      </c>
      <c r="C39" t="str">
        <f t="shared" si="2"/>
        <v>Sola Noam</v>
      </c>
      <c r="D39">
        <f t="shared" si="3"/>
        <v>0</v>
      </c>
      <c r="E39">
        <f t="shared" si="4"/>
        <v>0</v>
      </c>
      <c r="F39">
        <f t="shared" si="5"/>
        <v>0</v>
      </c>
      <c r="G39">
        <f>IF($C$2="x",IFERROR(SMALL($A$11:$A$14,29),0),IF($C$3="x",IFERROR(SMALL($A$11:$A$18,29),0),IF($C$4="x",IFERROR(SMALL($A$11:$A$26,29),0),IF($C$5="x",IFERROR(SMALL($A$11:$A$42,29),0),IF($C$6="x",IFERROR(SMALL($A$11:$A$74,29),0),IF($C$7="x",IFERROR(SMALL($A$11:$A$138,29),0),IFERROR(SMALL($A$11:$A$266,29),0)))))))</f>
        <v>1.0101389999999999</v>
      </c>
      <c r="H39">
        <f t="shared" si="6"/>
        <v>29</v>
      </c>
      <c r="I39" t="str">
        <f t="shared" si="7"/>
        <v>Sola Noam</v>
      </c>
      <c r="J39" s="34"/>
      <c r="K39" s="35" t="s">
        <v>38</v>
      </c>
      <c r="L39" s="36"/>
      <c r="M39" s="34"/>
      <c r="N39" s="35" t="s">
        <v>38</v>
      </c>
      <c r="O39" s="36"/>
      <c r="P39" s="34"/>
      <c r="Q39" s="35" t="s">
        <v>38</v>
      </c>
      <c r="R39" s="36"/>
      <c r="S39" s="37">
        <f t="shared" si="8"/>
        <v>29</v>
      </c>
      <c r="U39" s="38">
        <v>29</v>
      </c>
      <c r="V39" s="39" t="s">
        <v>67</v>
      </c>
      <c r="W39" s="40" t="str">
        <f>IF('Infos générales'!$E$2="x",IF(U39&gt;0,VLOOKUP(U39,'Infos joueurs'!$A:$M,4,FALSE)&amp;" / "&amp;VLOOKUP(U39,'Infos joueurs'!$A:$M,9,FALSE)," "),IF(U39&gt;0,VLOOKUP(U39,'Infos joueurs'!$A:$M,4,FALSE)&amp;" "&amp;VLOOKUP(U39,'Infos joueurs'!$A:$M,5,FALSE)," "))</f>
        <v>Sola Noam</v>
      </c>
      <c r="Y39" s="33">
        <v>29</v>
      </c>
      <c r="Z39" s="256" t="str">
        <f t="shared" si="9"/>
        <v>Sola Noam</v>
      </c>
      <c r="AA39" s="41" t="str">
        <f>IFERROR(INDEX('Infos joueurs'!$F$15:$F$270,MATCH(AB39,'Infos joueurs'!$A$15:$A$270,0))," ")</f>
        <v>Grône</v>
      </c>
      <c r="AB39" s="38">
        <f t="shared" si="10"/>
        <v>29</v>
      </c>
    </row>
    <row r="40" spans="1:28" x14ac:dyDescent="0.25">
      <c r="A40">
        <f t="shared" si="0"/>
        <v>1.01014</v>
      </c>
      <c r="B40">
        <f t="shared" si="1"/>
        <v>30</v>
      </c>
      <c r="C40" t="str">
        <f t="shared" si="2"/>
        <v>Spano Emilien</v>
      </c>
      <c r="D40">
        <f t="shared" si="3"/>
        <v>0</v>
      </c>
      <c r="E40">
        <f t="shared" si="4"/>
        <v>0</v>
      </c>
      <c r="F40">
        <f t="shared" si="5"/>
        <v>0</v>
      </c>
      <c r="G40">
        <f>IF($C$2="x",IFERROR(SMALL($A$11:$A$14,30),0),IF($C$3="x",IFERROR(SMALL($A$11:$A$18,30),0),IF($C$4="x",IFERROR(SMALL($A$11:$A$26,30),0),IF($C$5="x",IFERROR(SMALL($A$11:$A$42,30),0),IF($C$6="x",IFERROR(SMALL($A$11:$A$74,30),0),IF($C$7="x",IFERROR(SMALL($A$11:$A$138,30),0),IFERROR(SMALL($A$11:$A$266,30),0)))))))</f>
        <v>1.01014</v>
      </c>
      <c r="H40">
        <f t="shared" si="6"/>
        <v>30</v>
      </c>
      <c r="I40" t="str">
        <f t="shared" si="7"/>
        <v>Spano Emilien</v>
      </c>
      <c r="J40" s="34"/>
      <c r="K40" s="35" t="s">
        <v>38</v>
      </c>
      <c r="L40" s="36"/>
      <c r="M40" s="34"/>
      <c r="N40" s="35" t="s">
        <v>38</v>
      </c>
      <c r="O40" s="36"/>
      <c r="P40" s="34"/>
      <c r="Q40" s="35" t="s">
        <v>38</v>
      </c>
      <c r="R40" s="36"/>
      <c r="S40" s="37">
        <f t="shared" si="8"/>
        <v>30</v>
      </c>
      <c r="U40" s="38">
        <v>30</v>
      </c>
      <c r="V40" s="39" t="s">
        <v>68</v>
      </c>
      <c r="W40" s="40" t="str">
        <f>IF('Infos générales'!$E$2="x",IF(U40&gt;0,VLOOKUP(U40,'Infos joueurs'!$A:$M,4,FALSE)&amp;" / "&amp;VLOOKUP(U40,'Infos joueurs'!$A:$M,9,FALSE)," "),IF(U40&gt;0,VLOOKUP(U40,'Infos joueurs'!$A:$M,4,FALSE)&amp;" "&amp;VLOOKUP(U40,'Infos joueurs'!$A:$M,5,FALSE)," "))</f>
        <v>Spano Emilien</v>
      </c>
      <c r="Y40" s="33">
        <v>30</v>
      </c>
      <c r="Z40" s="256" t="str">
        <f t="shared" si="9"/>
        <v>Spano Emilien</v>
      </c>
      <c r="AA40" s="41" t="str">
        <f>IFERROR(INDEX('Infos joueurs'!$F$15:$F$270,MATCH(AB40,'Infos joueurs'!$A$15:$A$270,0))," ")</f>
        <v>Sierre</v>
      </c>
      <c r="AB40" s="38">
        <f t="shared" si="10"/>
        <v>30</v>
      </c>
    </row>
    <row r="41" spans="1:28" x14ac:dyDescent="0.25">
      <c r="A41">
        <f t="shared" si="0"/>
        <v>1.010141</v>
      </c>
      <c r="B41">
        <f t="shared" si="1"/>
        <v>31</v>
      </c>
      <c r="C41" t="str">
        <f t="shared" si="2"/>
        <v>Venetz Anthony</v>
      </c>
      <c r="D41">
        <f t="shared" si="3"/>
        <v>0</v>
      </c>
      <c r="E41">
        <f t="shared" si="4"/>
        <v>0</v>
      </c>
      <c r="F41">
        <f t="shared" si="5"/>
        <v>0</v>
      </c>
      <c r="G41">
        <f>IF($C$2="x",IFERROR(SMALL($A$11:$A$14,31),0),IF($C$3="x",IFERROR(SMALL($A$11:$A$18,31),0),IF($C$4="x",IFERROR(SMALL($A$11:$A$26,31),0),IF($C$5="x",IFERROR(SMALL($A$11:$A$42,31),0),IF($C$6="x",IFERROR(SMALL($A$11:$A$74,31),0),IF($C$7="x",IFERROR(SMALL($A$11:$A$138,31),0),IFERROR(SMALL($A$11:$A$266,31),0)))))))</f>
        <v>1.010141</v>
      </c>
      <c r="H41">
        <f t="shared" si="6"/>
        <v>31</v>
      </c>
      <c r="I41" t="str">
        <f t="shared" si="7"/>
        <v>Venetz Anthony</v>
      </c>
      <c r="J41" s="34"/>
      <c r="K41" s="35" t="s">
        <v>38</v>
      </c>
      <c r="L41" s="36"/>
      <c r="M41" s="34"/>
      <c r="N41" s="35" t="s">
        <v>38</v>
      </c>
      <c r="O41" s="36"/>
      <c r="P41" s="34"/>
      <c r="Q41" s="35" t="s">
        <v>38</v>
      </c>
      <c r="R41" s="36"/>
      <c r="S41" s="37">
        <f t="shared" si="8"/>
        <v>31</v>
      </c>
      <c r="U41" s="38">
        <v>31</v>
      </c>
      <c r="V41" s="39" t="s">
        <v>69</v>
      </c>
      <c r="W41" s="40" t="str">
        <f>IF('Infos générales'!$E$2="x",IF(U41&gt;0,VLOOKUP(U41,'Infos joueurs'!$A:$M,4,FALSE)&amp;" / "&amp;VLOOKUP(U41,'Infos joueurs'!$A:$M,9,FALSE)," "),IF(U41&gt;0,VLOOKUP(U41,'Infos joueurs'!$A:$M,4,FALSE)&amp;" "&amp;VLOOKUP(U41,'Infos joueurs'!$A:$M,5,FALSE)," "))</f>
        <v>Venetz Anthony</v>
      </c>
      <c r="Y41" s="33">
        <v>31</v>
      </c>
      <c r="Z41" s="256" t="str">
        <f t="shared" si="9"/>
        <v>Venetz Anthony</v>
      </c>
      <c r="AA41" s="41" t="str">
        <f>IFERROR(INDEX('Infos joueurs'!$F$15:$F$270,MATCH(AB41,'Infos joueurs'!$A$15:$A$270,0))," ")</f>
        <v>Gampel-Steg</v>
      </c>
      <c r="AB41" s="38">
        <f t="shared" si="10"/>
        <v>31</v>
      </c>
    </row>
    <row r="42" spans="1:28" x14ac:dyDescent="0.25">
      <c r="A42">
        <f t="shared" si="0"/>
        <v>1.0101420000000001</v>
      </c>
      <c r="B42">
        <f t="shared" si="1"/>
        <v>32</v>
      </c>
      <c r="C42" t="str">
        <f t="shared" si="2"/>
        <v>Weissbrodt Elda</v>
      </c>
      <c r="D42">
        <f t="shared" si="3"/>
        <v>0</v>
      </c>
      <c r="E42">
        <f t="shared" si="4"/>
        <v>0</v>
      </c>
      <c r="F42">
        <f t="shared" si="5"/>
        <v>0</v>
      </c>
      <c r="G42">
        <f>IF($C$2="x",IFERROR(SMALL($A$11:$A$14,32),0),IF($C$3="x",IFERROR(SMALL($A$11:$A$18,32),0),IF($C$4="x",IFERROR(SMALL($A$11:$A$26,32),0),IF($C$5="x",IFERROR(SMALL($A$11:$A$42,32),0),IF($C$6="x",IFERROR(SMALL($A$11:$A$74,32),0),IF($C$7="x",IFERROR(SMALL($A$11:$A$138,32),0),IFERROR(SMALL($A$11:$A$266,32),0)))))))</f>
        <v>1.0101420000000001</v>
      </c>
      <c r="H42">
        <f t="shared" si="6"/>
        <v>32</v>
      </c>
      <c r="I42" t="str">
        <f t="shared" si="7"/>
        <v>Weissbrodt Elda</v>
      </c>
      <c r="J42" s="34"/>
      <c r="K42" s="35" t="s">
        <v>38</v>
      </c>
      <c r="L42" s="36"/>
      <c r="M42" s="34"/>
      <c r="N42" s="35" t="s">
        <v>38</v>
      </c>
      <c r="O42" s="36"/>
      <c r="P42" s="34"/>
      <c r="Q42" s="35" t="s">
        <v>38</v>
      </c>
      <c r="R42" s="36"/>
      <c r="S42" s="37">
        <f t="shared" si="8"/>
        <v>32</v>
      </c>
      <c r="U42" s="38">
        <v>32</v>
      </c>
      <c r="V42" s="39" t="s">
        <v>70</v>
      </c>
      <c r="W42" s="40" t="str">
        <f>IF('Infos générales'!$E$2="x",IF(U42&gt;0,VLOOKUP(U42,'Infos joueurs'!$A:$M,4,FALSE)&amp;" / "&amp;VLOOKUP(U42,'Infos joueurs'!$A:$M,9,FALSE)," "),IF(U42&gt;0,VLOOKUP(U42,'Infos joueurs'!$A:$M,4,FALSE)&amp;" "&amp;VLOOKUP(U42,'Infos joueurs'!$A:$M,5,FALSE)," "))</f>
        <v>Weissbrodt Elda</v>
      </c>
      <c r="Y42" s="33">
        <v>32</v>
      </c>
      <c r="Z42" s="256" t="str">
        <f t="shared" si="9"/>
        <v>Weissbrodt Elda</v>
      </c>
      <c r="AA42" s="41" t="str">
        <f>IFERROR(INDEX('Infos joueurs'!$F$15:$F$270,MATCH(AB42,'Infos joueurs'!$A$15:$A$270,0))," ")</f>
        <v>Collombey-Muraz</v>
      </c>
      <c r="AB42" s="38">
        <f t="shared" si="10"/>
        <v>32</v>
      </c>
    </row>
    <row r="43" spans="1:28" x14ac:dyDescent="0.25">
      <c r="A43">
        <f t="shared" si="0"/>
        <v>1.010143</v>
      </c>
      <c r="B43">
        <f t="shared" si="1"/>
        <v>33</v>
      </c>
      <c r="C43" t="str">
        <f t="shared" si="2"/>
        <v xml:space="preserve"> </v>
      </c>
      <c r="D43">
        <f t="shared" si="3"/>
        <v>0</v>
      </c>
      <c r="E43">
        <f t="shared" si="4"/>
        <v>0</v>
      </c>
      <c r="F43">
        <f t="shared" si="5"/>
        <v>0</v>
      </c>
      <c r="G43">
        <f>IF($C$2="x",IFERROR(SMALL($A$11:$A$14,33),0),IF($C$3="x",IFERROR(SMALL($A$11:$A$18,33),0),IF($C$4="x",IFERROR(SMALL($A$11:$A$26,33),0),IF($C$5="x",IFERROR(SMALL($A$11:$A$42,33),0),IF($C$6="x",IFERROR(SMALL($A$11:$A$74,33),0),IF($C$7="x",IFERROR(SMALL($A$11:$A$138,33),0),IFERROR(SMALL($A$11:$A$266,33),0)))))))</f>
        <v>1.010143</v>
      </c>
      <c r="H43">
        <f t="shared" si="6"/>
        <v>33</v>
      </c>
      <c r="I43" t="str">
        <f t="shared" si="7"/>
        <v xml:space="preserve"> </v>
      </c>
      <c r="J43" s="34"/>
      <c r="K43" s="35" t="s">
        <v>38</v>
      </c>
      <c r="L43" s="36"/>
      <c r="M43" s="34"/>
      <c r="N43" s="35" t="s">
        <v>38</v>
      </c>
      <c r="O43" s="36"/>
      <c r="P43" s="34"/>
      <c r="Q43" s="35" t="s">
        <v>38</v>
      </c>
      <c r="R43" s="36"/>
      <c r="S43" s="37">
        <f t="shared" si="8"/>
        <v>33</v>
      </c>
      <c r="U43" s="38"/>
      <c r="V43" s="39" t="s">
        <v>71</v>
      </c>
      <c r="W43" s="40" t="str">
        <f>IF('Infos générales'!$E$2="x",IF(U43&gt;0,VLOOKUP(U43,'Infos joueurs'!$A:$M,4,FALSE)&amp;" / "&amp;VLOOKUP(U43,'Infos joueurs'!$A:$M,9,FALSE)," "),IF(U43&gt;0,VLOOKUP(U43,'Infos joueurs'!$A:$M,4,FALSE)&amp;" "&amp;VLOOKUP(U43,'Infos joueurs'!$A:$M,5,FALSE)," "))</f>
        <v xml:space="preserve"> </v>
      </c>
      <c r="Y43" s="33">
        <v>33</v>
      </c>
      <c r="Z43" s="256" t="str">
        <f t="shared" si="9"/>
        <v xml:space="preserve"> </v>
      </c>
      <c r="AA43" s="41" t="str">
        <f>IFERROR(INDEX('Infos joueurs'!$F$15:$F$270,MATCH(AB43,'Infos joueurs'!$A$15:$A$270,0))," ")</f>
        <v xml:space="preserve"> </v>
      </c>
      <c r="AB43" s="38">
        <f t="shared" si="10"/>
        <v>0</v>
      </c>
    </row>
    <row r="44" spans="1:28" x14ac:dyDescent="0.25">
      <c r="A44">
        <f t="shared" si="0"/>
        <v>1.0101439999999999</v>
      </c>
      <c r="B44">
        <f t="shared" si="1"/>
        <v>34</v>
      </c>
      <c r="C44" t="str">
        <f t="shared" si="2"/>
        <v xml:space="preserve"> </v>
      </c>
      <c r="D44">
        <f t="shared" si="3"/>
        <v>0</v>
      </c>
      <c r="E44">
        <f t="shared" si="4"/>
        <v>0</v>
      </c>
      <c r="F44">
        <f t="shared" si="5"/>
        <v>0</v>
      </c>
      <c r="G44">
        <f>IF($C$2="x",IFERROR(SMALL($A$11:$A$14,34),0),IF($C$3="x",IFERROR(SMALL($A$11:$A$18,34),0),IF($C$4="x",IFERROR(SMALL($A$11:$A$26,34),0),IF($C$5="x",IFERROR(SMALL($A$11:$A$42,34),0),IF($C$6="x",IFERROR(SMALL($A$11:$A$74,34),0),IF($C$7="x",IFERROR(SMALL($A$11:$A$138,34),0),IFERROR(SMALL($A$11:$A$266,34),0)))))))</f>
        <v>1.0101439999999999</v>
      </c>
      <c r="H44">
        <f t="shared" si="6"/>
        <v>34</v>
      </c>
      <c r="I44" t="str">
        <f t="shared" si="7"/>
        <v xml:space="preserve"> </v>
      </c>
      <c r="J44" s="34"/>
      <c r="K44" s="35" t="s">
        <v>38</v>
      </c>
      <c r="L44" s="36"/>
      <c r="M44" s="34"/>
      <c r="N44" s="35" t="s">
        <v>38</v>
      </c>
      <c r="O44" s="36"/>
      <c r="P44" s="34"/>
      <c r="Q44" s="35" t="s">
        <v>38</v>
      </c>
      <c r="R44" s="36"/>
      <c r="S44" s="37">
        <f t="shared" si="8"/>
        <v>34</v>
      </c>
      <c r="U44" s="38"/>
      <c r="V44" s="39" t="s">
        <v>72</v>
      </c>
      <c r="W44" s="40" t="str">
        <f>IF('Infos générales'!$E$2="x",IF(U44&gt;0,VLOOKUP(U44,'Infos joueurs'!$A:$M,4,FALSE)&amp;" / "&amp;VLOOKUP(U44,'Infos joueurs'!$A:$M,9,FALSE)," "),IF(U44&gt;0,VLOOKUP(U44,'Infos joueurs'!$A:$M,4,FALSE)&amp;" "&amp;VLOOKUP(U44,'Infos joueurs'!$A:$M,5,FALSE)," "))</f>
        <v xml:space="preserve"> </v>
      </c>
      <c r="Y44" s="33">
        <v>34</v>
      </c>
      <c r="Z44" s="256" t="str">
        <f t="shared" si="9"/>
        <v xml:space="preserve"> </v>
      </c>
      <c r="AA44" s="41" t="str">
        <f>IFERROR(INDEX('Infos joueurs'!$F$15:$F$270,MATCH(AB44,'Infos joueurs'!$A$15:$A$270,0))," ")</f>
        <v xml:space="preserve"> </v>
      </c>
      <c r="AB44" s="38">
        <f t="shared" si="10"/>
        <v>0</v>
      </c>
    </row>
    <row r="45" spans="1:28" x14ac:dyDescent="0.25">
      <c r="A45">
        <f t="shared" si="0"/>
        <v>1.0101450000000001</v>
      </c>
      <c r="B45">
        <f t="shared" si="1"/>
        <v>35</v>
      </c>
      <c r="C45" t="str">
        <f t="shared" si="2"/>
        <v xml:space="preserve"> </v>
      </c>
      <c r="D45">
        <f t="shared" si="3"/>
        <v>0</v>
      </c>
      <c r="E45">
        <f t="shared" si="4"/>
        <v>0</v>
      </c>
      <c r="F45">
        <f t="shared" si="5"/>
        <v>0</v>
      </c>
      <c r="G45">
        <f>IF($C$2="x",IFERROR(SMALL($A$11:$A$14,35),0),IF($C$3="x",IFERROR(SMALL($A$11:$A$18,35),0),IF($C$4="x",IFERROR(SMALL($A$11:$A$26,35),0),IF($C$5="x",IFERROR(SMALL($A$11:$A$42,35),0),IF($C$6="x",IFERROR(SMALL($A$11:$A$74,35),0),IF($C$7="x",IFERROR(SMALL($A$11:$A$138,35),0),IFERROR(SMALL($A$11:$A$266,35),0)))))))</f>
        <v>1.0101450000000001</v>
      </c>
      <c r="H45">
        <f t="shared" si="6"/>
        <v>35</v>
      </c>
      <c r="I45" t="str">
        <f t="shared" si="7"/>
        <v xml:space="preserve"> </v>
      </c>
      <c r="J45" s="34"/>
      <c r="K45" s="35" t="s">
        <v>38</v>
      </c>
      <c r="L45" s="36"/>
      <c r="M45" s="34"/>
      <c r="N45" s="35" t="s">
        <v>38</v>
      </c>
      <c r="O45" s="36"/>
      <c r="P45" s="34"/>
      <c r="Q45" s="35" t="s">
        <v>38</v>
      </c>
      <c r="R45" s="36"/>
      <c r="S45" s="37">
        <f t="shared" si="8"/>
        <v>35</v>
      </c>
      <c r="U45" s="38"/>
      <c r="V45" s="39" t="s">
        <v>73</v>
      </c>
      <c r="W45" s="40" t="str">
        <f>IF('Infos générales'!$E$2="x",IF(U45&gt;0,VLOOKUP(U45,'Infos joueurs'!$A:$M,4,FALSE)&amp;" / "&amp;VLOOKUP(U45,'Infos joueurs'!$A:$M,9,FALSE)," "),IF(U45&gt;0,VLOOKUP(U45,'Infos joueurs'!$A:$M,4,FALSE)&amp;" "&amp;VLOOKUP(U45,'Infos joueurs'!$A:$M,5,FALSE)," "))</f>
        <v xml:space="preserve"> </v>
      </c>
      <c r="Y45" s="33">
        <v>35</v>
      </c>
      <c r="Z45" s="256" t="str">
        <f t="shared" si="9"/>
        <v xml:space="preserve"> </v>
      </c>
      <c r="AA45" s="41" t="str">
        <f>IFERROR(INDEX('Infos joueurs'!$F$15:$F$270,MATCH(AB45,'Infos joueurs'!$A$15:$A$270,0))," ")</f>
        <v xml:space="preserve"> </v>
      </c>
      <c r="AB45" s="38">
        <f t="shared" si="10"/>
        <v>0</v>
      </c>
    </row>
    <row r="46" spans="1:28" x14ac:dyDescent="0.25">
      <c r="A46">
        <f t="shared" si="0"/>
        <v>1.010146</v>
      </c>
      <c r="B46">
        <f t="shared" si="1"/>
        <v>36</v>
      </c>
      <c r="C46" t="str">
        <f t="shared" si="2"/>
        <v xml:space="preserve"> </v>
      </c>
      <c r="D46">
        <f t="shared" si="3"/>
        <v>0</v>
      </c>
      <c r="E46">
        <f t="shared" si="4"/>
        <v>0</v>
      </c>
      <c r="F46">
        <f t="shared" si="5"/>
        <v>0</v>
      </c>
      <c r="G46">
        <f>IF($C$2="x",IFERROR(SMALL($A$11:$A$14,36),0),IF($C$3="x",IFERROR(SMALL($A$11:$A$18,36),0),IF($C$4="x",IFERROR(SMALL($A$11:$A$26,36),0),IF($C$5="x",IFERROR(SMALL($A$11:$A$42,36),0),IF($C$6="x",IFERROR(SMALL($A$11:$A$74,36),0),IF($C$7="x",IFERROR(SMALL($A$11:$A$138,36),0),IFERROR(SMALL($A$11:$A$266,36),0)))))))</f>
        <v>1.010146</v>
      </c>
      <c r="H46">
        <f t="shared" si="6"/>
        <v>36</v>
      </c>
      <c r="I46" t="str">
        <f t="shared" si="7"/>
        <v xml:space="preserve"> </v>
      </c>
      <c r="J46" s="34"/>
      <c r="K46" s="35" t="s">
        <v>38</v>
      </c>
      <c r="L46" s="36"/>
      <c r="M46" s="34"/>
      <c r="N46" s="35" t="s">
        <v>38</v>
      </c>
      <c r="O46" s="36"/>
      <c r="P46" s="34"/>
      <c r="Q46" s="35" t="s">
        <v>38</v>
      </c>
      <c r="R46" s="36"/>
      <c r="S46" s="37">
        <f t="shared" si="8"/>
        <v>36</v>
      </c>
      <c r="U46" s="38"/>
      <c r="V46" s="39" t="s">
        <v>74</v>
      </c>
      <c r="W46" s="40" t="str">
        <f>IF('Infos générales'!$E$2="x",IF(U46&gt;0,VLOOKUP(U46,'Infos joueurs'!$A:$M,4,FALSE)&amp;" / "&amp;VLOOKUP(U46,'Infos joueurs'!$A:$M,9,FALSE)," "),IF(U46&gt;0,VLOOKUP(U46,'Infos joueurs'!$A:$M,4,FALSE)&amp;" "&amp;VLOOKUP(U46,'Infos joueurs'!$A:$M,5,FALSE)," "))</f>
        <v xml:space="preserve"> </v>
      </c>
      <c r="Y46" s="33">
        <v>36</v>
      </c>
      <c r="Z46" s="256" t="str">
        <f t="shared" si="9"/>
        <v xml:space="preserve"> </v>
      </c>
      <c r="AA46" s="41" t="str">
        <f>IFERROR(INDEX('Infos joueurs'!$F$15:$F$270,MATCH(AB46,'Infos joueurs'!$A$15:$A$270,0))," ")</f>
        <v xml:space="preserve"> </v>
      </c>
      <c r="AB46" s="38">
        <f t="shared" si="10"/>
        <v>0</v>
      </c>
    </row>
    <row r="47" spans="1:28" x14ac:dyDescent="0.25">
      <c r="A47">
        <f t="shared" si="0"/>
        <v>1.0101469999999999</v>
      </c>
      <c r="B47">
        <f t="shared" si="1"/>
        <v>37</v>
      </c>
      <c r="C47" t="str">
        <f t="shared" si="2"/>
        <v xml:space="preserve"> </v>
      </c>
      <c r="D47">
        <f t="shared" si="3"/>
        <v>0</v>
      </c>
      <c r="E47">
        <f t="shared" si="4"/>
        <v>0</v>
      </c>
      <c r="F47">
        <f t="shared" si="5"/>
        <v>0</v>
      </c>
      <c r="G47">
        <f>IF($C$2="x",IFERROR(SMALL($A$11:$A$14,37),0),IF($C$3="x",IFERROR(SMALL($A$11:$A$18,37),0),IF($C$4="x",IFERROR(SMALL($A$11:$A$26,37),0),IF($C$5="x",IFERROR(SMALL($A$11:$A$42,37),0),IF($C$6="x",IFERROR(SMALL($A$11:$A$74,37),0),IF($C$7="x",IFERROR(SMALL($A$11:$A$138,37),0),IFERROR(SMALL($A$11:$A$266,37),0)))))))</f>
        <v>1.0101469999999999</v>
      </c>
      <c r="H47">
        <f t="shared" si="6"/>
        <v>37</v>
      </c>
      <c r="I47" t="str">
        <f t="shared" si="7"/>
        <v xml:space="preserve"> </v>
      </c>
      <c r="J47" s="34"/>
      <c r="K47" s="35" t="s">
        <v>38</v>
      </c>
      <c r="L47" s="36"/>
      <c r="M47" s="34"/>
      <c r="N47" s="35" t="s">
        <v>38</v>
      </c>
      <c r="O47" s="36"/>
      <c r="P47" s="34"/>
      <c r="Q47" s="35" t="s">
        <v>38</v>
      </c>
      <c r="R47" s="36"/>
      <c r="S47" s="37">
        <f t="shared" si="8"/>
        <v>37</v>
      </c>
      <c r="U47" s="38"/>
      <c r="V47" s="39" t="s">
        <v>75</v>
      </c>
      <c r="W47" s="40" t="str">
        <f>IF('Infos générales'!$E$2="x",IF(U47&gt;0,VLOOKUP(U47,'Infos joueurs'!$A:$M,4,FALSE)&amp;" / "&amp;VLOOKUP(U47,'Infos joueurs'!$A:$M,9,FALSE)," "),IF(U47&gt;0,VLOOKUP(U47,'Infos joueurs'!$A:$M,4,FALSE)&amp;" "&amp;VLOOKUP(U47,'Infos joueurs'!$A:$M,5,FALSE)," "))</f>
        <v xml:space="preserve"> </v>
      </c>
      <c r="Y47" s="33">
        <v>37</v>
      </c>
      <c r="Z47" s="256" t="str">
        <f t="shared" si="9"/>
        <v xml:space="preserve"> </v>
      </c>
      <c r="AA47" s="41" t="str">
        <f>IFERROR(INDEX('Infos joueurs'!$F$15:$F$270,MATCH(AB47,'Infos joueurs'!$A$15:$A$270,0))," ")</f>
        <v xml:space="preserve"> </v>
      </c>
      <c r="AB47" s="38">
        <f t="shared" si="10"/>
        <v>0</v>
      </c>
    </row>
    <row r="48" spans="1:28" x14ac:dyDescent="0.25">
      <c r="A48">
        <f t="shared" si="0"/>
        <v>1.010148</v>
      </c>
      <c r="B48">
        <f t="shared" si="1"/>
        <v>38</v>
      </c>
      <c r="C48" t="str">
        <f t="shared" si="2"/>
        <v xml:space="preserve"> </v>
      </c>
      <c r="D48">
        <f t="shared" si="3"/>
        <v>0</v>
      </c>
      <c r="E48">
        <f t="shared" si="4"/>
        <v>0</v>
      </c>
      <c r="F48">
        <f t="shared" si="5"/>
        <v>0</v>
      </c>
      <c r="G48">
        <f>IF($C$2="x",IFERROR(SMALL($A$11:$A$14,38),0),IF($C$3="x",IFERROR(SMALL($A$11:$A$18,38),0),IF($C$4="x",IFERROR(SMALL($A$11:$A$26,38),0),IF($C$5="x",IFERROR(SMALL($A$11:$A$42,38),0),IF($C$6="x",IFERROR(SMALL($A$11:$A$74,38),0),IF($C$7="x",IFERROR(SMALL($A$11:$A$138,38),0),IFERROR(SMALL($A$11:$A$266,38),0)))))))</f>
        <v>1.010148</v>
      </c>
      <c r="H48">
        <f t="shared" si="6"/>
        <v>38</v>
      </c>
      <c r="I48" t="str">
        <f t="shared" si="7"/>
        <v xml:space="preserve"> </v>
      </c>
      <c r="J48" s="34"/>
      <c r="K48" s="35" t="s">
        <v>38</v>
      </c>
      <c r="L48" s="36"/>
      <c r="M48" s="34"/>
      <c r="N48" s="35" t="s">
        <v>38</v>
      </c>
      <c r="O48" s="36"/>
      <c r="P48" s="34"/>
      <c r="Q48" s="35" t="s">
        <v>38</v>
      </c>
      <c r="R48" s="36"/>
      <c r="S48" s="37">
        <f t="shared" si="8"/>
        <v>38</v>
      </c>
      <c r="U48" s="38"/>
      <c r="V48" s="39" t="s">
        <v>76</v>
      </c>
      <c r="W48" s="40" t="str">
        <f>IF('Infos générales'!$E$2="x",IF(U48&gt;0,VLOOKUP(U48,'Infos joueurs'!$A:$M,4,FALSE)&amp;" / "&amp;VLOOKUP(U48,'Infos joueurs'!$A:$M,9,FALSE)," "),IF(U48&gt;0,VLOOKUP(U48,'Infos joueurs'!$A:$M,4,FALSE)&amp;" "&amp;VLOOKUP(U48,'Infos joueurs'!$A:$M,5,FALSE)," "))</f>
        <v xml:space="preserve"> </v>
      </c>
      <c r="Y48" s="33">
        <v>38</v>
      </c>
      <c r="Z48" s="256" t="str">
        <f t="shared" si="9"/>
        <v xml:space="preserve"> </v>
      </c>
      <c r="AA48" s="41" t="str">
        <f>IFERROR(INDEX('Infos joueurs'!$F$15:$F$270,MATCH(AB48,'Infos joueurs'!$A$15:$A$270,0))," ")</f>
        <v xml:space="preserve"> </v>
      </c>
      <c r="AB48" s="38">
        <f t="shared" si="10"/>
        <v>0</v>
      </c>
    </row>
    <row r="49" spans="1:28" x14ac:dyDescent="0.25">
      <c r="A49">
        <f t="shared" si="0"/>
        <v>1.010149</v>
      </c>
      <c r="B49">
        <f t="shared" si="1"/>
        <v>39</v>
      </c>
      <c r="C49" t="str">
        <f t="shared" si="2"/>
        <v xml:space="preserve"> </v>
      </c>
      <c r="D49">
        <f t="shared" si="3"/>
        <v>0</v>
      </c>
      <c r="E49">
        <f t="shared" si="4"/>
        <v>0</v>
      </c>
      <c r="F49">
        <f t="shared" si="5"/>
        <v>0</v>
      </c>
      <c r="G49">
        <f>IF($C$2="x",IFERROR(SMALL($A$11:$A$14,39),0),IF($C$3="x",IFERROR(SMALL($A$11:$A$18,39),0),IF($C$4="x",IFERROR(SMALL($A$11:$A$26,39),0),IF($C$5="x",IFERROR(SMALL($A$11:$A$42,39),0),IF($C$6="x",IFERROR(SMALL($A$11:$A$74,39),0),IF($C$7="x",IFERROR(SMALL($A$11:$A$138,39),0),IFERROR(SMALL($A$11:$A$266,39),0)))))))</f>
        <v>1.010149</v>
      </c>
      <c r="H49">
        <f t="shared" si="6"/>
        <v>39</v>
      </c>
      <c r="I49" t="str">
        <f t="shared" si="7"/>
        <v xml:space="preserve"> </v>
      </c>
      <c r="J49" s="34"/>
      <c r="K49" s="35" t="s">
        <v>38</v>
      </c>
      <c r="L49" s="36"/>
      <c r="M49" s="34"/>
      <c r="N49" s="35" t="s">
        <v>38</v>
      </c>
      <c r="O49" s="36"/>
      <c r="P49" s="34"/>
      <c r="Q49" s="35" t="s">
        <v>38</v>
      </c>
      <c r="R49" s="36"/>
      <c r="S49" s="37">
        <f t="shared" si="8"/>
        <v>39</v>
      </c>
      <c r="U49" s="38"/>
      <c r="V49" s="39" t="s">
        <v>77</v>
      </c>
      <c r="W49" s="40" t="str">
        <f>IF('Infos générales'!$E$2="x",IF(U49&gt;0,VLOOKUP(U49,'Infos joueurs'!$A:$M,4,FALSE)&amp;" / "&amp;VLOOKUP(U49,'Infos joueurs'!$A:$M,9,FALSE)," "),IF(U49&gt;0,VLOOKUP(U49,'Infos joueurs'!$A:$M,4,FALSE)&amp;" "&amp;VLOOKUP(U49,'Infos joueurs'!$A:$M,5,FALSE)," "))</f>
        <v xml:space="preserve"> </v>
      </c>
      <c r="Y49" s="33">
        <v>39</v>
      </c>
      <c r="Z49" s="256" t="str">
        <f t="shared" si="9"/>
        <v xml:space="preserve"> </v>
      </c>
      <c r="AA49" s="41" t="str">
        <f>IFERROR(INDEX('Infos joueurs'!$F$15:$F$270,MATCH(AB49,'Infos joueurs'!$A$15:$A$270,0))," ")</f>
        <v xml:space="preserve"> </v>
      </c>
      <c r="AB49" s="38">
        <f t="shared" si="10"/>
        <v>0</v>
      </c>
    </row>
    <row r="50" spans="1:28" x14ac:dyDescent="0.25">
      <c r="A50">
        <f t="shared" si="0"/>
        <v>1.0101500000000001</v>
      </c>
      <c r="B50">
        <f t="shared" si="1"/>
        <v>40</v>
      </c>
      <c r="C50" t="str">
        <f t="shared" si="2"/>
        <v xml:space="preserve"> </v>
      </c>
      <c r="D50">
        <f t="shared" si="3"/>
        <v>0</v>
      </c>
      <c r="E50">
        <f t="shared" si="4"/>
        <v>0</v>
      </c>
      <c r="F50">
        <f t="shared" si="5"/>
        <v>0</v>
      </c>
      <c r="G50">
        <f>IF($C$2="x",IFERROR(SMALL($A$11:$A$14,40),0),IF($C$3="x",IFERROR(SMALL($A$11:$A$18,40),0),IF($C$4="x",IFERROR(SMALL($A$11:$A$26,40),0),IF($C$5="x",IFERROR(SMALL($A$11:$A$42,40),0),IF($C$6="x",IFERROR(SMALL($A$11:$A$74,40),0),IF($C$7="x",IFERROR(SMALL($A$11:$A$138,40),0),IFERROR(SMALL($A$11:$A$266,40),0)))))))</f>
        <v>1.0101500000000001</v>
      </c>
      <c r="H50">
        <f t="shared" si="6"/>
        <v>40</v>
      </c>
      <c r="I50" t="str">
        <f t="shared" si="7"/>
        <v xml:space="preserve"> </v>
      </c>
      <c r="J50" s="34"/>
      <c r="K50" s="35" t="s">
        <v>38</v>
      </c>
      <c r="L50" s="36"/>
      <c r="M50" s="34"/>
      <c r="N50" s="35" t="s">
        <v>38</v>
      </c>
      <c r="O50" s="36"/>
      <c r="P50" s="34"/>
      <c r="Q50" s="35" t="s">
        <v>38</v>
      </c>
      <c r="R50" s="36"/>
      <c r="S50" s="37">
        <f t="shared" si="8"/>
        <v>40</v>
      </c>
      <c r="U50" s="38"/>
      <c r="V50" s="39" t="s">
        <v>78</v>
      </c>
      <c r="W50" s="40" t="str">
        <f>IF('Infos générales'!$E$2="x",IF(U50&gt;0,VLOOKUP(U50,'Infos joueurs'!$A:$M,4,FALSE)&amp;" / "&amp;VLOOKUP(U50,'Infos joueurs'!$A:$M,9,FALSE)," "),IF(U50&gt;0,VLOOKUP(U50,'Infos joueurs'!$A:$M,4,FALSE)&amp;" "&amp;VLOOKUP(U50,'Infos joueurs'!$A:$M,5,FALSE)," "))</f>
        <v xml:space="preserve"> </v>
      </c>
      <c r="Y50" s="33">
        <v>40</v>
      </c>
      <c r="Z50" s="256" t="str">
        <f t="shared" si="9"/>
        <v xml:space="preserve"> </v>
      </c>
      <c r="AA50" s="41" t="str">
        <f>IFERROR(INDEX('Infos joueurs'!$F$15:$F$270,MATCH(AB50,'Infos joueurs'!$A$15:$A$270,0))," ")</f>
        <v xml:space="preserve"> </v>
      </c>
      <c r="AB50" s="38">
        <f t="shared" si="10"/>
        <v>0</v>
      </c>
    </row>
    <row r="51" spans="1:28" x14ac:dyDescent="0.25">
      <c r="A51">
        <f t="shared" si="0"/>
        <v>1.010151</v>
      </c>
      <c r="B51">
        <f t="shared" si="1"/>
        <v>41</v>
      </c>
      <c r="C51" t="str">
        <f t="shared" si="2"/>
        <v xml:space="preserve"> </v>
      </c>
      <c r="D51">
        <f t="shared" si="3"/>
        <v>0</v>
      </c>
      <c r="E51">
        <f t="shared" si="4"/>
        <v>0</v>
      </c>
      <c r="F51">
        <f t="shared" si="5"/>
        <v>0</v>
      </c>
      <c r="G51">
        <f>IF($C$2="x",IFERROR(SMALL($A$11:$A$14,41),0),IF($C$3="x",IFERROR(SMALL($A$11:$A$18,41),0),IF($C$4="x",IFERROR(SMALL($A$11:$A$26,41),0),IF($C$5="x",IFERROR(SMALL($A$11:$A$42,41),0),IF($C$6="x",IFERROR(SMALL($A$11:$A$74,41),0),IF($C$7="x",IFERROR(SMALL($A$11:$A$138,41),0),IFERROR(SMALL($A$11:$A$266,41),0)))))))</f>
        <v>1.010151</v>
      </c>
      <c r="H51">
        <f t="shared" si="6"/>
        <v>41</v>
      </c>
      <c r="I51" t="str">
        <f t="shared" si="7"/>
        <v xml:space="preserve"> </v>
      </c>
      <c r="J51" s="34"/>
      <c r="K51" s="35" t="s">
        <v>38</v>
      </c>
      <c r="L51" s="36"/>
      <c r="M51" s="34"/>
      <c r="N51" s="35" t="s">
        <v>38</v>
      </c>
      <c r="O51" s="36"/>
      <c r="P51" s="34"/>
      <c r="Q51" s="35" t="s">
        <v>38</v>
      </c>
      <c r="R51" s="36"/>
      <c r="S51" s="37">
        <f t="shared" si="8"/>
        <v>41</v>
      </c>
      <c r="U51" s="38"/>
      <c r="V51" s="39" t="s">
        <v>79</v>
      </c>
      <c r="W51" s="40" t="str">
        <f>IF('Infos générales'!$E$2="x",IF(U51&gt;0,VLOOKUP(U51,'Infos joueurs'!$A:$M,4,FALSE)&amp;" / "&amp;VLOOKUP(U51,'Infos joueurs'!$A:$M,9,FALSE)," "),IF(U51&gt;0,VLOOKUP(U51,'Infos joueurs'!$A:$M,4,FALSE)&amp;" "&amp;VLOOKUP(U51,'Infos joueurs'!$A:$M,5,FALSE)," "))</f>
        <v xml:space="preserve"> </v>
      </c>
      <c r="Y51" s="33">
        <v>41</v>
      </c>
      <c r="Z51" s="256" t="str">
        <f t="shared" si="9"/>
        <v xml:space="preserve"> </v>
      </c>
      <c r="AA51" s="41" t="str">
        <f>IFERROR(INDEX('Infos joueurs'!$F$15:$F$270,MATCH(AB51,'Infos joueurs'!$A$15:$A$270,0))," ")</f>
        <v xml:space="preserve"> </v>
      </c>
      <c r="AB51" s="38">
        <f t="shared" si="10"/>
        <v>0</v>
      </c>
    </row>
    <row r="52" spans="1:28" x14ac:dyDescent="0.25">
      <c r="A52">
        <f t="shared" si="0"/>
        <v>1.0101519999999999</v>
      </c>
      <c r="B52">
        <f t="shared" si="1"/>
        <v>42</v>
      </c>
      <c r="C52" t="str">
        <f t="shared" si="2"/>
        <v xml:space="preserve"> </v>
      </c>
      <c r="D52">
        <f t="shared" si="3"/>
        <v>0</v>
      </c>
      <c r="E52">
        <f t="shared" si="4"/>
        <v>0</v>
      </c>
      <c r="F52">
        <f t="shared" si="5"/>
        <v>0</v>
      </c>
      <c r="G52">
        <f>IF($C$2="x",IFERROR(SMALL($A$11:$A$14,42),0),IF($C$3="x",IFERROR(SMALL($A$11:$A$18,42),0),IF($C$4="x",IFERROR(SMALL($A$11:$A$26,42),0),IF($C$5="x",IFERROR(SMALL($A$11:$A$42,42),0),IF($C$6="x",IFERROR(SMALL($A$11:$A$74,42),0),IF($C$7="x",IFERROR(SMALL($A$11:$A$138,42),0),IFERROR(SMALL($A$11:$A$266,42),0)))))))</f>
        <v>1.0101519999999999</v>
      </c>
      <c r="H52">
        <f t="shared" si="6"/>
        <v>42</v>
      </c>
      <c r="I52" t="str">
        <f t="shared" si="7"/>
        <v xml:space="preserve"> </v>
      </c>
      <c r="J52" s="34"/>
      <c r="K52" s="35" t="s">
        <v>38</v>
      </c>
      <c r="L52" s="36"/>
      <c r="M52" s="34"/>
      <c r="N52" s="35" t="s">
        <v>38</v>
      </c>
      <c r="O52" s="36"/>
      <c r="P52" s="34"/>
      <c r="Q52" s="35" t="s">
        <v>38</v>
      </c>
      <c r="R52" s="36"/>
      <c r="S52" s="37">
        <f t="shared" si="8"/>
        <v>42</v>
      </c>
      <c r="U52" s="38"/>
      <c r="V52" s="39" t="s">
        <v>80</v>
      </c>
      <c r="W52" s="40" t="str">
        <f>IF('Infos générales'!$E$2="x",IF(U52&gt;0,VLOOKUP(U52,'Infos joueurs'!$A:$M,4,FALSE)&amp;" / "&amp;VLOOKUP(U52,'Infos joueurs'!$A:$M,9,FALSE)," "),IF(U52&gt;0,VLOOKUP(U52,'Infos joueurs'!$A:$M,4,FALSE)&amp;" "&amp;VLOOKUP(U52,'Infos joueurs'!$A:$M,5,FALSE)," "))</f>
        <v xml:space="preserve"> </v>
      </c>
      <c r="Y52" s="33">
        <v>42</v>
      </c>
      <c r="Z52" s="256" t="str">
        <f t="shared" si="9"/>
        <v xml:space="preserve"> </v>
      </c>
      <c r="AA52" s="41" t="str">
        <f>IFERROR(INDEX('Infos joueurs'!$F$15:$F$270,MATCH(AB52,'Infos joueurs'!$A$15:$A$270,0))," ")</f>
        <v xml:space="preserve"> </v>
      </c>
      <c r="AB52" s="38">
        <f t="shared" si="10"/>
        <v>0</v>
      </c>
    </row>
    <row r="53" spans="1:28" x14ac:dyDescent="0.25">
      <c r="A53">
        <f t="shared" si="0"/>
        <v>1.0101530000000001</v>
      </c>
      <c r="B53">
        <f t="shared" si="1"/>
        <v>43</v>
      </c>
      <c r="C53" t="str">
        <f t="shared" si="2"/>
        <v xml:space="preserve"> </v>
      </c>
      <c r="D53">
        <f t="shared" si="3"/>
        <v>0</v>
      </c>
      <c r="E53">
        <f t="shared" si="4"/>
        <v>0</v>
      </c>
      <c r="F53">
        <f t="shared" si="5"/>
        <v>0</v>
      </c>
      <c r="G53">
        <f>IF($C$2="x",IFERROR(SMALL($A$11:$A$14,43),0),IF($C$3="x",IFERROR(SMALL($A$11:$A$18,43),0),IF($C$4="x",IFERROR(SMALL($A$11:$A$26,43),0),IF($C$5="x",IFERROR(SMALL($A$11:$A$42,43),0),IF($C$6="x",IFERROR(SMALL($A$11:$A$74,43),0),IF($C$7="x",IFERROR(SMALL($A$11:$A$138,43),0),IFERROR(SMALL($A$11:$A$266,43),0)))))))</f>
        <v>1.0101530000000001</v>
      </c>
      <c r="H53">
        <f t="shared" si="6"/>
        <v>43</v>
      </c>
      <c r="I53" t="str">
        <f t="shared" si="7"/>
        <v xml:space="preserve"> </v>
      </c>
      <c r="J53" s="34"/>
      <c r="K53" s="35" t="s">
        <v>38</v>
      </c>
      <c r="L53" s="36"/>
      <c r="M53" s="34"/>
      <c r="N53" s="35" t="s">
        <v>38</v>
      </c>
      <c r="O53" s="36"/>
      <c r="P53" s="34"/>
      <c r="Q53" s="35" t="s">
        <v>38</v>
      </c>
      <c r="R53" s="36"/>
      <c r="S53" s="37">
        <f t="shared" si="8"/>
        <v>43</v>
      </c>
      <c r="U53" s="38"/>
      <c r="V53" s="39" t="s">
        <v>81</v>
      </c>
      <c r="W53" s="40" t="str">
        <f>IF('Infos générales'!$E$2="x",IF(U53&gt;0,VLOOKUP(U53,'Infos joueurs'!$A:$M,4,FALSE)&amp;" / "&amp;VLOOKUP(U53,'Infos joueurs'!$A:$M,9,FALSE)," "),IF(U53&gt;0,VLOOKUP(U53,'Infos joueurs'!$A:$M,4,FALSE)&amp;" "&amp;VLOOKUP(U53,'Infos joueurs'!$A:$M,5,FALSE)," "))</f>
        <v xml:space="preserve"> </v>
      </c>
      <c r="Y53" s="33">
        <v>43</v>
      </c>
      <c r="Z53" s="256" t="str">
        <f t="shared" si="9"/>
        <v xml:space="preserve"> </v>
      </c>
      <c r="AA53" s="41" t="str">
        <f>IFERROR(INDEX('Infos joueurs'!$F$15:$F$270,MATCH(AB53,'Infos joueurs'!$A$15:$A$270,0))," ")</f>
        <v xml:space="preserve"> </v>
      </c>
      <c r="AB53" s="38">
        <f t="shared" si="10"/>
        <v>0</v>
      </c>
    </row>
    <row r="54" spans="1:28" x14ac:dyDescent="0.25">
      <c r="A54">
        <f t="shared" si="0"/>
        <v>1.010154</v>
      </c>
      <c r="B54">
        <f t="shared" si="1"/>
        <v>44</v>
      </c>
      <c r="C54" t="str">
        <f t="shared" si="2"/>
        <v xml:space="preserve"> </v>
      </c>
      <c r="D54">
        <f t="shared" si="3"/>
        <v>0</v>
      </c>
      <c r="E54">
        <f t="shared" si="4"/>
        <v>0</v>
      </c>
      <c r="F54">
        <f t="shared" si="5"/>
        <v>0</v>
      </c>
      <c r="G54">
        <f>IF($C$2="x",IFERROR(SMALL($A$11:$A$14,44),0),IF($C$3="x",IFERROR(SMALL($A$11:$A$18,44),0),IF($C$4="x",IFERROR(SMALL($A$11:$A$26,44),0),IF($C$5="x",IFERROR(SMALL($A$11:$A$42,44),0),IF($C$6="x",IFERROR(SMALL($A$11:$A$74,44),0),IF($C$7="x",IFERROR(SMALL($A$11:$A$138,44),0),IFERROR(SMALL($A$11:$A$266,44),0)))))))</f>
        <v>1.010154</v>
      </c>
      <c r="H54">
        <f t="shared" si="6"/>
        <v>44</v>
      </c>
      <c r="I54" t="str">
        <f t="shared" si="7"/>
        <v xml:space="preserve"> </v>
      </c>
      <c r="J54" s="34"/>
      <c r="K54" s="35" t="s">
        <v>38</v>
      </c>
      <c r="L54" s="36"/>
      <c r="M54" s="34"/>
      <c r="N54" s="35" t="s">
        <v>38</v>
      </c>
      <c r="O54" s="36"/>
      <c r="P54" s="34"/>
      <c r="Q54" s="35" t="s">
        <v>38</v>
      </c>
      <c r="R54" s="36"/>
      <c r="S54" s="37">
        <f t="shared" si="8"/>
        <v>44</v>
      </c>
      <c r="U54" s="38"/>
      <c r="V54" s="39" t="s">
        <v>82</v>
      </c>
      <c r="W54" s="40" t="str">
        <f>IF('Infos générales'!$E$2="x",IF(U54&gt;0,VLOOKUP(U54,'Infos joueurs'!$A:$M,4,FALSE)&amp;" / "&amp;VLOOKUP(U54,'Infos joueurs'!$A:$M,9,FALSE)," "),IF(U54&gt;0,VLOOKUP(U54,'Infos joueurs'!$A:$M,4,FALSE)&amp;" "&amp;VLOOKUP(U54,'Infos joueurs'!$A:$M,5,FALSE)," "))</f>
        <v xml:space="preserve"> </v>
      </c>
      <c r="Y54" s="33">
        <v>44</v>
      </c>
      <c r="Z54" s="256" t="str">
        <f t="shared" si="9"/>
        <v xml:space="preserve"> </v>
      </c>
      <c r="AA54" s="41" t="str">
        <f>IFERROR(INDEX('Infos joueurs'!$F$15:$F$270,MATCH(AB54,'Infos joueurs'!$A$15:$A$270,0))," ")</f>
        <v xml:space="preserve"> </v>
      </c>
      <c r="AB54" s="38">
        <f t="shared" si="10"/>
        <v>0</v>
      </c>
    </row>
    <row r="55" spans="1:28" x14ac:dyDescent="0.25">
      <c r="A55">
        <f t="shared" si="0"/>
        <v>1.0101549999999999</v>
      </c>
      <c r="B55">
        <f t="shared" si="1"/>
        <v>45</v>
      </c>
      <c r="C55" t="str">
        <f t="shared" si="2"/>
        <v xml:space="preserve"> </v>
      </c>
      <c r="D55">
        <f t="shared" si="3"/>
        <v>0</v>
      </c>
      <c r="E55">
        <f t="shared" si="4"/>
        <v>0</v>
      </c>
      <c r="F55">
        <f t="shared" si="5"/>
        <v>0</v>
      </c>
      <c r="G55">
        <f>IF($C$2="x",IFERROR(SMALL($A$11:$A$14,45),0),IF($C$3="x",IFERROR(SMALL($A$11:$A$18,45),0),IF($C$4="x",IFERROR(SMALL($A$11:$A$26,45),0),IF($C$5="x",IFERROR(SMALL($A$11:$A$42,45),0),IF($C$6="x",IFERROR(SMALL($A$11:$A$74,45),0),IF($C$7="x",IFERROR(SMALL($A$11:$A$138,45),0),IFERROR(SMALL($A$11:$A$266,45),0)))))))</f>
        <v>1.0101549999999999</v>
      </c>
      <c r="H55">
        <f t="shared" si="6"/>
        <v>45</v>
      </c>
      <c r="I55" t="str">
        <f t="shared" si="7"/>
        <v xml:space="preserve"> </v>
      </c>
      <c r="J55" s="34"/>
      <c r="K55" s="35" t="s">
        <v>38</v>
      </c>
      <c r="L55" s="36"/>
      <c r="M55" s="34"/>
      <c r="N55" s="35" t="s">
        <v>38</v>
      </c>
      <c r="O55" s="36"/>
      <c r="P55" s="34"/>
      <c r="Q55" s="35" t="s">
        <v>38</v>
      </c>
      <c r="R55" s="36"/>
      <c r="S55" s="37">
        <f t="shared" si="8"/>
        <v>45</v>
      </c>
      <c r="U55" s="38"/>
      <c r="V55" s="39" t="s">
        <v>83</v>
      </c>
      <c r="W55" s="40" t="str">
        <f>IF('Infos générales'!$E$2="x",IF(U55&gt;0,VLOOKUP(U55,'Infos joueurs'!$A:$M,4,FALSE)&amp;" / "&amp;VLOOKUP(U55,'Infos joueurs'!$A:$M,9,FALSE)," "),IF(U55&gt;0,VLOOKUP(U55,'Infos joueurs'!$A:$M,4,FALSE)&amp;" "&amp;VLOOKUP(U55,'Infos joueurs'!$A:$M,5,FALSE)," "))</f>
        <v xml:space="preserve"> </v>
      </c>
      <c r="Y55" s="33">
        <v>45</v>
      </c>
      <c r="Z55" s="256" t="str">
        <f t="shared" si="9"/>
        <v xml:space="preserve"> </v>
      </c>
      <c r="AA55" s="41" t="str">
        <f>IFERROR(INDEX('Infos joueurs'!$F$15:$F$270,MATCH(AB55,'Infos joueurs'!$A$15:$A$270,0))," ")</f>
        <v xml:space="preserve"> </v>
      </c>
      <c r="AB55" s="38">
        <f t="shared" si="10"/>
        <v>0</v>
      </c>
    </row>
    <row r="56" spans="1:28" x14ac:dyDescent="0.25">
      <c r="A56">
        <f t="shared" si="0"/>
        <v>1.0101560000000001</v>
      </c>
      <c r="B56">
        <f t="shared" si="1"/>
        <v>46</v>
      </c>
      <c r="C56" t="str">
        <f t="shared" si="2"/>
        <v xml:space="preserve"> </v>
      </c>
      <c r="D56">
        <f t="shared" si="3"/>
        <v>0</v>
      </c>
      <c r="E56">
        <f t="shared" si="4"/>
        <v>0</v>
      </c>
      <c r="F56">
        <f t="shared" si="5"/>
        <v>0</v>
      </c>
      <c r="G56">
        <f>IF($C$2="x",IFERROR(SMALL($A$11:$A$14,46),0),IF($C$3="x",IFERROR(SMALL($A$11:$A$18,46),0),IF($C$4="x",IFERROR(SMALL($A$11:$A$26,46),0),IF($C$5="x",IFERROR(SMALL($A$11:$A$42,46),0),IF($C$6="x",IFERROR(SMALL($A$11:$A$74,46),0),IF($C$7="x",IFERROR(SMALL($A$11:$A$138,46),0),IFERROR(SMALL($A$11:$A$266,46),0)))))))</f>
        <v>1.0101560000000001</v>
      </c>
      <c r="H56">
        <f t="shared" si="6"/>
        <v>46</v>
      </c>
      <c r="I56" t="str">
        <f t="shared" si="7"/>
        <v xml:space="preserve"> </v>
      </c>
      <c r="J56" s="34"/>
      <c r="K56" s="35" t="s">
        <v>38</v>
      </c>
      <c r="L56" s="36"/>
      <c r="M56" s="34"/>
      <c r="N56" s="35" t="s">
        <v>38</v>
      </c>
      <c r="O56" s="36"/>
      <c r="P56" s="34"/>
      <c r="Q56" s="35" t="s">
        <v>38</v>
      </c>
      <c r="R56" s="36"/>
      <c r="S56" s="37">
        <f t="shared" si="8"/>
        <v>46</v>
      </c>
      <c r="U56" s="38"/>
      <c r="V56" s="39" t="s">
        <v>84</v>
      </c>
      <c r="W56" s="40" t="str">
        <f>IF('Infos générales'!$E$2="x",IF(U56&gt;0,VLOOKUP(U56,'Infos joueurs'!$A:$M,4,FALSE)&amp;" / "&amp;VLOOKUP(U56,'Infos joueurs'!$A:$M,9,FALSE)," "),IF(U56&gt;0,VLOOKUP(U56,'Infos joueurs'!$A:$M,4,FALSE)&amp;" "&amp;VLOOKUP(U56,'Infos joueurs'!$A:$M,5,FALSE)," "))</f>
        <v xml:space="preserve"> </v>
      </c>
      <c r="Y56" s="33">
        <v>46</v>
      </c>
      <c r="Z56" s="256" t="str">
        <f t="shared" si="9"/>
        <v xml:space="preserve"> </v>
      </c>
      <c r="AA56" s="41" t="str">
        <f>IFERROR(INDEX('Infos joueurs'!$F$15:$F$270,MATCH(AB56,'Infos joueurs'!$A$15:$A$270,0))," ")</f>
        <v xml:space="preserve"> </v>
      </c>
      <c r="AB56" s="38">
        <f t="shared" si="10"/>
        <v>0</v>
      </c>
    </row>
    <row r="57" spans="1:28" x14ac:dyDescent="0.25">
      <c r="A57">
        <f t="shared" si="0"/>
        <v>1.010157</v>
      </c>
      <c r="B57">
        <f t="shared" si="1"/>
        <v>47</v>
      </c>
      <c r="C57" t="str">
        <f t="shared" si="2"/>
        <v xml:space="preserve"> </v>
      </c>
      <c r="D57">
        <f t="shared" si="3"/>
        <v>0</v>
      </c>
      <c r="E57">
        <f t="shared" si="4"/>
        <v>0</v>
      </c>
      <c r="F57">
        <f t="shared" si="5"/>
        <v>0</v>
      </c>
      <c r="G57">
        <f>IF($C$2="x",IFERROR(SMALL($A$11:$A$14,47),0),IF($C$3="x",IFERROR(SMALL($A$11:$A$18,47),0),IF($C$4="x",IFERROR(SMALL($A$11:$A$26,47),0),IF($C$5="x",IFERROR(SMALL($A$11:$A$42,47),0),IF($C$6="x",IFERROR(SMALL($A$11:$A$74,47),0),IF($C$7="x",IFERROR(SMALL($A$11:$A$138,47),0),IFERROR(SMALL($A$11:$A$266,47),0)))))))</f>
        <v>1.010157</v>
      </c>
      <c r="H57">
        <f t="shared" si="6"/>
        <v>47</v>
      </c>
      <c r="I57" t="str">
        <f t="shared" si="7"/>
        <v xml:space="preserve"> </v>
      </c>
      <c r="J57" s="34"/>
      <c r="K57" s="35" t="s">
        <v>38</v>
      </c>
      <c r="L57" s="36"/>
      <c r="M57" s="34"/>
      <c r="N57" s="35" t="s">
        <v>38</v>
      </c>
      <c r="O57" s="36"/>
      <c r="P57" s="34"/>
      <c r="Q57" s="35" t="s">
        <v>38</v>
      </c>
      <c r="R57" s="36"/>
      <c r="S57" s="37">
        <f t="shared" si="8"/>
        <v>47</v>
      </c>
      <c r="U57" s="38"/>
      <c r="V57" s="39" t="s">
        <v>85</v>
      </c>
      <c r="W57" s="40" t="str">
        <f>IF('Infos générales'!$E$2="x",IF(U57&gt;0,VLOOKUP(U57,'Infos joueurs'!$A:$M,4,FALSE)&amp;" / "&amp;VLOOKUP(U57,'Infos joueurs'!$A:$M,9,FALSE)," "),IF(U57&gt;0,VLOOKUP(U57,'Infos joueurs'!$A:$M,4,FALSE)&amp;" "&amp;VLOOKUP(U57,'Infos joueurs'!$A:$M,5,FALSE)," "))</f>
        <v xml:space="preserve"> </v>
      </c>
      <c r="Y57" s="33">
        <v>47</v>
      </c>
      <c r="Z57" s="256" t="str">
        <f t="shared" si="9"/>
        <v xml:space="preserve"> </v>
      </c>
      <c r="AA57" s="41" t="str">
        <f>IFERROR(INDEX('Infos joueurs'!$F$15:$F$270,MATCH(AB57,'Infos joueurs'!$A$15:$A$270,0))," ")</f>
        <v xml:space="preserve"> </v>
      </c>
      <c r="AB57" s="38">
        <f t="shared" si="10"/>
        <v>0</v>
      </c>
    </row>
    <row r="58" spans="1:28" x14ac:dyDescent="0.25">
      <c r="A58">
        <f t="shared" si="0"/>
        <v>1.0101579999999999</v>
      </c>
      <c r="B58">
        <f t="shared" si="1"/>
        <v>48</v>
      </c>
      <c r="C58" t="str">
        <f t="shared" si="2"/>
        <v xml:space="preserve"> </v>
      </c>
      <c r="D58">
        <f t="shared" si="3"/>
        <v>0</v>
      </c>
      <c r="E58">
        <f t="shared" si="4"/>
        <v>0</v>
      </c>
      <c r="F58">
        <f t="shared" si="5"/>
        <v>0</v>
      </c>
      <c r="G58">
        <f>IF($C$2="x",IFERROR(SMALL($A$11:$A$14,48),0),IF($C$3="x",IFERROR(SMALL($A$11:$A$18,48),0),IF($C$4="x",IFERROR(SMALL($A$11:$A$26,48),0),IF($C$5="x",IFERROR(SMALL($A$11:$A$42,48),0),IF($C$6="x",IFERROR(SMALL($A$11:$A$74,48),0),IF($C$7="x",IFERROR(SMALL($A$11:$A$138,48),0),IFERROR(SMALL($A$11:$A$266,48),0)))))))</f>
        <v>1.0101579999999999</v>
      </c>
      <c r="H58">
        <f t="shared" si="6"/>
        <v>48</v>
      </c>
      <c r="I58" t="str">
        <f t="shared" si="7"/>
        <v xml:space="preserve"> </v>
      </c>
      <c r="J58" s="34"/>
      <c r="K58" s="35" t="s">
        <v>38</v>
      </c>
      <c r="L58" s="36"/>
      <c r="M58" s="34"/>
      <c r="N58" s="35" t="s">
        <v>38</v>
      </c>
      <c r="O58" s="36"/>
      <c r="P58" s="34"/>
      <c r="Q58" s="35" t="s">
        <v>38</v>
      </c>
      <c r="R58" s="36"/>
      <c r="S58" s="37">
        <f t="shared" si="8"/>
        <v>48</v>
      </c>
      <c r="U58" s="38"/>
      <c r="V58" s="39" t="s">
        <v>86</v>
      </c>
      <c r="W58" s="40" t="str">
        <f>IF('Infos générales'!$E$2="x",IF(U58&gt;0,VLOOKUP(U58,'Infos joueurs'!$A:$M,4,FALSE)&amp;" / "&amp;VLOOKUP(U58,'Infos joueurs'!$A:$M,9,FALSE)," "),IF(U58&gt;0,VLOOKUP(U58,'Infos joueurs'!$A:$M,4,FALSE)&amp;" "&amp;VLOOKUP(U58,'Infos joueurs'!$A:$M,5,FALSE)," "))</f>
        <v xml:space="preserve"> </v>
      </c>
      <c r="Y58" s="33">
        <v>48</v>
      </c>
      <c r="Z58" s="256" t="str">
        <f t="shared" si="9"/>
        <v xml:space="preserve"> </v>
      </c>
      <c r="AA58" s="41" t="str">
        <f>IFERROR(INDEX('Infos joueurs'!$F$15:$F$270,MATCH(AB58,'Infos joueurs'!$A$15:$A$270,0))," ")</f>
        <v xml:space="preserve"> </v>
      </c>
      <c r="AB58" s="38">
        <f t="shared" si="10"/>
        <v>0</v>
      </c>
    </row>
    <row r="59" spans="1:28" x14ac:dyDescent="0.25">
      <c r="A59">
        <f t="shared" si="0"/>
        <v>1.010159</v>
      </c>
      <c r="B59">
        <f t="shared" si="1"/>
        <v>49</v>
      </c>
      <c r="C59" t="str">
        <f t="shared" si="2"/>
        <v xml:space="preserve"> </v>
      </c>
      <c r="D59">
        <f t="shared" si="3"/>
        <v>0</v>
      </c>
      <c r="E59">
        <f t="shared" si="4"/>
        <v>0</v>
      </c>
      <c r="F59">
        <f t="shared" si="5"/>
        <v>0</v>
      </c>
      <c r="G59">
        <f>IF($C$2="x",IFERROR(SMALL($A$11:$A$14,49),0),IF($C$3="x",IFERROR(SMALL($A$11:$A$18,49),0),IF($C$4="x",IFERROR(SMALL($A$11:$A$26,49),0),IF($C$5="x",IFERROR(SMALL($A$11:$A$42,49),0),IF($C$6="x",IFERROR(SMALL($A$11:$A$74,49),0),IF($C$7="x",IFERROR(SMALL($A$11:$A$138,49),0),IFERROR(SMALL($A$11:$A$266,49),0)))))))</f>
        <v>1.010159</v>
      </c>
      <c r="H59">
        <f t="shared" si="6"/>
        <v>49</v>
      </c>
      <c r="I59" t="str">
        <f t="shared" si="7"/>
        <v xml:space="preserve"> </v>
      </c>
      <c r="J59" s="34"/>
      <c r="K59" s="35" t="s">
        <v>38</v>
      </c>
      <c r="L59" s="36"/>
      <c r="M59" s="34"/>
      <c r="N59" s="35" t="s">
        <v>38</v>
      </c>
      <c r="O59" s="36"/>
      <c r="P59" s="34"/>
      <c r="Q59" s="35" t="s">
        <v>38</v>
      </c>
      <c r="R59" s="36"/>
      <c r="S59" s="37">
        <f t="shared" si="8"/>
        <v>49</v>
      </c>
      <c r="U59" s="38"/>
      <c r="V59" s="39" t="s">
        <v>87</v>
      </c>
      <c r="W59" s="40" t="str">
        <f>IF('Infos générales'!$E$2="x",IF(U59&gt;0,VLOOKUP(U59,'Infos joueurs'!$A:$M,4,FALSE)&amp;" / "&amp;VLOOKUP(U59,'Infos joueurs'!$A:$M,9,FALSE)," "),IF(U59&gt;0,VLOOKUP(U59,'Infos joueurs'!$A:$M,4,FALSE)&amp;" "&amp;VLOOKUP(U59,'Infos joueurs'!$A:$M,5,FALSE)," "))</f>
        <v xml:space="preserve"> </v>
      </c>
      <c r="Y59" s="33">
        <v>49</v>
      </c>
      <c r="Z59" s="256" t="str">
        <f t="shared" si="9"/>
        <v xml:space="preserve"> </v>
      </c>
      <c r="AA59" s="41" t="str">
        <f>IFERROR(INDEX('Infos joueurs'!$F$15:$F$270,MATCH(AB59,'Infos joueurs'!$A$15:$A$270,0))," ")</f>
        <v xml:space="preserve"> </v>
      </c>
      <c r="AB59" s="38">
        <f t="shared" si="10"/>
        <v>0</v>
      </c>
    </row>
    <row r="60" spans="1:28" x14ac:dyDescent="0.25">
      <c r="A60">
        <f t="shared" si="0"/>
        <v>1.0101599999999999</v>
      </c>
      <c r="B60">
        <f t="shared" si="1"/>
        <v>50</v>
      </c>
      <c r="C60" t="str">
        <f t="shared" si="2"/>
        <v xml:space="preserve"> </v>
      </c>
      <c r="D60">
        <f t="shared" si="3"/>
        <v>0</v>
      </c>
      <c r="E60">
        <f t="shared" si="4"/>
        <v>0</v>
      </c>
      <c r="F60">
        <f t="shared" si="5"/>
        <v>0</v>
      </c>
      <c r="G60">
        <f>IF($C$2="x",IFERROR(SMALL($A$11:$A$14,50),0),IF($C$3="x",IFERROR(SMALL($A$11:$A$18,50),0),IF($C$4="x",IFERROR(SMALL($A$11:$A$26,50),0),IF($C$5="x",IFERROR(SMALL($A$11:$A$42,50),0),IF($C$6="x",IFERROR(SMALL($A$11:$A$74,50),0),IF($C$7="x",IFERROR(SMALL($A$11:$A$138,50),0),IFERROR(SMALL($A$11:$A$266,50),0)))))))</f>
        <v>1.0101599999999999</v>
      </c>
      <c r="H60">
        <f t="shared" si="6"/>
        <v>50</v>
      </c>
      <c r="I60" t="str">
        <f t="shared" si="7"/>
        <v xml:space="preserve"> </v>
      </c>
      <c r="J60" s="34"/>
      <c r="K60" s="35" t="s">
        <v>38</v>
      </c>
      <c r="L60" s="36"/>
      <c r="M60" s="34"/>
      <c r="N60" s="35" t="s">
        <v>38</v>
      </c>
      <c r="O60" s="36"/>
      <c r="P60" s="34"/>
      <c r="Q60" s="35" t="s">
        <v>38</v>
      </c>
      <c r="R60" s="36"/>
      <c r="S60" s="37">
        <f t="shared" si="8"/>
        <v>50</v>
      </c>
      <c r="U60" s="38"/>
      <c r="V60" s="39" t="s">
        <v>88</v>
      </c>
      <c r="W60" s="40" t="str">
        <f>IF('Infos générales'!$E$2="x",IF(U60&gt;0,VLOOKUP(U60,'Infos joueurs'!$A:$M,4,FALSE)&amp;" / "&amp;VLOOKUP(U60,'Infos joueurs'!$A:$M,9,FALSE)," "),IF(U60&gt;0,VLOOKUP(U60,'Infos joueurs'!$A:$M,4,FALSE)&amp;" "&amp;VLOOKUP(U60,'Infos joueurs'!$A:$M,5,FALSE)," "))</f>
        <v xml:space="preserve"> </v>
      </c>
      <c r="Y60" s="33">
        <v>50</v>
      </c>
      <c r="Z60" s="256" t="str">
        <f t="shared" si="9"/>
        <v xml:space="preserve"> </v>
      </c>
      <c r="AA60" s="41" t="str">
        <f>IFERROR(INDEX('Infos joueurs'!$F$15:$F$270,MATCH(AB60,'Infos joueurs'!$A$15:$A$270,0))," ")</f>
        <v xml:space="preserve"> </v>
      </c>
      <c r="AB60" s="38">
        <f t="shared" si="10"/>
        <v>0</v>
      </c>
    </row>
    <row r="61" spans="1:28" x14ac:dyDescent="0.25">
      <c r="A61">
        <f t="shared" si="0"/>
        <v>1.0101610000000001</v>
      </c>
      <c r="B61">
        <f t="shared" si="1"/>
        <v>51</v>
      </c>
      <c r="C61" t="str">
        <f t="shared" si="2"/>
        <v xml:space="preserve"> </v>
      </c>
      <c r="D61">
        <f t="shared" si="3"/>
        <v>0</v>
      </c>
      <c r="E61">
        <f t="shared" si="4"/>
        <v>0</v>
      </c>
      <c r="F61">
        <f t="shared" si="5"/>
        <v>0</v>
      </c>
      <c r="G61">
        <f>IF($C$2="x",IFERROR(SMALL($A$11:$A$14,51),0),IF($C$3="x",IFERROR(SMALL($A$11:$A$18,51),0),IF($C$4="x",IFERROR(SMALL($A$11:$A$26,51),0),IF($C$5="x",IFERROR(SMALL($A$11:$A$42,51),0),IF($C$6="x",IFERROR(SMALL($A$11:$A$74,51),0),IF($C$7="x",IFERROR(SMALL($A$11:$A$138,51),0),IFERROR(SMALL($A$11:$A$266,51),0)))))))</f>
        <v>1.0101610000000001</v>
      </c>
      <c r="H61">
        <f t="shared" si="6"/>
        <v>51</v>
      </c>
      <c r="I61" t="str">
        <f t="shared" si="7"/>
        <v xml:space="preserve"> </v>
      </c>
      <c r="J61" s="34"/>
      <c r="K61" s="35" t="s">
        <v>38</v>
      </c>
      <c r="L61" s="36"/>
      <c r="M61" s="34"/>
      <c r="N61" s="35" t="s">
        <v>38</v>
      </c>
      <c r="O61" s="36"/>
      <c r="P61" s="34"/>
      <c r="Q61" s="35" t="s">
        <v>38</v>
      </c>
      <c r="R61" s="36"/>
      <c r="S61" s="37">
        <f t="shared" si="8"/>
        <v>51</v>
      </c>
      <c r="U61" s="38"/>
      <c r="V61" s="39" t="s">
        <v>89</v>
      </c>
      <c r="W61" s="40" t="str">
        <f>IF('Infos générales'!$E$2="x",IF(U61&gt;0,VLOOKUP(U61,'Infos joueurs'!$A:$M,4,FALSE)&amp;" / "&amp;VLOOKUP(U61,'Infos joueurs'!$A:$M,9,FALSE)," "),IF(U61&gt;0,VLOOKUP(U61,'Infos joueurs'!$A:$M,4,FALSE)&amp;" "&amp;VLOOKUP(U61,'Infos joueurs'!$A:$M,5,FALSE)," "))</f>
        <v xml:space="preserve"> </v>
      </c>
      <c r="Y61" s="33">
        <v>51</v>
      </c>
      <c r="Z61" s="256" t="str">
        <f t="shared" si="9"/>
        <v xml:space="preserve"> </v>
      </c>
      <c r="AA61" s="41" t="str">
        <f>IFERROR(INDEX('Infos joueurs'!$F$15:$F$270,MATCH(AB61,'Infos joueurs'!$A$15:$A$270,0))," ")</f>
        <v xml:space="preserve"> </v>
      </c>
      <c r="AB61" s="38">
        <f t="shared" si="10"/>
        <v>0</v>
      </c>
    </row>
    <row r="62" spans="1:28" x14ac:dyDescent="0.25">
      <c r="A62">
        <f t="shared" si="0"/>
        <v>1.010162</v>
      </c>
      <c r="B62">
        <f t="shared" si="1"/>
        <v>52</v>
      </c>
      <c r="C62" t="str">
        <f t="shared" si="2"/>
        <v xml:space="preserve"> </v>
      </c>
      <c r="D62">
        <f t="shared" si="3"/>
        <v>0</v>
      </c>
      <c r="E62">
        <f t="shared" si="4"/>
        <v>0</v>
      </c>
      <c r="F62">
        <f t="shared" si="5"/>
        <v>0</v>
      </c>
      <c r="G62">
        <f>IF($C$2="x",IFERROR(SMALL($A$11:$A$14,52),0),IF($C$3="x",IFERROR(SMALL($A$11:$A$18,52),0),IF($C$4="x",IFERROR(SMALL($A$11:$A$26,52),0),IF($C$5="x",IFERROR(SMALL($A$11:$A$42,52),0),IF($C$6="x",IFERROR(SMALL($A$11:$A$74,52),0),IF($C$7="x",IFERROR(SMALL($A$11:$A$138,52),0),IFERROR(SMALL($A$11:$A$266,52),0)))))))</f>
        <v>1.010162</v>
      </c>
      <c r="H62">
        <f t="shared" si="6"/>
        <v>52</v>
      </c>
      <c r="I62" t="str">
        <f t="shared" si="7"/>
        <v xml:space="preserve"> </v>
      </c>
      <c r="J62" s="34"/>
      <c r="K62" s="35" t="s">
        <v>38</v>
      </c>
      <c r="L62" s="36"/>
      <c r="M62" s="34"/>
      <c r="N62" s="35" t="s">
        <v>38</v>
      </c>
      <c r="O62" s="36"/>
      <c r="P62" s="34"/>
      <c r="Q62" s="35" t="s">
        <v>38</v>
      </c>
      <c r="R62" s="36"/>
      <c r="S62" s="37">
        <f t="shared" si="8"/>
        <v>52</v>
      </c>
      <c r="U62" s="38"/>
      <c r="V62" s="39" t="s">
        <v>90</v>
      </c>
      <c r="W62" s="40" t="str">
        <f>IF('Infos générales'!$E$2="x",IF(U62&gt;0,VLOOKUP(U62,'Infos joueurs'!$A:$M,4,FALSE)&amp;" / "&amp;VLOOKUP(U62,'Infos joueurs'!$A:$M,9,FALSE)," "),IF(U62&gt;0,VLOOKUP(U62,'Infos joueurs'!$A:$M,4,FALSE)&amp;" "&amp;VLOOKUP(U62,'Infos joueurs'!$A:$M,5,FALSE)," "))</f>
        <v xml:space="preserve"> </v>
      </c>
      <c r="Y62" s="33">
        <v>52</v>
      </c>
      <c r="Z62" s="256" t="str">
        <f t="shared" si="9"/>
        <v xml:space="preserve"> </v>
      </c>
      <c r="AA62" s="41" t="str">
        <f>IFERROR(INDEX('Infos joueurs'!$F$15:$F$270,MATCH(AB62,'Infos joueurs'!$A$15:$A$270,0))," ")</f>
        <v xml:space="preserve"> </v>
      </c>
      <c r="AB62" s="38">
        <f t="shared" si="10"/>
        <v>0</v>
      </c>
    </row>
    <row r="63" spans="1:28" x14ac:dyDescent="0.25">
      <c r="A63">
        <f t="shared" si="0"/>
        <v>1.0101629999999999</v>
      </c>
      <c r="B63">
        <f t="shared" si="1"/>
        <v>53</v>
      </c>
      <c r="C63" t="str">
        <f t="shared" si="2"/>
        <v xml:space="preserve"> </v>
      </c>
      <c r="D63">
        <f t="shared" si="3"/>
        <v>0</v>
      </c>
      <c r="E63">
        <f t="shared" si="4"/>
        <v>0</v>
      </c>
      <c r="F63">
        <f t="shared" si="5"/>
        <v>0</v>
      </c>
      <c r="G63">
        <f>IF($C$2="x",IFERROR(SMALL($A$11:$A$14,53),0),IF($C$3="x",IFERROR(SMALL($A$11:$A$18,53),0),IF($C$4="x",IFERROR(SMALL($A$11:$A$26,53),0),IF($C$5="x",IFERROR(SMALL($A$11:$A$42,53),0),IF($C$6="x",IFERROR(SMALL($A$11:$A$74,53),0),IF($C$7="x",IFERROR(SMALL($A$11:$A$138,53),0),IFERROR(SMALL($A$11:$A$266,53),0)))))))</f>
        <v>1.0101629999999999</v>
      </c>
      <c r="H63">
        <f t="shared" si="6"/>
        <v>53</v>
      </c>
      <c r="I63" t="str">
        <f t="shared" si="7"/>
        <v xml:space="preserve"> </v>
      </c>
      <c r="J63" s="34"/>
      <c r="K63" s="35" t="s">
        <v>38</v>
      </c>
      <c r="L63" s="36"/>
      <c r="M63" s="34"/>
      <c r="N63" s="35" t="s">
        <v>38</v>
      </c>
      <c r="O63" s="36"/>
      <c r="P63" s="34"/>
      <c r="Q63" s="35" t="s">
        <v>38</v>
      </c>
      <c r="R63" s="36"/>
      <c r="S63" s="37">
        <f t="shared" si="8"/>
        <v>53</v>
      </c>
      <c r="U63" s="38"/>
      <c r="V63" s="39" t="s">
        <v>91</v>
      </c>
      <c r="W63" s="40" t="str">
        <f>IF('Infos générales'!$E$2="x",IF(U63&gt;0,VLOOKUP(U63,'Infos joueurs'!$A:$M,4,FALSE)&amp;" / "&amp;VLOOKUP(U63,'Infos joueurs'!$A:$M,9,FALSE)," "),IF(U63&gt;0,VLOOKUP(U63,'Infos joueurs'!$A:$M,4,FALSE)&amp;" "&amp;VLOOKUP(U63,'Infos joueurs'!$A:$M,5,FALSE)," "))</f>
        <v xml:space="preserve"> </v>
      </c>
      <c r="Y63" s="33">
        <v>53</v>
      </c>
      <c r="Z63" s="256" t="str">
        <f t="shared" si="9"/>
        <v xml:space="preserve"> </v>
      </c>
      <c r="AA63" s="41" t="str">
        <f>IFERROR(INDEX('Infos joueurs'!$F$15:$F$270,MATCH(AB63,'Infos joueurs'!$A$15:$A$270,0))," ")</f>
        <v xml:space="preserve"> </v>
      </c>
      <c r="AB63" s="38">
        <f t="shared" si="10"/>
        <v>0</v>
      </c>
    </row>
    <row r="64" spans="1:28" x14ac:dyDescent="0.25">
      <c r="A64">
        <f t="shared" si="0"/>
        <v>1.0101640000000001</v>
      </c>
      <c r="B64">
        <f t="shared" si="1"/>
        <v>54</v>
      </c>
      <c r="C64" t="str">
        <f t="shared" si="2"/>
        <v xml:space="preserve"> </v>
      </c>
      <c r="D64">
        <f t="shared" si="3"/>
        <v>0</v>
      </c>
      <c r="E64">
        <f t="shared" si="4"/>
        <v>0</v>
      </c>
      <c r="F64">
        <f t="shared" si="5"/>
        <v>0</v>
      </c>
      <c r="G64">
        <f>IF($C$2="x",IFERROR(SMALL($A$11:$A$14,54),0),IF($C$3="x",IFERROR(SMALL($A$11:$A$18,54),0),IF($C$4="x",IFERROR(SMALL($A$11:$A$26,54),0),IF($C$5="x",IFERROR(SMALL($A$11:$A$42,54),0),IF($C$6="x",IFERROR(SMALL($A$11:$A$74,54),0),IF($C$7="x",IFERROR(SMALL($A$11:$A$138,54),0),IFERROR(SMALL($A$11:$A$266,54),0)))))))</f>
        <v>1.0101640000000001</v>
      </c>
      <c r="H64">
        <f t="shared" si="6"/>
        <v>54</v>
      </c>
      <c r="I64" t="str">
        <f t="shared" si="7"/>
        <v xml:space="preserve"> </v>
      </c>
      <c r="J64" s="34"/>
      <c r="K64" s="35" t="s">
        <v>38</v>
      </c>
      <c r="L64" s="36"/>
      <c r="M64" s="34"/>
      <c r="N64" s="35" t="s">
        <v>38</v>
      </c>
      <c r="O64" s="36"/>
      <c r="P64" s="34"/>
      <c r="Q64" s="35" t="s">
        <v>38</v>
      </c>
      <c r="R64" s="36"/>
      <c r="S64" s="37">
        <f t="shared" si="8"/>
        <v>54</v>
      </c>
      <c r="U64" s="38"/>
      <c r="V64" s="39" t="s">
        <v>92</v>
      </c>
      <c r="W64" s="40" t="str">
        <f>IF('Infos générales'!$E$2="x",IF(U64&gt;0,VLOOKUP(U64,'Infos joueurs'!$A:$M,4,FALSE)&amp;" / "&amp;VLOOKUP(U64,'Infos joueurs'!$A:$M,9,FALSE)," "),IF(U64&gt;0,VLOOKUP(U64,'Infos joueurs'!$A:$M,4,FALSE)&amp;" "&amp;VLOOKUP(U64,'Infos joueurs'!$A:$M,5,FALSE)," "))</f>
        <v xml:space="preserve"> </v>
      </c>
      <c r="Y64" s="33">
        <v>54</v>
      </c>
      <c r="Z64" s="256" t="str">
        <f t="shared" si="9"/>
        <v xml:space="preserve"> </v>
      </c>
      <c r="AA64" s="41" t="str">
        <f>IFERROR(INDEX('Infos joueurs'!$F$15:$F$270,MATCH(AB64,'Infos joueurs'!$A$15:$A$270,0))," ")</f>
        <v xml:space="preserve"> </v>
      </c>
      <c r="AB64" s="38">
        <f t="shared" si="10"/>
        <v>0</v>
      </c>
    </row>
    <row r="65" spans="1:28" x14ac:dyDescent="0.25">
      <c r="A65">
        <f t="shared" si="0"/>
        <v>1.010165</v>
      </c>
      <c r="B65">
        <f t="shared" si="1"/>
        <v>55</v>
      </c>
      <c r="C65" t="str">
        <f t="shared" si="2"/>
        <v xml:space="preserve"> </v>
      </c>
      <c r="D65">
        <f t="shared" si="3"/>
        <v>0</v>
      </c>
      <c r="E65">
        <f t="shared" si="4"/>
        <v>0</v>
      </c>
      <c r="F65">
        <f t="shared" si="5"/>
        <v>0</v>
      </c>
      <c r="G65">
        <f>IF($C$2="x",IFERROR(SMALL($A$11:$A$14,55),0),IF($C$3="x",IFERROR(SMALL($A$11:$A$18,55),0),IF($C$4="x",IFERROR(SMALL($A$11:$A$26,55),0),IF($C$5="x",IFERROR(SMALL($A$11:$A$42,55),0),IF($C$6="x",IFERROR(SMALL($A$11:$A$74,55),0),IF($C$7="x",IFERROR(SMALL($A$11:$A$138,55),0),IFERROR(SMALL($A$11:$A$266,55),0)))))))</f>
        <v>1.010165</v>
      </c>
      <c r="H65">
        <f t="shared" si="6"/>
        <v>55</v>
      </c>
      <c r="I65" t="str">
        <f t="shared" si="7"/>
        <v xml:space="preserve"> </v>
      </c>
      <c r="J65" s="34"/>
      <c r="K65" s="35" t="s">
        <v>38</v>
      </c>
      <c r="L65" s="36"/>
      <c r="M65" s="34"/>
      <c r="N65" s="35" t="s">
        <v>38</v>
      </c>
      <c r="O65" s="36"/>
      <c r="P65" s="34"/>
      <c r="Q65" s="35" t="s">
        <v>38</v>
      </c>
      <c r="R65" s="36"/>
      <c r="S65" s="37">
        <f t="shared" si="8"/>
        <v>55</v>
      </c>
      <c r="U65" s="38"/>
      <c r="V65" s="39" t="s">
        <v>93</v>
      </c>
      <c r="W65" s="40" t="str">
        <f>IF('Infos générales'!$E$2="x",IF(U65&gt;0,VLOOKUP(U65,'Infos joueurs'!$A:$M,4,FALSE)&amp;" / "&amp;VLOOKUP(U65,'Infos joueurs'!$A:$M,9,FALSE)," "),IF(U65&gt;0,VLOOKUP(U65,'Infos joueurs'!$A:$M,4,FALSE)&amp;" "&amp;VLOOKUP(U65,'Infos joueurs'!$A:$M,5,FALSE)," "))</f>
        <v xml:space="preserve"> </v>
      </c>
      <c r="Y65" s="33">
        <v>55</v>
      </c>
      <c r="Z65" s="256" t="str">
        <f t="shared" si="9"/>
        <v xml:space="preserve"> </v>
      </c>
      <c r="AA65" s="41" t="str">
        <f>IFERROR(INDEX('Infos joueurs'!$F$15:$F$270,MATCH(AB65,'Infos joueurs'!$A$15:$A$270,0))," ")</f>
        <v xml:space="preserve"> </v>
      </c>
      <c r="AB65" s="38">
        <f t="shared" si="10"/>
        <v>0</v>
      </c>
    </row>
    <row r="66" spans="1:28" x14ac:dyDescent="0.25">
      <c r="A66">
        <f t="shared" si="0"/>
        <v>1.0101659999999999</v>
      </c>
      <c r="B66">
        <f t="shared" si="1"/>
        <v>56</v>
      </c>
      <c r="C66" t="str">
        <f t="shared" si="2"/>
        <v xml:space="preserve"> </v>
      </c>
      <c r="D66">
        <f t="shared" si="3"/>
        <v>0</v>
      </c>
      <c r="E66">
        <f t="shared" si="4"/>
        <v>0</v>
      </c>
      <c r="F66">
        <f t="shared" si="5"/>
        <v>0</v>
      </c>
      <c r="G66">
        <f>IF($C$2="x",IFERROR(SMALL($A$11:$A$14,56),0),IF($C$3="x",IFERROR(SMALL($A$11:$A$18,56),0),IF($C$4="x",IFERROR(SMALL($A$11:$A$26,56),0),IF($C$5="x",IFERROR(SMALL($A$11:$A$42,56),0),IF($C$6="x",IFERROR(SMALL($A$11:$A$74,56),0),IF($C$7="x",IFERROR(SMALL($A$11:$A$138,56),0),IFERROR(SMALL($A$11:$A$266,56),0)))))))</f>
        <v>1.0101659999999999</v>
      </c>
      <c r="H66">
        <f t="shared" si="6"/>
        <v>56</v>
      </c>
      <c r="I66" t="str">
        <f t="shared" si="7"/>
        <v xml:space="preserve"> </v>
      </c>
      <c r="J66" s="34"/>
      <c r="K66" s="35" t="s">
        <v>38</v>
      </c>
      <c r="L66" s="36"/>
      <c r="M66" s="34"/>
      <c r="N66" s="35" t="s">
        <v>38</v>
      </c>
      <c r="O66" s="36"/>
      <c r="P66" s="34"/>
      <c r="Q66" s="35" t="s">
        <v>38</v>
      </c>
      <c r="R66" s="36"/>
      <c r="S66" s="37">
        <f t="shared" si="8"/>
        <v>56</v>
      </c>
      <c r="U66" s="38"/>
      <c r="V66" s="39" t="s">
        <v>94</v>
      </c>
      <c r="W66" s="40" t="str">
        <f>IF('Infos générales'!$E$2="x",IF(U66&gt;0,VLOOKUP(U66,'Infos joueurs'!$A:$M,4,FALSE)&amp;" / "&amp;VLOOKUP(U66,'Infos joueurs'!$A:$M,9,FALSE)," "),IF(U66&gt;0,VLOOKUP(U66,'Infos joueurs'!$A:$M,4,FALSE)&amp;" "&amp;VLOOKUP(U66,'Infos joueurs'!$A:$M,5,FALSE)," "))</f>
        <v xml:space="preserve"> </v>
      </c>
      <c r="Y66" s="33">
        <v>56</v>
      </c>
      <c r="Z66" s="256" t="str">
        <f t="shared" si="9"/>
        <v xml:space="preserve"> </v>
      </c>
      <c r="AA66" s="41" t="str">
        <f>IFERROR(INDEX('Infos joueurs'!$F$15:$F$270,MATCH(AB66,'Infos joueurs'!$A$15:$A$270,0))," ")</f>
        <v xml:space="preserve"> </v>
      </c>
      <c r="AB66" s="38">
        <f t="shared" si="10"/>
        <v>0</v>
      </c>
    </row>
    <row r="67" spans="1:28" x14ac:dyDescent="0.25">
      <c r="A67">
        <f t="shared" si="0"/>
        <v>1.010167</v>
      </c>
      <c r="B67">
        <f t="shared" si="1"/>
        <v>57</v>
      </c>
      <c r="C67" t="str">
        <f t="shared" si="2"/>
        <v xml:space="preserve"> </v>
      </c>
      <c r="D67">
        <f t="shared" si="3"/>
        <v>0</v>
      </c>
      <c r="E67">
        <f t="shared" si="4"/>
        <v>0</v>
      </c>
      <c r="F67">
        <f t="shared" si="5"/>
        <v>0</v>
      </c>
      <c r="G67">
        <f>IF($C$2="x",IFERROR(SMALL($A$11:$A$14,57),0),IF($C$3="x",IFERROR(SMALL($A$11:$A$18,57),0),IF($C$4="x",IFERROR(SMALL($A$11:$A$26,57),0),IF($C$5="x",IFERROR(SMALL($A$11:$A$42,57),0),IF($C$6="x",IFERROR(SMALL($A$11:$A$74,57),0),IF($C$7="x",IFERROR(SMALL($A$11:$A$138,57),0),IFERROR(SMALL($A$11:$A$266,57),0)))))))</f>
        <v>1.010167</v>
      </c>
      <c r="H67">
        <f t="shared" si="6"/>
        <v>57</v>
      </c>
      <c r="I67" t="str">
        <f t="shared" si="7"/>
        <v xml:space="preserve"> </v>
      </c>
      <c r="J67" s="34"/>
      <c r="K67" s="35" t="s">
        <v>38</v>
      </c>
      <c r="L67" s="36"/>
      <c r="M67" s="34"/>
      <c r="N67" s="35" t="s">
        <v>38</v>
      </c>
      <c r="O67" s="36"/>
      <c r="P67" s="34"/>
      <c r="Q67" s="35" t="s">
        <v>38</v>
      </c>
      <c r="R67" s="36"/>
      <c r="S67" s="37">
        <f t="shared" si="8"/>
        <v>57</v>
      </c>
      <c r="U67" s="38"/>
      <c r="V67" s="39" t="s">
        <v>95</v>
      </c>
      <c r="W67" s="40" t="str">
        <f>IF('Infos générales'!$E$2="x",IF(U67&gt;0,VLOOKUP(U67,'Infos joueurs'!$A:$M,4,FALSE)&amp;" / "&amp;VLOOKUP(U67,'Infos joueurs'!$A:$M,9,FALSE)," "),IF(U67&gt;0,VLOOKUP(U67,'Infos joueurs'!$A:$M,4,FALSE)&amp;" "&amp;VLOOKUP(U67,'Infos joueurs'!$A:$M,5,FALSE)," "))</f>
        <v xml:space="preserve"> </v>
      </c>
      <c r="Y67" s="33">
        <v>57</v>
      </c>
      <c r="Z67" s="256" t="str">
        <f t="shared" si="9"/>
        <v xml:space="preserve"> </v>
      </c>
      <c r="AA67" s="41" t="str">
        <f>IFERROR(INDEX('Infos joueurs'!$F$15:$F$270,MATCH(AB67,'Infos joueurs'!$A$15:$A$270,0))," ")</f>
        <v xml:space="preserve"> </v>
      </c>
      <c r="AB67" s="38">
        <f t="shared" si="10"/>
        <v>0</v>
      </c>
    </row>
    <row r="68" spans="1:28" x14ac:dyDescent="0.25">
      <c r="A68">
        <f t="shared" si="0"/>
        <v>1.010168</v>
      </c>
      <c r="B68">
        <f t="shared" si="1"/>
        <v>58</v>
      </c>
      <c r="C68" t="str">
        <f t="shared" si="2"/>
        <v xml:space="preserve"> </v>
      </c>
      <c r="D68">
        <f t="shared" si="3"/>
        <v>0</v>
      </c>
      <c r="E68">
        <f t="shared" si="4"/>
        <v>0</v>
      </c>
      <c r="F68">
        <f t="shared" si="5"/>
        <v>0</v>
      </c>
      <c r="G68">
        <f>IF($C$2="x",IFERROR(SMALL($A$11:$A$14,58),0),IF($C$3="x",IFERROR(SMALL($A$11:$A$18,58),0),IF($C$4="x",IFERROR(SMALL($A$11:$A$26,58),0),IF($C$5="x",IFERROR(SMALL($A$11:$A$42,58),0),IF($C$6="x",IFERROR(SMALL($A$11:$A$74,58),0),IF($C$7="x",IFERROR(SMALL($A$11:$A$138,58),0),IFERROR(SMALL($A$11:$A$266,58),0)))))))</f>
        <v>1.010168</v>
      </c>
      <c r="H68">
        <f t="shared" si="6"/>
        <v>58</v>
      </c>
      <c r="I68" t="str">
        <f t="shared" si="7"/>
        <v xml:space="preserve"> </v>
      </c>
      <c r="J68" s="34"/>
      <c r="K68" s="35" t="s">
        <v>38</v>
      </c>
      <c r="L68" s="36"/>
      <c r="M68" s="34"/>
      <c r="N68" s="35" t="s">
        <v>38</v>
      </c>
      <c r="O68" s="36"/>
      <c r="P68" s="34"/>
      <c r="Q68" s="35" t="s">
        <v>38</v>
      </c>
      <c r="R68" s="36"/>
      <c r="S68" s="37">
        <f t="shared" si="8"/>
        <v>58</v>
      </c>
      <c r="U68" s="38"/>
      <c r="V68" s="39" t="s">
        <v>96</v>
      </c>
      <c r="W68" s="40" t="str">
        <f>IF('Infos générales'!$E$2="x",IF(U68&gt;0,VLOOKUP(U68,'Infos joueurs'!$A:$M,4,FALSE)&amp;" / "&amp;VLOOKUP(U68,'Infos joueurs'!$A:$M,9,FALSE)," "),IF(U68&gt;0,VLOOKUP(U68,'Infos joueurs'!$A:$M,4,FALSE)&amp;" "&amp;VLOOKUP(U68,'Infos joueurs'!$A:$M,5,FALSE)," "))</f>
        <v xml:space="preserve"> </v>
      </c>
      <c r="Y68" s="33">
        <v>58</v>
      </c>
      <c r="Z68" s="256" t="str">
        <f t="shared" si="9"/>
        <v xml:space="preserve"> </v>
      </c>
      <c r="AA68" s="41" t="str">
        <f>IFERROR(INDEX('Infos joueurs'!$F$15:$F$270,MATCH(AB68,'Infos joueurs'!$A$15:$A$270,0))," ")</f>
        <v xml:space="preserve"> </v>
      </c>
      <c r="AB68" s="38">
        <f t="shared" si="10"/>
        <v>0</v>
      </c>
    </row>
    <row r="69" spans="1:28" x14ac:dyDescent="0.25">
      <c r="A69">
        <f t="shared" si="0"/>
        <v>1.0101690000000001</v>
      </c>
      <c r="B69">
        <f t="shared" si="1"/>
        <v>59</v>
      </c>
      <c r="C69" t="str">
        <f t="shared" si="2"/>
        <v xml:space="preserve"> </v>
      </c>
      <c r="D69">
        <f t="shared" si="3"/>
        <v>0</v>
      </c>
      <c r="E69">
        <f t="shared" si="4"/>
        <v>0</v>
      </c>
      <c r="F69">
        <f t="shared" si="5"/>
        <v>0</v>
      </c>
      <c r="G69">
        <f>IF($C$2="x",IFERROR(SMALL($A$11:$A$14,59),0),IF($C$3="x",IFERROR(SMALL($A$11:$A$18,59),0),IF($C$4="x",IFERROR(SMALL($A$11:$A$26,59),0),IF($C$5="x",IFERROR(SMALL($A$11:$A$42,59),0),IF($C$6="x",IFERROR(SMALL($A$11:$A$74,59),0),IF($C$7="x",IFERROR(SMALL($A$11:$A$138,59),0),IFERROR(SMALL($A$11:$A$266,59),0)))))))</f>
        <v>1.0101690000000001</v>
      </c>
      <c r="H69">
        <f t="shared" si="6"/>
        <v>59</v>
      </c>
      <c r="I69" t="str">
        <f t="shared" si="7"/>
        <v xml:space="preserve"> </v>
      </c>
      <c r="J69" s="34"/>
      <c r="K69" s="35" t="s">
        <v>38</v>
      </c>
      <c r="L69" s="36"/>
      <c r="M69" s="34"/>
      <c r="N69" s="35" t="s">
        <v>38</v>
      </c>
      <c r="O69" s="36"/>
      <c r="P69" s="34"/>
      <c r="Q69" s="35" t="s">
        <v>38</v>
      </c>
      <c r="R69" s="36"/>
      <c r="S69" s="37">
        <f t="shared" si="8"/>
        <v>59</v>
      </c>
      <c r="U69" s="38"/>
      <c r="V69" s="39" t="s">
        <v>97</v>
      </c>
      <c r="W69" s="40" t="str">
        <f>IF('Infos générales'!$E$2="x",IF(U69&gt;0,VLOOKUP(U69,'Infos joueurs'!$A:$M,4,FALSE)&amp;" / "&amp;VLOOKUP(U69,'Infos joueurs'!$A:$M,9,FALSE)," "),IF(U69&gt;0,VLOOKUP(U69,'Infos joueurs'!$A:$M,4,FALSE)&amp;" "&amp;VLOOKUP(U69,'Infos joueurs'!$A:$M,5,FALSE)," "))</f>
        <v xml:space="preserve"> </v>
      </c>
      <c r="Y69" s="33">
        <v>59</v>
      </c>
      <c r="Z69" s="256" t="str">
        <f t="shared" si="9"/>
        <v xml:space="preserve"> </v>
      </c>
      <c r="AA69" s="41" t="str">
        <f>IFERROR(INDEX('Infos joueurs'!$F$15:$F$270,MATCH(AB69,'Infos joueurs'!$A$15:$A$270,0))," ")</f>
        <v xml:space="preserve"> </v>
      </c>
      <c r="AB69" s="38">
        <f t="shared" si="10"/>
        <v>0</v>
      </c>
    </row>
    <row r="70" spans="1:28" x14ac:dyDescent="0.25">
      <c r="A70">
        <f t="shared" si="0"/>
        <v>1.01017</v>
      </c>
      <c r="B70">
        <f t="shared" si="1"/>
        <v>60</v>
      </c>
      <c r="C70" t="str">
        <f t="shared" si="2"/>
        <v xml:space="preserve"> </v>
      </c>
      <c r="D70">
        <f t="shared" si="3"/>
        <v>0</v>
      </c>
      <c r="E70">
        <f t="shared" si="4"/>
        <v>0</v>
      </c>
      <c r="F70">
        <f t="shared" si="5"/>
        <v>0</v>
      </c>
      <c r="G70">
        <f>IF($C$2="x",IFERROR(SMALL($A$11:$A$14,60),0),IF($C$3="x",IFERROR(SMALL($A$11:$A$18,60),0),IF($C$4="x",IFERROR(SMALL($A$11:$A$26,60),0),IF($C$5="x",IFERROR(SMALL($A$11:$A$42,60),0),IF($C$6="x",IFERROR(SMALL($A$11:$A$74,60),0),IF($C$7="x",IFERROR(SMALL($A$11:$A$138,60),0),IFERROR(SMALL($A$11:$A$266,60),0)))))))</f>
        <v>1.01017</v>
      </c>
      <c r="H70">
        <f t="shared" si="6"/>
        <v>60</v>
      </c>
      <c r="I70" t="str">
        <f t="shared" si="7"/>
        <v xml:space="preserve"> </v>
      </c>
      <c r="J70" s="34"/>
      <c r="K70" s="35" t="s">
        <v>38</v>
      </c>
      <c r="L70" s="36"/>
      <c r="M70" s="34"/>
      <c r="N70" s="35" t="s">
        <v>38</v>
      </c>
      <c r="O70" s="36"/>
      <c r="P70" s="34"/>
      <c r="Q70" s="35" t="s">
        <v>38</v>
      </c>
      <c r="R70" s="36"/>
      <c r="S70" s="37">
        <f t="shared" si="8"/>
        <v>60</v>
      </c>
      <c r="U70" s="38"/>
      <c r="V70" s="39" t="s">
        <v>98</v>
      </c>
      <c r="W70" s="40" t="str">
        <f>IF('Infos générales'!$E$2="x",IF(U70&gt;0,VLOOKUP(U70,'Infos joueurs'!$A:$M,4,FALSE)&amp;" / "&amp;VLOOKUP(U70,'Infos joueurs'!$A:$M,9,FALSE)," "),IF(U70&gt;0,VLOOKUP(U70,'Infos joueurs'!$A:$M,4,FALSE)&amp;" "&amp;VLOOKUP(U70,'Infos joueurs'!$A:$M,5,FALSE)," "))</f>
        <v xml:space="preserve"> </v>
      </c>
      <c r="Y70" s="33">
        <v>60</v>
      </c>
      <c r="Z70" s="256" t="str">
        <f t="shared" si="9"/>
        <v xml:space="preserve"> </v>
      </c>
      <c r="AA70" s="41" t="str">
        <f>IFERROR(INDEX('Infos joueurs'!$F$15:$F$270,MATCH(AB70,'Infos joueurs'!$A$15:$A$270,0))," ")</f>
        <v xml:space="preserve"> </v>
      </c>
      <c r="AB70" s="38">
        <f t="shared" si="10"/>
        <v>0</v>
      </c>
    </row>
    <row r="71" spans="1:28" x14ac:dyDescent="0.25">
      <c r="A71">
        <f t="shared" si="0"/>
        <v>1.0101709999999999</v>
      </c>
      <c r="B71">
        <f t="shared" si="1"/>
        <v>61</v>
      </c>
      <c r="C71" t="str">
        <f t="shared" si="2"/>
        <v xml:space="preserve"> </v>
      </c>
      <c r="D71">
        <f t="shared" si="3"/>
        <v>0</v>
      </c>
      <c r="E71">
        <f t="shared" si="4"/>
        <v>0</v>
      </c>
      <c r="F71">
        <f t="shared" si="5"/>
        <v>0</v>
      </c>
      <c r="G71">
        <f>IF($C$2="x",IFERROR(SMALL($A$11:$A$14,61),0),IF($C$3="x",IFERROR(SMALL($A$11:$A$18,61),0),IF($C$4="x",IFERROR(SMALL($A$11:$A$26,61),0),IF($C$5="x",IFERROR(SMALL($A$11:$A$42,61),0),IF($C$6="x",IFERROR(SMALL($A$11:$A$74,61),0),IF($C$7="x",IFERROR(SMALL($A$11:$A$138,61),0),IFERROR(SMALL($A$11:$A$266,61),0)))))))</f>
        <v>1.0101709999999999</v>
      </c>
      <c r="H71">
        <f t="shared" si="6"/>
        <v>61</v>
      </c>
      <c r="I71" t="str">
        <f t="shared" si="7"/>
        <v xml:space="preserve"> </v>
      </c>
      <c r="J71" s="34"/>
      <c r="K71" s="35" t="s">
        <v>38</v>
      </c>
      <c r="L71" s="36"/>
      <c r="M71" s="34"/>
      <c r="N71" s="35" t="s">
        <v>38</v>
      </c>
      <c r="O71" s="36"/>
      <c r="P71" s="34"/>
      <c r="Q71" s="35" t="s">
        <v>38</v>
      </c>
      <c r="R71" s="36"/>
      <c r="S71" s="37">
        <f t="shared" si="8"/>
        <v>61</v>
      </c>
      <c r="U71" s="38"/>
      <c r="V71" s="39" t="s">
        <v>99</v>
      </c>
      <c r="W71" s="40" t="str">
        <f>IF('Infos générales'!$E$2="x",IF(U71&gt;0,VLOOKUP(U71,'Infos joueurs'!$A:$M,4,FALSE)&amp;" / "&amp;VLOOKUP(U71,'Infos joueurs'!$A:$M,9,FALSE)," "),IF(U71&gt;0,VLOOKUP(U71,'Infos joueurs'!$A:$M,4,FALSE)&amp;" "&amp;VLOOKUP(U71,'Infos joueurs'!$A:$M,5,FALSE)," "))</f>
        <v xml:space="preserve"> </v>
      </c>
      <c r="Y71" s="33">
        <v>61</v>
      </c>
      <c r="Z71" s="256" t="str">
        <f t="shared" si="9"/>
        <v xml:space="preserve"> </v>
      </c>
      <c r="AA71" s="41" t="str">
        <f>IFERROR(INDEX('Infos joueurs'!$F$15:$F$270,MATCH(AB71,'Infos joueurs'!$A$15:$A$270,0))," ")</f>
        <v xml:space="preserve"> </v>
      </c>
      <c r="AB71" s="38">
        <f t="shared" si="10"/>
        <v>0</v>
      </c>
    </row>
    <row r="72" spans="1:28" x14ac:dyDescent="0.25">
      <c r="A72">
        <f t="shared" si="0"/>
        <v>1.0101720000000001</v>
      </c>
      <c r="B72">
        <f t="shared" si="1"/>
        <v>62</v>
      </c>
      <c r="C72" t="str">
        <f t="shared" si="2"/>
        <v xml:space="preserve"> </v>
      </c>
      <c r="D72">
        <f t="shared" si="3"/>
        <v>0</v>
      </c>
      <c r="E72">
        <f t="shared" si="4"/>
        <v>0</v>
      </c>
      <c r="F72">
        <f t="shared" si="5"/>
        <v>0</v>
      </c>
      <c r="G72">
        <f>IF($C$2="x",IFERROR(SMALL($A$11:$A$14,62),0),IF($C$3="x",IFERROR(SMALL($A$11:$A$18,62),0),IF($C$4="x",IFERROR(SMALL($A$11:$A$26,62),0),IF($C$5="x",IFERROR(SMALL($A$11:$A$42,62),0),IF($C$6="x",IFERROR(SMALL($A$11:$A$74,62),0),IF($C$7="x",IFERROR(SMALL($A$11:$A$138,62),0),IFERROR(SMALL($A$11:$A$266,62),0)))))))</f>
        <v>1.0101720000000001</v>
      </c>
      <c r="H72">
        <f t="shared" si="6"/>
        <v>62</v>
      </c>
      <c r="I72" t="str">
        <f t="shared" si="7"/>
        <v xml:space="preserve"> </v>
      </c>
      <c r="J72" s="34"/>
      <c r="K72" s="35" t="s">
        <v>38</v>
      </c>
      <c r="L72" s="36"/>
      <c r="M72" s="34"/>
      <c r="N72" s="35" t="s">
        <v>38</v>
      </c>
      <c r="O72" s="36"/>
      <c r="P72" s="34"/>
      <c r="Q72" s="35" t="s">
        <v>38</v>
      </c>
      <c r="R72" s="36"/>
      <c r="S72" s="37">
        <f t="shared" si="8"/>
        <v>62</v>
      </c>
      <c r="U72" s="38"/>
      <c r="V72" s="39" t="s">
        <v>100</v>
      </c>
      <c r="W72" s="40" t="str">
        <f>IF('Infos générales'!$E$2="x",IF(U72&gt;0,VLOOKUP(U72,'Infos joueurs'!$A:$M,4,FALSE)&amp;" / "&amp;VLOOKUP(U72,'Infos joueurs'!$A:$M,9,FALSE)," "),IF(U72&gt;0,VLOOKUP(U72,'Infos joueurs'!$A:$M,4,FALSE)&amp;" "&amp;VLOOKUP(U72,'Infos joueurs'!$A:$M,5,FALSE)," "))</f>
        <v xml:space="preserve"> </v>
      </c>
      <c r="Y72" s="33">
        <v>62</v>
      </c>
      <c r="Z72" s="256" t="str">
        <f t="shared" si="9"/>
        <v xml:space="preserve"> </v>
      </c>
      <c r="AA72" s="41" t="str">
        <f>IFERROR(INDEX('Infos joueurs'!$F$15:$F$270,MATCH(AB72,'Infos joueurs'!$A$15:$A$270,0))," ")</f>
        <v xml:space="preserve"> </v>
      </c>
      <c r="AB72" s="38">
        <f t="shared" si="10"/>
        <v>0</v>
      </c>
    </row>
    <row r="73" spans="1:28" x14ac:dyDescent="0.25">
      <c r="A73">
        <f t="shared" si="0"/>
        <v>1.010173</v>
      </c>
      <c r="B73">
        <f t="shared" si="1"/>
        <v>63</v>
      </c>
      <c r="C73" t="str">
        <f t="shared" si="2"/>
        <v xml:space="preserve"> </v>
      </c>
      <c r="D73">
        <f t="shared" si="3"/>
        <v>0</v>
      </c>
      <c r="E73">
        <f t="shared" si="4"/>
        <v>0</v>
      </c>
      <c r="F73">
        <f t="shared" si="5"/>
        <v>0</v>
      </c>
      <c r="G73">
        <f>IF($C$2="x",IFERROR(SMALL($A$11:$A$14,63),0),IF($C$3="x",IFERROR(SMALL($A$11:$A$18,63),0),IF($C$4="x",IFERROR(SMALL($A$11:$A$26,63),0),IF($C$5="x",IFERROR(SMALL($A$11:$A$42,63),0),IF($C$6="x",IFERROR(SMALL($A$11:$A$74,63),0),IF($C$7="x",IFERROR(SMALL($A$11:$A$138,63),0),IFERROR(SMALL($A$11:$A$266,63),0)))))))</f>
        <v>1.010173</v>
      </c>
      <c r="H73">
        <f t="shared" si="6"/>
        <v>63</v>
      </c>
      <c r="I73" t="str">
        <f t="shared" si="7"/>
        <v xml:space="preserve"> </v>
      </c>
      <c r="J73" s="34"/>
      <c r="K73" s="35" t="s">
        <v>38</v>
      </c>
      <c r="L73" s="36"/>
      <c r="M73" s="34"/>
      <c r="N73" s="35" t="s">
        <v>38</v>
      </c>
      <c r="O73" s="36"/>
      <c r="P73" s="34"/>
      <c r="Q73" s="35" t="s">
        <v>38</v>
      </c>
      <c r="R73" s="36"/>
      <c r="S73" s="37">
        <f t="shared" si="8"/>
        <v>63</v>
      </c>
      <c r="U73" s="38"/>
      <c r="V73" s="39" t="s">
        <v>101</v>
      </c>
      <c r="W73" s="40" t="str">
        <f>IF('Infos générales'!$E$2="x",IF(U73&gt;0,VLOOKUP(U73,'Infos joueurs'!$A:$M,4,FALSE)&amp;" / "&amp;VLOOKUP(U73,'Infos joueurs'!$A:$M,9,FALSE)," "),IF(U73&gt;0,VLOOKUP(U73,'Infos joueurs'!$A:$M,4,FALSE)&amp;" "&amp;VLOOKUP(U73,'Infos joueurs'!$A:$M,5,FALSE)," "))</f>
        <v xml:space="preserve"> </v>
      </c>
      <c r="Y73" s="33">
        <v>63</v>
      </c>
      <c r="Z73" s="256" t="str">
        <f t="shared" si="9"/>
        <v xml:space="preserve"> </v>
      </c>
      <c r="AA73" s="41" t="str">
        <f>IFERROR(INDEX('Infos joueurs'!$F$15:$F$270,MATCH(AB73,'Infos joueurs'!$A$15:$A$270,0))," ")</f>
        <v xml:space="preserve"> </v>
      </c>
      <c r="AB73" s="38">
        <f t="shared" si="10"/>
        <v>0</v>
      </c>
    </row>
    <row r="74" spans="1:28" x14ac:dyDescent="0.25">
      <c r="A74">
        <f t="shared" si="0"/>
        <v>1.0101739999999999</v>
      </c>
      <c r="B74">
        <f t="shared" si="1"/>
        <v>64</v>
      </c>
      <c r="C74" t="str">
        <f t="shared" si="2"/>
        <v xml:space="preserve"> </v>
      </c>
      <c r="D74">
        <f t="shared" si="3"/>
        <v>0</v>
      </c>
      <c r="E74">
        <f t="shared" si="4"/>
        <v>0</v>
      </c>
      <c r="F74">
        <f t="shared" si="5"/>
        <v>0</v>
      </c>
      <c r="G74">
        <f>IF($C$2="x",IFERROR(SMALL($A$11:$A$14,64),0),IF($C$3="x",IFERROR(SMALL($A$11:$A$18,64),0),IF($C$4="x",IFERROR(SMALL($A$11:$A$26,64),0),IF($C$5="x",IFERROR(SMALL($A$11:$A$42,64),0),IF($C$6="x",IFERROR(SMALL($A$11:$A$74,64),0),IF($C$7="x",IFERROR(SMALL($A$11:$A$138,64),0),IFERROR(SMALL($A$11:$A$266,64),0)))))))</f>
        <v>1.0101739999999999</v>
      </c>
      <c r="H74">
        <f t="shared" si="6"/>
        <v>64</v>
      </c>
      <c r="I74" t="str">
        <f t="shared" si="7"/>
        <v xml:space="preserve"> </v>
      </c>
      <c r="J74" s="34"/>
      <c r="K74" s="35" t="s">
        <v>38</v>
      </c>
      <c r="L74" s="36"/>
      <c r="M74" s="34"/>
      <c r="N74" s="35" t="s">
        <v>38</v>
      </c>
      <c r="O74" s="36"/>
      <c r="P74" s="34"/>
      <c r="Q74" s="35" t="s">
        <v>38</v>
      </c>
      <c r="R74" s="36"/>
      <c r="S74" s="37">
        <f t="shared" si="8"/>
        <v>64</v>
      </c>
      <c r="U74" s="38"/>
      <c r="V74" s="39" t="s">
        <v>102</v>
      </c>
      <c r="W74" s="40" t="str">
        <f>IF('Infos générales'!$E$2="x",IF(U74&gt;0,VLOOKUP(U74,'Infos joueurs'!$A:$M,4,FALSE)&amp;" / "&amp;VLOOKUP(U74,'Infos joueurs'!$A:$M,9,FALSE)," "),IF(U74&gt;0,VLOOKUP(U74,'Infos joueurs'!$A:$M,4,FALSE)&amp;" "&amp;VLOOKUP(U74,'Infos joueurs'!$A:$M,5,FALSE)," "))</f>
        <v xml:space="preserve"> </v>
      </c>
      <c r="Y74" s="33">
        <v>64</v>
      </c>
      <c r="Z74" s="256" t="str">
        <f t="shared" si="9"/>
        <v xml:space="preserve"> </v>
      </c>
      <c r="AA74" s="41" t="str">
        <f>IFERROR(INDEX('Infos joueurs'!$F$15:$F$270,MATCH(AB74,'Infos joueurs'!$A$15:$A$270,0))," ")</f>
        <v xml:space="preserve"> </v>
      </c>
      <c r="AB74" s="38">
        <f t="shared" si="10"/>
        <v>0</v>
      </c>
    </row>
    <row r="75" spans="1:28" x14ac:dyDescent="0.25">
      <c r="A75">
        <f t="shared" si="0"/>
        <v>1.010175</v>
      </c>
      <c r="B75">
        <f t="shared" si="1"/>
        <v>65</v>
      </c>
      <c r="C75" t="str">
        <f t="shared" si="2"/>
        <v xml:space="preserve"> </v>
      </c>
      <c r="D75">
        <f t="shared" si="3"/>
        <v>0</v>
      </c>
      <c r="E75">
        <f t="shared" si="4"/>
        <v>0</v>
      </c>
      <c r="F75">
        <f t="shared" si="5"/>
        <v>0</v>
      </c>
      <c r="G75">
        <f>IF($C$2="x",IFERROR(SMALL($A$11:$A$14,65),0),IF($C$3="x",IFERROR(SMALL($A$11:$A$18,65),0),IF($C$4="x",IFERROR(SMALL($A$11:$A$26,65),0),IF($C$5="x",IFERROR(SMALL($A$11:$A$42,65),0),IF($C$6="x",IFERROR(SMALL($A$11:$A$74,65),0),IF($C$7="x",IFERROR(SMALL($A$11:$A$138,65),0),IFERROR(SMALL($A$11:$A$266,65),0)))))))</f>
        <v>1.010175</v>
      </c>
      <c r="H75">
        <f t="shared" si="6"/>
        <v>65</v>
      </c>
      <c r="I75" t="str">
        <f t="shared" si="7"/>
        <v xml:space="preserve"> </v>
      </c>
      <c r="J75" s="34"/>
      <c r="K75" s="35" t="s">
        <v>38</v>
      </c>
      <c r="L75" s="36"/>
      <c r="M75" s="34"/>
      <c r="N75" s="35" t="s">
        <v>38</v>
      </c>
      <c r="O75" s="36"/>
      <c r="P75" s="34"/>
      <c r="Q75" s="35" t="s">
        <v>38</v>
      </c>
      <c r="R75" s="36"/>
      <c r="S75" s="37">
        <f t="shared" si="8"/>
        <v>65</v>
      </c>
      <c r="U75" s="38"/>
      <c r="V75" s="39" t="s">
        <v>103</v>
      </c>
      <c r="W75" s="40" t="str">
        <f>IF('Infos générales'!$E$2="x",IF(U75&gt;0,VLOOKUP(U75,'Infos joueurs'!$A:$M,4,FALSE)&amp;" / "&amp;VLOOKUP(U75,'Infos joueurs'!$A:$M,9,FALSE)," "),IF(U75&gt;0,VLOOKUP(U75,'Infos joueurs'!$A:$M,4,FALSE)&amp;" "&amp;VLOOKUP(U75,'Infos joueurs'!$A:$M,5,FALSE)," "))</f>
        <v xml:space="preserve"> </v>
      </c>
      <c r="Y75" s="33">
        <v>65</v>
      </c>
      <c r="Z75" s="256" t="str">
        <f t="shared" si="9"/>
        <v xml:space="preserve"> </v>
      </c>
      <c r="AA75" s="41" t="str">
        <f>IFERROR(INDEX('Infos joueurs'!$F$15:$F$270,MATCH(AB75,'Infos joueurs'!$A$15:$A$270,0))," ")</f>
        <v xml:space="preserve"> </v>
      </c>
      <c r="AB75" s="38">
        <f t="shared" si="10"/>
        <v>0</v>
      </c>
    </row>
    <row r="76" spans="1:28" x14ac:dyDescent="0.25">
      <c r="A76">
        <f t="shared" ref="A76:A139" si="11">IF($C$2="x",(IFERROR(IF(W76="","-",RANK(D76,$D$11:$D$14,0)+RANK(E76,$E$11:$E$14,0)%+RANK(F76,$F$11:$F$14,0)%%+ROW()%%%),"-")),IF($C$3="x",(IFERROR(IF(W76="","-",RANK(D76,$D$11:$D$18,0)+RANK(E76,$E$11:$E$18,0)%+RANK(F76,$F$11:$F$18,0)%%+ROW()%%%),"-")),IF($C$4="x",(IFERROR(IF(W76="","-",RANK(D76,$D$11:$D$26,0)+RANK(E76,$E$11:$E$26,0)%+RANK(F76,$F$11:$F$26,0)%%+ROW()%%%),"-")),IF($C$5="x",(IFERROR(IF(W76="","-",RANK(D76,$D$11:$D$42,0)+RANK(E76,$E$11:$E$42,0)%+RANK(F76,$F$11:$F$42,0)%%+ROW()%%%),"-")),IF($C$6="x",(IFERROR(IF(W76="","-",RANK(D76,$D$11:$D$74,0)+RANK(E76,$E$11:$E$74,0)%+RANK(F76,$F$11:$F$74,0)%%+ROW()%%%),"-")),IF($C$7="x",(IFERROR(IF(W76="","-",RANK(D76,$D$11:$D$138,0)+RANK(E76,$E$11:$E$138,0)%+RANK(F76,$F$11:$F$138,0)%%+ROW()%%%),"-")),(IFERROR(IF(W76="","-",RANK(D76,$D$11:$D$266,0)+RANK(E76,$E$11:$E$266,0)%+RANK(F76,$F$11:$F$266,0)%%+ROW()%%%),"-"))))))))</f>
        <v>1.010176</v>
      </c>
      <c r="B76">
        <f t="shared" ref="B76:B139" si="12">IF($C$2="x",IFERROR(IF(A76="","",RANK(A76,$A$11:$A$14,1)),"-"),IF($C$3="x",IFERROR(IF(A76="","",RANK(A76,$A$11:$A$18,1)),"-"),IF($C$4="x",IFERROR(IF(A76="","",RANK(A76,$A$11:$A$26,1)),"-"),IF($C$5="x",IFERROR(IF(A76="","",RANK(A76,$A$11:$A$42,1)),"-"),IF($C$6="x",IFERROR(IF(A76="","",RANK(A76,$A$11:$A$74,1)),"-"),IF($C$7="x",IFERROR(IF(A76="","",RANK(A76,$A$11:$A$138,1)),"-"),IFERROR(IF(A76="","",RANK(A76,$A$11:$A$266,1)),"-")))))))</f>
        <v>66</v>
      </c>
      <c r="C76" t="str">
        <f t="shared" ref="C76:C139" si="13">W76</f>
        <v xml:space="preserve"> </v>
      </c>
      <c r="D76">
        <f t="shared" ref="D76:D139" si="14">SUM(J76-L76)</f>
        <v>0</v>
      </c>
      <c r="E76">
        <f t="shared" ref="E76:E139" si="15">SUM(M76-O76)</f>
        <v>0</v>
      </c>
      <c r="F76">
        <f t="shared" ref="F76:F139" si="16">SUM(P76-R76)</f>
        <v>0</v>
      </c>
      <c r="G76">
        <f>IF($C$2="x",IFERROR(SMALL($A$11:$A$14,66),0),IF($C$3="x",IFERROR(SMALL($A$11:$A$18,66),0),IF($C$4="x",IFERROR(SMALL($A$11:$A$26,66),0),IF($C$5="x",IFERROR(SMALL($A$11:$A$42,66),0),IF($C$6="x",IFERROR(SMALL($A$11:$A$74,66),0),IF($C$7="x",IFERROR(SMALL($A$11:$A$138,66),0),IFERROR(SMALL($A$11:$A$266,66),0)))))))</f>
        <v>1.010176</v>
      </c>
      <c r="H76">
        <f t="shared" ref="H76:H139" si="17">IF($C$2="x",IFERROR(IF(G76="","",RANK(G76,$G$11:$G$14,1)),0),IF($C$3="x",IFERROR(IF(G76="","",RANK(G76,$G$11:$G$18,1)),0),IF($C$4="x",IFERROR(IF(G76="","",RANK(G76,$G$11:$G$26,1)),0),IF($C$5="x",IFERROR(IF(G76="","",RANK(G76,$G$11:$G$42,1)),0),IF($C$6="x",IFERROR(IF(G76="","",RANK(G76,$G$11:$G$74,1)),0),IF($C$7="x",IFERROR(IF(G76="","",RANK(G76,$G$11:$G$138,1)),0),IFERROR(IF(G76="","",RANK(G76,$G$11:$G$266,1)),0)))))))</f>
        <v>66</v>
      </c>
      <c r="I76" t="str">
        <f t="shared" ref="I76:I139" si="18">IF($C$2="x",IFERROR(INDEX($C$11:$C$14,MATCH(G76,$A$11:$A$14,0),1),0),IF($C$3="x",IFERROR(INDEX($C$11:$C$18,MATCH(G76,$A$11:$A$18,0),1),0),IF($C$4="x",IFERROR(INDEX($C$11:$C$26,MATCH(G76,$A$11:$A$26,0),1),0),IF($C$5="x",IFERROR(INDEX($C$11:$C$42,MATCH(G76,$A$11:$A$42,0),1),0),IF($C$6="x",IFERROR(INDEX($C$11:$C$74,MATCH(G76,$A$11:$A$74,0),1),0),IF($C$7="x",IFERROR(INDEX($C$11:$C$138,MATCH(G76,$A$11:$A$138,0),1),0),IFERROR(INDEX($C$11:$C$266,MATCH(G76,$A$11:$A$266,0),1),0)))))))</f>
        <v xml:space="preserve"> </v>
      </c>
      <c r="J76" s="34"/>
      <c r="K76" s="35" t="s">
        <v>38</v>
      </c>
      <c r="L76" s="36"/>
      <c r="M76" s="34"/>
      <c r="N76" s="35" t="s">
        <v>38</v>
      </c>
      <c r="O76" s="36"/>
      <c r="P76" s="34"/>
      <c r="Q76" s="35" t="s">
        <v>38</v>
      </c>
      <c r="R76" s="36"/>
      <c r="S76" s="37">
        <f t="shared" ref="S76:S139" si="19">IF($C$2="x",IFERROR(IF(A76="","",RANK(A76,$A$11:$A$14,1)),0),IF($C$3="x",IFERROR(IF(A76="","",RANK(A76,$A$11:$A$18,1)),0),IF($C$4="x",IFERROR(IF(A76="","",RANK(A76,$A$11:$A$26,1)),0),IF($C$5="x",IFERROR(IF(A76="","",RANK(A76,$A$11:$A$42,1)),0),IF($C$6="x",IFERROR(IF(A76="","",RANK(A76,$A$11:$A$74,1)),0),IF($C$7="x",IFERROR(IF(A76="","",RANK(A76,$A$11:$A$138,1)),0),IFERROR(IF(A76="","",RANK(A76,$A$11:$A$266,1)),0)))))))</f>
        <v>66</v>
      </c>
      <c r="U76" s="38"/>
      <c r="V76" s="39" t="s">
        <v>104</v>
      </c>
      <c r="W76" s="40" t="str">
        <f>IF('Infos générales'!$E$2="x",IF(U76&gt;0,VLOOKUP(U76,'Infos joueurs'!$A:$M,4,FALSE)&amp;" / "&amp;VLOOKUP(U76,'Infos joueurs'!$A:$M,9,FALSE)," "),IF(U76&gt;0,VLOOKUP(U76,'Infos joueurs'!$A:$M,4,FALSE)&amp;" "&amp;VLOOKUP(U76,'Infos joueurs'!$A:$M,5,FALSE)," "))</f>
        <v xml:space="preserve"> </v>
      </c>
      <c r="Y76" s="33">
        <v>66</v>
      </c>
      <c r="Z76" s="256" t="str">
        <f t="shared" ref="Z76:Z139" si="20">I76</f>
        <v xml:space="preserve"> </v>
      </c>
      <c r="AA76" s="41" t="str">
        <f>IFERROR(INDEX('Infos joueurs'!$F$15:$F$270,MATCH(AB76,'Infos joueurs'!$A$15:$A$270,0))," ")</f>
        <v xml:space="preserve"> </v>
      </c>
      <c r="AB76" s="38">
        <f t="shared" ref="AB76:AB139" si="21">IFERROR(INDEX($U$11:$U$266,MATCH(Z76,$W$11:$W$266,0)),0)</f>
        <v>0</v>
      </c>
    </row>
    <row r="77" spans="1:28" x14ac:dyDescent="0.25">
      <c r="A77">
        <f t="shared" si="11"/>
        <v>1.0101770000000001</v>
      </c>
      <c r="B77">
        <f t="shared" si="12"/>
        <v>67</v>
      </c>
      <c r="C77" t="str">
        <f t="shared" si="13"/>
        <v xml:space="preserve"> </v>
      </c>
      <c r="D77">
        <f t="shared" si="14"/>
        <v>0</v>
      </c>
      <c r="E77">
        <f t="shared" si="15"/>
        <v>0</v>
      </c>
      <c r="F77">
        <f t="shared" si="16"/>
        <v>0</v>
      </c>
      <c r="G77">
        <f>IF($C$2="x",IFERROR(SMALL($A$11:$A$14,67),0),IF($C$3="x",IFERROR(SMALL($A$11:$A$18,67),0),IF($C$4="x",IFERROR(SMALL($A$11:$A$26,67),0),IF($C$5="x",IFERROR(SMALL($A$11:$A$42,67),0),IF($C$6="x",IFERROR(SMALL($A$11:$A$74,67),0),IF($C$7="x",IFERROR(SMALL($A$11:$A$138,67),0),IFERROR(SMALL($A$11:$A$266,67),0)))))))</f>
        <v>1.0101770000000001</v>
      </c>
      <c r="H77">
        <f t="shared" si="17"/>
        <v>67</v>
      </c>
      <c r="I77" t="str">
        <f t="shared" si="18"/>
        <v xml:space="preserve"> </v>
      </c>
      <c r="J77" s="34"/>
      <c r="K77" s="35" t="s">
        <v>38</v>
      </c>
      <c r="L77" s="36"/>
      <c r="M77" s="34"/>
      <c r="N77" s="35" t="s">
        <v>38</v>
      </c>
      <c r="O77" s="36"/>
      <c r="P77" s="34"/>
      <c r="Q77" s="35" t="s">
        <v>38</v>
      </c>
      <c r="R77" s="36"/>
      <c r="S77" s="37">
        <f t="shared" si="19"/>
        <v>67</v>
      </c>
      <c r="U77" s="38"/>
      <c r="V77" s="39" t="s">
        <v>105</v>
      </c>
      <c r="W77" s="40" t="str">
        <f>IF('Infos générales'!$E$2="x",IF(U77&gt;0,VLOOKUP(U77,'Infos joueurs'!$A:$M,4,FALSE)&amp;" / "&amp;VLOOKUP(U77,'Infos joueurs'!$A:$M,9,FALSE)," "),IF(U77&gt;0,VLOOKUP(U77,'Infos joueurs'!$A:$M,4,FALSE)&amp;" "&amp;VLOOKUP(U77,'Infos joueurs'!$A:$M,5,FALSE)," "))</f>
        <v xml:space="preserve"> </v>
      </c>
      <c r="Y77" s="33">
        <v>67</v>
      </c>
      <c r="Z77" s="256" t="str">
        <f t="shared" si="20"/>
        <v xml:space="preserve"> </v>
      </c>
      <c r="AA77" s="41" t="str">
        <f>IFERROR(INDEX('Infos joueurs'!$F$15:$F$270,MATCH(AB77,'Infos joueurs'!$A$15:$A$270,0))," ")</f>
        <v xml:space="preserve"> </v>
      </c>
      <c r="AB77" s="38">
        <f t="shared" si="21"/>
        <v>0</v>
      </c>
    </row>
    <row r="78" spans="1:28" x14ac:dyDescent="0.25">
      <c r="A78">
        <f t="shared" si="11"/>
        <v>1.010178</v>
      </c>
      <c r="B78">
        <f t="shared" si="12"/>
        <v>68</v>
      </c>
      <c r="C78" t="str">
        <f t="shared" si="13"/>
        <v xml:space="preserve"> </v>
      </c>
      <c r="D78">
        <f t="shared" si="14"/>
        <v>0</v>
      </c>
      <c r="E78">
        <f t="shared" si="15"/>
        <v>0</v>
      </c>
      <c r="F78">
        <f t="shared" si="16"/>
        <v>0</v>
      </c>
      <c r="G78">
        <f>IF($C$2="x",IFERROR(SMALL($A$11:$A$14,68),0),IF($C$3="x",IFERROR(SMALL($A$11:$A$18,68),0),IF($C$4="x",IFERROR(SMALL($A$11:$A$26,68),0),IF($C$5="x",IFERROR(SMALL($A$11:$A$42,68),0),IF($C$6="x",IFERROR(SMALL($A$11:$A$74,68),0),IF($C$7="x",IFERROR(SMALL($A$11:$A$138,68),0),IFERROR(SMALL($A$11:$A$266,68),0)))))))</f>
        <v>1.010178</v>
      </c>
      <c r="H78">
        <f t="shared" si="17"/>
        <v>68</v>
      </c>
      <c r="I78" t="str">
        <f t="shared" si="18"/>
        <v xml:space="preserve"> </v>
      </c>
      <c r="J78" s="34"/>
      <c r="K78" s="35" t="s">
        <v>38</v>
      </c>
      <c r="L78" s="36"/>
      <c r="M78" s="34"/>
      <c r="N78" s="35" t="s">
        <v>38</v>
      </c>
      <c r="O78" s="36"/>
      <c r="P78" s="34"/>
      <c r="Q78" s="35" t="s">
        <v>38</v>
      </c>
      <c r="R78" s="36"/>
      <c r="S78" s="37">
        <f t="shared" si="19"/>
        <v>68</v>
      </c>
      <c r="U78" s="38"/>
      <c r="V78" s="39" t="s">
        <v>106</v>
      </c>
      <c r="W78" s="40" t="str">
        <f>IF('Infos générales'!$E$2="x",IF(U78&gt;0,VLOOKUP(U78,'Infos joueurs'!$A:$M,4,FALSE)&amp;" / "&amp;VLOOKUP(U78,'Infos joueurs'!$A:$M,9,FALSE)," "),IF(U78&gt;0,VLOOKUP(U78,'Infos joueurs'!$A:$M,4,FALSE)&amp;" "&amp;VLOOKUP(U78,'Infos joueurs'!$A:$M,5,FALSE)," "))</f>
        <v xml:space="preserve"> </v>
      </c>
      <c r="Y78" s="33">
        <v>68</v>
      </c>
      <c r="Z78" s="256" t="str">
        <f t="shared" si="20"/>
        <v xml:space="preserve"> </v>
      </c>
      <c r="AA78" s="41" t="str">
        <f>IFERROR(INDEX('Infos joueurs'!$F$15:$F$270,MATCH(AB78,'Infos joueurs'!$A$15:$A$270,0))," ")</f>
        <v xml:space="preserve"> </v>
      </c>
      <c r="AB78" s="38">
        <f t="shared" si="21"/>
        <v>0</v>
      </c>
    </row>
    <row r="79" spans="1:28" x14ac:dyDescent="0.25">
      <c r="A79">
        <f t="shared" si="11"/>
        <v>1.0101789999999999</v>
      </c>
      <c r="B79">
        <f t="shared" si="12"/>
        <v>69</v>
      </c>
      <c r="C79" t="str">
        <f t="shared" si="13"/>
        <v xml:space="preserve"> </v>
      </c>
      <c r="D79">
        <f t="shared" si="14"/>
        <v>0</v>
      </c>
      <c r="E79">
        <f t="shared" si="15"/>
        <v>0</v>
      </c>
      <c r="F79">
        <f t="shared" si="16"/>
        <v>0</v>
      </c>
      <c r="G79">
        <f>IF($C$2="x",IFERROR(SMALL($A$11:$A$14,69),0),IF($C$3="x",IFERROR(SMALL($A$11:$A$18,69),0),IF($C$4="x",IFERROR(SMALL($A$11:$A$26,69),0),IF($C$5="x",IFERROR(SMALL($A$11:$A$42,69),0),IF($C$6="x",IFERROR(SMALL($A$11:$A$74,69),0),IF($C$7="x",IFERROR(SMALL($A$11:$A$138,69),0),IFERROR(SMALL($A$11:$A$266,69),0)))))))</f>
        <v>1.0101789999999999</v>
      </c>
      <c r="H79">
        <f t="shared" si="17"/>
        <v>69</v>
      </c>
      <c r="I79" t="str">
        <f t="shared" si="18"/>
        <v xml:space="preserve"> </v>
      </c>
      <c r="J79" s="34"/>
      <c r="K79" s="35" t="s">
        <v>38</v>
      </c>
      <c r="L79" s="36"/>
      <c r="M79" s="34"/>
      <c r="N79" s="35" t="s">
        <v>38</v>
      </c>
      <c r="O79" s="36"/>
      <c r="P79" s="34"/>
      <c r="Q79" s="35" t="s">
        <v>38</v>
      </c>
      <c r="R79" s="36"/>
      <c r="S79" s="37">
        <f t="shared" si="19"/>
        <v>69</v>
      </c>
      <c r="U79" s="38"/>
      <c r="V79" s="39" t="s">
        <v>107</v>
      </c>
      <c r="W79" s="40" t="str">
        <f>IF('Infos générales'!$E$2="x",IF(U79&gt;0,VLOOKUP(U79,'Infos joueurs'!$A:$M,4,FALSE)&amp;" / "&amp;VLOOKUP(U79,'Infos joueurs'!$A:$M,9,FALSE)," "),IF(U79&gt;0,VLOOKUP(U79,'Infos joueurs'!$A:$M,4,FALSE)&amp;" "&amp;VLOOKUP(U79,'Infos joueurs'!$A:$M,5,FALSE)," "))</f>
        <v xml:space="preserve"> </v>
      </c>
      <c r="Y79" s="33">
        <v>69</v>
      </c>
      <c r="Z79" s="256" t="str">
        <f t="shared" si="20"/>
        <v xml:space="preserve"> </v>
      </c>
      <c r="AA79" s="41" t="str">
        <f>IFERROR(INDEX('Infos joueurs'!$F$15:$F$270,MATCH(AB79,'Infos joueurs'!$A$15:$A$270,0))," ")</f>
        <v xml:space="preserve"> </v>
      </c>
      <c r="AB79" s="38">
        <f t="shared" si="21"/>
        <v>0</v>
      </c>
    </row>
    <row r="80" spans="1:28" x14ac:dyDescent="0.25">
      <c r="A80">
        <f t="shared" si="11"/>
        <v>1.0101800000000001</v>
      </c>
      <c r="B80">
        <f t="shared" si="12"/>
        <v>70</v>
      </c>
      <c r="C80" t="str">
        <f t="shared" si="13"/>
        <v xml:space="preserve"> </v>
      </c>
      <c r="D80">
        <f t="shared" si="14"/>
        <v>0</v>
      </c>
      <c r="E80">
        <f t="shared" si="15"/>
        <v>0</v>
      </c>
      <c r="F80">
        <f t="shared" si="16"/>
        <v>0</v>
      </c>
      <c r="G80">
        <f>IF($C$2="x",IFERROR(SMALL($A$11:$A$14,70),0),IF($C$3="x",IFERROR(SMALL($A$11:$A$18,70),0),IF($C$4="x",IFERROR(SMALL($A$11:$A$26,70),0),IF($C$5="x",IFERROR(SMALL($A$11:$A$42,70),0),IF($C$6="x",IFERROR(SMALL($A$11:$A$74,70),0),IF($C$7="x",IFERROR(SMALL($A$11:$A$138,70),0),IFERROR(SMALL($A$11:$A$266,70),0)))))))</f>
        <v>1.0101800000000001</v>
      </c>
      <c r="H80">
        <f t="shared" si="17"/>
        <v>70</v>
      </c>
      <c r="I80" t="str">
        <f t="shared" si="18"/>
        <v xml:space="preserve"> </v>
      </c>
      <c r="J80" s="34"/>
      <c r="K80" s="35" t="s">
        <v>38</v>
      </c>
      <c r="L80" s="36"/>
      <c r="M80" s="34"/>
      <c r="N80" s="35" t="s">
        <v>38</v>
      </c>
      <c r="O80" s="36"/>
      <c r="P80" s="34"/>
      <c r="Q80" s="35" t="s">
        <v>38</v>
      </c>
      <c r="R80" s="36"/>
      <c r="S80" s="37">
        <f t="shared" si="19"/>
        <v>70</v>
      </c>
      <c r="U80" s="38"/>
      <c r="V80" s="39" t="s">
        <v>108</v>
      </c>
      <c r="W80" s="40" t="str">
        <f>IF('Infos générales'!$E$2="x",IF(U80&gt;0,VLOOKUP(U80,'Infos joueurs'!$A:$M,4,FALSE)&amp;" / "&amp;VLOOKUP(U80,'Infos joueurs'!$A:$M,9,FALSE)," "),IF(U80&gt;0,VLOOKUP(U80,'Infos joueurs'!$A:$M,4,FALSE)&amp;" "&amp;VLOOKUP(U80,'Infos joueurs'!$A:$M,5,FALSE)," "))</f>
        <v xml:space="preserve"> </v>
      </c>
      <c r="Y80" s="33">
        <v>70</v>
      </c>
      <c r="Z80" s="256" t="str">
        <f t="shared" si="20"/>
        <v xml:space="preserve"> </v>
      </c>
      <c r="AA80" s="41" t="str">
        <f>IFERROR(INDEX('Infos joueurs'!$F$15:$F$270,MATCH(AB80,'Infos joueurs'!$A$15:$A$270,0))," ")</f>
        <v xml:space="preserve"> </v>
      </c>
      <c r="AB80" s="38">
        <f t="shared" si="21"/>
        <v>0</v>
      </c>
    </row>
    <row r="81" spans="1:28" x14ac:dyDescent="0.25">
      <c r="A81">
        <f t="shared" si="11"/>
        <v>1.010181</v>
      </c>
      <c r="B81">
        <f t="shared" si="12"/>
        <v>71</v>
      </c>
      <c r="C81" t="str">
        <f t="shared" si="13"/>
        <v xml:space="preserve"> </v>
      </c>
      <c r="D81">
        <f t="shared" si="14"/>
        <v>0</v>
      </c>
      <c r="E81">
        <f t="shared" si="15"/>
        <v>0</v>
      </c>
      <c r="F81">
        <f t="shared" si="16"/>
        <v>0</v>
      </c>
      <c r="G81">
        <f>IF($C$2="x",IFERROR(SMALL($A$11:$A$14,71),0),IF($C$3="x",IFERROR(SMALL($A$11:$A$18,71),0),IF($C$4="x",IFERROR(SMALL($A$11:$A$26,71),0),IF($C$5="x",IFERROR(SMALL($A$11:$A$42,71),0),IF($C$6="x",IFERROR(SMALL($A$11:$A$74,71),0),IF($C$7="x",IFERROR(SMALL($A$11:$A$138,71),0),IFERROR(SMALL($A$11:$A$266,71),0)))))))</f>
        <v>1.010181</v>
      </c>
      <c r="H81">
        <f t="shared" si="17"/>
        <v>71</v>
      </c>
      <c r="I81" t="str">
        <f t="shared" si="18"/>
        <v xml:space="preserve"> </v>
      </c>
      <c r="J81" s="34"/>
      <c r="K81" s="35" t="s">
        <v>38</v>
      </c>
      <c r="L81" s="36"/>
      <c r="M81" s="34"/>
      <c r="N81" s="35" t="s">
        <v>38</v>
      </c>
      <c r="O81" s="36"/>
      <c r="P81" s="34"/>
      <c r="Q81" s="35" t="s">
        <v>38</v>
      </c>
      <c r="R81" s="36"/>
      <c r="S81" s="37">
        <f t="shared" si="19"/>
        <v>71</v>
      </c>
      <c r="U81" s="38"/>
      <c r="V81" s="39" t="s">
        <v>109</v>
      </c>
      <c r="W81" s="40" t="str">
        <f>IF('Infos générales'!$E$2="x",IF(U81&gt;0,VLOOKUP(U81,'Infos joueurs'!$A:$M,4,FALSE)&amp;" / "&amp;VLOOKUP(U81,'Infos joueurs'!$A:$M,9,FALSE)," "),IF(U81&gt;0,VLOOKUP(U81,'Infos joueurs'!$A:$M,4,FALSE)&amp;" "&amp;VLOOKUP(U81,'Infos joueurs'!$A:$M,5,FALSE)," "))</f>
        <v xml:space="preserve"> </v>
      </c>
      <c r="Y81" s="33">
        <v>71</v>
      </c>
      <c r="Z81" s="256" t="str">
        <f t="shared" si="20"/>
        <v xml:space="preserve"> </v>
      </c>
      <c r="AA81" s="41" t="str">
        <f>IFERROR(INDEX('Infos joueurs'!$F$15:$F$270,MATCH(AB81,'Infos joueurs'!$A$15:$A$270,0))," ")</f>
        <v xml:space="preserve"> </v>
      </c>
      <c r="AB81" s="38">
        <f t="shared" si="21"/>
        <v>0</v>
      </c>
    </row>
    <row r="82" spans="1:28" x14ac:dyDescent="0.25">
      <c r="A82">
        <f t="shared" si="11"/>
        <v>1.0101819999999999</v>
      </c>
      <c r="B82">
        <f t="shared" si="12"/>
        <v>72</v>
      </c>
      <c r="C82" t="str">
        <f t="shared" si="13"/>
        <v xml:space="preserve"> </v>
      </c>
      <c r="D82">
        <f t="shared" si="14"/>
        <v>0</v>
      </c>
      <c r="E82">
        <f t="shared" si="15"/>
        <v>0</v>
      </c>
      <c r="F82">
        <f t="shared" si="16"/>
        <v>0</v>
      </c>
      <c r="G82">
        <f>IF($C$2="x",IFERROR(SMALL($A$11:$A$14,72),0),IF($C$3="x",IFERROR(SMALL($A$11:$A$18,72),0),IF($C$4="x",IFERROR(SMALL($A$11:$A$26,72),0),IF($C$5="x",IFERROR(SMALL($A$11:$A$42,72),0),IF($C$6="x",IFERROR(SMALL($A$11:$A$74,72),0),IF($C$7="x",IFERROR(SMALL($A$11:$A$138,72),0),IFERROR(SMALL($A$11:$A$266,72),0)))))))</f>
        <v>1.0101819999999999</v>
      </c>
      <c r="H82">
        <f t="shared" si="17"/>
        <v>72</v>
      </c>
      <c r="I82" t="str">
        <f t="shared" si="18"/>
        <v xml:space="preserve"> </v>
      </c>
      <c r="J82" s="34"/>
      <c r="K82" s="35" t="s">
        <v>38</v>
      </c>
      <c r="L82" s="36"/>
      <c r="M82" s="34"/>
      <c r="N82" s="35" t="s">
        <v>38</v>
      </c>
      <c r="O82" s="36"/>
      <c r="P82" s="34"/>
      <c r="Q82" s="35" t="s">
        <v>38</v>
      </c>
      <c r="R82" s="36"/>
      <c r="S82" s="37">
        <f t="shared" si="19"/>
        <v>72</v>
      </c>
      <c r="U82" s="38"/>
      <c r="V82" s="39" t="s">
        <v>110</v>
      </c>
      <c r="W82" s="40" t="str">
        <f>IF('Infos générales'!$E$2="x",IF(U82&gt;0,VLOOKUP(U82,'Infos joueurs'!$A:$M,4,FALSE)&amp;" / "&amp;VLOOKUP(U82,'Infos joueurs'!$A:$M,9,FALSE)," "),IF(U82&gt;0,VLOOKUP(U82,'Infos joueurs'!$A:$M,4,FALSE)&amp;" "&amp;VLOOKUP(U82,'Infos joueurs'!$A:$M,5,FALSE)," "))</f>
        <v xml:space="preserve"> </v>
      </c>
      <c r="Y82" s="33">
        <v>72</v>
      </c>
      <c r="Z82" s="256" t="str">
        <f t="shared" si="20"/>
        <v xml:space="preserve"> </v>
      </c>
      <c r="AA82" s="41" t="str">
        <f>IFERROR(INDEX('Infos joueurs'!$F$15:$F$270,MATCH(AB82,'Infos joueurs'!$A$15:$A$270,0))," ")</f>
        <v xml:space="preserve"> </v>
      </c>
      <c r="AB82" s="38">
        <f t="shared" si="21"/>
        <v>0</v>
      </c>
    </row>
    <row r="83" spans="1:28" x14ac:dyDescent="0.25">
      <c r="A83">
        <f t="shared" si="11"/>
        <v>1.0101830000000001</v>
      </c>
      <c r="B83">
        <f t="shared" si="12"/>
        <v>73</v>
      </c>
      <c r="C83" t="str">
        <f t="shared" si="13"/>
        <v xml:space="preserve"> </v>
      </c>
      <c r="D83">
        <f t="shared" si="14"/>
        <v>0</v>
      </c>
      <c r="E83">
        <f t="shared" si="15"/>
        <v>0</v>
      </c>
      <c r="F83">
        <f t="shared" si="16"/>
        <v>0</v>
      </c>
      <c r="G83">
        <f>IF($C$2="x",IFERROR(SMALL($A$11:$A$14,73),0),IF($C$3="x",IFERROR(SMALL($A$11:$A$18,73),0),IF($C$4="x",IFERROR(SMALL($A$11:$A$26,73),0),IF($C$5="x",IFERROR(SMALL($A$11:$A$42,73),0),IF($C$6="x",IFERROR(SMALL($A$11:$A$74,73),0),IF($C$7="x",IFERROR(SMALL($A$11:$A$138,73),0),IFERROR(SMALL($A$11:$A$266,73),0)))))))</f>
        <v>1.0101830000000001</v>
      </c>
      <c r="H83">
        <f t="shared" si="17"/>
        <v>73</v>
      </c>
      <c r="I83" t="str">
        <f t="shared" si="18"/>
        <v xml:space="preserve"> </v>
      </c>
      <c r="J83" s="34"/>
      <c r="K83" s="35" t="s">
        <v>38</v>
      </c>
      <c r="L83" s="36"/>
      <c r="M83" s="34"/>
      <c r="N83" s="35" t="s">
        <v>38</v>
      </c>
      <c r="O83" s="36"/>
      <c r="P83" s="34"/>
      <c r="Q83" s="35" t="s">
        <v>38</v>
      </c>
      <c r="R83" s="36"/>
      <c r="S83" s="37">
        <f t="shared" si="19"/>
        <v>73</v>
      </c>
      <c r="U83" s="38"/>
      <c r="V83" s="39" t="s">
        <v>111</v>
      </c>
      <c r="W83" s="40" t="str">
        <f>IF('Infos générales'!$E$2="x",IF(U83&gt;0,VLOOKUP(U83,'Infos joueurs'!$A:$M,4,FALSE)&amp;" / "&amp;VLOOKUP(U83,'Infos joueurs'!$A:$M,9,FALSE)," "),IF(U83&gt;0,VLOOKUP(U83,'Infos joueurs'!$A:$M,4,FALSE)&amp;" "&amp;VLOOKUP(U83,'Infos joueurs'!$A:$M,5,FALSE)," "))</f>
        <v xml:space="preserve"> </v>
      </c>
      <c r="Y83" s="33">
        <v>73</v>
      </c>
      <c r="Z83" s="256" t="str">
        <f t="shared" si="20"/>
        <v xml:space="preserve"> </v>
      </c>
      <c r="AA83" s="41" t="str">
        <f>IFERROR(INDEX('Infos joueurs'!$F$15:$F$270,MATCH(AB83,'Infos joueurs'!$A$15:$A$270,0))," ")</f>
        <v xml:space="preserve"> </v>
      </c>
      <c r="AB83" s="38">
        <f t="shared" si="21"/>
        <v>0</v>
      </c>
    </row>
    <row r="84" spans="1:28" x14ac:dyDescent="0.25">
      <c r="A84">
        <f t="shared" si="11"/>
        <v>1.010184</v>
      </c>
      <c r="B84">
        <f t="shared" si="12"/>
        <v>74</v>
      </c>
      <c r="C84" t="str">
        <f t="shared" si="13"/>
        <v xml:space="preserve"> </v>
      </c>
      <c r="D84">
        <f t="shared" si="14"/>
        <v>0</v>
      </c>
      <c r="E84">
        <f t="shared" si="15"/>
        <v>0</v>
      </c>
      <c r="F84">
        <f t="shared" si="16"/>
        <v>0</v>
      </c>
      <c r="G84">
        <f>IF($C$2="x",IFERROR(SMALL($A$11:$A$14,74),0),IF($C$3="x",IFERROR(SMALL($A$11:$A$18,74),0),IF($C$4="x",IFERROR(SMALL($A$11:$A$26,74),0),IF($C$5="x",IFERROR(SMALL($A$11:$A$42,74),0),IF($C$6="x",IFERROR(SMALL($A$11:$A$74,74),0),IF($C$7="x",IFERROR(SMALL($A$11:$A$138,74),0),IFERROR(SMALL($A$11:$A$266,74),0)))))))</f>
        <v>1.010184</v>
      </c>
      <c r="H84">
        <f t="shared" si="17"/>
        <v>74</v>
      </c>
      <c r="I84" t="str">
        <f t="shared" si="18"/>
        <v xml:space="preserve"> </v>
      </c>
      <c r="J84" s="34"/>
      <c r="K84" s="35" t="s">
        <v>38</v>
      </c>
      <c r="L84" s="36"/>
      <c r="M84" s="34"/>
      <c r="N84" s="35" t="s">
        <v>38</v>
      </c>
      <c r="O84" s="36"/>
      <c r="P84" s="34"/>
      <c r="Q84" s="35" t="s">
        <v>38</v>
      </c>
      <c r="R84" s="36"/>
      <c r="S84" s="37">
        <f t="shared" si="19"/>
        <v>74</v>
      </c>
      <c r="U84" s="38"/>
      <c r="V84" s="39" t="s">
        <v>112</v>
      </c>
      <c r="W84" s="40" t="str">
        <f>IF('Infos générales'!$E$2="x",IF(U84&gt;0,VLOOKUP(U84,'Infos joueurs'!$A:$M,4,FALSE)&amp;" / "&amp;VLOOKUP(U84,'Infos joueurs'!$A:$M,9,FALSE)," "),IF(U84&gt;0,VLOOKUP(U84,'Infos joueurs'!$A:$M,4,FALSE)&amp;" "&amp;VLOOKUP(U84,'Infos joueurs'!$A:$M,5,FALSE)," "))</f>
        <v xml:space="preserve"> </v>
      </c>
      <c r="Y84" s="33">
        <v>74</v>
      </c>
      <c r="Z84" s="256" t="str">
        <f t="shared" si="20"/>
        <v xml:space="preserve"> </v>
      </c>
      <c r="AA84" s="41" t="str">
        <f>IFERROR(INDEX('Infos joueurs'!$F$15:$F$270,MATCH(AB84,'Infos joueurs'!$A$15:$A$270,0))," ")</f>
        <v xml:space="preserve"> </v>
      </c>
      <c r="AB84" s="38">
        <f t="shared" si="21"/>
        <v>0</v>
      </c>
    </row>
    <row r="85" spans="1:28" x14ac:dyDescent="0.25">
      <c r="A85">
        <f t="shared" si="11"/>
        <v>1.0101849999999999</v>
      </c>
      <c r="B85">
        <f t="shared" si="12"/>
        <v>75</v>
      </c>
      <c r="C85" t="str">
        <f t="shared" si="13"/>
        <v xml:space="preserve"> </v>
      </c>
      <c r="D85">
        <f t="shared" si="14"/>
        <v>0</v>
      </c>
      <c r="E85">
        <f t="shared" si="15"/>
        <v>0</v>
      </c>
      <c r="F85">
        <f t="shared" si="16"/>
        <v>0</v>
      </c>
      <c r="G85">
        <f>IF($C$2="x",IFERROR(SMALL($A$11:$A$14,75),0),IF($C$3="x",IFERROR(SMALL($A$11:$A$18,75),0),IF($C$4="x",IFERROR(SMALL($A$11:$A$26,75),0),IF($C$5="x",IFERROR(SMALL($A$11:$A$42,75),0),IF($C$6="x",IFERROR(SMALL($A$11:$A$74,75),0),IF($C$7="x",IFERROR(SMALL($A$11:$A$138,75),0),IFERROR(SMALL($A$11:$A$266,75),0)))))))</f>
        <v>1.0101849999999999</v>
      </c>
      <c r="H85">
        <f t="shared" si="17"/>
        <v>75</v>
      </c>
      <c r="I85" t="str">
        <f t="shared" si="18"/>
        <v xml:space="preserve"> </v>
      </c>
      <c r="J85" s="34"/>
      <c r="K85" s="35" t="s">
        <v>38</v>
      </c>
      <c r="L85" s="36"/>
      <c r="M85" s="34"/>
      <c r="N85" s="35" t="s">
        <v>38</v>
      </c>
      <c r="O85" s="36"/>
      <c r="P85" s="34"/>
      <c r="Q85" s="35" t="s">
        <v>38</v>
      </c>
      <c r="R85" s="36"/>
      <c r="S85" s="37">
        <f t="shared" si="19"/>
        <v>75</v>
      </c>
      <c r="U85" s="38"/>
      <c r="V85" s="39" t="s">
        <v>113</v>
      </c>
      <c r="W85" s="40" t="str">
        <f>IF('Infos générales'!$E$2="x",IF(U85&gt;0,VLOOKUP(U85,'Infos joueurs'!$A:$M,4,FALSE)&amp;" / "&amp;VLOOKUP(U85,'Infos joueurs'!$A:$M,9,FALSE)," "),IF(U85&gt;0,VLOOKUP(U85,'Infos joueurs'!$A:$M,4,FALSE)&amp;" "&amp;VLOOKUP(U85,'Infos joueurs'!$A:$M,5,FALSE)," "))</f>
        <v xml:space="preserve"> </v>
      </c>
      <c r="Y85" s="33">
        <v>75</v>
      </c>
      <c r="Z85" s="256" t="str">
        <f t="shared" si="20"/>
        <v xml:space="preserve"> </v>
      </c>
      <c r="AA85" s="41" t="str">
        <f>IFERROR(INDEX('Infos joueurs'!$F$15:$F$270,MATCH(AB85,'Infos joueurs'!$A$15:$A$270,0))," ")</f>
        <v xml:space="preserve"> </v>
      </c>
      <c r="AB85" s="38">
        <f t="shared" si="21"/>
        <v>0</v>
      </c>
    </row>
    <row r="86" spans="1:28" x14ac:dyDescent="0.25">
      <c r="A86">
        <f t="shared" si="11"/>
        <v>1.010186</v>
      </c>
      <c r="B86">
        <f t="shared" si="12"/>
        <v>76</v>
      </c>
      <c r="C86" t="str">
        <f t="shared" si="13"/>
        <v xml:space="preserve"> </v>
      </c>
      <c r="D86">
        <f t="shared" si="14"/>
        <v>0</v>
      </c>
      <c r="E86">
        <f t="shared" si="15"/>
        <v>0</v>
      </c>
      <c r="F86">
        <f t="shared" si="16"/>
        <v>0</v>
      </c>
      <c r="G86">
        <f>IF($C$2="x",IFERROR(SMALL($A$11:$A$14,76),0),IF($C$3="x",IFERROR(SMALL($A$11:$A$18,76),0),IF($C$4="x",IFERROR(SMALL($A$11:$A$26,76),0),IF($C$5="x",IFERROR(SMALL($A$11:$A$42,76),0),IF($C$6="x",IFERROR(SMALL($A$11:$A$74,76),0),IF($C$7="x",IFERROR(SMALL($A$11:$A$138,76),0),IFERROR(SMALL($A$11:$A$266,76),0)))))))</f>
        <v>1.010186</v>
      </c>
      <c r="H86">
        <f t="shared" si="17"/>
        <v>76</v>
      </c>
      <c r="I86" t="str">
        <f t="shared" si="18"/>
        <v xml:space="preserve"> </v>
      </c>
      <c r="J86" s="34"/>
      <c r="K86" s="35" t="s">
        <v>38</v>
      </c>
      <c r="L86" s="36"/>
      <c r="M86" s="34"/>
      <c r="N86" s="35" t="s">
        <v>38</v>
      </c>
      <c r="O86" s="36"/>
      <c r="P86" s="34"/>
      <c r="Q86" s="35" t="s">
        <v>38</v>
      </c>
      <c r="R86" s="36"/>
      <c r="S86" s="37">
        <f t="shared" si="19"/>
        <v>76</v>
      </c>
      <c r="U86" s="38"/>
      <c r="V86" s="39" t="s">
        <v>114</v>
      </c>
      <c r="W86" s="40" t="str">
        <f>IF('Infos générales'!$E$2="x",IF(U86&gt;0,VLOOKUP(U86,'Infos joueurs'!$A:$M,4,FALSE)&amp;" / "&amp;VLOOKUP(U86,'Infos joueurs'!$A:$M,9,FALSE)," "),IF(U86&gt;0,VLOOKUP(U86,'Infos joueurs'!$A:$M,4,FALSE)&amp;" "&amp;VLOOKUP(U86,'Infos joueurs'!$A:$M,5,FALSE)," "))</f>
        <v xml:space="preserve"> </v>
      </c>
      <c r="Y86" s="33">
        <v>76</v>
      </c>
      <c r="Z86" s="256" t="str">
        <f t="shared" si="20"/>
        <v xml:space="preserve"> </v>
      </c>
      <c r="AA86" s="41" t="str">
        <f>IFERROR(INDEX('Infos joueurs'!$F$15:$F$270,MATCH(AB86,'Infos joueurs'!$A$15:$A$270,0))," ")</f>
        <v xml:space="preserve"> </v>
      </c>
      <c r="AB86" s="38">
        <f t="shared" si="21"/>
        <v>0</v>
      </c>
    </row>
    <row r="87" spans="1:28" x14ac:dyDescent="0.25">
      <c r="A87">
        <f t="shared" si="11"/>
        <v>1.0101869999999999</v>
      </c>
      <c r="B87">
        <f t="shared" si="12"/>
        <v>77</v>
      </c>
      <c r="C87" t="str">
        <f t="shared" si="13"/>
        <v xml:space="preserve"> </v>
      </c>
      <c r="D87">
        <f t="shared" si="14"/>
        <v>0</v>
      </c>
      <c r="E87">
        <f t="shared" si="15"/>
        <v>0</v>
      </c>
      <c r="F87">
        <f t="shared" si="16"/>
        <v>0</v>
      </c>
      <c r="G87">
        <f>IF($C$2="x",IFERROR(SMALL($A$11:$A$14,77),0),IF($C$3="x",IFERROR(SMALL($A$11:$A$18,77),0),IF($C$4="x",IFERROR(SMALL($A$11:$A$26,77),0),IF($C$5="x",IFERROR(SMALL($A$11:$A$42,77),0),IF($C$6="x",IFERROR(SMALL($A$11:$A$74,77),0),IF($C$7="x",IFERROR(SMALL($A$11:$A$138,77),0),IFERROR(SMALL($A$11:$A$266,77),0)))))))</f>
        <v>1.0101869999999999</v>
      </c>
      <c r="H87">
        <f t="shared" si="17"/>
        <v>77</v>
      </c>
      <c r="I87" t="str">
        <f t="shared" si="18"/>
        <v xml:space="preserve"> </v>
      </c>
      <c r="J87" s="34"/>
      <c r="K87" s="35" t="s">
        <v>38</v>
      </c>
      <c r="L87" s="36"/>
      <c r="M87" s="34"/>
      <c r="N87" s="35" t="s">
        <v>38</v>
      </c>
      <c r="O87" s="36"/>
      <c r="P87" s="34"/>
      <c r="Q87" s="35" t="s">
        <v>38</v>
      </c>
      <c r="R87" s="36"/>
      <c r="S87" s="37">
        <f t="shared" si="19"/>
        <v>77</v>
      </c>
      <c r="U87" s="38"/>
      <c r="V87" s="39" t="s">
        <v>115</v>
      </c>
      <c r="W87" s="40" t="str">
        <f>IF('Infos générales'!$E$2="x",IF(U87&gt;0,VLOOKUP(U87,'Infos joueurs'!$A:$M,4,FALSE)&amp;" / "&amp;VLOOKUP(U87,'Infos joueurs'!$A:$M,9,FALSE)," "),IF(U87&gt;0,VLOOKUP(U87,'Infos joueurs'!$A:$M,4,FALSE)&amp;" "&amp;VLOOKUP(U87,'Infos joueurs'!$A:$M,5,FALSE)," "))</f>
        <v xml:space="preserve"> </v>
      </c>
      <c r="Y87" s="33">
        <v>77</v>
      </c>
      <c r="Z87" s="256" t="str">
        <f t="shared" si="20"/>
        <v xml:space="preserve"> </v>
      </c>
      <c r="AA87" s="41" t="str">
        <f>IFERROR(INDEX('Infos joueurs'!$F$15:$F$270,MATCH(AB87,'Infos joueurs'!$A$15:$A$270,0))," ")</f>
        <v xml:space="preserve"> </v>
      </c>
      <c r="AB87" s="38">
        <f t="shared" si="21"/>
        <v>0</v>
      </c>
    </row>
    <row r="88" spans="1:28" x14ac:dyDescent="0.25">
      <c r="A88">
        <f t="shared" si="11"/>
        <v>1.0101880000000001</v>
      </c>
      <c r="B88">
        <f t="shared" si="12"/>
        <v>78</v>
      </c>
      <c r="C88" t="str">
        <f t="shared" si="13"/>
        <v xml:space="preserve"> </v>
      </c>
      <c r="D88">
        <f t="shared" si="14"/>
        <v>0</v>
      </c>
      <c r="E88">
        <f t="shared" si="15"/>
        <v>0</v>
      </c>
      <c r="F88">
        <f t="shared" si="16"/>
        <v>0</v>
      </c>
      <c r="G88">
        <f>IF($C$2="x",IFERROR(SMALL($A$11:$A$14,78),0),IF($C$3="x",IFERROR(SMALL($A$11:$A$18,78),0),IF($C$4="x",IFERROR(SMALL($A$11:$A$26,78),0),IF($C$5="x",IFERROR(SMALL($A$11:$A$42,78),0),IF($C$6="x",IFERROR(SMALL($A$11:$A$74,78),0),IF($C$7="x",IFERROR(SMALL($A$11:$A$138,78),0),IFERROR(SMALL($A$11:$A$266,78),0)))))))</f>
        <v>1.0101880000000001</v>
      </c>
      <c r="H88">
        <f t="shared" si="17"/>
        <v>78</v>
      </c>
      <c r="I88" t="str">
        <f t="shared" si="18"/>
        <v xml:space="preserve"> </v>
      </c>
      <c r="J88" s="34"/>
      <c r="K88" s="35" t="s">
        <v>38</v>
      </c>
      <c r="L88" s="36"/>
      <c r="M88" s="34"/>
      <c r="N88" s="35" t="s">
        <v>38</v>
      </c>
      <c r="O88" s="36"/>
      <c r="P88" s="34"/>
      <c r="Q88" s="35" t="s">
        <v>38</v>
      </c>
      <c r="R88" s="36"/>
      <c r="S88" s="37">
        <f t="shared" si="19"/>
        <v>78</v>
      </c>
      <c r="U88" s="38"/>
      <c r="V88" s="39" t="s">
        <v>116</v>
      </c>
      <c r="W88" s="40" t="str">
        <f>IF('Infos générales'!$E$2="x",IF(U88&gt;0,VLOOKUP(U88,'Infos joueurs'!$A:$M,4,FALSE)&amp;" / "&amp;VLOOKUP(U88,'Infos joueurs'!$A:$M,9,FALSE)," "),IF(U88&gt;0,VLOOKUP(U88,'Infos joueurs'!$A:$M,4,FALSE)&amp;" "&amp;VLOOKUP(U88,'Infos joueurs'!$A:$M,5,FALSE)," "))</f>
        <v xml:space="preserve"> </v>
      </c>
      <c r="Y88" s="33">
        <v>78</v>
      </c>
      <c r="Z88" s="256" t="str">
        <f t="shared" si="20"/>
        <v xml:space="preserve"> </v>
      </c>
      <c r="AA88" s="41" t="str">
        <f>IFERROR(INDEX('Infos joueurs'!$F$15:$F$270,MATCH(AB88,'Infos joueurs'!$A$15:$A$270,0))," ")</f>
        <v xml:space="preserve"> </v>
      </c>
      <c r="AB88" s="38">
        <f t="shared" si="21"/>
        <v>0</v>
      </c>
    </row>
    <row r="89" spans="1:28" x14ac:dyDescent="0.25">
      <c r="A89">
        <f t="shared" si="11"/>
        <v>1.010189</v>
      </c>
      <c r="B89">
        <f t="shared" si="12"/>
        <v>79</v>
      </c>
      <c r="C89" t="str">
        <f t="shared" si="13"/>
        <v xml:space="preserve"> </v>
      </c>
      <c r="D89">
        <f t="shared" si="14"/>
        <v>0</v>
      </c>
      <c r="E89">
        <f t="shared" si="15"/>
        <v>0</v>
      </c>
      <c r="F89">
        <f t="shared" si="16"/>
        <v>0</v>
      </c>
      <c r="G89">
        <f>IF($C$2="x",IFERROR(SMALL($A$11:$A$14,79),0),IF($C$3="x",IFERROR(SMALL($A$11:$A$18,79),0),IF($C$4="x",IFERROR(SMALL($A$11:$A$26,79),0),IF($C$5="x",IFERROR(SMALL($A$11:$A$42,79),0),IF($C$6="x",IFERROR(SMALL($A$11:$A$74,79),0),IF($C$7="x",IFERROR(SMALL($A$11:$A$138,79),0),IFERROR(SMALL($A$11:$A$266,79),0)))))))</f>
        <v>1.010189</v>
      </c>
      <c r="H89">
        <f t="shared" si="17"/>
        <v>79</v>
      </c>
      <c r="I89" t="str">
        <f t="shared" si="18"/>
        <v xml:space="preserve"> </v>
      </c>
      <c r="J89" s="34"/>
      <c r="K89" s="35" t="s">
        <v>38</v>
      </c>
      <c r="L89" s="36"/>
      <c r="M89" s="34"/>
      <c r="N89" s="35" t="s">
        <v>38</v>
      </c>
      <c r="O89" s="36"/>
      <c r="P89" s="34"/>
      <c r="Q89" s="35" t="s">
        <v>38</v>
      </c>
      <c r="R89" s="36"/>
      <c r="S89" s="37">
        <f t="shared" si="19"/>
        <v>79</v>
      </c>
      <c r="U89" s="38"/>
      <c r="V89" s="39" t="s">
        <v>117</v>
      </c>
      <c r="W89" s="40" t="str">
        <f>IF('Infos générales'!$E$2="x",IF(U89&gt;0,VLOOKUP(U89,'Infos joueurs'!$A:$M,4,FALSE)&amp;" / "&amp;VLOOKUP(U89,'Infos joueurs'!$A:$M,9,FALSE)," "),IF(U89&gt;0,VLOOKUP(U89,'Infos joueurs'!$A:$M,4,FALSE)&amp;" "&amp;VLOOKUP(U89,'Infos joueurs'!$A:$M,5,FALSE)," "))</f>
        <v xml:space="preserve"> </v>
      </c>
      <c r="Y89" s="33">
        <v>79</v>
      </c>
      <c r="Z89" s="256" t="str">
        <f t="shared" si="20"/>
        <v xml:space="preserve"> </v>
      </c>
      <c r="AA89" s="41" t="str">
        <f>IFERROR(INDEX('Infos joueurs'!$F$15:$F$270,MATCH(AB89,'Infos joueurs'!$A$15:$A$270,0))," ")</f>
        <v xml:space="preserve"> </v>
      </c>
      <c r="AB89" s="38">
        <f t="shared" si="21"/>
        <v>0</v>
      </c>
    </row>
    <row r="90" spans="1:28" x14ac:dyDescent="0.25">
      <c r="A90">
        <f t="shared" si="11"/>
        <v>1.0101899999999999</v>
      </c>
      <c r="B90">
        <f t="shared" si="12"/>
        <v>80</v>
      </c>
      <c r="C90" t="str">
        <f t="shared" si="13"/>
        <v xml:space="preserve"> </v>
      </c>
      <c r="D90">
        <f t="shared" si="14"/>
        <v>0</v>
      </c>
      <c r="E90">
        <f t="shared" si="15"/>
        <v>0</v>
      </c>
      <c r="F90">
        <f t="shared" si="16"/>
        <v>0</v>
      </c>
      <c r="G90">
        <f>IF($C$2="x",IFERROR(SMALL($A$11:$A$14,80),0),IF($C$3="x",IFERROR(SMALL($A$11:$A$18,80),0),IF($C$4="x",IFERROR(SMALL($A$11:$A$26,80),0),IF($C$5="x",IFERROR(SMALL($A$11:$A$42,80),0),IF($C$6="x",IFERROR(SMALL($A$11:$A$74,80),0),IF($C$7="x",IFERROR(SMALL($A$11:$A$138,80),0),IFERROR(SMALL($A$11:$A$266,80),0)))))))</f>
        <v>1.0101899999999999</v>
      </c>
      <c r="H90">
        <f t="shared" si="17"/>
        <v>80</v>
      </c>
      <c r="I90" t="str">
        <f t="shared" si="18"/>
        <v xml:space="preserve"> </v>
      </c>
      <c r="J90" s="34"/>
      <c r="K90" s="35" t="s">
        <v>38</v>
      </c>
      <c r="L90" s="36"/>
      <c r="M90" s="34"/>
      <c r="N90" s="35" t="s">
        <v>38</v>
      </c>
      <c r="O90" s="36"/>
      <c r="P90" s="34"/>
      <c r="Q90" s="35" t="s">
        <v>38</v>
      </c>
      <c r="R90" s="36"/>
      <c r="S90" s="37">
        <f t="shared" si="19"/>
        <v>80</v>
      </c>
      <c r="U90" s="38"/>
      <c r="V90" s="39" t="s">
        <v>118</v>
      </c>
      <c r="W90" s="40" t="str">
        <f>IF('Infos générales'!$E$2="x",IF(U90&gt;0,VLOOKUP(U90,'Infos joueurs'!$A:$M,4,FALSE)&amp;" / "&amp;VLOOKUP(U90,'Infos joueurs'!$A:$M,9,FALSE)," "),IF(U90&gt;0,VLOOKUP(U90,'Infos joueurs'!$A:$M,4,FALSE)&amp;" "&amp;VLOOKUP(U90,'Infos joueurs'!$A:$M,5,FALSE)," "))</f>
        <v xml:space="preserve"> </v>
      </c>
      <c r="Y90" s="33">
        <v>80</v>
      </c>
      <c r="Z90" s="256" t="str">
        <f t="shared" si="20"/>
        <v xml:space="preserve"> </v>
      </c>
      <c r="AA90" s="41" t="str">
        <f>IFERROR(INDEX('Infos joueurs'!$F$15:$F$270,MATCH(AB90,'Infos joueurs'!$A$15:$A$270,0))," ")</f>
        <v xml:space="preserve"> </v>
      </c>
      <c r="AB90" s="38">
        <f t="shared" si="21"/>
        <v>0</v>
      </c>
    </row>
    <row r="91" spans="1:28" x14ac:dyDescent="0.25">
      <c r="A91">
        <f t="shared" si="11"/>
        <v>1.0101910000000001</v>
      </c>
      <c r="B91">
        <f t="shared" si="12"/>
        <v>81</v>
      </c>
      <c r="C91" t="str">
        <f t="shared" si="13"/>
        <v xml:space="preserve"> </v>
      </c>
      <c r="D91">
        <f t="shared" si="14"/>
        <v>0</v>
      </c>
      <c r="E91">
        <f t="shared" si="15"/>
        <v>0</v>
      </c>
      <c r="F91">
        <f t="shared" si="16"/>
        <v>0</v>
      </c>
      <c r="G91">
        <f>IF($C$2="x",IFERROR(SMALL($A$11:$A$14,81),0),IF($C$3="x",IFERROR(SMALL($A$11:$A$18,81),0),IF($C$4="x",IFERROR(SMALL($A$11:$A$26,81),0),IF($C$5="x",IFERROR(SMALL($A$11:$A$42,81),0),IF($C$6="x",IFERROR(SMALL($A$11:$A$74,81),0),IF($C$7="x",IFERROR(SMALL($A$11:$A$138,81),0),IFERROR(SMALL($A$11:$A$266,81),0)))))))</f>
        <v>1.0101910000000001</v>
      </c>
      <c r="H91">
        <f t="shared" si="17"/>
        <v>81</v>
      </c>
      <c r="I91" t="str">
        <f t="shared" si="18"/>
        <v xml:space="preserve"> </v>
      </c>
      <c r="J91" s="34"/>
      <c r="K91" s="35" t="s">
        <v>38</v>
      </c>
      <c r="L91" s="36"/>
      <c r="M91" s="34"/>
      <c r="N91" s="35" t="s">
        <v>38</v>
      </c>
      <c r="O91" s="36"/>
      <c r="P91" s="34"/>
      <c r="Q91" s="35" t="s">
        <v>38</v>
      </c>
      <c r="R91" s="36"/>
      <c r="S91" s="37">
        <f t="shared" si="19"/>
        <v>81</v>
      </c>
      <c r="U91" s="38"/>
      <c r="V91" s="39" t="s">
        <v>119</v>
      </c>
      <c r="W91" s="40" t="str">
        <f>IF('Infos générales'!$E$2="x",IF(U91&gt;0,VLOOKUP(U91,'Infos joueurs'!$A:$M,4,FALSE)&amp;" / "&amp;VLOOKUP(U91,'Infos joueurs'!$A:$M,9,FALSE)," "),IF(U91&gt;0,VLOOKUP(U91,'Infos joueurs'!$A:$M,4,FALSE)&amp;" "&amp;VLOOKUP(U91,'Infos joueurs'!$A:$M,5,FALSE)," "))</f>
        <v xml:space="preserve"> </v>
      </c>
      <c r="Y91" s="33">
        <v>81</v>
      </c>
      <c r="Z91" s="256" t="str">
        <f t="shared" si="20"/>
        <v xml:space="preserve"> </v>
      </c>
      <c r="AA91" s="41" t="str">
        <f>IFERROR(INDEX('Infos joueurs'!$F$15:$F$270,MATCH(AB91,'Infos joueurs'!$A$15:$A$270,0))," ")</f>
        <v xml:space="preserve"> </v>
      </c>
      <c r="AB91" s="38">
        <f t="shared" si="21"/>
        <v>0</v>
      </c>
    </row>
    <row r="92" spans="1:28" x14ac:dyDescent="0.25">
      <c r="A92">
        <f t="shared" si="11"/>
        <v>1.010192</v>
      </c>
      <c r="B92">
        <f t="shared" si="12"/>
        <v>82</v>
      </c>
      <c r="C92" t="str">
        <f t="shared" si="13"/>
        <v xml:space="preserve"> </v>
      </c>
      <c r="D92">
        <f t="shared" si="14"/>
        <v>0</v>
      </c>
      <c r="E92">
        <f t="shared" si="15"/>
        <v>0</v>
      </c>
      <c r="F92">
        <f t="shared" si="16"/>
        <v>0</v>
      </c>
      <c r="G92">
        <f>IF($C$2="x",IFERROR(SMALL($A$11:$A$14,82),0),IF($C$3="x",IFERROR(SMALL($A$11:$A$18,82),0),IF($C$4="x",IFERROR(SMALL($A$11:$A$26,82),0),IF($C$5="x",IFERROR(SMALL($A$11:$A$42,82),0),IF($C$6="x",IFERROR(SMALL($A$11:$A$74,82),0),IF($C$7="x",IFERROR(SMALL($A$11:$A$138,82),0),IFERROR(SMALL($A$11:$A$266,82),0)))))))</f>
        <v>1.010192</v>
      </c>
      <c r="H92">
        <f t="shared" si="17"/>
        <v>82</v>
      </c>
      <c r="I92" t="str">
        <f t="shared" si="18"/>
        <v xml:space="preserve"> </v>
      </c>
      <c r="J92" s="34"/>
      <c r="K92" s="35" t="s">
        <v>38</v>
      </c>
      <c r="L92" s="36"/>
      <c r="M92" s="34"/>
      <c r="N92" s="35" t="s">
        <v>38</v>
      </c>
      <c r="O92" s="36"/>
      <c r="P92" s="34"/>
      <c r="Q92" s="35" t="s">
        <v>38</v>
      </c>
      <c r="R92" s="36"/>
      <c r="S92" s="37">
        <f t="shared" si="19"/>
        <v>82</v>
      </c>
      <c r="U92" s="38"/>
      <c r="V92" s="39" t="s">
        <v>120</v>
      </c>
      <c r="W92" s="40" t="str">
        <f>IF('Infos générales'!$E$2="x",IF(U92&gt;0,VLOOKUP(U92,'Infos joueurs'!$A:$M,4,FALSE)&amp;" / "&amp;VLOOKUP(U92,'Infos joueurs'!$A:$M,9,FALSE)," "),IF(U92&gt;0,VLOOKUP(U92,'Infos joueurs'!$A:$M,4,FALSE)&amp;" "&amp;VLOOKUP(U92,'Infos joueurs'!$A:$M,5,FALSE)," "))</f>
        <v xml:space="preserve"> </v>
      </c>
      <c r="Y92" s="33">
        <v>82</v>
      </c>
      <c r="Z92" s="256" t="str">
        <f t="shared" si="20"/>
        <v xml:space="preserve"> </v>
      </c>
      <c r="AA92" s="41" t="str">
        <f>IFERROR(INDEX('Infos joueurs'!$F$15:$F$270,MATCH(AB92,'Infos joueurs'!$A$15:$A$270,0))," ")</f>
        <v xml:space="preserve"> </v>
      </c>
      <c r="AB92" s="38">
        <f t="shared" si="21"/>
        <v>0</v>
      </c>
    </row>
    <row r="93" spans="1:28" x14ac:dyDescent="0.25">
      <c r="A93">
        <f t="shared" si="11"/>
        <v>1.0101929999999999</v>
      </c>
      <c r="B93">
        <f t="shared" si="12"/>
        <v>83</v>
      </c>
      <c r="C93" t="str">
        <f t="shared" si="13"/>
        <v xml:space="preserve"> </v>
      </c>
      <c r="D93">
        <f t="shared" si="14"/>
        <v>0</v>
      </c>
      <c r="E93">
        <f t="shared" si="15"/>
        <v>0</v>
      </c>
      <c r="F93">
        <f t="shared" si="16"/>
        <v>0</v>
      </c>
      <c r="G93">
        <f>IF($C$2="x",IFERROR(SMALL($A$11:$A$14,83),0),IF($C$3="x",IFERROR(SMALL($A$11:$A$18,83),0),IF($C$4="x",IFERROR(SMALL($A$11:$A$26,83),0),IF($C$5="x",IFERROR(SMALL($A$11:$A$42,83),0),IF($C$6="x",IFERROR(SMALL($A$11:$A$74,83),0),IF($C$7="x",IFERROR(SMALL($A$11:$A$138,83),0),IFERROR(SMALL($A$11:$A$266,83),0)))))))</f>
        <v>1.0101929999999999</v>
      </c>
      <c r="H93">
        <f t="shared" si="17"/>
        <v>83</v>
      </c>
      <c r="I93" t="str">
        <f t="shared" si="18"/>
        <v xml:space="preserve"> </v>
      </c>
      <c r="J93" s="34"/>
      <c r="K93" s="35" t="s">
        <v>38</v>
      </c>
      <c r="L93" s="36"/>
      <c r="M93" s="34"/>
      <c r="N93" s="35" t="s">
        <v>38</v>
      </c>
      <c r="O93" s="36"/>
      <c r="P93" s="34"/>
      <c r="Q93" s="35" t="s">
        <v>38</v>
      </c>
      <c r="R93" s="36"/>
      <c r="S93" s="37">
        <f t="shared" si="19"/>
        <v>83</v>
      </c>
      <c r="U93" s="38"/>
      <c r="V93" s="39" t="s">
        <v>121</v>
      </c>
      <c r="W93" s="40" t="str">
        <f>IF('Infos générales'!$E$2="x",IF(U93&gt;0,VLOOKUP(U93,'Infos joueurs'!$A:$M,4,FALSE)&amp;" / "&amp;VLOOKUP(U93,'Infos joueurs'!$A:$M,9,FALSE)," "),IF(U93&gt;0,VLOOKUP(U93,'Infos joueurs'!$A:$M,4,FALSE)&amp;" "&amp;VLOOKUP(U93,'Infos joueurs'!$A:$M,5,FALSE)," "))</f>
        <v xml:space="preserve"> </v>
      </c>
      <c r="Y93" s="33">
        <v>83</v>
      </c>
      <c r="Z93" s="256" t="str">
        <f t="shared" si="20"/>
        <v xml:space="preserve"> </v>
      </c>
      <c r="AA93" s="41" t="str">
        <f>IFERROR(INDEX('Infos joueurs'!$F$15:$F$270,MATCH(AB93,'Infos joueurs'!$A$15:$A$270,0))," ")</f>
        <v xml:space="preserve"> </v>
      </c>
      <c r="AB93" s="38">
        <f t="shared" si="21"/>
        <v>0</v>
      </c>
    </row>
    <row r="94" spans="1:28" x14ac:dyDescent="0.25">
      <c r="A94">
        <f t="shared" si="11"/>
        <v>1.010194</v>
      </c>
      <c r="B94">
        <f t="shared" si="12"/>
        <v>84</v>
      </c>
      <c r="C94" t="str">
        <f t="shared" si="13"/>
        <v xml:space="preserve"> </v>
      </c>
      <c r="D94">
        <f t="shared" si="14"/>
        <v>0</v>
      </c>
      <c r="E94">
        <f t="shared" si="15"/>
        <v>0</v>
      </c>
      <c r="F94">
        <f t="shared" si="16"/>
        <v>0</v>
      </c>
      <c r="G94">
        <f>IF($C$2="x",IFERROR(SMALL($A$11:$A$14,84),0),IF($C$3="x",IFERROR(SMALL($A$11:$A$18,84),0),IF($C$4="x",IFERROR(SMALL($A$11:$A$26,84),0),IF($C$5="x",IFERROR(SMALL($A$11:$A$42,84),0),IF($C$6="x",IFERROR(SMALL($A$11:$A$74,84),0),IF($C$7="x",IFERROR(SMALL($A$11:$A$138,84),0),IFERROR(SMALL($A$11:$A$266,84),0)))))))</f>
        <v>1.010194</v>
      </c>
      <c r="H94">
        <f t="shared" si="17"/>
        <v>84</v>
      </c>
      <c r="I94" t="str">
        <f t="shared" si="18"/>
        <v xml:space="preserve"> </v>
      </c>
      <c r="J94" s="34"/>
      <c r="K94" s="35" t="s">
        <v>38</v>
      </c>
      <c r="L94" s="36"/>
      <c r="M94" s="34"/>
      <c r="N94" s="35" t="s">
        <v>38</v>
      </c>
      <c r="O94" s="36"/>
      <c r="P94" s="34"/>
      <c r="Q94" s="35" t="s">
        <v>38</v>
      </c>
      <c r="R94" s="36"/>
      <c r="S94" s="37">
        <f t="shared" si="19"/>
        <v>84</v>
      </c>
      <c r="U94" s="38"/>
      <c r="V94" s="39" t="s">
        <v>122</v>
      </c>
      <c r="W94" s="40" t="str">
        <f>IF('Infos générales'!$E$2="x",IF(U94&gt;0,VLOOKUP(U94,'Infos joueurs'!$A:$M,4,FALSE)&amp;" / "&amp;VLOOKUP(U94,'Infos joueurs'!$A:$M,9,FALSE)," "),IF(U94&gt;0,VLOOKUP(U94,'Infos joueurs'!$A:$M,4,FALSE)&amp;" "&amp;VLOOKUP(U94,'Infos joueurs'!$A:$M,5,FALSE)," "))</f>
        <v xml:space="preserve"> </v>
      </c>
      <c r="Y94" s="33">
        <v>84</v>
      </c>
      <c r="Z94" s="256" t="str">
        <f t="shared" si="20"/>
        <v xml:space="preserve"> </v>
      </c>
      <c r="AA94" s="41" t="str">
        <f>IFERROR(INDEX('Infos joueurs'!$F$15:$F$270,MATCH(AB94,'Infos joueurs'!$A$15:$A$270,0))," ")</f>
        <v xml:space="preserve"> </v>
      </c>
      <c r="AB94" s="38">
        <f t="shared" si="21"/>
        <v>0</v>
      </c>
    </row>
    <row r="95" spans="1:28" x14ac:dyDescent="0.25">
      <c r="A95">
        <f t="shared" si="11"/>
        <v>1.010195</v>
      </c>
      <c r="B95">
        <f t="shared" si="12"/>
        <v>85</v>
      </c>
      <c r="C95" t="str">
        <f t="shared" si="13"/>
        <v xml:space="preserve"> </v>
      </c>
      <c r="D95">
        <f t="shared" si="14"/>
        <v>0</v>
      </c>
      <c r="E95">
        <f t="shared" si="15"/>
        <v>0</v>
      </c>
      <c r="F95">
        <f t="shared" si="16"/>
        <v>0</v>
      </c>
      <c r="G95">
        <f>IF($C$2="x",IFERROR(SMALL($A$11:$A$14,85),0),IF($C$3="x",IFERROR(SMALL($A$11:$A$18,85),0),IF($C$4="x",IFERROR(SMALL($A$11:$A$26,85),0),IF($C$5="x",IFERROR(SMALL($A$11:$A$42,85),0),IF($C$6="x",IFERROR(SMALL($A$11:$A$74,85),0),IF($C$7="x",IFERROR(SMALL($A$11:$A$138,85),0),IFERROR(SMALL($A$11:$A$266,85),0)))))))</f>
        <v>1.010195</v>
      </c>
      <c r="H95">
        <f t="shared" si="17"/>
        <v>85</v>
      </c>
      <c r="I95" t="str">
        <f t="shared" si="18"/>
        <v xml:space="preserve"> </v>
      </c>
      <c r="J95" s="34"/>
      <c r="K95" s="35" t="s">
        <v>38</v>
      </c>
      <c r="L95" s="36"/>
      <c r="M95" s="34"/>
      <c r="N95" s="35" t="s">
        <v>38</v>
      </c>
      <c r="O95" s="36"/>
      <c r="P95" s="34"/>
      <c r="Q95" s="35" t="s">
        <v>38</v>
      </c>
      <c r="R95" s="36"/>
      <c r="S95" s="37">
        <f t="shared" si="19"/>
        <v>85</v>
      </c>
      <c r="U95" s="38"/>
      <c r="V95" s="39" t="s">
        <v>123</v>
      </c>
      <c r="W95" s="40" t="str">
        <f>IF('Infos générales'!$E$2="x",IF(U95&gt;0,VLOOKUP(U95,'Infos joueurs'!$A:$M,4,FALSE)&amp;" / "&amp;VLOOKUP(U95,'Infos joueurs'!$A:$M,9,FALSE)," "),IF(U95&gt;0,VLOOKUP(U95,'Infos joueurs'!$A:$M,4,FALSE)&amp;" "&amp;VLOOKUP(U95,'Infos joueurs'!$A:$M,5,FALSE)," "))</f>
        <v xml:space="preserve"> </v>
      </c>
      <c r="Y95" s="33">
        <v>85</v>
      </c>
      <c r="Z95" s="256" t="str">
        <f t="shared" si="20"/>
        <v xml:space="preserve"> </v>
      </c>
      <c r="AA95" s="41" t="str">
        <f>IFERROR(INDEX('Infos joueurs'!$F$15:$F$270,MATCH(AB95,'Infos joueurs'!$A$15:$A$270,0))," ")</f>
        <v xml:space="preserve"> </v>
      </c>
      <c r="AB95" s="38">
        <f t="shared" si="21"/>
        <v>0</v>
      </c>
    </row>
    <row r="96" spans="1:28" x14ac:dyDescent="0.25">
      <c r="A96">
        <f t="shared" si="11"/>
        <v>1.0101960000000001</v>
      </c>
      <c r="B96">
        <f t="shared" si="12"/>
        <v>86</v>
      </c>
      <c r="C96" t="str">
        <f t="shared" si="13"/>
        <v xml:space="preserve"> </v>
      </c>
      <c r="D96">
        <f t="shared" si="14"/>
        <v>0</v>
      </c>
      <c r="E96">
        <f t="shared" si="15"/>
        <v>0</v>
      </c>
      <c r="F96">
        <f t="shared" si="16"/>
        <v>0</v>
      </c>
      <c r="G96">
        <f>IF($C$2="x",IFERROR(SMALL($A$11:$A$14,86),0),IF($C$3="x",IFERROR(SMALL($A$11:$A$18,86),0),IF($C$4="x",IFERROR(SMALL($A$11:$A$26,86),0),IF($C$5="x",IFERROR(SMALL($A$11:$A$42,86),0),IF($C$6="x",IFERROR(SMALL($A$11:$A$74,86),0),IF($C$7="x",IFERROR(SMALL($A$11:$A$138,86),0),IFERROR(SMALL($A$11:$A$266,86),0)))))))</f>
        <v>1.0101960000000001</v>
      </c>
      <c r="H96">
        <f t="shared" si="17"/>
        <v>86</v>
      </c>
      <c r="I96" t="str">
        <f t="shared" si="18"/>
        <v xml:space="preserve"> </v>
      </c>
      <c r="J96" s="34"/>
      <c r="K96" s="35" t="s">
        <v>38</v>
      </c>
      <c r="L96" s="36"/>
      <c r="M96" s="34"/>
      <c r="N96" s="35" t="s">
        <v>38</v>
      </c>
      <c r="O96" s="36"/>
      <c r="P96" s="34"/>
      <c r="Q96" s="35" t="s">
        <v>38</v>
      </c>
      <c r="R96" s="36"/>
      <c r="S96" s="37">
        <f t="shared" si="19"/>
        <v>86</v>
      </c>
      <c r="U96" s="38"/>
      <c r="V96" s="39" t="s">
        <v>124</v>
      </c>
      <c r="W96" s="40" t="str">
        <f>IF('Infos générales'!$E$2="x",IF(U96&gt;0,VLOOKUP(U96,'Infos joueurs'!$A:$M,4,FALSE)&amp;" / "&amp;VLOOKUP(U96,'Infos joueurs'!$A:$M,9,FALSE)," "),IF(U96&gt;0,VLOOKUP(U96,'Infos joueurs'!$A:$M,4,FALSE)&amp;" "&amp;VLOOKUP(U96,'Infos joueurs'!$A:$M,5,FALSE)," "))</f>
        <v xml:space="preserve"> </v>
      </c>
      <c r="Y96" s="33">
        <v>86</v>
      </c>
      <c r="Z96" s="256" t="str">
        <f t="shared" si="20"/>
        <v xml:space="preserve"> </v>
      </c>
      <c r="AA96" s="41" t="str">
        <f>IFERROR(INDEX('Infos joueurs'!$F$15:$F$270,MATCH(AB96,'Infos joueurs'!$A$15:$A$270,0))," ")</f>
        <v xml:space="preserve"> </v>
      </c>
      <c r="AB96" s="38">
        <f t="shared" si="21"/>
        <v>0</v>
      </c>
    </row>
    <row r="97" spans="1:28" x14ac:dyDescent="0.25">
      <c r="A97">
        <f t="shared" si="11"/>
        <v>1.010197</v>
      </c>
      <c r="B97">
        <f t="shared" si="12"/>
        <v>87</v>
      </c>
      <c r="C97" t="str">
        <f t="shared" si="13"/>
        <v xml:space="preserve"> </v>
      </c>
      <c r="D97">
        <f t="shared" si="14"/>
        <v>0</v>
      </c>
      <c r="E97">
        <f t="shared" si="15"/>
        <v>0</v>
      </c>
      <c r="F97">
        <f t="shared" si="16"/>
        <v>0</v>
      </c>
      <c r="G97">
        <f>IF($C$2="x",IFERROR(SMALL($A$11:$A$14,87),0),IF($C$3="x",IFERROR(SMALL($A$11:$A$18,87),0),IF($C$4="x",IFERROR(SMALL($A$11:$A$26,87),0),IF($C$5="x",IFERROR(SMALL($A$11:$A$42,87),0),IF($C$6="x",IFERROR(SMALL($A$11:$A$74,87),0),IF($C$7="x",IFERROR(SMALL($A$11:$A$138,87),0),IFERROR(SMALL($A$11:$A$266,87),0)))))))</f>
        <v>1.010197</v>
      </c>
      <c r="H97">
        <f t="shared" si="17"/>
        <v>87</v>
      </c>
      <c r="I97" t="str">
        <f t="shared" si="18"/>
        <v xml:space="preserve"> </v>
      </c>
      <c r="J97" s="34"/>
      <c r="K97" s="35" t="s">
        <v>38</v>
      </c>
      <c r="L97" s="36"/>
      <c r="M97" s="34"/>
      <c r="N97" s="35" t="s">
        <v>38</v>
      </c>
      <c r="O97" s="36"/>
      <c r="P97" s="34"/>
      <c r="Q97" s="35" t="s">
        <v>38</v>
      </c>
      <c r="R97" s="36"/>
      <c r="S97" s="37">
        <f t="shared" si="19"/>
        <v>87</v>
      </c>
      <c r="U97" s="38"/>
      <c r="V97" s="39" t="s">
        <v>125</v>
      </c>
      <c r="W97" s="40" t="str">
        <f>IF('Infos générales'!$E$2="x",IF(U97&gt;0,VLOOKUP(U97,'Infos joueurs'!$A:$M,4,FALSE)&amp;" / "&amp;VLOOKUP(U97,'Infos joueurs'!$A:$M,9,FALSE)," "),IF(U97&gt;0,VLOOKUP(U97,'Infos joueurs'!$A:$M,4,FALSE)&amp;" "&amp;VLOOKUP(U97,'Infos joueurs'!$A:$M,5,FALSE)," "))</f>
        <v xml:space="preserve"> </v>
      </c>
      <c r="Y97" s="33">
        <v>87</v>
      </c>
      <c r="Z97" s="256" t="str">
        <f t="shared" si="20"/>
        <v xml:space="preserve"> </v>
      </c>
      <c r="AA97" s="41" t="str">
        <f>IFERROR(INDEX('Infos joueurs'!$F$15:$F$270,MATCH(AB97,'Infos joueurs'!$A$15:$A$270,0))," ")</f>
        <v xml:space="preserve"> </v>
      </c>
      <c r="AB97" s="38">
        <f t="shared" si="21"/>
        <v>0</v>
      </c>
    </row>
    <row r="98" spans="1:28" x14ac:dyDescent="0.25">
      <c r="A98">
        <f t="shared" si="11"/>
        <v>1.0101979999999999</v>
      </c>
      <c r="B98">
        <f t="shared" si="12"/>
        <v>88</v>
      </c>
      <c r="C98" t="str">
        <f t="shared" si="13"/>
        <v xml:space="preserve"> </v>
      </c>
      <c r="D98">
        <f t="shared" si="14"/>
        <v>0</v>
      </c>
      <c r="E98">
        <f t="shared" si="15"/>
        <v>0</v>
      </c>
      <c r="F98">
        <f t="shared" si="16"/>
        <v>0</v>
      </c>
      <c r="G98">
        <f>IF($C$2="x",IFERROR(SMALL($A$11:$A$14,88),0),IF($C$3="x",IFERROR(SMALL($A$11:$A$18,88),0),IF($C$4="x",IFERROR(SMALL($A$11:$A$26,88),0),IF($C$5="x",IFERROR(SMALL($A$11:$A$42,88),0),IF($C$6="x",IFERROR(SMALL($A$11:$A$74,88),0),IF($C$7="x",IFERROR(SMALL($A$11:$A$138,88),0),IFERROR(SMALL($A$11:$A$266,88),0)))))))</f>
        <v>1.0101979999999999</v>
      </c>
      <c r="H98">
        <f t="shared" si="17"/>
        <v>88</v>
      </c>
      <c r="I98" t="str">
        <f t="shared" si="18"/>
        <v xml:space="preserve"> </v>
      </c>
      <c r="J98" s="34"/>
      <c r="K98" s="35" t="s">
        <v>38</v>
      </c>
      <c r="L98" s="36"/>
      <c r="M98" s="34"/>
      <c r="N98" s="35" t="s">
        <v>38</v>
      </c>
      <c r="O98" s="36"/>
      <c r="P98" s="34"/>
      <c r="Q98" s="35" t="s">
        <v>38</v>
      </c>
      <c r="R98" s="36"/>
      <c r="S98" s="37">
        <f t="shared" si="19"/>
        <v>88</v>
      </c>
      <c r="U98" s="38"/>
      <c r="V98" s="39" t="s">
        <v>126</v>
      </c>
      <c r="W98" s="40" t="str">
        <f>IF('Infos générales'!$E$2="x",IF(U98&gt;0,VLOOKUP(U98,'Infos joueurs'!$A:$M,4,FALSE)&amp;" / "&amp;VLOOKUP(U98,'Infos joueurs'!$A:$M,9,FALSE)," "),IF(U98&gt;0,VLOOKUP(U98,'Infos joueurs'!$A:$M,4,FALSE)&amp;" "&amp;VLOOKUP(U98,'Infos joueurs'!$A:$M,5,FALSE)," "))</f>
        <v xml:space="preserve"> </v>
      </c>
      <c r="Y98" s="33">
        <v>88</v>
      </c>
      <c r="Z98" s="256" t="str">
        <f t="shared" si="20"/>
        <v xml:space="preserve"> </v>
      </c>
      <c r="AA98" s="41" t="str">
        <f>IFERROR(INDEX('Infos joueurs'!$F$15:$F$270,MATCH(AB98,'Infos joueurs'!$A$15:$A$270,0))," ")</f>
        <v xml:space="preserve"> </v>
      </c>
      <c r="AB98" s="38">
        <f t="shared" si="21"/>
        <v>0</v>
      </c>
    </row>
    <row r="99" spans="1:28" x14ac:dyDescent="0.25">
      <c r="A99">
        <f t="shared" si="11"/>
        <v>1.0101990000000001</v>
      </c>
      <c r="B99">
        <f t="shared" si="12"/>
        <v>89</v>
      </c>
      <c r="C99" t="str">
        <f t="shared" si="13"/>
        <v xml:space="preserve"> </v>
      </c>
      <c r="D99">
        <f t="shared" si="14"/>
        <v>0</v>
      </c>
      <c r="E99">
        <f t="shared" si="15"/>
        <v>0</v>
      </c>
      <c r="F99">
        <f t="shared" si="16"/>
        <v>0</v>
      </c>
      <c r="G99">
        <f>IF($C$2="x",IFERROR(SMALL($A$11:$A$14,89),0),IF($C$3="x",IFERROR(SMALL($A$11:$A$18,89),0),IF($C$4="x",IFERROR(SMALL($A$11:$A$26,89),0),IF($C$5="x",IFERROR(SMALL($A$11:$A$42,89),0),IF($C$6="x",IFERROR(SMALL($A$11:$A$74,89),0),IF($C$7="x",IFERROR(SMALL($A$11:$A$138,89),0),IFERROR(SMALL($A$11:$A$266,89),0)))))))</f>
        <v>1.0101990000000001</v>
      </c>
      <c r="H99">
        <f t="shared" si="17"/>
        <v>89</v>
      </c>
      <c r="I99" t="str">
        <f t="shared" si="18"/>
        <v xml:space="preserve"> </v>
      </c>
      <c r="J99" s="34"/>
      <c r="K99" s="35" t="s">
        <v>38</v>
      </c>
      <c r="L99" s="36"/>
      <c r="M99" s="34"/>
      <c r="N99" s="35" t="s">
        <v>38</v>
      </c>
      <c r="O99" s="36"/>
      <c r="P99" s="34"/>
      <c r="Q99" s="35" t="s">
        <v>38</v>
      </c>
      <c r="R99" s="36"/>
      <c r="S99" s="37">
        <f t="shared" si="19"/>
        <v>89</v>
      </c>
      <c r="U99" s="38"/>
      <c r="V99" s="39" t="s">
        <v>127</v>
      </c>
      <c r="W99" s="40" t="str">
        <f>IF('Infos générales'!$E$2="x",IF(U99&gt;0,VLOOKUP(U99,'Infos joueurs'!$A:$M,4,FALSE)&amp;" / "&amp;VLOOKUP(U99,'Infos joueurs'!$A:$M,9,FALSE)," "),IF(U99&gt;0,VLOOKUP(U99,'Infos joueurs'!$A:$M,4,FALSE)&amp;" "&amp;VLOOKUP(U99,'Infos joueurs'!$A:$M,5,FALSE)," "))</f>
        <v xml:space="preserve"> </v>
      </c>
      <c r="Y99" s="33">
        <v>89</v>
      </c>
      <c r="Z99" s="256" t="str">
        <f t="shared" si="20"/>
        <v xml:space="preserve"> </v>
      </c>
      <c r="AA99" s="41" t="str">
        <f>IFERROR(INDEX('Infos joueurs'!$F$15:$F$270,MATCH(AB99,'Infos joueurs'!$A$15:$A$270,0))," ")</f>
        <v xml:space="preserve"> </v>
      </c>
      <c r="AB99" s="38">
        <f t="shared" si="21"/>
        <v>0</v>
      </c>
    </row>
    <row r="100" spans="1:28" x14ac:dyDescent="0.25">
      <c r="A100">
        <f t="shared" si="11"/>
        <v>1.0102</v>
      </c>
      <c r="B100">
        <f t="shared" si="12"/>
        <v>90</v>
      </c>
      <c r="C100" t="str">
        <f t="shared" si="13"/>
        <v xml:space="preserve"> </v>
      </c>
      <c r="D100">
        <f t="shared" si="14"/>
        <v>0</v>
      </c>
      <c r="E100">
        <f t="shared" si="15"/>
        <v>0</v>
      </c>
      <c r="F100">
        <f t="shared" si="16"/>
        <v>0</v>
      </c>
      <c r="G100">
        <f>IF($C$2="x",IFERROR(SMALL($A$11:$A$14,90),0),IF($C$3="x",IFERROR(SMALL($A$11:$A$18,90),0),IF($C$4="x",IFERROR(SMALL($A$11:$A$26,90),0),IF($C$5="x",IFERROR(SMALL($A$11:$A$42,90),0),IF($C$6="x",IFERROR(SMALL($A$11:$A$74,90),0),IF($C$7="x",IFERROR(SMALL($A$11:$A$138,90),0),IFERROR(SMALL($A$11:$A$266,90),0)))))))</f>
        <v>1.0102</v>
      </c>
      <c r="H100">
        <f t="shared" si="17"/>
        <v>90</v>
      </c>
      <c r="I100" t="str">
        <f t="shared" si="18"/>
        <v xml:space="preserve"> </v>
      </c>
      <c r="J100" s="34"/>
      <c r="K100" s="35" t="s">
        <v>38</v>
      </c>
      <c r="L100" s="36"/>
      <c r="M100" s="34"/>
      <c r="N100" s="35" t="s">
        <v>38</v>
      </c>
      <c r="O100" s="36"/>
      <c r="P100" s="34"/>
      <c r="Q100" s="35" t="s">
        <v>38</v>
      </c>
      <c r="R100" s="36"/>
      <c r="S100" s="37">
        <f t="shared" si="19"/>
        <v>90</v>
      </c>
      <c r="U100" s="38"/>
      <c r="V100" s="39" t="s">
        <v>128</v>
      </c>
      <c r="W100" s="40" t="str">
        <f>IF('Infos générales'!$E$2="x",IF(U100&gt;0,VLOOKUP(U100,'Infos joueurs'!$A:$M,4,FALSE)&amp;" / "&amp;VLOOKUP(U100,'Infos joueurs'!$A:$M,9,FALSE)," "),IF(U100&gt;0,VLOOKUP(U100,'Infos joueurs'!$A:$M,4,FALSE)&amp;" "&amp;VLOOKUP(U100,'Infos joueurs'!$A:$M,5,FALSE)," "))</f>
        <v xml:space="preserve"> </v>
      </c>
      <c r="Y100" s="33">
        <v>90</v>
      </c>
      <c r="Z100" s="256" t="str">
        <f t="shared" si="20"/>
        <v xml:space="preserve"> </v>
      </c>
      <c r="AA100" s="41" t="str">
        <f>IFERROR(INDEX('Infos joueurs'!$F$15:$F$270,MATCH(AB100,'Infos joueurs'!$A$15:$A$270,0))," ")</f>
        <v xml:space="preserve"> </v>
      </c>
      <c r="AB100" s="38">
        <f t="shared" si="21"/>
        <v>0</v>
      </c>
    </row>
    <row r="101" spans="1:28" x14ac:dyDescent="0.25">
      <c r="A101">
        <f t="shared" si="11"/>
        <v>1.0102009999999999</v>
      </c>
      <c r="B101">
        <f t="shared" si="12"/>
        <v>91</v>
      </c>
      <c r="C101" t="str">
        <f t="shared" si="13"/>
        <v xml:space="preserve"> </v>
      </c>
      <c r="D101">
        <f t="shared" si="14"/>
        <v>0</v>
      </c>
      <c r="E101">
        <f t="shared" si="15"/>
        <v>0</v>
      </c>
      <c r="F101">
        <f t="shared" si="16"/>
        <v>0</v>
      </c>
      <c r="G101">
        <f>IF($C$2="x",IFERROR(SMALL($A$11:$A$14,91),0),IF($C$3="x",IFERROR(SMALL($A$11:$A$18,91),0),IF($C$4="x",IFERROR(SMALL($A$11:$A$26,91),0),IF($C$5="x",IFERROR(SMALL($A$11:$A$42,91),0),IF($C$6="x",IFERROR(SMALL($A$11:$A$74,91),0),IF($C$7="x",IFERROR(SMALL($A$11:$A$138,91),0),IFERROR(SMALL($A$11:$A$266,91),0)))))))</f>
        <v>1.0102009999999999</v>
      </c>
      <c r="H101">
        <f t="shared" si="17"/>
        <v>91</v>
      </c>
      <c r="I101" t="str">
        <f t="shared" si="18"/>
        <v xml:space="preserve"> </v>
      </c>
      <c r="J101" s="34"/>
      <c r="K101" s="35" t="s">
        <v>38</v>
      </c>
      <c r="L101" s="36"/>
      <c r="M101" s="34"/>
      <c r="N101" s="35" t="s">
        <v>38</v>
      </c>
      <c r="O101" s="36"/>
      <c r="P101" s="34"/>
      <c r="Q101" s="35" t="s">
        <v>38</v>
      </c>
      <c r="R101" s="36"/>
      <c r="S101" s="37">
        <f t="shared" si="19"/>
        <v>91</v>
      </c>
      <c r="U101" s="38"/>
      <c r="V101" s="39" t="s">
        <v>129</v>
      </c>
      <c r="W101" s="40" t="str">
        <f>IF('Infos générales'!$E$2="x",IF(U101&gt;0,VLOOKUP(U101,'Infos joueurs'!$A:$M,4,FALSE)&amp;" / "&amp;VLOOKUP(U101,'Infos joueurs'!$A:$M,9,FALSE)," "),IF(U101&gt;0,VLOOKUP(U101,'Infos joueurs'!$A:$M,4,FALSE)&amp;" "&amp;VLOOKUP(U101,'Infos joueurs'!$A:$M,5,FALSE)," "))</f>
        <v xml:space="preserve"> </v>
      </c>
      <c r="Y101" s="33">
        <v>91</v>
      </c>
      <c r="Z101" s="256" t="str">
        <f t="shared" si="20"/>
        <v xml:space="preserve"> </v>
      </c>
      <c r="AA101" s="41" t="str">
        <f>IFERROR(INDEX('Infos joueurs'!$F$15:$F$270,MATCH(AB101,'Infos joueurs'!$A$15:$A$270,0))," ")</f>
        <v xml:space="preserve"> </v>
      </c>
      <c r="AB101" s="38">
        <f t="shared" si="21"/>
        <v>0</v>
      </c>
    </row>
    <row r="102" spans="1:28" x14ac:dyDescent="0.25">
      <c r="A102">
        <f t="shared" si="11"/>
        <v>1.010202</v>
      </c>
      <c r="B102">
        <f t="shared" si="12"/>
        <v>92</v>
      </c>
      <c r="C102" t="str">
        <f t="shared" si="13"/>
        <v xml:space="preserve"> </v>
      </c>
      <c r="D102">
        <f t="shared" si="14"/>
        <v>0</v>
      </c>
      <c r="E102">
        <f t="shared" si="15"/>
        <v>0</v>
      </c>
      <c r="F102">
        <f t="shared" si="16"/>
        <v>0</v>
      </c>
      <c r="G102">
        <f>IF($C$2="x",IFERROR(SMALL($A$11:$A$14,92),0),IF($C$3="x",IFERROR(SMALL($A$11:$A$18,92),0),IF($C$4="x",IFERROR(SMALL($A$11:$A$26,92),0),IF($C$5="x",IFERROR(SMALL($A$11:$A$42,92),0),IF($C$6="x",IFERROR(SMALL($A$11:$A$74,92),0),IF($C$7="x",IFERROR(SMALL($A$11:$A$138,92),0),IFERROR(SMALL($A$11:$A$266,92),0)))))))</f>
        <v>1.010202</v>
      </c>
      <c r="H102">
        <f t="shared" si="17"/>
        <v>92</v>
      </c>
      <c r="I102" t="str">
        <f t="shared" si="18"/>
        <v xml:space="preserve"> </v>
      </c>
      <c r="J102" s="34"/>
      <c r="K102" s="35" t="s">
        <v>38</v>
      </c>
      <c r="L102" s="36"/>
      <c r="M102" s="34"/>
      <c r="N102" s="35" t="s">
        <v>38</v>
      </c>
      <c r="O102" s="36"/>
      <c r="P102" s="34"/>
      <c r="Q102" s="35" t="s">
        <v>38</v>
      </c>
      <c r="R102" s="36"/>
      <c r="S102" s="37">
        <f t="shared" si="19"/>
        <v>92</v>
      </c>
      <c r="U102" s="38"/>
      <c r="V102" s="39" t="s">
        <v>130</v>
      </c>
      <c r="W102" s="40" t="str">
        <f>IF('Infos générales'!$E$2="x",IF(U102&gt;0,VLOOKUP(U102,'Infos joueurs'!$A:$M,4,FALSE)&amp;" / "&amp;VLOOKUP(U102,'Infos joueurs'!$A:$M,9,FALSE)," "),IF(U102&gt;0,VLOOKUP(U102,'Infos joueurs'!$A:$M,4,FALSE)&amp;" "&amp;VLOOKUP(U102,'Infos joueurs'!$A:$M,5,FALSE)," "))</f>
        <v xml:space="preserve"> </v>
      </c>
      <c r="Y102" s="33">
        <v>92</v>
      </c>
      <c r="Z102" s="256" t="str">
        <f t="shared" si="20"/>
        <v xml:space="preserve"> </v>
      </c>
      <c r="AA102" s="41" t="str">
        <f>IFERROR(INDEX('Infos joueurs'!$F$15:$F$270,MATCH(AB102,'Infos joueurs'!$A$15:$A$270,0))," ")</f>
        <v xml:space="preserve"> </v>
      </c>
      <c r="AB102" s="38">
        <f t="shared" si="21"/>
        <v>0</v>
      </c>
    </row>
    <row r="103" spans="1:28" x14ac:dyDescent="0.25">
      <c r="A103">
        <f t="shared" si="11"/>
        <v>1.010203</v>
      </c>
      <c r="B103">
        <f t="shared" si="12"/>
        <v>93</v>
      </c>
      <c r="C103" t="str">
        <f t="shared" si="13"/>
        <v xml:space="preserve"> </v>
      </c>
      <c r="D103">
        <f t="shared" si="14"/>
        <v>0</v>
      </c>
      <c r="E103">
        <f t="shared" si="15"/>
        <v>0</v>
      </c>
      <c r="F103">
        <f t="shared" si="16"/>
        <v>0</v>
      </c>
      <c r="G103">
        <f>IF($C$2="x",IFERROR(SMALL($A$11:$A$14,93),0),IF($C$3="x",IFERROR(SMALL($A$11:$A$18,93),0),IF($C$4="x",IFERROR(SMALL($A$11:$A$26,93),0),IF($C$5="x",IFERROR(SMALL($A$11:$A$42,93),0),IF($C$6="x",IFERROR(SMALL($A$11:$A$74,93),0),IF($C$7="x",IFERROR(SMALL($A$11:$A$138,93),0),IFERROR(SMALL($A$11:$A$266,93),0)))))))</f>
        <v>1.010203</v>
      </c>
      <c r="H103">
        <f t="shared" si="17"/>
        <v>93</v>
      </c>
      <c r="I103" t="str">
        <f t="shared" si="18"/>
        <v xml:space="preserve"> </v>
      </c>
      <c r="J103" s="34"/>
      <c r="K103" s="35" t="s">
        <v>38</v>
      </c>
      <c r="L103" s="36"/>
      <c r="M103" s="34"/>
      <c r="N103" s="35" t="s">
        <v>38</v>
      </c>
      <c r="O103" s="36"/>
      <c r="P103" s="34"/>
      <c r="Q103" s="35" t="s">
        <v>38</v>
      </c>
      <c r="R103" s="36"/>
      <c r="S103" s="37">
        <f t="shared" si="19"/>
        <v>93</v>
      </c>
      <c r="U103" s="38"/>
      <c r="V103" s="39" t="s">
        <v>131</v>
      </c>
      <c r="W103" s="40" t="str">
        <f>IF('Infos générales'!$E$2="x",IF(U103&gt;0,VLOOKUP(U103,'Infos joueurs'!$A:$M,4,FALSE)&amp;" / "&amp;VLOOKUP(U103,'Infos joueurs'!$A:$M,9,FALSE)," "),IF(U103&gt;0,VLOOKUP(U103,'Infos joueurs'!$A:$M,4,FALSE)&amp;" "&amp;VLOOKUP(U103,'Infos joueurs'!$A:$M,5,FALSE)," "))</f>
        <v xml:space="preserve"> </v>
      </c>
      <c r="Y103" s="33">
        <v>93</v>
      </c>
      <c r="Z103" s="256" t="str">
        <f t="shared" si="20"/>
        <v xml:space="preserve"> </v>
      </c>
      <c r="AA103" s="41" t="str">
        <f>IFERROR(INDEX('Infos joueurs'!$F$15:$F$270,MATCH(AB103,'Infos joueurs'!$A$15:$A$270,0))," ")</f>
        <v xml:space="preserve"> </v>
      </c>
      <c r="AB103" s="38">
        <f t="shared" si="21"/>
        <v>0</v>
      </c>
    </row>
    <row r="104" spans="1:28" x14ac:dyDescent="0.25">
      <c r="A104">
        <f t="shared" si="11"/>
        <v>1.0102040000000001</v>
      </c>
      <c r="B104">
        <f t="shared" si="12"/>
        <v>94</v>
      </c>
      <c r="C104" t="str">
        <f t="shared" si="13"/>
        <v xml:space="preserve"> </v>
      </c>
      <c r="D104">
        <f t="shared" si="14"/>
        <v>0</v>
      </c>
      <c r="E104">
        <f t="shared" si="15"/>
        <v>0</v>
      </c>
      <c r="F104">
        <f t="shared" si="16"/>
        <v>0</v>
      </c>
      <c r="G104">
        <f>IF($C$2="x",IFERROR(SMALL($A$11:$A$14,94),0),IF($C$3="x",IFERROR(SMALL($A$11:$A$18,94),0),IF($C$4="x",IFERROR(SMALL($A$11:$A$26,94),0),IF($C$5="x",IFERROR(SMALL($A$11:$A$42,94),0),IF($C$6="x",IFERROR(SMALL($A$11:$A$74,94),0),IF($C$7="x",IFERROR(SMALL($A$11:$A$138,94),0),IFERROR(SMALL($A$11:$A$266,94),0)))))))</f>
        <v>1.0102040000000001</v>
      </c>
      <c r="H104">
        <f t="shared" si="17"/>
        <v>94</v>
      </c>
      <c r="I104" t="str">
        <f t="shared" si="18"/>
        <v xml:space="preserve"> </v>
      </c>
      <c r="J104" s="34"/>
      <c r="K104" s="35" t="s">
        <v>38</v>
      </c>
      <c r="L104" s="36"/>
      <c r="M104" s="34"/>
      <c r="N104" s="35" t="s">
        <v>38</v>
      </c>
      <c r="O104" s="36"/>
      <c r="P104" s="34"/>
      <c r="Q104" s="35" t="s">
        <v>38</v>
      </c>
      <c r="R104" s="36"/>
      <c r="S104" s="37">
        <f t="shared" si="19"/>
        <v>94</v>
      </c>
      <c r="U104" s="38"/>
      <c r="V104" s="39" t="s">
        <v>132</v>
      </c>
      <c r="W104" s="40" t="str">
        <f>IF('Infos générales'!$E$2="x",IF(U104&gt;0,VLOOKUP(U104,'Infos joueurs'!$A:$M,4,FALSE)&amp;" / "&amp;VLOOKUP(U104,'Infos joueurs'!$A:$M,9,FALSE)," "),IF(U104&gt;0,VLOOKUP(U104,'Infos joueurs'!$A:$M,4,FALSE)&amp;" "&amp;VLOOKUP(U104,'Infos joueurs'!$A:$M,5,FALSE)," "))</f>
        <v xml:space="preserve"> </v>
      </c>
      <c r="Y104" s="33">
        <v>94</v>
      </c>
      <c r="Z104" s="256" t="str">
        <f t="shared" si="20"/>
        <v xml:space="preserve"> </v>
      </c>
      <c r="AA104" s="41" t="str">
        <f>IFERROR(INDEX('Infos joueurs'!$F$15:$F$270,MATCH(AB104,'Infos joueurs'!$A$15:$A$270,0))," ")</f>
        <v xml:space="preserve"> </v>
      </c>
      <c r="AB104" s="38">
        <f t="shared" si="21"/>
        <v>0</v>
      </c>
    </row>
    <row r="105" spans="1:28" x14ac:dyDescent="0.25">
      <c r="A105">
        <f t="shared" si="11"/>
        <v>1.010205</v>
      </c>
      <c r="B105">
        <f t="shared" si="12"/>
        <v>95</v>
      </c>
      <c r="C105" t="str">
        <f t="shared" si="13"/>
        <v xml:space="preserve"> </v>
      </c>
      <c r="D105">
        <f t="shared" si="14"/>
        <v>0</v>
      </c>
      <c r="E105">
        <f t="shared" si="15"/>
        <v>0</v>
      </c>
      <c r="F105">
        <f t="shared" si="16"/>
        <v>0</v>
      </c>
      <c r="G105">
        <f>IF($C$2="x",IFERROR(SMALL($A$11:$A$14,95),0),IF($C$3="x",IFERROR(SMALL($A$11:$A$18,95),0),IF($C$4="x",IFERROR(SMALL($A$11:$A$26,95),0),IF($C$5="x",IFERROR(SMALL($A$11:$A$42,95),0),IF($C$6="x",IFERROR(SMALL($A$11:$A$74,95),0),IF($C$7="x",IFERROR(SMALL($A$11:$A$138,95),0),IFERROR(SMALL($A$11:$A$266,95),0)))))))</f>
        <v>1.010205</v>
      </c>
      <c r="H105">
        <f t="shared" si="17"/>
        <v>95</v>
      </c>
      <c r="I105" t="str">
        <f t="shared" si="18"/>
        <v xml:space="preserve"> </v>
      </c>
      <c r="J105" s="34"/>
      <c r="K105" s="35" t="s">
        <v>38</v>
      </c>
      <c r="L105" s="36"/>
      <c r="M105" s="34"/>
      <c r="N105" s="35" t="s">
        <v>38</v>
      </c>
      <c r="O105" s="36"/>
      <c r="P105" s="34"/>
      <c r="Q105" s="35" t="s">
        <v>38</v>
      </c>
      <c r="R105" s="36"/>
      <c r="S105" s="37">
        <f t="shared" si="19"/>
        <v>95</v>
      </c>
      <c r="U105" s="38"/>
      <c r="V105" s="39" t="s">
        <v>133</v>
      </c>
      <c r="W105" s="40" t="str">
        <f>IF('Infos générales'!$E$2="x",IF(U105&gt;0,VLOOKUP(U105,'Infos joueurs'!$A:$M,4,FALSE)&amp;" / "&amp;VLOOKUP(U105,'Infos joueurs'!$A:$M,9,FALSE)," "),IF(U105&gt;0,VLOOKUP(U105,'Infos joueurs'!$A:$M,4,FALSE)&amp;" "&amp;VLOOKUP(U105,'Infos joueurs'!$A:$M,5,FALSE)," "))</f>
        <v xml:space="preserve"> </v>
      </c>
      <c r="Y105" s="33">
        <v>95</v>
      </c>
      <c r="Z105" s="256" t="str">
        <f t="shared" si="20"/>
        <v xml:space="preserve"> </v>
      </c>
      <c r="AA105" s="41" t="str">
        <f>IFERROR(INDEX('Infos joueurs'!$F$15:$F$270,MATCH(AB105,'Infos joueurs'!$A$15:$A$270,0))," ")</f>
        <v xml:space="preserve"> </v>
      </c>
      <c r="AB105" s="38">
        <f t="shared" si="21"/>
        <v>0</v>
      </c>
    </row>
    <row r="106" spans="1:28" x14ac:dyDescent="0.25">
      <c r="A106">
        <f t="shared" si="11"/>
        <v>1.0102059999999999</v>
      </c>
      <c r="B106">
        <f t="shared" si="12"/>
        <v>96</v>
      </c>
      <c r="C106" t="str">
        <f t="shared" si="13"/>
        <v xml:space="preserve"> </v>
      </c>
      <c r="D106">
        <f t="shared" si="14"/>
        <v>0</v>
      </c>
      <c r="E106">
        <f t="shared" si="15"/>
        <v>0</v>
      </c>
      <c r="F106">
        <f t="shared" si="16"/>
        <v>0</v>
      </c>
      <c r="G106">
        <f>IF($C$2="x",IFERROR(SMALL($A$11:$A$14,96),0),IF($C$3="x",IFERROR(SMALL($A$11:$A$18,96),0),IF($C$4="x",IFERROR(SMALL($A$11:$A$26,96),0),IF($C$5="x",IFERROR(SMALL($A$11:$A$42,96),0),IF($C$6="x",IFERROR(SMALL($A$11:$A$74,96),0),IF($C$7="x",IFERROR(SMALL($A$11:$A$138,96),0),IFERROR(SMALL($A$11:$A$266,96),0)))))))</f>
        <v>1.0102059999999999</v>
      </c>
      <c r="H106">
        <f t="shared" si="17"/>
        <v>96</v>
      </c>
      <c r="I106" t="str">
        <f t="shared" si="18"/>
        <v xml:space="preserve"> </v>
      </c>
      <c r="J106" s="34"/>
      <c r="K106" s="35" t="s">
        <v>38</v>
      </c>
      <c r="L106" s="36"/>
      <c r="M106" s="34"/>
      <c r="N106" s="35" t="s">
        <v>38</v>
      </c>
      <c r="O106" s="36"/>
      <c r="P106" s="34"/>
      <c r="Q106" s="35" t="s">
        <v>38</v>
      </c>
      <c r="R106" s="36"/>
      <c r="S106" s="37">
        <f t="shared" si="19"/>
        <v>96</v>
      </c>
      <c r="U106" s="38"/>
      <c r="V106" s="39" t="s">
        <v>134</v>
      </c>
      <c r="W106" s="40" t="str">
        <f>IF('Infos générales'!$E$2="x",IF(U106&gt;0,VLOOKUP(U106,'Infos joueurs'!$A:$M,4,FALSE)&amp;" / "&amp;VLOOKUP(U106,'Infos joueurs'!$A:$M,9,FALSE)," "),IF(U106&gt;0,VLOOKUP(U106,'Infos joueurs'!$A:$M,4,FALSE)&amp;" "&amp;VLOOKUP(U106,'Infos joueurs'!$A:$M,5,FALSE)," "))</f>
        <v xml:space="preserve"> </v>
      </c>
      <c r="Y106" s="33">
        <v>96</v>
      </c>
      <c r="Z106" s="256" t="str">
        <f t="shared" si="20"/>
        <v xml:space="preserve"> </v>
      </c>
      <c r="AA106" s="41" t="str">
        <f>IFERROR(INDEX('Infos joueurs'!$F$15:$F$270,MATCH(AB106,'Infos joueurs'!$A$15:$A$270,0))," ")</f>
        <v xml:space="preserve"> </v>
      </c>
      <c r="AB106" s="38">
        <f t="shared" si="21"/>
        <v>0</v>
      </c>
    </row>
    <row r="107" spans="1:28" x14ac:dyDescent="0.25">
      <c r="A107">
        <f t="shared" si="11"/>
        <v>1.0102070000000001</v>
      </c>
      <c r="B107">
        <f t="shared" si="12"/>
        <v>97</v>
      </c>
      <c r="C107" t="str">
        <f t="shared" si="13"/>
        <v xml:space="preserve"> </v>
      </c>
      <c r="D107">
        <f t="shared" si="14"/>
        <v>0</v>
      </c>
      <c r="E107">
        <f t="shared" si="15"/>
        <v>0</v>
      </c>
      <c r="F107">
        <f t="shared" si="16"/>
        <v>0</v>
      </c>
      <c r="G107">
        <f>IF($C$2="x",IFERROR(SMALL($A$11:$A$14,97),0),IF($C$3="x",IFERROR(SMALL($A$11:$A$18,97),0),IF($C$4="x",IFERROR(SMALL($A$11:$A$26,97),0),IF($C$5="x",IFERROR(SMALL($A$11:$A$42,97),0),IF($C$6="x",IFERROR(SMALL($A$11:$A$74,97),0),IF($C$7="x",IFERROR(SMALL($A$11:$A$138,97),0),IFERROR(SMALL($A$11:$A$266,97),0)))))))</f>
        <v>1.0102070000000001</v>
      </c>
      <c r="H107">
        <f t="shared" si="17"/>
        <v>97</v>
      </c>
      <c r="I107" t="str">
        <f t="shared" si="18"/>
        <v xml:space="preserve"> </v>
      </c>
      <c r="J107" s="34"/>
      <c r="K107" s="35" t="s">
        <v>38</v>
      </c>
      <c r="L107" s="36"/>
      <c r="M107" s="34"/>
      <c r="N107" s="35" t="s">
        <v>38</v>
      </c>
      <c r="O107" s="36"/>
      <c r="P107" s="34"/>
      <c r="Q107" s="35" t="s">
        <v>38</v>
      </c>
      <c r="R107" s="36"/>
      <c r="S107" s="37">
        <f t="shared" si="19"/>
        <v>97</v>
      </c>
      <c r="U107" s="38"/>
      <c r="V107" s="39" t="s">
        <v>135</v>
      </c>
      <c r="W107" s="40" t="str">
        <f>IF('Infos générales'!$E$2="x",IF(U107&gt;0,VLOOKUP(U107,'Infos joueurs'!$A:$M,4,FALSE)&amp;" / "&amp;VLOOKUP(U107,'Infos joueurs'!$A:$M,9,FALSE)," "),IF(U107&gt;0,VLOOKUP(U107,'Infos joueurs'!$A:$M,4,FALSE)&amp;" "&amp;VLOOKUP(U107,'Infos joueurs'!$A:$M,5,FALSE)," "))</f>
        <v xml:space="preserve"> </v>
      </c>
      <c r="Y107" s="33">
        <v>97</v>
      </c>
      <c r="Z107" s="256" t="str">
        <f t="shared" si="20"/>
        <v xml:space="preserve"> </v>
      </c>
      <c r="AA107" s="41" t="str">
        <f>IFERROR(INDEX('Infos joueurs'!$F$15:$F$270,MATCH(AB107,'Infos joueurs'!$A$15:$A$270,0))," ")</f>
        <v xml:space="preserve"> </v>
      </c>
      <c r="AB107" s="38">
        <f t="shared" si="21"/>
        <v>0</v>
      </c>
    </row>
    <row r="108" spans="1:28" x14ac:dyDescent="0.25">
      <c r="A108">
        <f t="shared" si="11"/>
        <v>1.010208</v>
      </c>
      <c r="B108">
        <f t="shared" si="12"/>
        <v>98</v>
      </c>
      <c r="C108" t="str">
        <f t="shared" si="13"/>
        <v xml:space="preserve"> </v>
      </c>
      <c r="D108">
        <f t="shared" si="14"/>
        <v>0</v>
      </c>
      <c r="E108">
        <f t="shared" si="15"/>
        <v>0</v>
      </c>
      <c r="F108">
        <f t="shared" si="16"/>
        <v>0</v>
      </c>
      <c r="G108">
        <f>IF($C$2="x",IFERROR(SMALL($A$11:$A$14,98),0),IF($C$3="x",IFERROR(SMALL($A$11:$A$18,98),0),IF($C$4="x",IFERROR(SMALL($A$11:$A$26,98),0),IF($C$5="x",IFERROR(SMALL($A$11:$A$42,98),0),IF($C$6="x",IFERROR(SMALL($A$11:$A$74,98),0),IF($C$7="x",IFERROR(SMALL($A$11:$A$138,98),0),IFERROR(SMALL($A$11:$A$266,98),0)))))))</f>
        <v>1.010208</v>
      </c>
      <c r="H108">
        <f t="shared" si="17"/>
        <v>98</v>
      </c>
      <c r="I108" t="str">
        <f t="shared" si="18"/>
        <v xml:space="preserve"> </v>
      </c>
      <c r="J108" s="34"/>
      <c r="K108" s="35" t="s">
        <v>38</v>
      </c>
      <c r="L108" s="36"/>
      <c r="M108" s="34"/>
      <c r="N108" s="35" t="s">
        <v>38</v>
      </c>
      <c r="O108" s="36"/>
      <c r="P108" s="34"/>
      <c r="Q108" s="35" t="s">
        <v>38</v>
      </c>
      <c r="R108" s="36"/>
      <c r="S108" s="37">
        <f t="shared" si="19"/>
        <v>98</v>
      </c>
      <c r="U108" s="38"/>
      <c r="V108" s="39" t="s">
        <v>136</v>
      </c>
      <c r="W108" s="40" t="str">
        <f>IF('Infos générales'!$E$2="x",IF(U108&gt;0,VLOOKUP(U108,'Infos joueurs'!$A:$M,4,FALSE)&amp;" / "&amp;VLOOKUP(U108,'Infos joueurs'!$A:$M,9,FALSE)," "),IF(U108&gt;0,VLOOKUP(U108,'Infos joueurs'!$A:$M,4,FALSE)&amp;" "&amp;VLOOKUP(U108,'Infos joueurs'!$A:$M,5,FALSE)," "))</f>
        <v xml:space="preserve"> </v>
      </c>
      <c r="Y108" s="33">
        <v>98</v>
      </c>
      <c r="Z108" s="256" t="str">
        <f t="shared" si="20"/>
        <v xml:space="preserve"> </v>
      </c>
      <c r="AA108" s="41" t="str">
        <f>IFERROR(INDEX('Infos joueurs'!$F$15:$F$270,MATCH(AB108,'Infos joueurs'!$A$15:$A$270,0))," ")</f>
        <v xml:space="preserve"> </v>
      </c>
      <c r="AB108" s="38">
        <f t="shared" si="21"/>
        <v>0</v>
      </c>
    </row>
    <row r="109" spans="1:28" x14ac:dyDescent="0.25">
      <c r="A109">
        <f t="shared" si="11"/>
        <v>1.0102089999999999</v>
      </c>
      <c r="B109">
        <f t="shared" si="12"/>
        <v>99</v>
      </c>
      <c r="C109" t="str">
        <f t="shared" si="13"/>
        <v xml:space="preserve"> </v>
      </c>
      <c r="D109">
        <f t="shared" si="14"/>
        <v>0</v>
      </c>
      <c r="E109">
        <f t="shared" si="15"/>
        <v>0</v>
      </c>
      <c r="F109">
        <f t="shared" si="16"/>
        <v>0</v>
      </c>
      <c r="G109">
        <f>IF($C$2="x",IFERROR(SMALL($A$11:$A$14,99),0),IF($C$3="x",IFERROR(SMALL($A$11:$A$18,99),0),IF($C$4="x",IFERROR(SMALL($A$11:$A$26,99),0),IF($C$5="x",IFERROR(SMALL($A$11:$A$42,99),0),IF($C$6="x",IFERROR(SMALL($A$11:$A$74,99),0),IF($C$7="x",IFERROR(SMALL($A$11:$A$138,99),0),IFERROR(SMALL($A$11:$A$266,99),0)))))))</f>
        <v>1.0102089999999999</v>
      </c>
      <c r="H109">
        <f t="shared" si="17"/>
        <v>99</v>
      </c>
      <c r="I109" t="str">
        <f t="shared" si="18"/>
        <v xml:space="preserve"> </v>
      </c>
      <c r="J109" s="34"/>
      <c r="K109" s="35" t="s">
        <v>38</v>
      </c>
      <c r="L109" s="36"/>
      <c r="M109" s="34"/>
      <c r="N109" s="35" t="s">
        <v>38</v>
      </c>
      <c r="O109" s="36"/>
      <c r="P109" s="34"/>
      <c r="Q109" s="35" t="s">
        <v>38</v>
      </c>
      <c r="R109" s="36"/>
      <c r="S109" s="37">
        <f t="shared" si="19"/>
        <v>99</v>
      </c>
      <c r="U109" s="38"/>
      <c r="V109" s="39" t="s">
        <v>137</v>
      </c>
      <c r="W109" s="40" t="str">
        <f>IF('Infos générales'!$E$2="x",IF(U109&gt;0,VLOOKUP(U109,'Infos joueurs'!$A:$M,4,FALSE)&amp;" / "&amp;VLOOKUP(U109,'Infos joueurs'!$A:$M,9,FALSE)," "),IF(U109&gt;0,VLOOKUP(U109,'Infos joueurs'!$A:$M,4,FALSE)&amp;" "&amp;VLOOKUP(U109,'Infos joueurs'!$A:$M,5,FALSE)," "))</f>
        <v xml:space="preserve"> </v>
      </c>
      <c r="Y109" s="33">
        <v>99</v>
      </c>
      <c r="Z109" s="256" t="str">
        <f t="shared" si="20"/>
        <v xml:space="preserve"> </v>
      </c>
      <c r="AA109" s="41" t="str">
        <f>IFERROR(INDEX('Infos joueurs'!$F$15:$F$270,MATCH(AB109,'Infos joueurs'!$A$15:$A$270,0))," ")</f>
        <v xml:space="preserve"> </v>
      </c>
      <c r="AB109" s="38">
        <f t="shared" si="21"/>
        <v>0</v>
      </c>
    </row>
    <row r="110" spans="1:28" x14ac:dyDescent="0.25">
      <c r="A110">
        <f t="shared" si="11"/>
        <v>1.0102100000000001</v>
      </c>
      <c r="B110">
        <f t="shared" si="12"/>
        <v>100</v>
      </c>
      <c r="C110" t="str">
        <f t="shared" si="13"/>
        <v xml:space="preserve"> </v>
      </c>
      <c r="D110">
        <f t="shared" si="14"/>
        <v>0</v>
      </c>
      <c r="E110">
        <f t="shared" si="15"/>
        <v>0</v>
      </c>
      <c r="F110">
        <f t="shared" si="16"/>
        <v>0</v>
      </c>
      <c r="G110">
        <f>IF($C$2="x",IFERROR(SMALL($A$11:$A$14,100),0),IF($C$3="x",IFERROR(SMALL($A$11:$A$18,100),0),IF($C$4="x",IFERROR(SMALL($A$11:$A$26,100),0),IF($C$5="x",IFERROR(SMALL($A$11:$A$42,100),0),IF($C$6="x",IFERROR(SMALL($A$11:$A$74,100),0),IF($C$7="x",IFERROR(SMALL($A$11:$A$138,100),0),IFERROR(SMALL($A$11:$A$266,100),0)))))))</f>
        <v>1.0102100000000001</v>
      </c>
      <c r="H110">
        <f t="shared" si="17"/>
        <v>100</v>
      </c>
      <c r="I110" t="str">
        <f t="shared" si="18"/>
        <v xml:space="preserve"> </v>
      </c>
      <c r="J110" s="34"/>
      <c r="K110" s="35" t="s">
        <v>38</v>
      </c>
      <c r="L110" s="36"/>
      <c r="M110" s="34"/>
      <c r="N110" s="35" t="s">
        <v>38</v>
      </c>
      <c r="O110" s="36"/>
      <c r="P110" s="34"/>
      <c r="Q110" s="35" t="s">
        <v>38</v>
      </c>
      <c r="R110" s="36"/>
      <c r="S110" s="37">
        <f t="shared" si="19"/>
        <v>100</v>
      </c>
      <c r="U110" s="38"/>
      <c r="V110" s="39" t="s">
        <v>138</v>
      </c>
      <c r="W110" s="40" t="str">
        <f>IF('Infos générales'!$E$2="x",IF(U110&gt;0,VLOOKUP(U110,'Infos joueurs'!$A:$M,4,FALSE)&amp;" / "&amp;VLOOKUP(U110,'Infos joueurs'!$A:$M,9,FALSE)," "),IF(U110&gt;0,VLOOKUP(U110,'Infos joueurs'!$A:$M,4,FALSE)&amp;" "&amp;VLOOKUP(U110,'Infos joueurs'!$A:$M,5,FALSE)," "))</f>
        <v xml:space="preserve"> </v>
      </c>
      <c r="Y110" s="33">
        <v>100</v>
      </c>
      <c r="Z110" s="256" t="str">
        <f t="shared" si="20"/>
        <v xml:space="preserve"> </v>
      </c>
      <c r="AA110" s="41" t="str">
        <f>IFERROR(INDEX('Infos joueurs'!$F$15:$F$270,MATCH(AB110,'Infos joueurs'!$A$15:$A$270,0))," ")</f>
        <v xml:space="preserve"> </v>
      </c>
      <c r="AB110" s="38">
        <f t="shared" si="21"/>
        <v>0</v>
      </c>
    </row>
    <row r="111" spans="1:28" x14ac:dyDescent="0.25">
      <c r="A111">
        <f t="shared" si="11"/>
        <v>1.010211</v>
      </c>
      <c r="B111">
        <f t="shared" si="12"/>
        <v>101</v>
      </c>
      <c r="C111" t="str">
        <f t="shared" si="13"/>
        <v xml:space="preserve"> </v>
      </c>
      <c r="D111">
        <f t="shared" si="14"/>
        <v>0</v>
      </c>
      <c r="E111">
        <f t="shared" si="15"/>
        <v>0</v>
      </c>
      <c r="F111">
        <f t="shared" si="16"/>
        <v>0</v>
      </c>
      <c r="G111">
        <f>IF($C$2="x",IFERROR(SMALL($A$11:$A$14,101),0),IF($C$3="x",IFERROR(SMALL($A$11:$A$18,101),0),IF($C$4="x",IFERROR(SMALL($A$11:$A$26,101),0),IF($C$5="x",IFERROR(SMALL($A$11:$A$42,101),0),IF($C$6="x",IFERROR(SMALL($A$11:$A$74,101),0),IF($C$7="x",IFERROR(SMALL($A$11:$A$138,101),0),IFERROR(SMALL($A$11:$A$266,101),0)))))))</f>
        <v>1.010211</v>
      </c>
      <c r="H111">
        <f t="shared" si="17"/>
        <v>101</v>
      </c>
      <c r="I111" t="str">
        <f t="shared" si="18"/>
        <v xml:space="preserve"> </v>
      </c>
      <c r="J111" s="34"/>
      <c r="K111" s="35" t="s">
        <v>38</v>
      </c>
      <c r="L111" s="36"/>
      <c r="M111" s="34"/>
      <c r="N111" s="35" t="s">
        <v>38</v>
      </c>
      <c r="O111" s="36"/>
      <c r="P111" s="34"/>
      <c r="Q111" s="35" t="s">
        <v>38</v>
      </c>
      <c r="R111" s="36"/>
      <c r="S111" s="37">
        <f t="shared" si="19"/>
        <v>101</v>
      </c>
      <c r="U111" s="38"/>
      <c r="V111" s="39" t="s">
        <v>139</v>
      </c>
      <c r="W111" s="40" t="str">
        <f>IF('Infos générales'!$E$2="x",IF(U111&gt;0,VLOOKUP(U111,'Infos joueurs'!$A:$M,4,FALSE)&amp;" / "&amp;VLOOKUP(U111,'Infos joueurs'!$A:$M,9,FALSE)," "),IF(U111&gt;0,VLOOKUP(U111,'Infos joueurs'!$A:$M,4,FALSE)&amp;" "&amp;VLOOKUP(U111,'Infos joueurs'!$A:$M,5,FALSE)," "))</f>
        <v xml:space="preserve"> </v>
      </c>
      <c r="Y111" s="33">
        <v>101</v>
      </c>
      <c r="Z111" s="256" t="str">
        <f t="shared" si="20"/>
        <v xml:space="preserve"> </v>
      </c>
      <c r="AA111" s="41" t="str">
        <f>IFERROR(INDEX('Infos joueurs'!$F$15:$F$270,MATCH(AB111,'Infos joueurs'!$A$15:$A$270,0))," ")</f>
        <v xml:space="preserve"> </v>
      </c>
      <c r="AB111" s="38">
        <f t="shared" si="21"/>
        <v>0</v>
      </c>
    </row>
    <row r="112" spans="1:28" x14ac:dyDescent="0.25">
      <c r="A112">
        <f t="shared" si="11"/>
        <v>1.0102119999999999</v>
      </c>
      <c r="B112">
        <f t="shared" si="12"/>
        <v>102</v>
      </c>
      <c r="C112" t="str">
        <f t="shared" si="13"/>
        <v xml:space="preserve"> </v>
      </c>
      <c r="D112">
        <f t="shared" si="14"/>
        <v>0</v>
      </c>
      <c r="E112">
        <f t="shared" si="15"/>
        <v>0</v>
      </c>
      <c r="F112">
        <f t="shared" si="16"/>
        <v>0</v>
      </c>
      <c r="G112">
        <f>IF($C$2="x",IFERROR(SMALL($A$11:$A$14,102),0),IF($C$3="x",IFERROR(SMALL($A$11:$A$18,102),0),IF($C$4="x",IFERROR(SMALL($A$11:$A$26,102),0),IF($C$5="x",IFERROR(SMALL($A$11:$A$42,102),0),IF($C$6="x",IFERROR(SMALL($A$11:$A$74,102),0),IF($C$7="x",IFERROR(SMALL($A$11:$A$138,102),0),IFERROR(SMALL($A$11:$A$266,102),0)))))))</f>
        <v>1.0102119999999999</v>
      </c>
      <c r="H112">
        <f t="shared" si="17"/>
        <v>102</v>
      </c>
      <c r="I112" t="str">
        <f t="shared" si="18"/>
        <v xml:space="preserve"> </v>
      </c>
      <c r="J112" s="34"/>
      <c r="K112" s="35" t="s">
        <v>38</v>
      </c>
      <c r="L112" s="36"/>
      <c r="M112" s="34"/>
      <c r="N112" s="35" t="s">
        <v>38</v>
      </c>
      <c r="O112" s="36"/>
      <c r="P112" s="34"/>
      <c r="Q112" s="35" t="s">
        <v>38</v>
      </c>
      <c r="R112" s="36"/>
      <c r="S112" s="37">
        <f t="shared" si="19"/>
        <v>102</v>
      </c>
      <c r="U112" s="38"/>
      <c r="V112" s="39" t="s">
        <v>140</v>
      </c>
      <c r="W112" s="40" t="str">
        <f>IF('Infos générales'!$E$2="x",IF(U112&gt;0,VLOOKUP(U112,'Infos joueurs'!$A:$M,4,FALSE)&amp;" / "&amp;VLOOKUP(U112,'Infos joueurs'!$A:$M,9,FALSE)," "),IF(U112&gt;0,VLOOKUP(U112,'Infos joueurs'!$A:$M,4,FALSE)&amp;" "&amp;VLOOKUP(U112,'Infos joueurs'!$A:$M,5,FALSE)," "))</f>
        <v xml:space="preserve"> </v>
      </c>
      <c r="Y112" s="33">
        <v>102</v>
      </c>
      <c r="Z112" s="256" t="str">
        <f t="shared" si="20"/>
        <v xml:space="preserve"> </v>
      </c>
      <c r="AA112" s="41" t="str">
        <f>IFERROR(INDEX('Infos joueurs'!$F$15:$F$270,MATCH(AB112,'Infos joueurs'!$A$15:$A$270,0))," ")</f>
        <v xml:space="preserve"> </v>
      </c>
      <c r="AB112" s="38">
        <f t="shared" si="21"/>
        <v>0</v>
      </c>
    </row>
    <row r="113" spans="1:28" x14ac:dyDescent="0.25">
      <c r="A113">
        <f t="shared" si="11"/>
        <v>1.010213</v>
      </c>
      <c r="B113">
        <f t="shared" si="12"/>
        <v>103</v>
      </c>
      <c r="C113" t="str">
        <f t="shared" si="13"/>
        <v xml:space="preserve"> </v>
      </c>
      <c r="D113">
        <f t="shared" si="14"/>
        <v>0</v>
      </c>
      <c r="E113">
        <f t="shared" si="15"/>
        <v>0</v>
      </c>
      <c r="F113">
        <f t="shared" si="16"/>
        <v>0</v>
      </c>
      <c r="G113">
        <f>IF($C$2="x",IFERROR(SMALL($A$11:$A$14,103),0),IF($C$3="x",IFERROR(SMALL($A$11:$A$18,103),0),IF($C$4="x",IFERROR(SMALL($A$11:$A$26,103),0),IF($C$5="x",IFERROR(SMALL($A$11:$A$42,103),0),IF($C$6="x",IFERROR(SMALL($A$11:$A$74,103),0),IF($C$7="x",IFERROR(SMALL($A$11:$A$138,103),0),IFERROR(SMALL($A$11:$A$266,103),0)))))))</f>
        <v>1.010213</v>
      </c>
      <c r="H113">
        <f t="shared" si="17"/>
        <v>103</v>
      </c>
      <c r="I113" t="str">
        <f t="shared" si="18"/>
        <v xml:space="preserve"> </v>
      </c>
      <c r="J113" s="34"/>
      <c r="K113" s="35" t="s">
        <v>38</v>
      </c>
      <c r="L113" s="36"/>
      <c r="M113" s="34"/>
      <c r="N113" s="35" t="s">
        <v>38</v>
      </c>
      <c r="O113" s="36"/>
      <c r="P113" s="34"/>
      <c r="Q113" s="35" t="s">
        <v>38</v>
      </c>
      <c r="R113" s="36"/>
      <c r="S113" s="37">
        <f t="shared" si="19"/>
        <v>103</v>
      </c>
      <c r="U113" s="38"/>
      <c r="V113" s="39" t="s">
        <v>141</v>
      </c>
      <c r="W113" s="40" t="str">
        <f>IF('Infos générales'!$E$2="x",IF(U113&gt;0,VLOOKUP(U113,'Infos joueurs'!$A:$M,4,FALSE)&amp;" / "&amp;VLOOKUP(U113,'Infos joueurs'!$A:$M,9,FALSE)," "),IF(U113&gt;0,VLOOKUP(U113,'Infos joueurs'!$A:$M,4,FALSE)&amp;" "&amp;VLOOKUP(U113,'Infos joueurs'!$A:$M,5,FALSE)," "))</f>
        <v xml:space="preserve"> </v>
      </c>
      <c r="Y113" s="33">
        <v>103</v>
      </c>
      <c r="Z113" s="256" t="str">
        <f t="shared" si="20"/>
        <v xml:space="preserve"> </v>
      </c>
      <c r="AA113" s="41" t="str">
        <f>IFERROR(INDEX('Infos joueurs'!$F$15:$F$270,MATCH(AB113,'Infos joueurs'!$A$15:$A$270,0))," ")</f>
        <v xml:space="preserve"> </v>
      </c>
      <c r="AB113" s="38">
        <f t="shared" si="21"/>
        <v>0</v>
      </c>
    </row>
    <row r="114" spans="1:28" x14ac:dyDescent="0.25">
      <c r="A114">
        <f t="shared" si="11"/>
        <v>1.0102139999999999</v>
      </c>
      <c r="B114">
        <f t="shared" si="12"/>
        <v>104</v>
      </c>
      <c r="C114" t="str">
        <f t="shared" si="13"/>
        <v xml:space="preserve"> </v>
      </c>
      <c r="D114">
        <f t="shared" si="14"/>
        <v>0</v>
      </c>
      <c r="E114">
        <f t="shared" si="15"/>
        <v>0</v>
      </c>
      <c r="F114">
        <f t="shared" si="16"/>
        <v>0</v>
      </c>
      <c r="G114">
        <f>IF($C$2="x",IFERROR(SMALL($A$11:$A$14,104),0),IF($C$3="x",IFERROR(SMALL($A$11:$A$18,104),0),IF($C$4="x",IFERROR(SMALL($A$11:$A$26,104),0),IF($C$5="x",IFERROR(SMALL($A$11:$A$42,104),0),IF($C$6="x",IFERROR(SMALL($A$11:$A$74,104),0),IF($C$7="x",IFERROR(SMALL($A$11:$A$138,104),0),IFERROR(SMALL($A$11:$A$266,104),0)))))))</f>
        <v>1.0102139999999999</v>
      </c>
      <c r="H114">
        <f t="shared" si="17"/>
        <v>104</v>
      </c>
      <c r="I114" t="str">
        <f t="shared" si="18"/>
        <v xml:space="preserve"> </v>
      </c>
      <c r="J114" s="34"/>
      <c r="K114" s="35" t="s">
        <v>38</v>
      </c>
      <c r="L114" s="36"/>
      <c r="M114" s="34"/>
      <c r="N114" s="35" t="s">
        <v>38</v>
      </c>
      <c r="O114" s="36"/>
      <c r="P114" s="34"/>
      <c r="Q114" s="35" t="s">
        <v>38</v>
      </c>
      <c r="R114" s="36"/>
      <c r="S114" s="37">
        <f t="shared" si="19"/>
        <v>104</v>
      </c>
      <c r="U114" s="38"/>
      <c r="V114" s="39" t="s">
        <v>142</v>
      </c>
      <c r="W114" s="40" t="str">
        <f>IF('Infos générales'!$E$2="x",IF(U114&gt;0,VLOOKUP(U114,'Infos joueurs'!$A:$M,4,FALSE)&amp;" / "&amp;VLOOKUP(U114,'Infos joueurs'!$A:$M,9,FALSE)," "),IF(U114&gt;0,VLOOKUP(U114,'Infos joueurs'!$A:$M,4,FALSE)&amp;" "&amp;VLOOKUP(U114,'Infos joueurs'!$A:$M,5,FALSE)," "))</f>
        <v xml:space="preserve"> </v>
      </c>
      <c r="Y114" s="33">
        <v>104</v>
      </c>
      <c r="Z114" s="256" t="str">
        <f t="shared" si="20"/>
        <v xml:space="preserve"> </v>
      </c>
      <c r="AA114" s="41" t="str">
        <f>IFERROR(INDEX('Infos joueurs'!$F$15:$F$270,MATCH(AB114,'Infos joueurs'!$A$15:$A$270,0))," ")</f>
        <v xml:space="preserve"> </v>
      </c>
      <c r="AB114" s="38">
        <f t="shared" si="21"/>
        <v>0</v>
      </c>
    </row>
    <row r="115" spans="1:28" x14ac:dyDescent="0.25">
      <c r="A115">
        <f t="shared" si="11"/>
        <v>1.0102150000000001</v>
      </c>
      <c r="B115">
        <f t="shared" si="12"/>
        <v>105</v>
      </c>
      <c r="C115" t="str">
        <f t="shared" si="13"/>
        <v xml:space="preserve"> </v>
      </c>
      <c r="D115">
        <f t="shared" si="14"/>
        <v>0</v>
      </c>
      <c r="E115">
        <f t="shared" si="15"/>
        <v>0</v>
      </c>
      <c r="F115">
        <f t="shared" si="16"/>
        <v>0</v>
      </c>
      <c r="G115">
        <f>IF($C$2="x",IFERROR(SMALL($A$11:$A$14,105),0),IF($C$3="x",IFERROR(SMALL($A$11:$A$18,105),0),IF($C$4="x",IFERROR(SMALL($A$11:$A$26,105),0),IF($C$5="x",IFERROR(SMALL($A$11:$A$42,105),0),IF($C$6="x",IFERROR(SMALL($A$11:$A$74,105),0),IF($C$7="x",IFERROR(SMALL($A$11:$A$138,105),0),IFERROR(SMALL($A$11:$A$266,105),0)))))))</f>
        <v>1.0102150000000001</v>
      </c>
      <c r="H115">
        <f t="shared" si="17"/>
        <v>105</v>
      </c>
      <c r="I115" t="str">
        <f t="shared" si="18"/>
        <v xml:space="preserve"> </v>
      </c>
      <c r="J115" s="34"/>
      <c r="K115" s="35" t="s">
        <v>38</v>
      </c>
      <c r="L115" s="36"/>
      <c r="M115" s="34"/>
      <c r="N115" s="35" t="s">
        <v>38</v>
      </c>
      <c r="O115" s="36"/>
      <c r="P115" s="34"/>
      <c r="Q115" s="35" t="s">
        <v>38</v>
      </c>
      <c r="R115" s="36"/>
      <c r="S115" s="37">
        <f t="shared" si="19"/>
        <v>105</v>
      </c>
      <c r="U115" s="38"/>
      <c r="V115" s="39" t="s">
        <v>143</v>
      </c>
      <c r="W115" s="40" t="str">
        <f>IF('Infos générales'!$E$2="x",IF(U115&gt;0,VLOOKUP(U115,'Infos joueurs'!$A:$M,4,FALSE)&amp;" / "&amp;VLOOKUP(U115,'Infos joueurs'!$A:$M,9,FALSE)," "),IF(U115&gt;0,VLOOKUP(U115,'Infos joueurs'!$A:$M,4,FALSE)&amp;" "&amp;VLOOKUP(U115,'Infos joueurs'!$A:$M,5,FALSE)," "))</f>
        <v xml:space="preserve"> </v>
      </c>
      <c r="Y115" s="33">
        <v>105</v>
      </c>
      <c r="Z115" s="256" t="str">
        <f t="shared" si="20"/>
        <v xml:space="preserve"> </v>
      </c>
      <c r="AA115" s="41" t="str">
        <f>IFERROR(INDEX('Infos joueurs'!$F$15:$F$270,MATCH(AB115,'Infos joueurs'!$A$15:$A$270,0))," ")</f>
        <v xml:space="preserve"> </v>
      </c>
      <c r="AB115" s="38">
        <f t="shared" si="21"/>
        <v>0</v>
      </c>
    </row>
    <row r="116" spans="1:28" x14ac:dyDescent="0.25">
      <c r="A116">
        <f t="shared" si="11"/>
        <v>1.010216</v>
      </c>
      <c r="B116">
        <f t="shared" si="12"/>
        <v>106</v>
      </c>
      <c r="C116" t="str">
        <f t="shared" si="13"/>
        <v xml:space="preserve"> </v>
      </c>
      <c r="D116">
        <f t="shared" si="14"/>
        <v>0</v>
      </c>
      <c r="E116">
        <f t="shared" si="15"/>
        <v>0</v>
      </c>
      <c r="F116">
        <f t="shared" si="16"/>
        <v>0</v>
      </c>
      <c r="G116">
        <f>IF($C$2="x",IFERROR(SMALL($A$11:$A$14,106),0),IF($C$3="x",IFERROR(SMALL($A$11:$A$18,106),0),IF($C$4="x",IFERROR(SMALL($A$11:$A$26,106),0),IF($C$5="x",IFERROR(SMALL($A$11:$A$42,106),0),IF($C$6="x",IFERROR(SMALL($A$11:$A$74,106),0),IF($C$7="x",IFERROR(SMALL($A$11:$A$138,106),0),IFERROR(SMALL($A$11:$A$266,106),0)))))))</f>
        <v>1.010216</v>
      </c>
      <c r="H116">
        <f t="shared" si="17"/>
        <v>106</v>
      </c>
      <c r="I116" t="str">
        <f t="shared" si="18"/>
        <v xml:space="preserve"> </v>
      </c>
      <c r="J116" s="34"/>
      <c r="K116" s="35" t="s">
        <v>38</v>
      </c>
      <c r="L116" s="36"/>
      <c r="M116" s="34"/>
      <c r="N116" s="35" t="s">
        <v>38</v>
      </c>
      <c r="O116" s="36"/>
      <c r="P116" s="34"/>
      <c r="Q116" s="35" t="s">
        <v>38</v>
      </c>
      <c r="R116" s="36"/>
      <c r="S116" s="37">
        <f t="shared" si="19"/>
        <v>106</v>
      </c>
      <c r="U116" s="38"/>
      <c r="V116" s="39" t="s">
        <v>144</v>
      </c>
      <c r="W116" s="40" t="str">
        <f>IF('Infos générales'!$E$2="x",IF(U116&gt;0,VLOOKUP(U116,'Infos joueurs'!$A:$M,4,FALSE)&amp;" / "&amp;VLOOKUP(U116,'Infos joueurs'!$A:$M,9,FALSE)," "),IF(U116&gt;0,VLOOKUP(U116,'Infos joueurs'!$A:$M,4,FALSE)&amp;" "&amp;VLOOKUP(U116,'Infos joueurs'!$A:$M,5,FALSE)," "))</f>
        <v xml:space="preserve"> </v>
      </c>
      <c r="Y116" s="33">
        <v>106</v>
      </c>
      <c r="Z116" s="256" t="str">
        <f t="shared" si="20"/>
        <v xml:space="preserve"> </v>
      </c>
      <c r="AA116" s="41" t="str">
        <f>IFERROR(INDEX('Infos joueurs'!$F$15:$F$270,MATCH(AB116,'Infos joueurs'!$A$15:$A$270,0))," ")</f>
        <v xml:space="preserve"> </v>
      </c>
      <c r="AB116" s="38">
        <f t="shared" si="21"/>
        <v>0</v>
      </c>
    </row>
    <row r="117" spans="1:28" x14ac:dyDescent="0.25">
      <c r="A117">
        <f t="shared" si="11"/>
        <v>1.0102169999999999</v>
      </c>
      <c r="B117">
        <f t="shared" si="12"/>
        <v>107</v>
      </c>
      <c r="C117" t="str">
        <f t="shared" si="13"/>
        <v xml:space="preserve"> </v>
      </c>
      <c r="D117">
        <f t="shared" si="14"/>
        <v>0</v>
      </c>
      <c r="E117">
        <f t="shared" si="15"/>
        <v>0</v>
      </c>
      <c r="F117">
        <f t="shared" si="16"/>
        <v>0</v>
      </c>
      <c r="G117">
        <f>IF($C$2="x",IFERROR(SMALL($A$11:$A$14,107),0),IF($C$3="x",IFERROR(SMALL($A$11:$A$18,107),0),IF($C$4="x",IFERROR(SMALL($A$11:$A$26,107),0),IF($C$5="x",IFERROR(SMALL($A$11:$A$42,107),0),IF($C$6="x",IFERROR(SMALL($A$11:$A$74,107),0),IF($C$7="x",IFERROR(SMALL($A$11:$A$138,107),0),IFERROR(SMALL($A$11:$A$266,107),0)))))))</f>
        <v>1.0102169999999999</v>
      </c>
      <c r="H117">
        <f t="shared" si="17"/>
        <v>107</v>
      </c>
      <c r="I117" t="str">
        <f t="shared" si="18"/>
        <v xml:space="preserve"> </v>
      </c>
      <c r="J117" s="34"/>
      <c r="K117" s="35" t="s">
        <v>38</v>
      </c>
      <c r="L117" s="36"/>
      <c r="M117" s="34"/>
      <c r="N117" s="35" t="s">
        <v>38</v>
      </c>
      <c r="O117" s="36"/>
      <c r="P117" s="34"/>
      <c r="Q117" s="35" t="s">
        <v>38</v>
      </c>
      <c r="R117" s="36"/>
      <c r="S117" s="37">
        <f t="shared" si="19"/>
        <v>107</v>
      </c>
      <c r="U117" s="38"/>
      <c r="V117" s="39" t="s">
        <v>145</v>
      </c>
      <c r="W117" s="40" t="str">
        <f>IF('Infos générales'!$E$2="x",IF(U117&gt;0,VLOOKUP(U117,'Infos joueurs'!$A:$M,4,FALSE)&amp;" / "&amp;VLOOKUP(U117,'Infos joueurs'!$A:$M,9,FALSE)," "),IF(U117&gt;0,VLOOKUP(U117,'Infos joueurs'!$A:$M,4,FALSE)&amp;" "&amp;VLOOKUP(U117,'Infos joueurs'!$A:$M,5,FALSE)," "))</f>
        <v xml:space="preserve"> </v>
      </c>
      <c r="Y117" s="33">
        <v>107</v>
      </c>
      <c r="Z117" s="256" t="str">
        <f t="shared" si="20"/>
        <v xml:space="preserve"> </v>
      </c>
      <c r="AA117" s="41" t="str">
        <f>IFERROR(INDEX('Infos joueurs'!$F$15:$F$270,MATCH(AB117,'Infos joueurs'!$A$15:$A$270,0))," ")</f>
        <v xml:space="preserve"> </v>
      </c>
      <c r="AB117" s="38">
        <f t="shared" si="21"/>
        <v>0</v>
      </c>
    </row>
    <row r="118" spans="1:28" x14ac:dyDescent="0.25">
      <c r="A118">
        <f t="shared" si="11"/>
        <v>1.0102180000000001</v>
      </c>
      <c r="B118">
        <f t="shared" si="12"/>
        <v>108</v>
      </c>
      <c r="C118" t="str">
        <f t="shared" si="13"/>
        <v xml:space="preserve"> </v>
      </c>
      <c r="D118">
        <f t="shared" si="14"/>
        <v>0</v>
      </c>
      <c r="E118">
        <f t="shared" si="15"/>
        <v>0</v>
      </c>
      <c r="F118">
        <f t="shared" si="16"/>
        <v>0</v>
      </c>
      <c r="G118">
        <f>IF($C$2="x",IFERROR(SMALL($A$11:$A$14,108),0),IF($C$3="x",IFERROR(SMALL($A$11:$A$18,108),0),IF($C$4="x",IFERROR(SMALL($A$11:$A$26,108),0),IF($C$5="x",IFERROR(SMALL($A$11:$A$42,108),0),IF($C$6="x",IFERROR(SMALL($A$11:$A$74,108),0),IF($C$7="x",IFERROR(SMALL($A$11:$A$138,108),0),IFERROR(SMALL($A$11:$A$266,108),0)))))))</f>
        <v>1.0102180000000001</v>
      </c>
      <c r="H118">
        <f t="shared" si="17"/>
        <v>108</v>
      </c>
      <c r="I118" t="str">
        <f t="shared" si="18"/>
        <v xml:space="preserve"> </v>
      </c>
      <c r="J118" s="34"/>
      <c r="K118" s="35" t="s">
        <v>38</v>
      </c>
      <c r="L118" s="36"/>
      <c r="M118" s="34"/>
      <c r="N118" s="35" t="s">
        <v>38</v>
      </c>
      <c r="O118" s="36"/>
      <c r="P118" s="34"/>
      <c r="Q118" s="35" t="s">
        <v>38</v>
      </c>
      <c r="R118" s="36"/>
      <c r="S118" s="37">
        <f t="shared" si="19"/>
        <v>108</v>
      </c>
      <c r="U118" s="38"/>
      <c r="V118" s="39" t="s">
        <v>146</v>
      </c>
      <c r="W118" s="40" t="str">
        <f>IF('Infos générales'!$E$2="x",IF(U118&gt;0,VLOOKUP(U118,'Infos joueurs'!$A:$M,4,FALSE)&amp;" / "&amp;VLOOKUP(U118,'Infos joueurs'!$A:$M,9,FALSE)," "),IF(U118&gt;0,VLOOKUP(U118,'Infos joueurs'!$A:$M,4,FALSE)&amp;" "&amp;VLOOKUP(U118,'Infos joueurs'!$A:$M,5,FALSE)," "))</f>
        <v xml:space="preserve"> </v>
      </c>
      <c r="Y118" s="33">
        <v>108</v>
      </c>
      <c r="Z118" s="256" t="str">
        <f t="shared" si="20"/>
        <v xml:space="preserve"> </v>
      </c>
      <c r="AA118" s="41" t="str">
        <f>IFERROR(INDEX('Infos joueurs'!$F$15:$F$270,MATCH(AB118,'Infos joueurs'!$A$15:$A$270,0))," ")</f>
        <v xml:space="preserve"> </v>
      </c>
      <c r="AB118" s="38">
        <f t="shared" si="21"/>
        <v>0</v>
      </c>
    </row>
    <row r="119" spans="1:28" x14ac:dyDescent="0.25">
      <c r="A119">
        <f t="shared" si="11"/>
        <v>1.010219</v>
      </c>
      <c r="B119">
        <f t="shared" si="12"/>
        <v>109</v>
      </c>
      <c r="C119" t="str">
        <f t="shared" si="13"/>
        <v xml:space="preserve"> </v>
      </c>
      <c r="D119">
        <f t="shared" si="14"/>
        <v>0</v>
      </c>
      <c r="E119">
        <f t="shared" si="15"/>
        <v>0</v>
      </c>
      <c r="F119">
        <f t="shared" si="16"/>
        <v>0</v>
      </c>
      <c r="G119">
        <f>IF($C$2="x",IFERROR(SMALL($A$11:$A$14,109),0),IF($C$3="x",IFERROR(SMALL($A$11:$A$18,109),0),IF($C$4="x",IFERROR(SMALL($A$11:$A$26,109),0),IF($C$5="x",IFERROR(SMALL($A$11:$A$42,109),0),IF($C$6="x",IFERROR(SMALL($A$11:$A$74,109),0),IF($C$7="x",IFERROR(SMALL($A$11:$A$138,109),0),IFERROR(SMALL($A$11:$A$266,109),0)))))))</f>
        <v>1.010219</v>
      </c>
      <c r="H119">
        <f t="shared" si="17"/>
        <v>109</v>
      </c>
      <c r="I119" t="str">
        <f t="shared" si="18"/>
        <v xml:space="preserve"> </v>
      </c>
      <c r="J119" s="34"/>
      <c r="K119" s="35" t="s">
        <v>38</v>
      </c>
      <c r="L119" s="36"/>
      <c r="M119" s="34"/>
      <c r="N119" s="35" t="s">
        <v>38</v>
      </c>
      <c r="O119" s="36"/>
      <c r="P119" s="34"/>
      <c r="Q119" s="35" t="s">
        <v>38</v>
      </c>
      <c r="R119" s="36"/>
      <c r="S119" s="37">
        <f t="shared" si="19"/>
        <v>109</v>
      </c>
      <c r="U119" s="38"/>
      <c r="V119" s="39" t="s">
        <v>147</v>
      </c>
      <c r="W119" s="40" t="str">
        <f>IF('Infos générales'!$E$2="x",IF(U119&gt;0,VLOOKUP(U119,'Infos joueurs'!$A:$M,4,FALSE)&amp;" / "&amp;VLOOKUP(U119,'Infos joueurs'!$A:$M,9,FALSE)," "),IF(U119&gt;0,VLOOKUP(U119,'Infos joueurs'!$A:$M,4,FALSE)&amp;" "&amp;VLOOKUP(U119,'Infos joueurs'!$A:$M,5,FALSE)," "))</f>
        <v xml:space="preserve"> </v>
      </c>
      <c r="Y119" s="33">
        <v>109</v>
      </c>
      <c r="Z119" s="256" t="str">
        <f t="shared" si="20"/>
        <v xml:space="preserve"> </v>
      </c>
      <c r="AA119" s="41" t="str">
        <f>IFERROR(INDEX('Infos joueurs'!$F$15:$F$270,MATCH(AB119,'Infos joueurs'!$A$15:$A$270,0))," ")</f>
        <v xml:space="preserve"> </v>
      </c>
      <c r="AB119" s="38">
        <f t="shared" si="21"/>
        <v>0</v>
      </c>
    </row>
    <row r="120" spans="1:28" x14ac:dyDescent="0.25">
      <c r="A120">
        <f t="shared" si="11"/>
        <v>1.0102199999999999</v>
      </c>
      <c r="B120">
        <f t="shared" si="12"/>
        <v>110</v>
      </c>
      <c r="C120" t="str">
        <f t="shared" si="13"/>
        <v xml:space="preserve"> </v>
      </c>
      <c r="D120">
        <f t="shared" si="14"/>
        <v>0</v>
      </c>
      <c r="E120">
        <f t="shared" si="15"/>
        <v>0</v>
      </c>
      <c r="F120">
        <f t="shared" si="16"/>
        <v>0</v>
      </c>
      <c r="G120">
        <f>IF($C$2="x",IFERROR(SMALL($A$11:$A$14,110),0),IF($C$3="x",IFERROR(SMALL($A$11:$A$18,110),0),IF($C$4="x",IFERROR(SMALL($A$11:$A$26,110),0),IF($C$5="x",IFERROR(SMALL($A$11:$A$42,110),0),IF($C$6="x",IFERROR(SMALL($A$11:$A$74,110),0),IF($C$7="x",IFERROR(SMALL($A$11:$A$138,110),0),IFERROR(SMALL($A$11:$A$266,110),0)))))))</f>
        <v>1.0102199999999999</v>
      </c>
      <c r="H120">
        <f t="shared" si="17"/>
        <v>110</v>
      </c>
      <c r="I120" t="str">
        <f t="shared" si="18"/>
        <v xml:space="preserve"> </v>
      </c>
      <c r="J120" s="34"/>
      <c r="K120" s="35" t="s">
        <v>38</v>
      </c>
      <c r="L120" s="36"/>
      <c r="M120" s="34"/>
      <c r="N120" s="35" t="s">
        <v>38</v>
      </c>
      <c r="O120" s="36"/>
      <c r="P120" s="34"/>
      <c r="Q120" s="35" t="s">
        <v>38</v>
      </c>
      <c r="R120" s="36"/>
      <c r="S120" s="37">
        <f t="shared" si="19"/>
        <v>110</v>
      </c>
      <c r="U120" s="38"/>
      <c r="V120" s="39" t="s">
        <v>148</v>
      </c>
      <c r="W120" s="40" t="str">
        <f>IF('Infos générales'!$E$2="x",IF(U120&gt;0,VLOOKUP(U120,'Infos joueurs'!$A:$M,4,FALSE)&amp;" / "&amp;VLOOKUP(U120,'Infos joueurs'!$A:$M,9,FALSE)," "),IF(U120&gt;0,VLOOKUP(U120,'Infos joueurs'!$A:$M,4,FALSE)&amp;" "&amp;VLOOKUP(U120,'Infos joueurs'!$A:$M,5,FALSE)," "))</f>
        <v xml:space="preserve"> </v>
      </c>
      <c r="Y120" s="33">
        <v>110</v>
      </c>
      <c r="Z120" s="256" t="str">
        <f t="shared" si="20"/>
        <v xml:space="preserve"> </v>
      </c>
      <c r="AA120" s="41" t="str">
        <f>IFERROR(INDEX('Infos joueurs'!$F$15:$F$270,MATCH(AB120,'Infos joueurs'!$A$15:$A$270,0))," ")</f>
        <v xml:space="preserve"> </v>
      </c>
      <c r="AB120" s="38">
        <f t="shared" si="21"/>
        <v>0</v>
      </c>
    </row>
    <row r="121" spans="1:28" x14ac:dyDescent="0.25">
      <c r="A121">
        <f t="shared" si="11"/>
        <v>1.010221</v>
      </c>
      <c r="B121">
        <f t="shared" si="12"/>
        <v>111</v>
      </c>
      <c r="C121" t="str">
        <f t="shared" si="13"/>
        <v xml:space="preserve"> </v>
      </c>
      <c r="D121">
        <f t="shared" si="14"/>
        <v>0</v>
      </c>
      <c r="E121">
        <f t="shared" si="15"/>
        <v>0</v>
      </c>
      <c r="F121">
        <f t="shared" si="16"/>
        <v>0</v>
      </c>
      <c r="G121">
        <f>IF($C$2="x",IFERROR(SMALL($A$11:$A$14,111),0),IF($C$3="x",IFERROR(SMALL($A$11:$A$18,111),0),IF($C$4="x",IFERROR(SMALL($A$11:$A$26,111),0),IF($C$5="x",IFERROR(SMALL($A$11:$A$42,111),0),IF($C$6="x",IFERROR(SMALL($A$11:$A$74,111),0),IF($C$7="x",IFERROR(SMALL($A$11:$A$138,111),0),IFERROR(SMALL($A$11:$A$266,111),0)))))))</f>
        <v>1.010221</v>
      </c>
      <c r="H121">
        <f t="shared" si="17"/>
        <v>111</v>
      </c>
      <c r="I121" t="str">
        <f t="shared" si="18"/>
        <v xml:space="preserve"> </v>
      </c>
      <c r="J121" s="34"/>
      <c r="K121" s="35" t="s">
        <v>38</v>
      </c>
      <c r="L121" s="36"/>
      <c r="M121" s="34"/>
      <c r="N121" s="35" t="s">
        <v>38</v>
      </c>
      <c r="O121" s="36"/>
      <c r="P121" s="34"/>
      <c r="Q121" s="35" t="s">
        <v>38</v>
      </c>
      <c r="R121" s="36"/>
      <c r="S121" s="37">
        <f t="shared" si="19"/>
        <v>111</v>
      </c>
      <c r="U121" s="38"/>
      <c r="V121" s="39" t="s">
        <v>149</v>
      </c>
      <c r="W121" s="40" t="str">
        <f>IF('Infos générales'!$E$2="x",IF(U121&gt;0,VLOOKUP(U121,'Infos joueurs'!$A:$M,4,FALSE)&amp;" / "&amp;VLOOKUP(U121,'Infos joueurs'!$A:$M,9,FALSE)," "),IF(U121&gt;0,VLOOKUP(U121,'Infos joueurs'!$A:$M,4,FALSE)&amp;" "&amp;VLOOKUP(U121,'Infos joueurs'!$A:$M,5,FALSE)," "))</f>
        <v xml:space="preserve"> </v>
      </c>
      <c r="Y121" s="33">
        <v>111</v>
      </c>
      <c r="Z121" s="256" t="str">
        <f t="shared" si="20"/>
        <v xml:space="preserve"> </v>
      </c>
      <c r="AA121" s="41" t="str">
        <f>IFERROR(INDEX('Infos joueurs'!$F$15:$F$270,MATCH(AB121,'Infos joueurs'!$A$15:$A$270,0))," ")</f>
        <v xml:space="preserve"> </v>
      </c>
      <c r="AB121" s="38">
        <f t="shared" si="21"/>
        <v>0</v>
      </c>
    </row>
    <row r="122" spans="1:28" x14ac:dyDescent="0.25">
      <c r="A122">
        <f t="shared" si="11"/>
        <v>1.010222</v>
      </c>
      <c r="B122">
        <f t="shared" si="12"/>
        <v>112</v>
      </c>
      <c r="C122" t="str">
        <f t="shared" si="13"/>
        <v xml:space="preserve"> </v>
      </c>
      <c r="D122">
        <f t="shared" si="14"/>
        <v>0</v>
      </c>
      <c r="E122">
        <f t="shared" si="15"/>
        <v>0</v>
      </c>
      <c r="F122">
        <f t="shared" si="16"/>
        <v>0</v>
      </c>
      <c r="G122">
        <f>IF($C$2="x",IFERROR(SMALL($A$11:$A$14,112),0),IF($C$3="x",IFERROR(SMALL($A$11:$A$18,112),0),IF($C$4="x",IFERROR(SMALL($A$11:$A$26,112),0),IF($C$5="x",IFERROR(SMALL($A$11:$A$42,112),0),IF($C$6="x",IFERROR(SMALL($A$11:$A$74,112),0),IF($C$7="x",IFERROR(SMALL($A$11:$A$138,112),0),IFERROR(SMALL($A$11:$A$266,112),0)))))))</f>
        <v>1.010222</v>
      </c>
      <c r="H122">
        <f t="shared" si="17"/>
        <v>112</v>
      </c>
      <c r="I122" t="str">
        <f t="shared" si="18"/>
        <v xml:space="preserve"> </v>
      </c>
      <c r="J122" s="34"/>
      <c r="K122" s="35" t="s">
        <v>38</v>
      </c>
      <c r="L122" s="36"/>
      <c r="M122" s="34"/>
      <c r="N122" s="35" t="s">
        <v>38</v>
      </c>
      <c r="O122" s="36"/>
      <c r="P122" s="34"/>
      <c r="Q122" s="35" t="s">
        <v>38</v>
      </c>
      <c r="R122" s="36"/>
      <c r="S122" s="37">
        <f t="shared" si="19"/>
        <v>112</v>
      </c>
      <c r="U122" s="38"/>
      <c r="V122" s="39" t="s">
        <v>150</v>
      </c>
      <c r="W122" s="40" t="str">
        <f>IF('Infos générales'!$E$2="x",IF(U122&gt;0,VLOOKUP(U122,'Infos joueurs'!$A:$M,4,FALSE)&amp;" / "&amp;VLOOKUP(U122,'Infos joueurs'!$A:$M,9,FALSE)," "),IF(U122&gt;0,VLOOKUP(U122,'Infos joueurs'!$A:$M,4,FALSE)&amp;" "&amp;VLOOKUP(U122,'Infos joueurs'!$A:$M,5,FALSE)," "))</f>
        <v xml:space="preserve"> </v>
      </c>
      <c r="Y122" s="33">
        <v>112</v>
      </c>
      <c r="Z122" s="256" t="str">
        <f t="shared" si="20"/>
        <v xml:space="preserve"> </v>
      </c>
      <c r="AA122" s="41" t="str">
        <f>IFERROR(INDEX('Infos joueurs'!$F$15:$F$270,MATCH(AB122,'Infos joueurs'!$A$15:$A$270,0))," ")</f>
        <v xml:space="preserve"> </v>
      </c>
      <c r="AB122" s="38">
        <f t="shared" si="21"/>
        <v>0</v>
      </c>
    </row>
    <row r="123" spans="1:28" x14ac:dyDescent="0.25">
      <c r="A123">
        <f t="shared" si="11"/>
        <v>1.0102230000000001</v>
      </c>
      <c r="B123">
        <f t="shared" si="12"/>
        <v>113</v>
      </c>
      <c r="C123" t="str">
        <f t="shared" si="13"/>
        <v xml:space="preserve"> </v>
      </c>
      <c r="D123">
        <f t="shared" si="14"/>
        <v>0</v>
      </c>
      <c r="E123">
        <f t="shared" si="15"/>
        <v>0</v>
      </c>
      <c r="F123">
        <f t="shared" si="16"/>
        <v>0</v>
      </c>
      <c r="G123">
        <f>IF($C$2="x",IFERROR(SMALL($A$11:$A$14,113),0),IF($C$3="x",IFERROR(SMALL($A$11:$A$18,113),0),IF($C$4="x",IFERROR(SMALL($A$11:$A$26,113),0),IF($C$5="x",IFERROR(SMALL($A$11:$A$42,113),0),IF($C$6="x",IFERROR(SMALL($A$11:$A$74,113),0),IF($C$7="x",IFERROR(SMALL($A$11:$A$138,113),0),IFERROR(SMALL($A$11:$A$266,113),0)))))))</f>
        <v>1.0102230000000001</v>
      </c>
      <c r="H123">
        <f t="shared" si="17"/>
        <v>113</v>
      </c>
      <c r="I123" t="str">
        <f t="shared" si="18"/>
        <v xml:space="preserve"> </v>
      </c>
      <c r="J123" s="34"/>
      <c r="K123" s="35" t="s">
        <v>38</v>
      </c>
      <c r="L123" s="36"/>
      <c r="M123" s="34"/>
      <c r="N123" s="35" t="s">
        <v>38</v>
      </c>
      <c r="O123" s="36"/>
      <c r="P123" s="34"/>
      <c r="Q123" s="35" t="s">
        <v>38</v>
      </c>
      <c r="R123" s="36"/>
      <c r="S123" s="37">
        <f t="shared" si="19"/>
        <v>113</v>
      </c>
      <c r="U123" s="38"/>
      <c r="V123" s="39" t="s">
        <v>151</v>
      </c>
      <c r="W123" s="40" t="str">
        <f>IF('Infos générales'!$E$2="x",IF(U123&gt;0,VLOOKUP(U123,'Infos joueurs'!$A:$M,4,FALSE)&amp;" / "&amp;VLOOKUP(U123,'Infos joueurs'!$A:$M,9,FALSE)," "),IF(U123&gt;0,VLOOKUP(U123,'Infos joueurs'!$A:$M,4,FALSE)&amp;" "&amp;VLOOKUP(U123,'Infos joueurs'!$A:$M,5,FALSE)," "))</f>
        <v xml:space="preserve"> </v>
      </c>
      <c r="Y123" s="33">
        <v>113</v>
      </c>
      <c r="Z123" s="256" t="str">
        <f t="shared" si="20"/>
        <v xml:space="preserve"> </v>
      </c>
      <c r="AA123" s="41" t="str">
        <f>IFERROR(INDEX('Infos joueurs'!$F$15:$F$270,MATCH(AB123,'Infos joueurs'!$A$15:$A$270,0))," ")</f>
        <v xml:space="preserve"> </v>
      </c>
      <c r="AB123" s="38">
        <f t="shared" si="21"/>
        <v>0</v>
      </c>
    </row>
    <row r="124" spans="1:28" x14ac:dyDescent="0.25">
      <c r="A124">
        <f t="shared" si="11"/>
        <v>1.010224</v>
      </c>
      <c r="B124">
        <f t="shared" si="12"/>
        <v>114</v>
      </c>
      <c r="C124" t="str">
        <f t="shared" si="13"/>
        <v xml:space="preserve"> </v>
      </c>
      <c r="D124">
        <f t="shared" si="14"/>
        <v>0</v>
      </c>
      <c r="E124">
        <f t="shared" si="15"/>
        <v>0</v>
      </c>
      <c r="F124">
        <f t="shared" si="16"/>
        <v>0</v>
      </c>
      <c r="G124">
        <f>IF($C$2="x",IFERROR(SMALL($A$11:$A$14,114),0),IF($C$3="x",IFERROR(SMALL($A$11:$A$18,114),0),IF($C$4="x",IFERROR(SMALL($A$11:$A$26,114),0),IF($C$5="x",IFERROR(SMALL($A$11:$A$42,114),0),IF($C$6="x",IFERROR(SMALL($A$11:$A$74,114),0),IF($C$7="x",IFERROR(SMALL($A$11:$A$138,114),0),IFERROR(SMALL($A$11:$A$266,114),0)))))))</f>
        <v>1.010224</v>
      </c>
      <c r="H124">
        <f t="shared" si="17"/>
        <v>114</v>
      </c>
      <c r="I124" t="str">
        <f t="shared" si="18"/>
        <v xml:space="preserve"> </v>
      </c>
      <c r="J124" s="34"/>
      <c r="K124" s="35" t="s">
        <v>38</v>
      </c>
      <c r="L124" s="36"/>
      <c r="M124" s="34"/>
      <c r="N124" s="35" t="s">
        <v>38</v>
      </c>
      <c r="O124" s="36"/>
      <c r="P124" s="34"/>
      <c r="Q124" s="35" t="s">
        <v>38</v>
      </c>
      <c r="R124" s="36"/>
      <c r="S124" s="37">
        <f t="shared" si="19"/>
        <v>114</v>
      </c>
      <c r="U124" s="38"/>
      <c r="V124" s="39" t="s">
        <v>152</v>
      </c>
      <c r="W124" s="40" t="str">
        <f>IF('Infos générales'!$E$2="x",IF(U124&gt;0,VLOOKUP(U124,'Infos joueurs'!$A:$M,4,FALSE)&amp;" / "&amp;VLOOKUP(U124,'Infos joueurs'!$A:$M,9,FALSE)," "),IF(U124&gt;0,VLOOKUP(U124,'Infos joueurs'!$A:$M,4,FALSE)&amp;" "&amp;VLOOKUP(U124,'Infos joueurs'!$A:$M,5,FALSE)," "))</f>
        <v xml:space="preserve"> </v>
      </c>
      <c r="Y124" s="33">
        <v>114</v>
      </c>
      <c r="Z124" s="256" t="str">
        <f t="shared" si="20"/>
        <v xml:space="preserve"> </v>
      </c>
      <c r="AA124" s="41" t="str">
        <f>IFERROR(INDEX('Infos joueurs'!$F$15:$F$270,MATCH(AB124,'Infos joueurs'!$A$15:$A$270,0))," ")</f>
        <v xml:space="preserve"> </v>
      </c>
      <c r="AB124" s="38">
        <f t="shared" si="21"/>
        <v>0</v>
      </c>
    </row>
    <row r="125" spans="1:28" x14ac:dyDescent="0.25">
      <c r="A125">
        <f t="shared" si="11"/>
        <v>1.0102249999999999</v>
      </c>
      <c r="B125">
        <f t="shared" si="12"/>
        <v>115</v>
      </c>
      <c r="C125" t="str">
        <f t="shared" si="13"/>
        <v xml:space="preserve"> </v>
      </c>
      <c r="D125">
        <f t="shared" si="14"/>
        <v>0</v>
      </c>
      <c r="E125">
        <f t="shared" si="15"/>
        <v>0</v>
      </c>
      <c r="F125">
        <f t="shared" si="16"/>
        <v>0</v>
      </c>
      <c r="G125">
        <f>IF($C$2="x",IFERROR(SMALL($A$11:$A$14,115),0),IF($C$3="x",IFERROR(SMALL($A$11:$A$18,115),0),IF($C$4="x",IFERROR(SMALL($A$11:$A$26,115),0),IF($C$5="x",IFERROR(SMALL($A$11:$A$42,115),0),IF($C$6="x",IFERROR(SMALL($A$11:$A$74,115),0),IF($C$7="x",IFERROR(SMALL($A$11:$A$138,115),0),IFERROR(SMALL($A$11:$A$266,115),0)))))))</f>
        <v>1.0102249999999999</v>
      </c>
      <c r="H125">
        <f t="shared" si="17"/>
        <v>115</v>
      </c>
      <c r="I125" t="str">
        <f t="shared" si="18"/>
        <v xml:space="preserve"> </v>
      </c>
      <c r="J125" s="34"/>
      <c r="K125" s="35" t="s">
        <v>38</v>
      </c>
      <c r="L125" s="36"/>
      <c r="M125" s="34"/>
      <c r="N125" s="35" t="s">
        <v>38</v>
      </c>
      <c r="O125" s="36"/>
      <c r="P125" s="34"/>
      <c r="Q125" s="35" t="s">
        <v>38</v>
      </c>
      <c r="R125" s="36"/>
      <c r="S125" s="37">
        <f t="shared" si="19"/>
        <v>115</v>
      </c>
      <c r="U125" s="38"/>
      <c r="V125" s="39" t="s">
        <v>153</v>
      </c>
      <c r="W125" s="40" t="str">
        <f>IF('Infos générales'!$E$2="x",IF(U125&gt;0,VLOOKUP(U125,'Infos joueurs'!$A:$M,4,FALSE)&amp;" / "&amp;VLOOKUP(U125,'Infos joueurs'!$A:$M,9,FALSE)," "),IF(U125&gt;0,VLOOKUP(U125,'Infos joueurs'!$A:$M,4,FALSE)&amp;" "&amp;VLOOKUP(U125,'Infos joueurs'!$A:$M,5,FALSE)," "))</f>
        <v xml:space="preserve"> </v>
      </c>
      <c r="Y125" s="33">
        <v>115</v>
      </c>
      <c r="Z125" s="256" t="str">
        <f t="shared" si="20"/>
        <v xml:space="preserve"> </v>
      </c>
      <c r="AA125" s="41" t="str">
        <f>IFERROR(INDEX('Infos joueurs'!$F$15:$F$270,MATCH(AB125,'Infos joueurs'!$A$15:$A$270,0))," ")</f>
        <v xml:space="preserve"> </v>
      </c>
      <c r="AB125" s="38">
        <f t="shared" si="21"/>
        <v>0</v>
      </c>
    </row>
    <row r="126" spans="1:28" x14ac:dyDescent="0.25">
      <c r="A126">
        <f t="shared" si="11"/>
        <v>1.0102260000000001</v>
      </c>
      <c r="B126">
        <f t="shared" si="12"/>
        <v>116</v>
      </c>
      <c r="C126" t="str">
        <f t="shared" si="13"/>
        <v xml:space="preserve"> </v>
      </c>
      <c r="D126">
        <f t="shared" si="14"/>
        <v>0</v>
      </c>
      <c r="E126">
        <f t="shared" si="15"/>
        <v>0</v>
      </c>
      <c r="F126">
        <f t="shared" si="16"/>
        <v>0</v>
      </c>
      <c r="G126">
        <f>IF($C$2="x",IFERROR(SMALL($A$11:$A$14,116),0),IF($C$3="x",IFERROR(SMALL($A$11:$A$18,116),0),IF($C$4="x",IFERROR(SMALL($A$11:$A$26,116),0),IF($C$5="x",IFERROR(SMALL($A$11:$A$42,116),0),IF($C$6="x",IFERROR(SMALL($A$11:$A$74,116),0),IF($C$7="x",IFERROR(SMALL($A$11:$A$138,116),0),IFERROR(SMALL($A$11:$A$266,116),0)))))))</f>
        <v>1.0102260000000001</v>
      </c>
      <c r="H126">
        <f t="shared" si="17"/>
        <v>116</v>
      </c>
      <c r="I126" t="str">
        <f t="shared" si="18"/>
        <v xml:space="preserve"> </v>
      </c>
      <c r="J126" s="34"/>
      <c r="K126" s="35" t="s">
        <v>38</v>
      </c>
      <c r="L126" s="36"/>
      <c r="M126" s="34"/>
      <c r="N126" s="35" t="s">
        <v>38</v>
      </c>
      <c r="O126" s="36"/>
      <c r="P126" s="34"/>
      <c r="Q126" s="35" t="s">
        <v>38</v>
      </c>
      <c r="R126" s="36"/>
      <c r="S126" s="37">
        <f t="shared" si="19"/>
        <v>116</v>
      </c>
      <c r="U126" s="38"/>
      <c r="V126" s="39" t="s">
        <v>154</v>
      </c>
      <c r="W126" s="40" t="str">
        <f>IF('Infos générales'!$E$2="x",IF(U126&gt;0,VLOOKUP(U126,'Infos joueurs'!$A:$M,4,FALSE)&amp;" / "&amp;VLOOKUP(U126,'Infos joueurs'!$A:$M,9,FALSE)," "),IF(U126&gt;0,VLOOKUP(U126,'Infos joueurs'!$A:$M,4,FALSE)&amp;" "&amp;VLOOKUP(U126,'Infos joueurs'!$A:$M,5,FALSE)," "))</f>
        <v xml:space="preserve"> </v>
      </c>
      <c r="Y126" s="33">
        <v>116</v>
      </c>
      <c r="Z126" s="256" t="str">
        <f t="shared" si="20"/>
        <v xml:space="preserve"> </v>
      </c>
      <c r="AA126" s="41" t="str">
        <f>IFERROR(INDEX('Infos joueurs'!$F$15:$F$270,MATCH(AB126,'Infos joueurs'!$A$15:$A$270,0))," ")</f>
        <v xml:space="preserve"> </v>
      </c>
      <c r="AB126" s="38">
        <f t="shared" si="21"/>
        <v>0</v>
      </c>
    </row>
    <row r="127" spans="1:28" x14ac:dyDescent="0.25">
      <c r="A127">
        <f t="shared" si="11"/>
        <v>1.010227</v>
      </c>
      <c r="B127">
        <f t="shared" si="12"/>
        <v>117</v>
      </c>
      <c r="C127" t="str">
        <f t="shared" si="13"/>
        <v xml:space="preserve"> </v>
      </c>
      <c r="D127">
        <f t="shared" si="14"/>
        <v>0</v>
      </c>
      <c r="E127">
        <f t="shared" si="15"/>
        <v>0</v>
      </c>
      <c r="F127">
        <f t="shared" si="16"/>
        <v>0</v>
      </c>
      <c r="G127">
        <f>IF($C$2="x",IFERROR(SMALL($A$11:$A$14,117),0),IF($C$3="x",IFERROR(SMALL($A$11:$A$18,117),0),IF($C$4="x",IFERROR(SMALL($A$11:$A$26,117),0),IF($C$5="x",IFERROR(SMALL($A$11:$A$42,117),0),IF($C$6="x",IFERROR(SMALL($A$11:$A$74,117),0),IF($C$7="x",IFERROR(SMALL($A$11:$A$138,117),0),IFERROR(SMALL($A$11:$A$266,117),0)))))))</f>
        <v>1.010227</v>
      </c>
      <c r="H127">
        <f t="shared" si="17"/>
        <v>117</v>
      </c>
      <c r="I127" t="str">
        <f t="shared" si="18"/>
        <v xml:space="preserve"> </v>
      </c>
      <c r="J127" s="34"/>
      <c r="K127" s="35" t="s">
        <v>38</v>
      </c>
      <c r="L127" s="36"/>
      <c r="M127" s="34"/>
      <c r="N127" s="35" t="s">
        <v>38</v>
      </c>
      <c r="O127" s="36"/>
      <c r="P127" s="34"/>
      <c r="Q127" s="35" t="s">
        <v>38</v>
      </c>
      <c r="R127" s="36"/>
      <c r="S127" s="37">
        <f t="shared" si="19"/>
        <v>117</v>
      </c>
      <c r="U127" s="38"/>
      <c r="V127" s="39" t="s">
        <v>155</v>
      </c>
      <c r="W127" s="40" t="str">
        <f>IF('Infos générales'!$E$2="x",IF(U127&gt;0,VLOOKUP(U127,'Infos joueurs'!$A:$M,4,FALSE)&amp;" / "&amp;VLOOKUP(U127,'Infos joueurs'!$A:$M,9,FALSE)," "),IF(U127&gt;0,VLOOKUP(U127,'Infos joueurs'!$A:$M,4,FALSE)&amp;" "&amp;VLOOKUP(U127,'Infos joueurs'!$A:$M,5,FALSE)," "))</f>
        <v xml:space="preserve"> </v>
      </c>
      <c r="Y127" s="33">
        <v>117</v>
      </c>
      <c r="Z127" s="256" t="str">
        <f t="shared" si="20"/>
        <v xml:space="preserve"> </v>
      </c>
      <c r="AA127" s="41" t="str">
        <f>IFERROR(INDEX('Infos joueurs'!$F$15:$F$270,MATCH(AB127,'Infos joueurs'!$A$15:$A$270,0))," ")</f>
        <v xml:space="preserve"> </v>
      </c>
      <c r="AB127" s="38">
        <f t="shared" si="21"/>
        <v>0</v>
      </c>
    </row>
    <row r="128" spans="1:28" x14ac:dyDescent="0.25">
      <c r="A128">
        <f t="shared" si="11"/>
        <v>1.0102279999999999</v>
      </c>
      <c r="B128">
        <f t="shared" si="12"/>
        <v>118</v>
      </c>
      <c r="C128" t="str">
        <f t="shared" si="13"/>
        <v xml:space="preserve"> </v>
      </c>
      <c r="D128">
        <f t="shared" si="14"/>
        <v>0</v>
      </c>
      <c r="E128">
        <f t="shared" si="15"/>
        <v>0</v>
      </c>
      <c r="F128">
        <f t="shared" si="16"/>
        <v>0</v>
      </c>
      <c r="G128">
        <f>IF($C$2="x",IFERROR(SMALL($A$11:$A$14,118),0),IF($C$3="x",IFERROR(SMALL($A$11:$A$18,118),0),IF($C$4="x",IFERROR(SMALL($A$11:$A$26,118),0),IF($C$5="x",IFERROR(SMALL($A$11:$A$42,118),0),IF($C$6="x",IFERROR(SMALL($A$11:$A$74,118),0),IF($C$7="x",IFERROR(SMALL($A$11:$A$138,118),0),IFERROR(SMALL($A$11:$A$266,118),0)))))))</f>
        <v>1.0102279999999999</v>
      </c>
      <c r="H128">
        <f t="shared" si="17"/>
        <v>118</v>
      </c>
      <c r="I128" t="str">
        <f t="shared" si="18"/>
        <v xml:space="preserve"> </v>
      </c>
      <c r="J128" s="34"/>
      <c r="K128" s="35" t="s">
        <v>38</v>
      </c>
      <c r="L128" s="36"/>
      <c r="M128" s="34"/>
      <c r="N128" s="35" t="s">
        <v>38</v>
      </c>
      <c r="O128" s="36"/>
      <c r="P128" s="34"/>
      <c r="Q128" s="35" t="s">
        <v>38</v>
      </c>
      <c r="R128" s="36"/>
      <c r="S128" s="37">
        <f t="shared" si="19"/>
        <v>118</v>
      </c>
      <c r="U128" s="38"/>
      <c r="V128" s="39" t="s">
        <v>156</v>
      </c>
      <c r="W128" s="40" t="str">
        <f>IF('Infos générales'!$E$2="x",IF(U128&gt;0,VLOOKUP(U128,'Infos joueurs'!$A:$M,4,FALSE)&amp;" / "&amp;VLOOKUP(U128,'Infos joueurs'!$A:$M,9,FALSE)," "),IF(U128&gt;0,VLOOKUP(U128,'Infos joueurs'!$A:$M,4,FALSE)&amp;" "&amp;VLOOKUP(U128,'Infos joueurs'!$A:$M,5,FALSE)," "))</f>
        <v xml:space="preserve"> </v>
      </c>
      <c r="Y128" s="33">
        <v>118</v>
      </c>
      <c r="Z128" s="256" t="str">
        <f t="shared" si="20"/>
        <v xml:space="preserve"> </v>
      </c>
      <c r="AA128" s="41" t="str">
        <f>IFERROR(INDEX('Infos joueurs'!$F$15:$F$270,MATCH(AB128,'Infos joueurs'!$A$15:$A$270,0))," ")</f>
        <v xml:space="preserve"> </v>
      </c>
      <c r="AB128" s="38">
        <f t="shared" si="21"/>
        <v>0</v>
      </c>
    </row>
    <row r="129" spans="1:28" x14ac:dyDescent="0.25">
      <c r="A129">
        <f t="shared" si="11"/>
        <v>1.010229</v>
      </c>
      <c r="B129">
        <f t="shared" si="12"/>
        <v>119</v>
      </c>
      <c r="C129" t="str">
        <f t="shared" si="13"/>
        <v xml:space="preserve"> </v>
      </c>
      <c r="D129">
        <f t="shared" si="14"/>
        <v>0</v>
      </c>
      <c r="E129">
        <f t="shared" si="15"/>
        <v>0</v>
      </c>
      <c r="F129">
        <f t="shared" si="16"/>
        <v>0</v>
      </c>
      <c r="G129">
        <f>IF($C$2="x",IFERROR(SMALL($A$11:$A$14,119),0),IF($C$3="x",IFERROR(SMALL($A$11:$A$18,119),0),IF($C$4="x",IFERROR(SMALL($A$11:$A$26,119),0),IF($C$5="x",IFERROR(SMALL($A$11:$A$42,119),0),IF($C$6="x",IFERROR(SMALL($A$11:$A$74,119),0),IF($C$7="x",IFERROR(SMALL($A$11:$A$138,119),0),IFERROR(SMALL($A$11:$A$266,119),0)))))))</f>
        <v>1.010229</v>
      </c>
      <c r="H129">
        <f t="shared" si="17"/>
        <v>119</v>
      </c>
      <c r="I129" t="str">
        <f t="shared" si="18"/>
        <v xml:space="preserve"> </v>
      </c>
      <c r="J129" s="34"/>
      <c r="K129" s="35" t="s">
        <v>38</v>
      </c>
      <c r="L129" s="36"/>
      <c r="M129" s="34"/>
      <c r="N129" s="35" t="s">
        <v>38</v>
      </c>
      <c r="O129" s="36"/>
      <c r="P129" s="34"/>
      <c r="Q129" s="35" t="s">
        <v>38</v>
      </c>
      <c r="R129" s="36"/>
      <c r="S129" s="37">
        <f t="shared" si="19"/>
        <v>119</v>
      </c>
      <c r="U129" s="38"/>
      <c r="V129" s="39" t="s">
        <v>157</v>
      </c>
      <c r="W129" s="40" t="str">
        <f>IF('Infos générales'!$E$2="x",IF(U129&gt;0,VLOOKUP(U129,'Infos joueurs'!$A:$M,4,FALSE)&amp;" / "&amp;VLOOKUP(U129,'Infos joueurs'!$A:$M,9,FALSE)," "),IF(U129&gt;0,VLOOKUP(U129,'Infos joueurs'!$A:$M,4,FALSE)&amp;" "&amp;VLOOKUP(U129,'Infos joueurs'!$A:$M,5,FALSE)," "))</f>
        <v xml:space="preserve"> </v>
      </c>
      <c r="Y129" s="33">
        <v>119</v>
      </c>
      <c r="Z129" s="256" t="str">
        <f t="shared" si="20"/>
        <v xml:space="preserve"> </v>
      </c>
      <c r="AA129" s="41" t="str">
        <f>IFERROR(INDEX('Infos joueurs'!$F$15:$F$270,MATCH(AB129,'Infos joueurs'!$A$15:$A$270,0))," ")</f>
        <v xml:space="preserve"> </v>
      </c>
      <c r="AB129" s="38">
        <f t="shared" si="21"/>
        <v>0</v>
      </c>
    </row>
    <row r="130" spans="1:28" x14ac:dyDescent="0.25">
      <c r="A130">
        <f t="shared" si="11"/>
        <v>1.01023</v>
      </c>
      <c r="B130">
        <f t="shared" si="12"/>
        <v>120</v>
      </c>
      <c r="C130" t="str">
        <f t="shared" si="13"/>
        <v xml:space="preserve"> </v>
      </c>
      <c r="D130">
        <f t="shared" si="14"/>
        <v>0</v>
      </c>
      <c r="E130">
        <f t="shared" si="15"/>
        <v>0</v>
      </c>
      <c r="F130">
        <f t="shared" si="16"/>
        <v>0</v>
      </c>
      <c r="G130">
        <f>IF($C$2="x",IFERROR(SMALL($A$11:$A$14,120),0),IF($C$3="x",IFERROR(SMALL($A$11:$A$18,120),0),IF($C$4="x",IFERROR(SMALL($A$11:$A$26,120),0),IF($C$5="x",IFERROR(SMALL($A$11:$A$42,120),0),IF($C$6="x",IFERROR(SMALL($A$11:$A$74,120),0),IF($C$7="x",IFERROR(SMALL($A$11:$A$138,120),0),IFERROR(SMALL($A$11:$A$266,120),0)))))))</f>
        <v>1.01023</v>
      </c>
      <c r="H130">
        <f t="shared" si="17"/>
        <v>120</v>
      </c>
      <c r="I130" t="str">
        <f t="shared" si="18"/>
        <v xml:space="preserve"> </v>
      </c>
      <c r="J130" s="34"/>
      <c r="K130" s="35" t="s">
        <v>38</v>
      </c>
      <c r="L130" s="36"/>
      <c r="M130" s="34"/>
      <c r="N130" s="35" t="s">
        <v>38</v>
      </c>
      <c r="O130" s="36"/>
      <c r="P130" s="34"/>
      <c r="Q130" s="35" t="s">
        <v>38</v>
      </c>
      <c r="R130" s="36"/>
      <c r="S130" s="37">
        <f t="shared" si="19"/>
        <v>120</v>
      </c>
      <c r="U130" s="38"/>
      <c r="V130" s="39" t="s">
        <v>158</v>
      </c>
      <c r="W130" s="40" t="str">
        <f>IF('Infos générales'!$E$2="x",IF(U130&gt;0,VLOOKUP(U130,'Infos joueurs'!$A:$M,4,FALSE)&amp;" / "&amp;VLOOKUP(U130,'Infos joueurs'!$A:$M,9,FALSE)," "),IF(U130&gt;0,VLOOKUP(U130,'Infos joueurs'!$A:$M,4,FALSE)&amp;" "&amp;VLOOKUP(U130,'Infos joueurs'!$A:$M,5,FALSE)," "))</f>
        <v xml:space="preserve"> </v>
      </c>
      <c r="Y130" s="33">
        <v>120</v>
      </c>
      <c r="Z130" s="256" t="str">
        <f t="shared" si="20"/>
        <v xml:space="preserve"> </v>
      </c>
      <c r="AA130" s="41" t="str">
        <f>IFERROR(INDEX('Infos joueurs'!$F$15:$F$270,MATCH(AB130,'Infos joueurs'!$A$15:$A$270,0))," ")</f>
        <v xml:space="preserve"> </v>
      </c>
      <c r="AB130" s="38">
        <f t="shared" si="21"/>
        <v>0</v>
      </c>
    </row>
    <row r="131" spans="1:28" x14ac:dyDescent="0.25">
      <c r="A131">
        <f t="shared" si="11"/>
        <v>1.0102310000000001</v>
      </c>
      <c r="B131">
        <f t="shared" si="12"/>
        <v>121</v>
      </c>
      <c r="C131" t="str">
        <f t="shared" si="13"/>
        <v xml:space="preserve"> </v>
      </c>
      <c r="D131">
        <f t="shared" si="14"/>
        <v>0</v>
      </c>
      <c r="E131">
        <f t="shared" si="15"/>
        <v>0</v>
      </c>
      <c r="F131">
        <f t="shared" si="16"/>
        <v>0</v>
      </c>
      <c r="G131">
        <f>IF($C$2="x",IFERROR(SMALL($A$11:$A$14,121),0),IF($C$3="x",IFERROR(SMALL($A$11:$A$18,121),0),IF($C$4="x",IFERROR(SMALL($A$11:$A$26,121),0),IF($C$5="x",IFERROR(SMALL($A$11:$A$42,121),0),IF($C$6="x",IFERROR(SMALL($A$11:$A$74,121),0),IF($C$7="x",IFERROR(SMALL($A$11:$A$138,121),0),IFERROR(SMALL($A$11:$A$266,121),0)))))))</f>
        <v>1.0102310000000001</v>
      </c>
      <c r="H131">
        <f t="shared" si="17"/>
        <v>121</v>
      </c>
      <c r="I131" t="str">
        <f t="shared" si="18"/>
        <v xml:space="preserve"> </v>
      </c>
      <c r="J131" s="34"/>
      <c r="K131" s="35" t="s">
        <v>38</v>
      </c>
      <c r="L131" s="36"/>
      <c r="M131" s="34"/>
      <c r="N131" s="35" t="s">
        <v>38</v>
      </c>
      <c r="O131" s="36"/>
      <c r="P131" s="34"/>
      <c r="Q131" s="35" t="s">
        <v>38</v>
      </c>
      <c r="R131" s="36"/>
      <c r="S131" s="37">
        <f t="shared" si="19"/>
        <v>121</v>
      </c>
      <c r="U131" s="38"/>
      <c r="V131" s="39" t="s">
        <v>159</v>
      </c>
      <c r="W131" s="40" t="str">
        <f>IF('Infos générales'!$E$2="x",IF(U131&gt;0,VLOOKUP(U131,'Infos joueurs'!$A:$M,4,FALSE)&amp;" / "&amp;VLOOKUP(U131,'Infos joueurs'!$A:$M,9,FALSE)," "),IF(U131&gt;0,VLOOKUP(U131,'Infos joueurs'!$A:$M,4,FALSE)&amp;" "&amp;VLOOKUP(U131,'Infos joueurs'!$A:$M,5,FALSE)," "))</f>
        <v xml:space="preserve"> </v>
      </c>
      <c r="Y131" s="33">
        <v>121</v>
      </c>
      <c r="Z131" s="256" t="str">
        <f t="shared" si="20"/>
        <v xml:space="preserve"> </v>
      </c>
      <c r="AA131" s="41" t="str">
        <f>IFERROR(INDEX('Infos joueurs'!$F$15:$F$270,MATCH(AB131,'Infos joueurs'!$A$15:$A$270,0))," ")</f>
        <v xml:space="preserve"> </v>
      </c>
      <c r="AB131" s="38">
        <f t="shared" si="21"/>
        <v>0</v>
      </c>
    </row>
    <row r="132" spans="1:28" x14ac:dyDescent="0.25">
      <c r="A132">
        <f t="shared" si="11"/>
        <v>1.010232</v>
      </c>
      <c r="B132">
        <f t="shared" si="12"/>
        <v>122</v>
      </c>
      <c r="C132" t="str">
        <f t="shared" si="13"/>
        <v xml:space="preserve"> </v>
      </c>
      <c r="D132">
        <f t="shared" si="14"/>
        <v>0</v>
      </c>
      <c r="E132">
        <f t="shared" si="15"/>
        <v>0</v>
      </c>
      <c r="F132">
        <f t="shared" si="16"/>
        <v>0</v>
      </c>
      <c r="G132">
        <f>IF($C$2="x",IFERROR(SMALL($A$11:$A$14,122),0),IF($C$3="x",IFERROR(SMALL($A$11:$A$18,122),0),IF($C$4="x",IFERROR(SMALL($A$11:$A$26,122),0),IF($C$5="x",IFERROR(SMALL($A$11:$A$42,122),0),IF($C$6="x",IFERROR(SMALL($A$11:$A$74,122),0),IF($C$7="x",IFERROR(SMALL($A$11:$A$138,122),0),IFERROR(SMALL($A$11:$A$266,122),0)))))))</f>
        <v>1.010232</v>
      </c>
      <c r="H132">
        <f t="shared" si="17"/>
        <v>122</v>
      </c>
      <c r="I132" t="str">
        <f t="shared" si="18"/>
        <v xml:space="preserve"> </v>
      </c>
      <c r="J132" s="34"/>
      <c r="K132" s="35" t="s">
        <v>38</v>
      </c>
      <c r="L132" s="36"/>
      <c r="M132" s="34"/>
      <c r="N132" s="35" t="s">
        <v>38</v>
      </c>
      <c r="O132" s="36"/>
      <c r="P132" s="34"/>
      <c r="Q132" s="35" t="s">
        <v>38</v>
      </c>
      <c r="R132" s="36"/>
      <c r="S132" s="37">
        <f t="shared" si="19"/>
        <v>122</v>
      </c>
      <c r="U132" s="38"/>
      <c r="V132" s="39" t="s">
        <v>160</v>
      </c>
      <c r="W132" s="40" t="str">
        <f>IF('Infos générales'!$E$2="x",IF(U132&gt;0,VLOOKUP(U132,'Infos joueurs'!$A:$M,4,FALSE)&amp;" / "&amp;VLOOKUP(U132,'Infos joueurs'!$A:$M,9,FALSE)," "),IF(U132&gt;0,VLOOKUP(U132,'Infos joueurs'!$A:$M,4,FALSE)&amp;" "&amp;VLOOKUP(U132,'Infos joueurs'!$A:$M,5,FALSE)," "))</f>
        <v xml:space="preserve"> </v>
      </c>
      <c r="Y132" s="33">
        <v>122</v>
      </c>
      <c r="Z132" s="256" t="str">
        <f t="shared" si="20"/>
        <v xml:space="preserve"> </v>
      </c>
      <c r="AA132" s="41" t="str">
        <f>IFERROR(INDEX('Infos joueurs'!$F$15:$F$270,MATCH(AB132,'Infos joueurs'!$A$15:$A$270,0))," ")</f>
        <v xml:space="preserve"> </v>
      </c>
      <c r="AB132" s="38">
        <f t="shared" si="21"/>
        <v>0</v>
      </c>
    </row>
    <row r="133" spans="1:28" x14ac:dyDescent="0.25">
      <c r="A133">
        <f t="shared" si="11"/>
        <v>1.0102329999999999</v>
      </c>
      <c r="B133">
        <f t="shared" si="12"/>
        <v>123</v>
      </c>
      <c r="C133" t="str">
        <f t="shared" si="13"/>
        <v xml:space="preserve"> </v>
      </c>
      <c r="D133">
        <f t="shared" si="14"/>
        <v>0</v>
      </c>
      <c r="E133">
        <f t="shared" si="15"/>
        <v>0</v>
      </c>
      <c r="F133">
        <f t="shared" si="16"/>
        <v>0</v>
      </c>
      <c r="G133">
        <f>IF($C$2="x",IFERROR(SMALL($A$11:$A$14,123),0),IF($C$3="x",IFERROR(SMALL($A$11:$A$18,123),0),IF($C$4="x",IFERROR(SMALL($A$11:$A$26,123),0),IF($C$5="x",IFERROR(SMALL($A$11:$A$42,123),0),IF($C$6="x",IFERROR(SMALL($A$11:$A$74,123),0),IF($C$7="x",IFERROR(SMALL($A$11:$A$138,123),0),IFERROR(SMALL($A$11:$A$266,123),0)))))))</f>
        <v>1.0102329999999999</v>
      </c>
      <c r="H133">
        <f t="shared" si="17"/>
        <v>123</v>
      </c>
      <c r="I133" t="str">
        <f t="shared" si="18"/>
        <v xml:space="preserve"> </v>
      </c>
      <c r="J133" s="34"/>
      <c r="K133" s="35" t="s">
        <v>38</v>
      </c>
      <c r="L133" s="36"/>
      <c r="M133" s="34"/>
      <c r="N133" s="35" t="s">
        <v>38</v>
      </c>
      <c r="O133" s="36"/>
      <c r="P133" s="34"/>
      <c r="Q133" s="35" t="s">
        <v>38</v>
      </c>
      <c r="R133" s="36"/>
      <c r="S133" s="37">
        <f t="shared" si="19"/>
        <v>123</v>
      </c>
      <c r="U133" s="38"/>
      <c r="V133" s="39" t="s">
        <v>161</v>
      </c>
      <c r="W133" s="40" t="str">
        <f>IF('Infos générales'!$E$2="x",IF(U133&gt;0,VLOOKUP(U133,'Infos joueurs'!$A:$M,4,FALSE)&amp;" / "&amp;VLOOKUP(U133,'Infos joueurs'!$A:$M,9,FALSE)," "),IF(U133&gt;0,VLOOKUP(U133,'Infos joueurs'!$A:$M,4,FALSE)&amp;" "&amp;VLOOKUP(U133,'Infos joueurs'!$A:$M,5,FALSE)," "))</f>
        <v xml:space="preserve"> </v>
      </c>
      <c r="Y133" s="33">
        <v>123</v>
      </c>
      <c r="Z133" s="256" t="str">
        <f t="shared" si="20"/>
        <v xml:space="preserve"> </v>
      </c>
      <c r="AA133" s="41" t="str">
        <f>IFERROR(INDEX('Infos joueurs'!$F$15:$F$270,MATCH(AB133,'Infos joueurs'!$A$15:$A$270,0))," ")</f>
        <v xml:space="preserve"> </v>
      </c>
      <c r="AB133" s="38">
        <f t="shared" si="21"/>
        <v>0</v>
      </c>
    </row>
    <row r="134" spans="1:28" x14ac:dyDescent="0.25">
      <c r="A134">
        <f t="shared" si="11"/>
        <v>1.0102340000000001</v>
      </c>
      <c r="B134">
        <f t="shared" si="12"/>
        <v>124</v>
      </c>
      <c r="C134" t="str">
        <f t="shared" si="13"/>
        <v xml:space="preserve"> </v>
      </c>
      <c r="D134">
        <f t="shared" si="14"/>
        <v>0</v>
      </c>
      <c r="E134">
        <f t="shared" si="15"/>
        <v>0</v>
      </c>
      <c r="F134">
        <f t="shared" si="16"/>
        <v>0</v>
      </c>
      <c r="G134">
        <f>IF($C$2="x",IFERROR(SMALL($A$11:$A$14,124),0),IF($C$3="x",IFERROR(SMALL($A$11:$A$18,124),0),IF($C$4="x",IFERROR(SMALL($A$11:$A$26,124),0),IF($C$5="x",IFERROR(SMALL($A$11:$A$42,124),0),IF($C$6="x",IFERROR(SMALL($A$11:$A$74,124),0),IF($C$7="x",IFERROR(SMALL($A$11:$A$138,124),0),IFERROR(SMALL($A$11:$A$266,124),0)))))))</f>
        <v>1.0102340000000001</v>
      </c>
      <c r="H134">
        <f t="shared" si="17"/>
        <v>124</v>
      </c>
      <c r="I134" t="str">
        <f t="shared" si="18"/>
        <v xml:space="preserve"> </v>
      </c>
      <c r="J134" s="34"/>
      <c r="K134" s="35" t="s">
        <v>38</v>
      </c>
      <c r="L134" s="36"/>
      <c r="M134" s="34"/>
      <c r="N134" s="35" t="s">
        <v>38</v>
      </c>
      <c r="O134" s="36"/>
      <c r="P134" s="34"/>
      <c r="Q134" s="35" t="s">
        <v>38</v>
      </c>
      <c r="R134" s="36"/>
      <c r="S134" s="37">
        <f t="shared" si="19"/>
        <v>124</v>
      </c>
      <c r="U134" s="38"/>
      <c r="V134" s="39" t="s">
        <v>162</v>
      </c>
      <c r="W134" s="40" t="str">
        <f>IF('Infos générales'!$E$2="x",IF(U134&gt;0,VLOOKUP(U134,'Infos joueurs'!$A:$M,4,FALSE)&amp;" / "&amp;VLOOKUP(U134,'Infos joueurs'!$A:$M,9,FALSE)," "),IF(U134&gt;0,VLOOKUP(U134,'Infos joueurs'!$A:$M,4,FALSE)&amp;" "&amp;VLOOKUP(U134,'Infos joueurs'!$A:$M,5,FALSE)," "))</f>
        <v xml:space="preserve"> </v>
      </c>
      <c r="Y134" s="33">
        <v>124</v>
      </c>
      <c r="Z134" s="256" t="str">
        <f t="shared" si="20"/>
        <v xml:space="preserve"> </v>
      </c>
      <c r="AA134" s="41" t="str">
        <f>IFERROR(INDEX('Infos joueurs'!$F$15:$F$270,MATCH(AB134,'Infos joueurs'!$A$15:$A$270,0))," ")</f>
        <v xml:space="preserve"> </v>
      </c>
      <c r="AB134" s="38">
        <f t="shared" si="21"/>
        <v>0</v>
      </c>
    </row>
    <row r="135" spans="1:28" x14ac:dyDescent="0.25">
      <c r="A135">
        <f t="shared" si="11"/>
        <v>1.010235</v>
      </c>
      <c r="B135">
        <f t="shared" si="12"/>
        <v>125</v>
      </c>
      <c r="C135" t="str">
        <f t="shared" si="13"/>
        <v xml:space="preserve"> </v>
      </c>
      <c r="D135">
        <f t="shared" si="14"/>
        <v>0</v>
      </c>
      <c r="E135">
        <f t="shared" si="15"/>
        <v>0</v>
      </c>
      <c r="F135">
        <f t="shared" si="16"/>
        <v>0</v>
      </c>
      <c r="G135">
        <f>IF($C$2="x",IFERROR(SMALL($A$11:$A$14,125),0),IF($C$3="x",IFERROR(SMALL($A$11:$A$18,125),0),IF($C$4="x",IFERROR(SMALL($A$11:$A$26,125),0),IF($C$5="x",IFERROR(SMALL($A$11:$A$42,125),0),IF($C$6="x",IFERROR(SMALL($A$11:$A$74,125),0),IF($C$7="x",IFERROR(SMALL($A$11:$A$138,125),0),IFERROR(SMALL($A$11:$A$266,125),0)))))))</f>
        <v>1.010235</v>
      </c>
      <c r="H135">
        <f t="shared" si="17"/>
        <v>125</v>
      </c>
      <c r="I135" t="str">
        <f t="shared" si="18"/>
        <v xml:space="preserve"> </v>
      </c>
      <c r="J135" s="34"/>
      <c r="K135" s="35" t="s">
        <v>38</v>
      </c>
      <c r="L135" s="36"/>
      <c r="M135" s="34"/>
      <c r="N135" s="35" t="s">
        <v>38</v>
      </c>
      <c r="O135" s="36"/>
      <c r="P135" s="34"/>
      <c r="Q135" s="35" t="s">
        <v>38</v>
      </c>
      <c r="R135" s="36"/>
      <c r="S135" s="37">
        <f t="shared" si="19"/>
        <v>125</v>
      </c>
      <c r="U135" s="38"/>
      <c r="V135" s="39" t="s">
        <v>163</v>
      </c>
      <c r="W135" s="40" t="str">
        <f>IF('Infos générales'!$E$2="x",IF(U135&gt;0,VLOOKUP(U135,'Infos joueurs'!$A:$M,4,FALSE)&amp;" / "&amp;VLOOKUP(U135,'Infos joueurs'!$A:$M,9,FALSE)," "),IF(U135&gt;0,VLOOKUP(U135,'Infos joueurs'!$A:$M,4,FALSE)&amp;" "&amp;VLOOKUP(U135,'Infos joueurs'!$A:$M,5,FALSE)," "))</f>
        <v xml:space="preserve"> </v>
      </c>
      <c r="Y135" s="33">
        <v>125</v>
      </c>
      <c r="Z135" s="256" t="str">
        <f t="shared" si="20"/>
        <v xml:space="preserve"> </v>
      </c>
      <c r="AA135" s="41" t="str">
        <f>IFERROR(INDEX('Infos joueurs'!$F$15:$F$270,MATCH(AB135,'Infos joueurs'!$A$15:$A$270,0))," ")</f>
        <v xml:space="preserve"> </v>
      </c>
      <c r="AB135" s="38">
        <f t="shared" si="21"/>
        <v>0</v>
      </c>
    </row>
    <row r="136" spans="1:28" x14ac:dyDescent="0.25">
      <c r="A136">
        <f t="shared" si="11"/>
        <v>1.0102359999999999</v>
      </c>
      <c r="B136">
        <f t="shared" si="12"/>
        <v>126</v>
      </c>
      <c r="C136" t="str">
        <f t="shared" si="13"/>
        <v xml:space="preserve"> </v>
      </c>
      <c r="D136">
        <f t="shared" si="14"/>
        <v>0</v>
      </c>
      <c r="E136">
        <f t="shared" si="15"/>
        <v>0</v>
      </c>
      <c r="F136">
        <f t="shared" si="16"/>
        <v>0</v>
      </c>
      <c r="G136">
        <f>IF($C$2="x",IFERROR(SMALL($A$11:$A$14,126),0),IF($C$3="x",IFERROR(SMALL($A$11:$A$18,126),0),IF($C$4="x",IFERROR(SMALL($A$11:$A$26,126),0),IF($C$5="x",IFERROR(SMALL($A$11:$A$42,126),0),IF($C$6="x",IFERROR(SMALL($A$11:$A$74,126),0),IF($C$7="x",IFERROR(SMALL($A$11:$A$138,126),0),IFERROR(SMALL($A$11:$A$266,126),0)))))))</f>
        <v>1.0102359999999999</v>
      </c>
      <c r="H136">
        <f t="shared" si="17"/>
        <v>126</v>
      </c>
      <c r="I136" t="str">
        <f t="shared" si="18"/>
        <v xml:space="preserve"> </v>
      </c>
      <c r="J136" s="34"/>
      <c r="K136" s="35" t="s">
        <v>38</v>
      </c>
      <c r="L136" s="36"/>
      <c r="M136" s="34"/>
      <c r="N136" s="35" t="s">
        <v>38</v>
      </c>
      <c r="O136" s="36"/>
      <c r="P136" s="34"/>
      <c r="Q136" s="35" t="s">
        <v>38</v>
      </c>
      <c r="R136" s="36"/>
      <c r="S136" s="37">
        <f t="shared" si="19"/>
        <v>126</v>
      </c>
      <c r="U136" s="38"/>
      <c r="V136" s="39" t="s">
        <v>164</v>
      </c>
      <c r="W136" s="40" t="str">
        <f>IF('Infos générales'!$E$2="x",IF(U136&gt;0,VLOOKUP(U136,'Infos joueurs'!$A:$M,4,FALSE)&amp;" / "&amp;VLOOKUP(U136,'Infos joueurs'!$A:$M,9,FALSE)," "),IF(U136&gt;0,VLOOKUP(U136,'Infos joueurs'!$A:$M,4,FALSE)&amp;" "&amp;VLOOKUP(U136,'Infos joueurs'!$A:$M,5,FALSE)," "))</f>
        <v xml:space="preserve"> </v>
      </c>
      <c r="Y136" s="33">
        <v>126</v>
      </c>
      <c r="Z136" s="256" t="str">
        <f t="shared" si="20"/>
        <v xml:space="preserve"> </v>
      </c>
      <c r="AA136" s="41" t="str">
        <f>IFERROR(INDEX('Infos joueurs'!$F$15:$F$270,MATCH(AB136,'Infos joueurs'!$A$15:$A$270,0))," ")</f>
        <v xml:space="preserve"> </v>
      </c>
      <c r="AB136" s="38">
        <f t="shared" si="21"/>
        <v>0</v>
      </c>
    </row>
    <row r="137" spans="1:28" x14ac:dyDescent="0.25">
      <c r="A137">
        <f t="shared" si="11"/>
        <v>1.0102370000000001</v>
      </c>
      <c r="B137">
        <f t="shared" si="12"/>
        <v>127</v>
      </c>
      <c r="C137" t="str">
        <f t="shared" si="13"/>
        <v xml:space="preserve"> </v>
      </c>
      <c r="D137">
        <f t="shared" si="14"/>
        <v>0</v>
      </c>
      <c r="E137">
        <f t="shared" si="15"/>
        <v>0</v>
      </c>
      <c r="F137">
        <f t="shared" si="16"/>
        <v>0</v>
      </c>
      <c r="G137">
        <f>IF($C$2="x",IFERROR(SMALL($A$11:$A$14,127),0),IF($C$3="x",IFERROR(SMALL($A$11:$A$18,127),0),IF($C$4="x",IFERROR(SMALL($A$11:$A$26,127),0),IF($C$5="x",IFERROR(SMALL($A$11:$A$42,127),0),IF($C$6="x",IFERROR(SMALL($A$11:$A$74,127),0),IF($C$7="x",IFERROR(SMALL($A$11:$A$138,127),0),IFERROR(SMALL($A$11:$A$266,127),0)))))))</f>
        <v>1.0102370000000001</v>
      </c>
      <c r="H137">
        <f t="shared" si="17"/>
        <v>127</v>
      </c>
      <c r="I137" t="str">
        <f t="shared" si="18"/>
        <v xml:space="preserve"> </v>
      </c>
      <c r="J137" s="34"/>
      <c r="K137" s="35" t="s">
        <v>38</v>
      </c>
      <c r="L137" s="36"/>
      <c r="M137" s="34"/>
      <c r="N137" s="35" t="s">
        <v>38</v>
      </c>
      <c r="O137" s="36"/>
      <c r="P137" s="34"/>
      <c r="Q137" s="35" t="s">
        <v>38</v>
      </c>
      <c r="R137" s="36"/>
      <c r="S137" s="37">
        <f t="shared" si="19"/>
        <v>127</v>
      </c>
      <c r="U137" s="38"/>
      <c r="V137" s="39" t="s">
        <v>165</v>
      </c>
      <c r="W137" s="40" t="str">
        <f>IF('Infos générales'!$E$2="x",IF(U137&gt;0,VLOOKUP(U137,'Infos joueurs'!$A:$M,4,FALSE)&amp;" / "&amp;VLOOKUP(U137,'Infos joueurs'!$A:$M,9,FALSE)," "),IF(U137&gt;0,VLOOKUP(U137,'Infos joueurs'!$A:$M,4,FALSE)&amp;" "&amp;VLOOKUP(U137,'Infos joueurs'!$A:$M,5,FALSE)," "))</f>
        <v xml:space="preserve"> </v>
      </c>
      <c r="Y137" s="33">
        <v>127</v>
      </c>
      <c r="Z137" s="256" t="str">
        <f t="shared" si="20"/>
        <v xml:space="preserve"> </v>
      </c>
      <c r="AA137" s="41" t="str">
        <f>IFERROR(INDEX('Infos joueurs'!$F$15:$F$270,MATCH(AB137,'Infos joueurs'!$A$15:$A$270,0))," ")</f>
        <v xml:space="preserve"> </v>
      </c>
      <c r="AB137" s="38">
        <f t="shared" si="21"/>
        <v>0</v>
      </c>
    </row>
    <row r="138" spans="1:28" x14ac:dyDescent="0.25">
      <c r="A138">
        <f t="shared" si="11"/>
        <v>1.010238</v>
      </c>
      <c r="B138">
        <f t="shared" si="12"/>
        <v>128</v>
      </c>
      <c r="C138" t="str">
        <f t="shared" si="13"/>
        <v xml:space="preserve"> </v>
      </c>
      <c r="D138">
        <f t="shared" si="14"/>
        <v>0</v>
      </c>
      <c r="E138">
        <f t="shared" si="15"/>
        <v>0</v>
      </c>
      <c r="F138">
        <f t="shared" si="16"/>
        <v>0</v>
      </c>
      <c r="G138">
        <f>IF($C$2="x",IFERROR(SMALL($A$11:$A$14,128),0),IF($C$3="x",IFERROR(SMALL($A$11:$A$18,128),0),IF($C$4="x",IFERROR(SMALL($A$11:$A$26,128),0),IF($C$5="x",IFERROR(SMALL($A$11:$A$42,128),0),IF($C$6="x",IFERROR(SMALL($A$11:$A$74,128),0),IF($C$7="x",IFERROR(SMALL($A$11:$A$138,128),0),IFERROR(SMALL($A$11:$A$266,128),0)))))))</f>
        <v>1.010238</v>
      </c>
      <c r="H138">
        <f t="shared" si="17"/>
        <v>128</v>
      </c>
      <c r="I138" t="str">
        <f t="shared" si="18"/>
        <v xml:space="preserve"> </v>
      </c>
      <c r="J138" s="34"/>
      <c r="K138" s="35" t="s">
        <v>38</v>
      </c>
      <c r="L138" s="36"/>
      <c r="M138" s="34"/>
      <c r="N138" s="35" t="s">
        <v>38</v>
      </c>
      <c r="O138" s="36"/>
      <c r="P138" s="34"/>
      <c r="Q138" s="35" t="s">
        <v>38</v>
      </c>
      <c r="R138" s="36"/>
      <c r="S138" s="37">
        <f t="shared" si="19"/>
        <v>128</v>
      </c>
      <c r="U138" s="38"/>
      <c r="V138" s="39" t="s">
        <v>166</v>
      </c>
      <c r="W138" s="40" t="str">
        <f>IF('Infos générales'!$E$2="x",IF(U138&gt;0,VLOOKUP(U138,'Infos joueurs'!$A:$M,4,FALSE)&amp;" / "&amp;VLOOKUP(U138,'Infos joueurs'!$A:$M,9,FALSE)," "),IF(U138&gt;0,VLOOKUP(U138,'Infos joueurs'!$A:$M,4,FALSE)&amp;" "&amp;VLOOKUP(U138,'Infos joueurs'!$A:$M,5,FALSE)," "))</f>
        <v xml:space="preserve"> </v>
      </c>
      <c r="Y138" s="33">
        <v>128</v>
      </c>
      <c r="Z138" s="256" t="str">
        <f t="shared" si="20"/>
        <v xml:space="preserve"> </v>
      </c>
      <c r="AA138" s="41" t="str">
        <f>IFERROR(INDEX('Infos joueurs'!$F$15:$F$270,MATCH(AB138,'Infos joueurs'!$A$15:$A$270,0))," ")</f>
        <v xml:space="preserve"> </v>
      </c>
      <c r="AB138" s="38">
        <f t="shared" si="21"/>
        <v>0</v>
      </c>
    </row>
    <row r="139" spans="1:28" x14ac:dyDescent="0.25">
      <c r="A139">
        <f t="shared" si="11"/>
        <v>1.0102389999999999</v>
      </c>
      <c r="B139">
        <f t="shared" si="12"/>
        <v>129</v>
      </c>
      <c r="C139" t="str">
        <f t="shared" si="13"/>
        <v xml:space="preserve"> </v>
      </c>
      <c r="D139">
        <f t="shared" si="14"/>
        <v>0</v>
      </c>
      <c r="E139">
        <f t="shared" si="15"/>
        <v>0</v>
      </c>
      <c r="F139">
        <f t="shared" si="16"/>
        <v>0</v>
      </c>
      <c r="G139">
        <f>IF($C$2="x",IFERROR(SMALL($A$11:$A$14,129),0),IF($C$3="x",IFERROR(SMALL($A$11:$A$18,129),0),IF($C$4="x",IFERROR(SMALL($A$11:$A$26,129),0),IF($C$5="x",IFERROR(SMALL($A$11:$A$42,129),0),IF($C$6="x",IFERROR(SMALL($A$11:$A$74,129),0),IF($C$7="x",IFERROR(SMALL($A$11:$A$138,129),0),IFERROR(SMALL($A$11:$A$266,129),0)))))))</f>
        <v>1.0102389999999999</v>
      </c>
      <c r="H139">
        <f t="shared" si="17"/>
        <v>129</v>
      </c>
      <c r="I139" t="str">
        <f t="shared" si="18"/>
        <v xml:space="preserve"> </v>
      </c>
      <c r="J139" s="34"/>
      <c r="K139" s="35" t="s">
        <v>38</v>
      </c>
      <c r="L139" s="36"/>
      <c r="M139" s="34"/>
      <c r="N139" s="35" t="s">
        <v>38</v>
      </c>
      <c r="O139" s="36"/>
      <c r="P139" s="34"/>
      <c r="Q139" s="35" t="s">
        <v>38</v>
      </c>
      <c r="R139" s="36"/>
      <c r="S139" s="37">
        <f t="shared" si="19"/>
        <v>129</v>
      </c>
      <c r="U139" s="38"/>
      <c r="V139" s="39" t="s">
        <v>167</v>
      </c>
      <c r="W139" s="40" t="str">
        <f>IF('Infos générales'!$E$2="x",IF(U139&gt;0,VLOOKUP(U139,'Infos joueurs'!$A:$M,4,FALSE)&amp;" / "&amp;VLOOKUP(U139,'Infos joueurs'!$A:$M,9,FALSE)," "),IF(U139&gt;0,VLOOKUP(U139,'Infos joueurs'!$A:$M,4,FALSE)&amp;" "&amp;VLOOKUP(U139,'Infos joueurs'!$A:$M,5,FALSE)," "))</f>
        <v xml:space="preserve"> </v>
      </c>
      <c r="Y139" s="33">
        <v>129</v>
      </c>
      <c r="Z139" s="256" t="str">
        <f t="shared" si="20"/>
        <v xml:space="preserve"> </v>
      </c>
      <c r="AA139" s="41" t="str">
        <f>IFERROR(INDEX('Infos joueurs'!$F$15:$F$270,MATCH(AB139,'Infos joueurs'!$A$15:$A$270,0))," ")</f>
        <v xml:space="preserve"> </v>
      </c>
      <c r="AB139" s="38">
        <f t="shared" si="21"/>
        <v>0</v>
      </c>
    </row>
    <row r="140" spans="1:28" x14ac:dyDescent="0.25">
      <c r="A140">
        <f t="shared" ref="A140:A203" si="22">IF($C$2="x",(IFERROR(IF(W140="","-",RANK(D140,$D$11:$D$14,0)+RANK(E140,$E$11:$E$14,0)%+RANK(F140,$F$11:$F$14,0)%%+ROW()%%%),"-")),IF($C$3="x",(IFERROR(IF(W140="","-",RANK(D140,$D$11:$D$18,0)+RANK(E140,$E$11:$E$18,0)%+RANK(F140,$F$11:$F$18,0)%%+ROW()%%%),"-")),IF($C$4="x",(IFERROR(IF(W140="","-",RANK(D140,$D$11:$D$26,0)+RANK(E140,$E$11:$E$26,0)%+RANK(F140,$F$11:$F$26,0)%%+ROW()%%%),"-")),IF($C$5="x",(IFERROR(IF(W140="","-",RANK(D140,$D$11:$D$42,0)+RANK(E140,$E$11:$E$42,0)%+RANK(F140,$F$11:$F$42,0)%%+ROW()%%%),"-")),IF($C$6="x",(IFERROR(IF(W140="","-",RANK(D140,$D$11:$D$74,0)+RANK(E140,$E$11:$E$74,0)%+RANK(F140,$F$11:$F$74,0)%%+ROW()%%%),"-")),IF($C$7="x",(IFERROR(IF(W140="","-",RANK(D140,$D$11:$D$138,0)+RANK(E140,$E$11:$E$138,0)%+RANK(F140,$F$11:$F$138,0)%%+ROW()%%%),"-")),(IFERROR(IF(W140="","-",RANK(D140,$D$11:$D$266,0)+RANK(E140,$E$11:$E$266,0)%+RANK(F140,$F$11:$F$266,0)%%+ROW()%%%),"-"))))))))</f>
        <v>1.01024</v>
      </c>
      <c r="B140">
        <f t="shared" ref="B140:B203" si="23">IF($C$2="x",IFERROR(IF(A140="","",RANK(A140,$A$11:$A$14,1)),"-"),IF($C$3="x",IFERROR(IF(A140="","",RANK(A140,$A$11:$A$18,1)),"-"),IF($C$4="x",IFERROR(IF(A140="","",RANK(A140,$A$11:$A$26,1)),"-"),IF($C$5="x",IFERROR(IF(A140="","",RANK(A140,$A$11:$A$42,1)),"-"),IF($C$6="x",IFERROR(IF(A140="","",RANK(A140,$A$11:$A$74,1)),"-"),IF($C$7="x",IFERROR(IF(A140="","",RANK(A140,$A$11:$A$138,1)),"-"),IFERROR(IF(A140="","",RANK(A140,$A$11:$A$266,1)),"-")))))))</f>
        <v>130</v>
      </c>
      <c r="C140" t="str">
        <f t="shared" ref="C140:C203" si="24">W140</f>
        <v xml:space="preserve"> </v>
      </c>
      <c r="D140">
        <f t="shared" ref="D140:D203" si="25">SUM(J140-L140)</f>
        <v>0</v>
      </c>
      <c r="E140">
        <f t="shared" ref="E140:E203" si="26">SUM(M140-O140)</f>
        <v>0</v>
      </c>
      <c r="F140">
        <f t="shared" ref="F140:F203" si="27">SUM(P140-R140)</f>
        <v>0</v>
      </c>
      <c r="G140">
        <f>IF($C$2="x",IFERROR(SMALL($A$11:$A$14,130),0),IF($C$3="x",IFERROR(SMALL($A$11:$A$18,130),0),IF($C$4="x",IFERROR(SMALL($A$11:$A$26,130),0),IF($C$5="x",IFERROR(SMALL($A$11:$A$42,130),0),IF($C$6="x",IFERROR(SMALL($A$11:$A$74,130),0),IF($C$7="x",IFERROR(SMALL($A$11:$A$138,130),0),IFERROR(SMALL($A$11:$A$266,130),0)))))))</f>
        <v>1.01024</v>
      </c>
      <c r="H140">
        <f t="shared" ref="H140:H203" si="28">IF($C$2="x",IFERROR(IF(G140="","",RANK(G140,$G$11:$G$14,1)),0),IF($C$3="x",IFERROR(IF(G140="","",RANK(G140,$G$11:$G$18,1)),0),IF($C$4="x",IFERROR(IF(G140="","",RANK(G140,$G$11:$G$26,1)),0),IF($C$5="x",IFERROR(IF(G140="","",RANK(G140,$G$11:$G$42,1)),0),IF($C$6="x",IFERROR(IF(G140="","",RANK(G140,$G$11:$G$74,1)),0),IF($C$7="x",IFERROR(IF(G140="","",RANK(G140,$G$11:$G$138,1)),0),IFERROR(IF(G140="","",RANK(G140,$G$11:$G$266,1)),0)))))))</f>
        <v>130</v>
      </c>
      <c r="I140" t="str">
        <f t="shared" ref="I140:I203" si="29">IF($C$2="x",IFERROR(INDEX($C$11:$C$14,MATCH(G140,$A$11:$A$14,0),1),0),IF($C$3="x",IFERROR(INDEX($C$11:$C$18,MATCH(G140,$A$11:$A$18,0),1),0),IF($C$4="x",IFERROR(INDEX($C$11:$C$26,MATCH(G140,$A$11:$A$26,0),1),0),IF($C$5="x",IFERROR(INDEX($C$11:$C$42,MATCH(G140,$A$11:$A$42,0),1),0),IF($C$6="x",IFERROR(INDEX($C$11:$C$74,MATCH(G140,$A$11:$A$74,0),1),0),IF($C$7="x",IFERROR(INDEX($C$11:$C$138,MATCH(G140,$A$11:$A$138,0),1),0),IFERROR(INDEX($C$11:$C$266,MATCH(G140,$A$11:$A$266,0),1),0)))))))</f>
        <v xml:space="preserve"> </v>
      </c>
      <c r="J140" s="34"/>
      <c r="K140" s="35" t="s">
        <v>38</v>
      </c>
      <c r="L140" s="36"/>
      <c r="M140" s="34"/>
      <c r="N140" s="35" t="s">
        <v>38</v>
      </c>
      <c r="O140" s="36"/>
      <c r="P140" s="34"/>
      <c r="Q140" s="35" t="s">
        <v>38</v>
      </c>
      <c r="R140" s="36"/>
      <c r="S140" s="37">
        <f t="shared" ref="S140:S203" si="30">IF($C$2="x",IFERROR(IF(A140="","",RANK(A140,$A$11:$A$14,1)),0),IF($C$3="x",IFERROR(IF(A140="","",RANK(A140,$A$11:$A$18,1)),0),IF($C$4="x",IFERROR(IF(A140="","",RANK(A140,$A$11:$A$26,1)),0),IF($C$5="x",IFERROR(IF(A140="","",RANK(A140,$A$11:$A$42,1)),0),IF($C$6="x",IFERROR(IF(A140="","",RANK(A140,$A$11:$A$74,1)),0),IF($C$7="x",IFERROR(IF(A140="","",RANK(A140,$A$11:$A$138,1)),0),IFERROR(IF(A140="","",RANK(A140,$A$11:$A$266,1)),0)))))))</f>
        <v>130</v>
      </c>
      <c r="U140" s="38"/>
      <c r="V140" s="39" t="s">
        <v>168</v>
      </c>
      <c r="W140" s="40" t="str">
        <f>IF('Infos générales'!$E$2="x",IF(U140&gt;0,VLOOKUP(U140,'Infos joueurs'!$A:$M,4,FALSE)&amp;" / "&amp;VLOOKUP(U140,'Infos joueurs'!$A:$M,9,FALSE)," "),IF(U140&gt;0,VLOOKUP(U140,'Infos joueurs'!$A:$M,4,FALSE)&amp;" "&amp;VLOOKUP(U140,'Infos joueurs'!$A:$M,5,FALSE)," "))</f>
        <v xml:space="preserve"> </v>
      </c>
      <c r="Y140" s="33">
        <v>130</v>
      </c>
      <c r="Z140" s="256" t="str">
        <f t="shared" ref="Z140:Z203" si="31">I140</f>
        <v xml:space="preserve"> </v>
      </c>
      <c r="AA140" s="41" t="str">
        <f>IFERROR(INDEX('Infos joueurs'!$F$15:$F$270,MATCH(AB140,'Infos joueurs'!$A$15:$A$270,0))," ")</f>
        <v xml:space="preserve"> </v>
      </c>
      <c r="AB140" s="38">
        <f t="shared" ref="AB140:AB203" si="32">IFERROR(INDEX($U$11:$U$266,MATCH(Z140,$W$11:$W$266,0)),0)</f>
        <v>0</v>
      </c>
    </row>
    <row r="141" spans="1:28" x14ac:dyDescent="0.25">
      <c r="A141">
        <f t="shared" si="22"/>
        <v>1.0102409999999999</v>
      </c>
      <c r="B141">
        <f t="shared" si="23"/>
        <v>131</v>
      </c>
      <c r="C141" t="str">
        <f t="shared" si="24"/>
        <v xml:space="preserve"> </v>
      </c>
      <c r="D141">
        <f t="shared" si="25"/>
        <v>0</v>
      </c>
      <c r="E141">
        <f t="shared" si="26"/>
        <v>0</v>
      </c>
      <c r="F141">
        <f t="shared" si="27"/>
        <v>0</v>
      </c>
      <c r="G141">
        <f>IF($C$2="x",IFERROR(SMALL($A$11:$A$14,131),0),IF($C$3="x",IFERROR(SMALL($A$11:$A$18,131),0),IF($C$4="x",IFERROR(SMALL($A$11:$A$26,131),0),IF($C$5="x",IFERROR(SMALL($A$11:$A$42,131),0),IF($C$6="x",IFERROR(SMALL($A$11:$A$74,131),0),IF($C$7="x",IFERROR(SMALL($A$11:$A$138,131),0),IFERROR(SMALL($A$11:$A$266,131),0)))))))</f>
        <v>1.0102409999999999</v>
      </c>
      <c r="H141">
        <f t="shared" si="28"/>
        <v>131</v>
      </c>
      <c r="I141" t="str">
        <f t="shared" si="29"/>
        <v xml:space="preserve"> </v>
      </c>
      <c r="J141" s="34"/>
      <c r="K141" s="35" t="s">
        <v>38</v>
      </c>
      <c r="L141" s="36"/>
      <c r="M141" s="34"/>
      <c r="N141" s="35" t="s">
        <v>38</v>
      </c>
      <c r="O141" s="36"/>
      <c r="P141" s="34"/>
      <c r="Q141" s="35" t="s">
        <v>38</v>
      </c>
      <c r="R141" s="36"/>
      <c r="S141" s="37">
        <f t="shared" si="30"/>
        <v>131</v>
      </c>
      <c r="U141" s="38"/>
      <c r="V141" s="39" t="s">
        <v>169</v>
      </c>
      <c r="W141" s="40" t="str">
        <f>IF('Infos générales'!$E$2="x",IF(U141&gt;0,VLOOKUP(U141,'Infos joueurs'!$A:$M,4,FALSE)&amp;" / "&amp;VLOOKUP(U141,'Infos joueurs'!$A:$M,9,FALSE)," "),IF(U141&gt;0,VLOOKUP(U141,'Infos joueurs'!$A:$M,4,FALSE)&amp;" "&amp;VLOOKUP(U141,'Infos joueurs'!$A:$M,5,FALSE)," "))</f>
        <v xml:space="preserve"> </v>
      </c>
      <c r="Y141" s="33">
        <v>131</v>
      </c>
      <c r="Z141" s="256" t="str">
        <f t="shared" si="31"/>
        <v xml:space="preserve"> </v>
      </c>
      <c r="AA141" s="41" t="str">
        <f>IFERROR(INDEX('Infos joueurs'!$F$15:$F$270,MATCH(AB141,'Infos joueurs'!$A$15:$A$270,0))," ")</f>
        <v xml:space="preserve"> </v>
      </c>
      <c r="AB141" s="38">
        <f t="shared" si="32"/>
        <v>0</v>
      </c>
    </row>
    <row r="142" spans="1:28" x14ac:dyDescent="0.25">
      <c r="A142">
        <f t="shared" si="22"/>
        <v>1.0102420000000001</v>
      </c>
      <c r="B142">
        <f t="shared" si="23"/>
        <v>132</v>
      </c>
      <c r="C142" t="str">
        <f t="shared" si="24"/>
        <v xml:space="preserve"> </v>
      </c>
      <c r="D142">
        <f t="shared" si="25"/>
        <v>0</v>
      </c>
      <c r="E142">
        <f t="shared" si="26"/>
        <v>0</v>
      </c>
      <c r="F142">
        <f t="shared" si="27"/>
        <v>0</v>
      </c>
      <c r="G142">
        <f>IF($C$2="x",IFERROR(SMALL($A$11:$A$14,132),0),IF($C$3="x",IFERROR(SMALL($A$11:$A$18,132),0),IF($C$4="x",IFERROR(SMALL($A$11:$A$26,132),0),IF($C$5="x",IFERROR(SMALL($A$11:$A$42,132),0),IF($C$6="x",IFERROR(SMALL($A$11:$A$74,132),0),IF($C$7="x",IFERROR(SMALL($A$11:$A$138,132),0),IFERROR(SMALL($A$11:$A$266,132),0)))))))</f>
        <v>1.0102420000000001</v>
      </c>
      <c r="H142">
        <f t="shared" si="28"/>
        <v>132</v>
      </c>
      <c r="I142" t="str">
        <f t="shared" si="29"/>
        <v xml:space="preserve"> </v>
      </c>
      <c r="J142" s="34"/>
      <c r="K142" s="35" t="s">
        <v>38</v>
      </c>
      <c r="L142" s="36"/>
      <c r="M142" s="34"/>
      <c r="N142" s="35" t="s">
        <v>38</v>
      </c>
      <c r="O142" s="36"/>
      <c r="P142" s="34"/>
      <c r="Q142" s="35" t="s">
        <v>38</v>
      </c>
      <c r="R142" s="36"/>
      <c r="S142" s="37">
        <f t="shared" si="30"/>
        <v>132</v>
      </c>
      <c r="U142" s="38"/>
      <c r="V142" s="39" t="s">
        <v>170</v>
      </c>
      <c r="W142" s="40" t="str">
        <f>IF('Infos générales'!$E$2="x",IF(U142&gt;0,VLOOKUP(U142,'Infos joueurs'!$A:$M,4,FALSE)&amp;" / "&amp;VLOOKUP(U142,'Infos joueurs'!$A:$M,9,FALSE)," "),IF(U142&gt;0,VLOOKUP(U142,'Infos joueurs'!$A:$M,4,FALSE)&amp;" "&amp;VLOOKUP(U142,'Infos joueurs'!$A:$M,5,FALSE)," "))</f>
        <v xml:space="preserve"> </v>
      </c>
      <c r="Y142" s="33">
        <v>132</v>
      </c>
      <c r="Z142" s="256" t="str">
        <f t="shared" si="31"/>
        <v xml:space="preserve"> </v>
      </c>
      <c r="AA142" s="41" t="str">
        <f>IFERROR(INDEX('Infos joueurs'!$F$15:$F$270,MATCH(AB142,'Infos joueurs'!$A$15:$A$270,0))," ")</f>
        <v xml:space="preserve"> </v>
      </c>
      <c r="AB142" s="38">
        <f t="shared" si="32"/>
        <v>0</v>
      </c>
    </row>
    <row r="143" spans="1:28" x14ac:dyDescent="0.25">
      <c r="A143">
        <f t="shared" si="22"/>
        <v>1.010243</v>
      </c>
      <c r="B143">
        <f t="shared" si="23"/>
        <v>133</v>
      </c>
      <c r="C143" t="str">
        <f t="shared" si="24"/>
        <v xml:space="preserve"> </v>
      </c>
      <c r="D143">
        <f t="shared" si="25"/>
        <v>0</v>
      </c>
      <c r="E143">
        <f t="shared" si="26"/>
        <v>0</v>
      </c>
      <c r="F143">
        <f t="shared" si="27"/>
        <v>0</v>
      </c>
      <c r="G143">
        <f>IF($C$2="x",IFERROR(SMALL($A$11:$A$14,133),0),IF($C$3="x",IFERROR(SMALL($A$11:$A$18,133),0),IF($C$4="x",IFERROR(SMALL($A$11:$A$26,133),0),IF($C$5="x",IFERROR(SMALL($A$11:$A$42,133),0),IF($C$6="x",IFERROR(SMALL($A$11:$A$74,133),0),IF($C$7="x",IFERROR(SMALL($A$11:$A$138,133),0),IFERROR(SMALL($A$11:$A$266,133),0)))))))</f>
        <v>1.010243</v>
      </c>
      <c r="H143">
        <f t="shared" si="28"/>
        <v>133</v>
      </c>
      <c r="I143" t="str">
        <f t="shared" si="29"/>
        <v xml:space="preserve"> </v>
      </c>
      <c r="J143" s="34"/>
      <c r="K143" s="35" t="s">
        <v>38</v>
      </c>
      <c r="L143" s="36"/>
      <c r="M143" s="34"/>
      <c r="N143" s="35" t="s">
        <v>38</v>
      </c>
      <c r="O143" s="36"/>
      <c r="P143" s="34"/>
      <c r="Q143" s="35" t="s">
        <v>38</v>
      </c>
      <c r="R143" s="36"/>
      <c r="S143" s="37">
        <f t="shared" si="30"/>
        <v>133</v>
      </c>
      <c r="U143" s="38"/>
      <c r="V143" s="39" t="s">
        <v>171</v>
      </c>
      <c r="W143" s="40" t="str">
        <f>IF('Infos générales'!$E$2="x",IF(U143&gt;0,VLOOKUP(U143,'Infos joueurs'!$A:$M,4,FALSE)&amp;" / "&amp;VLOOKUP(U143,'Infos joueurs'!$A:$M,9,FALSE)," "),IF(U143&gt;0,VLOOKUP(U143,'Infos joueurs'!$A:$M,4,FALSE)&amp;" "&amp;VLOOKUP(U143,'Infos joueurs'!$A:$M,5,FALSE)," "))</f>
        <v xml:space="preserve"> </v>
      </c>
      <c r="Y143" s="33">
        <v>133</v>
      </c>
      <c r="Z143" s="256" t="str">
        <f t="shared" si="31"/>
        <v xml:space="preserve"> </v>
      </c>
      <c r="AA143" s="41" t="str">
        <f>IFERROR(INDEX('Infos joueurs'!$F$15:$F$270,MATCH(AB143,'Infos joueurs'!$A$15:$A$270,0))," ")</f>
        <v xml:space="preserve"> </v>
      </c>
      <c r="AB143" s="38">
        <f t="shared" si="32"/>
        <v>0</v>
      </c>
    </row>
    <row r="144" spans="1:28" x14ac:dyDescent="0.25">
      <c r="A144">
        <f t="shared" si="22"/>
        <v>1.0102439999999999</v>
      </c>
      <c r="B144">
        <f t="shared" si="23"/>
        <v>134</v>
      </c>
      <c r="C144" t="str">
        <f t="shared" si="24"/>
        <v xml:space="preserve"> </v>
      </c>
      <c r="D144">
        <f t="shared" si="25"/>
        <v>0</v>
      </c>
      <c r="E144">
        <f t="shared" si="26"/>
        <v>0</v>
      </c>
      <c r="F144">
        <f t="shared" si="27"/>
        <v>0</v>
      </c>
      <c r="G144">
        <f>IF($C$2="x",IFERROR(SMALL($A$11:$A$14,134),0),IF($C$3="x",IFERROR(SMALL($A$11:$A$18,134),0),IF($C$4="x",IFERROR(SMALL($A$11:$A$26,134),0),IF($C$5="x",IFERROR(SMALL($A$11:$A$42,134),0),IF($C$6="x",IFERROR(SMALL($A$11:$A$74,134),0),IF($C$7="x",IFERROR(SMALL($A$11:$A$138,134),0),IFERROR(SMALL($A$11:$A$266,134),0)))))))</f>
        <v>1.0102439999999999</v>
      </c>
      <c r="H144">
        <f t="shared" si="28"/>
        <v>134</v>
      </c>
      <c r="I144" t="str">
        <f t="shared" si="29"/>
        <v xml:space="preserve"> </v>
      </c>
      <c r="J144" s="34"/>
      <c r="K144" s="35" t="s">
        <v>38</v>
      </c>
      <c r="L144" s="36"/>
      <c r="M144" s="34"/>
      <c r="N144" s="35" t="s">
        <v>38</v>
      </c>
      <c r="O144" s="36"/>
      <c r="P144" s="34"/>
      <c r="Q144" s="35" t="s">
        <v>38</v>
      </c>
      <c r="R144" s="36"/>
      <c r="S144" s="37">
        <f t="shared" si="30"/>
        <v>134</v>
      </c>
      <c r="U144" s="38"/>
      <c r="V144" s="39" t="s">
        <v>172</v>
      </c>
      <c r="W144" s="40" t="str">
        <f>IF('Infos générales'!$E$2="x",IF(U144&gt;0,VLOOKUP(U144,'Infos joueurs'!$A:$M,4,FALSE)&amp;" / "&amp;VLOOKUP(U144,'Infos joueurs'!$A:$M,9,FALSE)," "),IF(U144&gt;0,VLOOKUP(U144,'Infos joueurs'!$A:$M,4,FALSE)&amp;" "&amp;VLOOKUP(U144,'Infos joueurs'!$A:$M,5,FALSE)," "))</f>
        <v xml:space="preserve"> </v>
      </c>
      <c r="Y144" s="33">
        <v>134</v>
      </c>
      <c r="Z144" s="256" t="str">
        <f t="shared" si="31"/>
        <v xml:space="preserve"> </v>
      </c>
      <c r="AA144" s="41" t="str">
        <f>IFERROR(INDEX('Infos joueurs'!$F$15:$F$270,MATCH(AB144,'Infos joueurs'!$A$15:$A$270,0))," ")</f>
        <v xml:space="preserve"> </v>
      </c>
      <c r="AB144" s="38">
        <f t="shared" si="32"/>
        <v>0</v>
      </c>
    </row>
    <row r="145" spans="1:28" x14ac:dyDescent="0.25">
      <c r="A145">
        <f t="shared" si="22"/>
        <v>1.0102450000000001</v>
      </c>
      <c r="B145">
        <f t="shared" si="23"/>
        <v>135</v>
      </c>
      <c r="C145" t="str">
        <f t="shared" si="24"/>
        <v xml:space="preserve"> </v>
      </c>
      <c r="D145">
        <f t="shared" si="25"/>
        <v>0</v>
      </c>
      <c r="E145">
        <f t="shared" si="26"/>
        <v>0</v>
      </c>
      <c r="F145">
        <f t="shared" si="27"/>
        <v>0</v>
      </c>
      <c r="G145">
        <f>IF($C$2="x",IFERROR(SMALL($A$11:$A$14,135),0),IF($C$3="x",IFERROR(SMALL($A$11:$A$18,135),0),IF($C$4="x",IFERROR(SMALL($A$11:$A$26,135),0),IF($C$5="x",IFERROR(SMALL($A$11:$A$42,135),0),IF($C$6="x",IFERROR(SMALL($A$11:$A$74,135),0),IF($C$7="x",IFERROR(SMALL($A$11:$A$138,135),0),IFERROR(SMALL($A$11:$A$266,135),0)))))))</f>
        <v>1.0102450000000001</v>
      </c>
      <c r="H145">
        <f t="shared" si="28"/>
        <v>135</v>
      </c>
      <c r="I145" t="str">
        <f t="shared" si="29"/>
        <v xml:space="preserve"> </v>
      </c>
      <c r="J145" s="34"/>
      <c r="K145" s="35" t="s">
        <v>38</v>
      </c>
      <c r="L145" s="36"/>
      <c r="M145" s="34"/>
      <c r="N145" s="35" t="s">
        <v>38</v>
      </c>
      <c r="O145" s="36"/>
      <c r="P145" s="34"/>
      <c r="Q145" s="35" t="s">
        <v>38</v>
      </c>
      <c r="R145" s="36"/>
      <c r="S145" s="37">
        <f t="shared" si="30"/>
        <v>135</v>
      </c>
      <c r="U145" s="38"/>
      <c r="V145" s="39" t="s">
        <v>173</v>
      </c>
      <c r="W145" s="40" t="str">
        <f>IF('Infos générales'!$E$2="x",IF(U145&gt;0,VLOOKUP(U145,'Infos joueurs'!$A:$M,4,FALSE)&amp;" / "&amp;VLOOKUP(U145,'Infos joueurs'!$A:$M,9,FALSE)," "),IF(U145&gt;0,VLOOKUP(U145,'Infos joueurs'!$A:$M,4,FALSE)&amp;" "&amp;VLOOKUP(U145,'Infos joueurs'!$A:$M,5,FALSE)," "))</f>
        <v xml:space="preserve"> </v>
      </c>
      <c r="Y145" s="33">
        <v>135</v>
      </c>
      <c r="Z145" s="256" t="str">
        <f t="shared" si="31"/>
        <v xml:space="preserve"> </v>
      </c>
      <c r="AA145" s="41" t="str">
        <f>IFERROR(INDEX('Infos joueurs'!$F$15:$F$270,MATCH(AB145,'Infos joueurs'!$A$15:$A$270,0))," ")</f>
        <v xml:space="preserve"> </v>
      </c>
      <c r="AB145" s="38">
        <f t="shared" si="32"/>
        <v>0</v>
      </c>
    </row>
    <row r="146" spans="1:28" x14ac:dyDescent="0.25">
      <c r="A146">
        <f t="shared" si="22"/>
        <v>1.010246</v>
      </c>
      <c r="B146">
        <f t="shared" si="23"/>
        <v>136</v>
      </c>
      <c r="C146" t="str">
        <f t="shared" si="24"/>
        <v xml:space="preserve"> </v>
      </c>
      <c r="D146">
        <f t="shared" si="25"/>
        <v>0</v>
      </c>
      <c r="E146">
        <f t="shared" si="26"/>
        <v>0</v>
      </c>
      <c r="F146">
        <f t="shared" si="27"/>
        <v>0</v>
      </c>
      <c r="G146">
        <f>IF($C$2="x",IFERROR(SMALL($A$11:$A$14,136),0),IF($C$3="x",IFERROR(SMALL($A$11:$A$18,136),0),IF($C$4="x",IFERROR(SMALL($A$11:$A$26,136),0),IF($C$5="x",IFERROR(SMALL($A$11:$A$42,136),0),IF($C$6="x",IFERROR(SMALL($A$11:$A$74,136),0),IF($C$7="x",IFERROR(SMALL($A$11:$A$138,136),0),IFERROR(SMALL($A$11:$A$266,136),0)))))))</f>
        <v>1.010246</v>
      </c>
      <c r="H146">
        <f t="shared" si="28"/>
        <v>136</v>
      </c>
      <c r="I146" t="str">
        <f t="shared" si="29"/>
        <v xml:space="preserve"> </v>
      </c>
      <c r="J146" s="34"/>
      <c r="K146" s="35" t="s">
        <v>38</v>
      </c>
      <c r="L146" s="36"/>
      <c r="M146" s="34"/>
      <c r="N146" s="35" t="s">
        <v>38</v>
      </c>
      <c r="O146" s="36"/>
      <c r="P146" s="34"/>
      <c r="Q146" s="35" t="s">
        <v>38</v>
      </c>
      <c r="R146" s="36"/>
      <c r="S146" s="37">
        <f t="shared" si="30"/>
        <v>136</v>
      </c>
      <c r="U146" s="38"/>
      <c r="V146" s="39" t="s">
        <v>174</v>
      </c>
      <c r="W146" s="40" t="str">
        <f>IF('Infos générales'!$E$2="x",IF(U146&gt;0,VLOOKUP(U146,'Infos joueurs'!$A:$M,4,FALSE)&amp;" / "&amp;VLOOKUP(U146,'Infos joueurs'!$A:$M,9,FALSE)," "),IF(U146&gt;0,VLOOKUP(U146,'Infos joueurs'!$A:$M,4,FALSE)&amp;" "&amp;VLOOKUP(U146,'Infos joueurs'!$A:$M,5,FALSE)," "))</f>
        <v xml:space="preserve"> </v>
      </c>
      <c r="Y146" s="33">
        <v>136</v>
      </c>
      <c r="Z146" s="256" t="str">
        <f t="shared" si="31"/>
        <v xml:space="preserve"> </v>
      </c>
      <c r="AA146" s="41" t="str">
        <f>IFERROR(INDEX('Infos joueurs'!$F$15:$F$270,MATCH(AB146,'Infos joueurs'!$A$15:$A$270,0))," ")</f>
        <v xml:space="preserve"> </v>
      </c>
      <c r="AB146" s="38">
        <f t="shared" si="32"/>
        <v>0</v>
      </c>
    </row>
    <row r="147" spans="1:28" x14ac:dyDescent="0.25">
      <c r="A147">
        <f t="shared" si="22"/>
        <v>1.0102469999999999</v>
      </c>
      <c r="B147">
        <f t="shared" si="23"/>
        <v>137</v>
      </c>
      <c r="C147" t="str">
        <f t="shared" si="24"/>
        <v xml:space="preserve"> </v>
      </c>
      <c r="D147">
        <f t="shared" si="25"/>
        <v>0</v>
      </c>
      <c r="E147">
        <f t="shared" si="26"/>
        <v>0</v>
      </c>
      <c r="F147">
        <f t="shared" si="27"/>
        <v>0</v>
      </c>
      <c r="G147">
        <f>IF($C$2="x",IFERROR(SMALL($A$11:$A$14,137),0),IF($C$3="x",IFERROR(SMALL($A$11:$A$18,137),0),IF($C$4="x",IFERROR(SMALL($A$11:$A$26,137),0),IF($C$5="x",IFERROR(SMALL($A$11:$A$42,137),0),IF($C$6="x",IFERROR(SMALL($A$11:$A$74,137),0),IF($C$7="x",IFERROR(SMALL($A$11:$A$138,137),0),IFERROR(SMALL($A$11:$A$266,137),0)))))))</f>
        <v>1.0102469999999999</v>
      </c>
      <c r="H147">
        <f t="shared" si="28"/>
        <v>137</v>
      </c>
      <c r="I147" t="str">
        <f t="shared" si="29"/>
        <v xml:space="preserve"> </v>
      </c>
      <c r="J147" s="34"/>
      <c r="K147" s="35" t="s">
        <v>38</v>
      </c>
      <c r="L147" s="36"/>
      <c r="M147" s="34"/>
      <c r="N147" s="35" t="s">
        <v>38</v>
      </c>
      <c r="O147" s="36"/>
      <c r="P147" s="34"/>
      <c r="Q147" s="35" t="s">
        <v>38</v>
      </c>
      <c r="R147" s="36"/>
      <c r="S147" s="37">
        <f t="shared" si="30"/>
        <v>137</v>
      </c>
      <c r="U147" s="38"/>
      <c r="V147" s="39" t="s">
        <v>175</v>
      </c>
      <c r="W147" s="40" t="str">
        <f>IF('Infos générales'!$E$2="x",IF(U147&gt;0,VLOOKUP(U147,'Infos joueurs'!$A:$M,4,FALSE)&amp;" / "&amp;VLOOKUP(U147,'Infos joueurs'!$A:$M,9,FALSE)," "),IF(U147&gt;0,VLOOKUP(U147,'Infos joueurs'!$A:$M,4,FALSE)&amp;" "&amp;VLOOKUP(U147,'Infos joueurs'!$A:$M,5,FALSE)," "))</f>
        <v xml:space="preserve"> </v>
      </c>
      <c r="Y147" s="33">
        <v>137</v>
      </c>
      <c r="Z147" s="256" t="str">
        <f t="shared" si="31"/>
        <v xml:space="preserve"> </v>
      </c>
      <c r="AA147" s="41" t="str">
        <f>IFERROR(INDEX('Infos joueurs'!$F$15:$F$270,MATCH(AB147,'Infos joueurs'!$A$15:$A$270,0))," ")</f>
        <v xml:space="preserve"> </v>
      </c>
      <c r="AB147" s="38">
        <f t="shared" si="32"/>
        <v>0</v>
      </c>
    </row>
    <row r="148" spans="1:28" x14ac:dyDescent="0.25">
      <c r="A148">
        <f t="shared" si="22"/>
        <v>1.010248</v>
      </c>
      <c r="B148">
        <f t="shared" si="23"/>
        <v>138</v>
      </c>
      <c r="C148" t="str">
        <f t="shared" si="24"/>
        <v xml:space="preserve"> </v>
      </c>
      <c r="D148">
        <f t="shared" si="25"/>
        <v>0</v>
      </c>
      <c r="E148">
        <f t="shared" si="26"/>
        <v>0</v>
      </c>
      <c r="F148">
        <f t="shared" si="27"/>
        <v>0</v>
      </c>
      <c r="G148">
        <f>IF($C$2="x",IFERROR(SMALL($A$11:$A$14,138),0),IF($C$3="x",IFERROR(SMALL($A$11:$A$18,138),0),IF($C$4="x",IFERROR(SMALL($A$11:$A$26,138),0),IF($C$5="x",IFERROR(SMALL($A$11:$A$42,138),0),IF($C$6="x",IFERROR(SMALL($A$11:$A$74,138),0),IF($C$7="x",IFERROR(SMALL($A$11:$A$138,138),0),IFERROR(SMALL($A$11:$A$266,138),0)))))))</f>
        <v>1.010248</v>
      </c>
      <c r="H148">
        <f t="shared" si="28"/>
        <v>138</v>
      </c>
      <c r="I148" t="str">
        <f t="shared" si="29"/>
        <v xml:space="preserve"> </v>
      </c>
      <c r="J148" s="34"/>
      <c r="K148" s="35" t="s">
        <v>38</v>
      </c>
      <c r="L148" s="36"/>
      <c r="M148" s="34"/>
      <c r="N148" s="35" t="s">
        <v>38</v>
      </c>
      <c r="O148" s="36"/>
      <c r="P148" s="34"/>
      <c r="Q148" s="35" t="s">
        <v>38</v>
      </c>
      <c r="R148" s="36"/>
      <c r="S148" s="37">
        <f t="shared" si="30"/>
        <v>138</v>
      </c>
      <c r="U148" s="38"/>
      <c r="V148" s="39" t="s">
        <v>176</v>
      </c>
      <c r="W148" s="40" t="str">
        <f>IF('Infos générales'!$E$2="x",IF(U148&gt;0,VLOOKUP(U148,'Infos joueurs'!$A:$M,4,FALSE)&amp;" / "&amp;VLOOKUP(U148,'Infos joueurs'!$A:$M,9,FALSE)," "),IF(U148&gt;0,VLOOKUP(U148,'Infos joueurs'!$A:$M,4,FALSE)&amp;" "&amp;VLOOKUP(U148,'Infos joueurs'!$A:$M,5,FALSE)," "))</f>
        <v xml:space="preserve"> </v>
      </c>
      <c r="Y148" s="33">
        <v>138</v>
      </c>
      <c r="Z148" s="256" t="str">
        <f t="shared" si="31"/>
        <v xml:space="preserve"> </v>
      </c>
      <c r="AA148" s="41" t="str">
        <f>IFERROR(INDEX('Infos joueurs'!$F$15:$F$270,MATCH(AB148,'Infos joueurs'!$A$15:$A$270,0))," ")</f>
        <v xml:space="preserve"> </v>
      </c>
      <c r="AB148" s="38">
        <f t="shared" si="32"/>
        <v>0</v>
      </c>
    </row>
    <row r="149" spans="1:28" x14ac:dyDescent="0.25">
      <c r="A149">
        <f t="shared" si="22"/>
        <v>1.010249</v>
      </c>
      <c r="B149">
        <f t="shared" si="23"/>
        <v>139</v>
      </c>
      <c r="C149" t="str">
        <f t="shared" si="24"/>
        <v xml:space="preserve"> </v>
      </c>
      <c r="D149">
        <f t="shared" si="25"/>
        <v>0</v>
      </c>
      <c r="E149">
        <f t="shared" si="26"/>
        <v>0</v>
      </c>
      <c r="F149">
        <f t="shared" si="27"/>
        <v>0</v>
      </c>
      <c r="G149">
        <f>IF($C$2="x",IFERROR(SMALL($A$11:$A$14,139),0),IF($C$3="x",IFERROR(SMALL($A$11:$A$18,139),0),IF($C$4="x",IFERROR(SMALL($A$11:$A$26,139),0),IF($C$5="x",IFERROR(SMALL($A$11:$A$42,139),0),IF($C$6="x",IFERROR(SMALL($A$11:$A$74,139),0),IF($C$7="x",IFERROR(SMALL($A$11:$A$138,139),0),IFERROR(SMALL($A$11:$A$266,139),0)))))))</f>
        <v>1.010249</v>
      </c>
      <c r="H149">
        <f t="shared" si="28"/>
        <v>139</v>
      </c>
      <c r="I149" t="str">
        <f t="shared" si="29"/>
        <v xml:space="preserve"> </v>
      </c>
      <c r="J149" s="34"/>
      <c r="K149" s="35" t="s">
        <v>38</v>
      </c>
      <c r="L149" s="36"/>
      <c r="M149" s="34"/>
      <c r="N149" s="35" t="s">
        <v>38</v>
      </c>
      <c r="O149" s="36"/>
      <c r="P149" s="34"/>
      <c r="Q149" s="35" t="s">
        <v>38</v>
      </c>
      <c r="R149" s="36"/>
      <c r="S149" s="37">
        <f t="shared" si="30"/>
        <v>139</v>
      </c>
      <c r="U149" s="38"/>
      <c r="V149" s="39" t="s">
        <v>177</v>
      </c>
      <c r="W149" s="40" t="str">
        <f>IF('Infos générales'!$E$2="x",IF(U149&gt;0,VLOOKUP(U149,'Infos joueurs'!$A:$M,4,FALSE)&amp;" / "&amp;VLOOKUP(U149,'Infos joueurs'!$A:$M,9,FALSE)," "),IF(U149&gt;0,VLOOKUP(U149,'Infos joueurs'!$A:$M,4,FALSE)&amp;" "&amp;VLOOKUP(U149,'Infos joueurs'!$A:$M,5,FALSE)," "))</f>
        <v xml:space="preserve"> </v>
      </c>
      <c r="Y149" s="33">
        <v>139</v>
      </c>
      <c r="Z149" s="256" t="str">
        <f t="shared" si="31"/>
        <v xml:space="preserve"> </v>
      </c>
      <c r="AA149" s="41" t="str">
        <f>IFERROR(INDEX('Infos joueurs'!$F$15:$F$270,MATCH(AB149,'Infos joueurs'!$A$15:$A$270,0))," ")</f>
        <v xml:space="preserve"> </v>
      </c>
      <c r="AB149" s="38">
        <f t="shared" si="32"/>
        <v>0</v>
      </c>
    </row>
    <row r="150" spans="1:28" x14ac:dyDescent="0.25">
      <c r="A150">
        <f t="shared" si="22"/>
        <v>1.0102500000000001</v>
      </c>
      <c r="B150">
        <f t="shared" si="23"/>
        <v>140</v>
      </c>
      <c r="C150" t="str">
        <f t="shared" si="24"/>
        <v xml:space="preserve"> </v>
      </c>
      <c r="D150">
        <f t="shared" si="25"/>
        <v>0</v>
      </c>
      <c r="E150">
        <f t="shared" si="26"/>
        <v>0</v>
      </c>
      <c r="F150">
        <f t="shared" si="27"/>
        <v>0</v>
      </c>
      <c r="G150">
        <f>IF($C$2="x",IFERROR(SMALL($A$11:$A$14,140),0),IF($C$3="x",IFERROR(SMALL($A$11:$A$18,140),0),IF($C$4="x",IFERROR(SMALL($A$11:$A$26,140),0),IF($C$5="x",IFERROR(SMALL($A$11:$A$42,140),0),IF($C$6="x",IFERROR(SMALL($A$11:$A$74,140),0),IF($C$7="x",IFERROR(SMALL($A$11:$A$138,140),0),IFERROR(SMALL($A$11:$A$266,140),0)))))))</f>
        <v>1.0102500000000001</v>
      </c>
      <c r="H150">
        <f t="shared" si="28"/>
        <v>140</v>
      </c>
      <c r="I150" t="str">
        <f t="shared" si="29"/>
        <v xml:space="preserve"> </v>
      </c>
      <c r="J150" s="34"/>
      <c r="K150" s="35" t="s">
        <v>38</v>
      </c>
      <c r="L150" s="36"/>
      <c r="M150" s="34"/>
      <c r="N150" s="35" t="s">
        <v>38</v>
      </c>
      <c r="O150" s="36"/>
      <c r="P150" s="34"/>
      <c r="Q150" s="35" t="s">
        <v>38</v>
      </c>
      <c r="R150" s="36"/>
      <c r="S150" s="37">
        <f t="shared" si="30"/>
        <v>140</v>
      </c>
      <c r="U150" s="38"/>
      <c r="V150" s="39" t="s">
        <v>178</v>
      </c>
      <c r="W150" s="40" t="str">
        <f>IF('Infos générales'!$E$2="x",IF(U150&gt;0,VLOOKUP(U150,'Infos joueurs'!$A:$M,4,FALSE)&amp;" / "&amp;VLOOKUP(U150,'Infos joueurs'!$A:$M,9,FALSE)," "),IF(U150&gt;0,VLOOKUP(U150,'Infos joueurs'!$A:$M,4,FALSE)&amp;" "&amp;VLOOKUP(U150,'Infos joueurs'!$A:$M,5,FALSE)," "))</f>
        <v xml:space="preserve"> </v>
      </c>
      <c r="Y150" s="33">
        <v>140</v>
      </c>
      <c r="Z150" s="256" t="str">
        <f t="shared" si="31"/>
        <v xml:space="preserve"> </v>
      </c>
      <c r="AA150" s="41" t="str">
        <f>IFERROR(INDEX('Infos joueurs'!$F$15:$F$270,MATCH(AB150,'Infos joueurs'!$A$15:$A$270,0))," ")</f>
        <v xml:space="preserve"> </v>
      </c>
      <c r="AB150" s="38">
        <f t="shared" si="32"/>
        <v>0</v>
      </c>
    </row>
    <row r="151" spans="1:28" x14ac:dyDescent="0.25">
      <c r="A151">
        <f t="shared" si="22"/>
        <v>1.010251</v>
      </c>
      <c r="B151">
        <f t="shared" si="23"/>
        <v>141</v>
      </c>
      <c r="C151" t="str">
        <f t="shared" si="24"/>
        <v xml:space="preserve"> </v>
      </c>
      <c r="D151">
        <f t="shared" si="25"/>
        <v>0</v>
      </c>
      <c r="E151">
        <f t="shared" si="26"/>
        <v>0</v>
      </c>
      <c r="F151">
        <f t="shared" si="27"/>
        <v>0</v>
      </c>
      <c r="G151">
        <f>IF($C$2="x",IFERROR(SMALL($A$11:$A$14,141),0),IF($C$3="x",IFERROR(SMALL($A$11:$A$18,141),0),IF($C$4="x",IFERROR(SMALL($A$11:$A$26,141),0),IF($C$5="x",IFERROR(SMALL($A$11:$A$42,141),0),IF($C$6="x",IFERROR(SMALL($A$11:$A$74,141),0),IF($C$7="x",IFERROR(SMALL($A$11:$A$138,141),0),IFERROR(SMALL($A$11:$A$266,141),0)))))))</f>
        <v>1.010251</v>
      </c>
      <c r="H151">
        <f t="shared" si="28"/>
        <v>141</v>
      </c>
      <c r="I151" t="str">
        <f t="shared" si="29"/>
        <v xml:space="preserve"> </v>
      </c>
      <c r="J151" s="34"/>
      <c r="K151" s="35" t="s">
        <v>38</v>
      </c>
      <c r="L151" s="36"/>
      <c r="M151" s="34"/>
      <c r="N151" s="35" t="s">
        <v>38</v>
      </c>
      <c r="O151" s="36"/>
      <c r="P151" s="34"/>
      <c r="Q151" s="35" t="s">
        <v>38</v>
      </c>
      <c r="R151" s="36"/>
      <c r="S151" s="37">
        <f t="shared" si="30"/>
        <v>141</v>
      </c>
      <c r="U151" s="38"/>
      <c r="V151" s="39" t="s">
        <v>179</v>
      </c>
      <c r="W151" s="40" t="str">
        <f>IF('Infos générales'!$E$2="x",IF(U151&gt;0,VLOOKUP(U151,'Infos joueurs'!$A:$M,4,FALSE)&amp;" / "&amp;VLOOKUP(U151,'Infos joueurs'!$A:$M,9,FALSE)," "),IF(U151&gt;0,VLOOKUP(U151,'Infos joueurs'!$A:$M,4,FALSE)&amp;" "&amp;VLOOKUP(U151,'Infos joueurs'!$A:$M,5,FALSE)," "))</f>
        <v xml:space="preserve"> </v>
      </c>
      <c r="Y151" s="33">
        <v>141</v>
      </c>
      <c r="Z151" s="256" t="str">
        <f t="shared" si="31"/>
        <v xml:space="preserve"> </v>
      </c>
      <c r="AA151" s="41" t="str">
        <f>IFERROR(INDEX('Infos joueurs'!$F$15:$F$270,MATCH(AB151,'Infos joueurs'!$A$15:$A$270,0))," ")</f>
        <v xml:space="preserve"> </v>
      </c>
      <c r="AB151" s="38">
        <f t="shared" si="32"/>
        <v>0</v>
      </c>
    </row>
    <row r="152" spans="1:28" x14ac:dyDescent="0.25">
      <c r="A152">
        <f t="shared" si="22"/>
        <v>1.0102519999999999</v>
      </c>
      <c r="B152">
        <f t="shared" si="23"/>
        <v>142</v>
      </c>
      <c r="C152" t="str">
        <f t="shared" si="24"/>
        <v xml:space="preserve"> </v>
      </c>
      <c r="D152">
        <f t="shared" si="25"/>
        <v>0</v>
      </c>
      <c r="E152">
        <f t="shared" si="26"/>
        <v>0</v>
      </c>
      <c r="F152">
        <f t="shared" si="27"/>
        <v>0</v>
      </c>
      <c r="G152">
        <f>IF($C$2="x",IFERROR(SMALL($A$11:$A$14,142),0),IF($C$3="x",IFERROR(SMALL($A$11:$A$18,142),0),IF($C$4="x",IFERROR(SMALL($A$11:$A$26,142),0),IF($C$5="x",IFERROR(SMALL($A$11:$A$42,142),0),IF($C$6="x",IFERROR(SMALL($A$11:$A$74,142),0),IF($C$7="x",IFERROR(SMALL($A$11:$A$138,142),0),IFERROR(SMALL($A$11:$A$266,142),0)))))))</f>
        <v>1.0102519999999999</v>
      </c>
      <c r="H152">
        <f t="shared" si="28"/>
        <v>142</v>
      </c>
      <c r="I152" t="str">
        <f t="shared" si="29"/>
        <v xml:space="preserve"> </v>
      </c>
      <c r="J152" s="34"/>
      <c r="K152" s="35" t="s">
        <v>38</v>
      </c>
      <c r="L152" s="36"/>
      <c r="M152" s="34"/>
      <c r="N152" s="35" t="s">
        <v>38</v>
      </c>
      <c r="O152" s="36"/>
      <c r="P152" s="34"/>
      <c r="Q152" s="35" t="s">
        <v>38</v>
      </c>
      <c r="R152" s="36"/>
      <c r="S152" s="37">
        <f t="shared" si="30"/>
        <v>142</v>
      </c>
      <c r="U152" s="38"/>
      <c r="V152" s="39" t="s">
        <v>180</v>
      </c>
      <c r="W152" s="40" t="str">
        <f>IF('Infos générales'!$E$2="x",IF(U152&gt;0,VLOOKUP(U152,'Infos joueurs'!$A:$M,4,FALSE)&amp;" / "&amp;VLOOKUP(U152,'Infos joueurs'!$A:$M,9,FALSE)," "),IF(U152&gt;0,VLOOKUP(U152,'Infos joueurs'!$A:$M,4,FALSE)&amp;" "&amp;VLOOKUP(U152,'Infos joueurs'!$A:$M,5,FALSE)," "))</f>
        <v xml:space="preserve"> </v>
      </c>
      <c r="Y152" s="33">
        <v>142</v>
      </c>
      <c r="Z152" s="256" t="str">
        <f t="shared" si="31"/>
        <v xml:space="preserve"> </v>
      </c>
      <c r="AA152" s="41" t="str">
        <f>IFERROR(INDEX('Infos joueurs'!$F$15:$F$270,MATCH(AB152,'Infos joueurs'!$A$15:$A$270,0))," ")</f>
        <v xml:space="preserve"> </v>
      </c>
      <c r="AB152" s="38">
        <f t="shared" si="32"/>
        <v>0</v>
      </c>
    </row>
    <row r="153" spans="1:28" x14ac:dyDescent="0.25">
      <c r="A153">
        <f t="shared" si="22"/>
        <v>1.0102530000000001</v>
      </c>
      <c r="B153">
        <f t="shared" si="23"/>
        <v>143</v>
      </c>
      <c r="C153" t="str">
        <f t="shared" si="24"/>
        <v xml:space="preserve"> </v>
      </c>
      <c r="D153">
        <f t="shared" si="25"/>
        <v>0</v>
      </c>
      <c r="E153">
        <f t="shared" si="26"/>
        <v>0</v>
      </c>
      <c r="F153">
        <f t="shared" si="27"/>
        <v>0</v>
      </c>
      <c r="G153">
        <f>IF($C$2="x",IFERROR(SMALL($A$11:$A$14,143),0),IF($C$3="x",IFERROR(SMALL($A$11:$A$18,143),0),IF($C$4="x",IFERROR(SMALL($A$11:$A$26,143),0),IF($C$5="x",IFERROR(SMALL($A$11:$A$42,143),0),IF($C$6="x",IFERROR(SMALL($A$11:$A$74,143),0),IF($C$7="x",IFERROR(SMALL($A$11:$A$138,143),0),IFERROR(SMALL($A$11:$A$266,143),0)))))))</f>
        <v>1.0102530000000001</v>
      </c>
      <c r="H153">
        <f t="shared" si="28"/>
        <v>143</v>
      </c>
      <c r="I153" t="str">
        <f t="shared" si="29"/>
        <v xml:space="preserve"> </v>
      </c>
      <c r="J153" s="34"/>
      <c r="K153" s="35" t="s">
        <v>38</v>
      </c>
      <c r="L153" s="36"/>
      <c r="M153" s="34"/>
      <c r="N153" s="35" t="s">
        <v>38</v>
      </c>
      <c r="O153" s="36"/>
      <c r="P153" s="34"/>
      <c r="Q153" s="35" t="s">
        <v>38</v>
      </c>
      <c r="R153" s="36"/>
      <c r="S153" s="37">
        <f t="shared" si="30"/>
        <v>143</v>
      </c>
      <c r="U153" s="38"/>
      <c r="V153" s="39" t="s">
        <v>181</v>
      </c>
      <c r="W153" s="40" t="str">
        <f>IF('Infos générales'!$E$2="x",IF(U153&gt;0,VLOOKUP(U153,'Infos joueurs'!$A:$M,4,FALSE)&amp;" / "&amp;VLOOKUP(U153,'Infos joueurs'!$A:$M,9,FALSE)," "),IF(U153&gt;0,VLOOKUP(U153,'Infos joueurs'!$A:$M,4,FALSE)&amp;" "&amp;VLOOKUP(U153,'Infos joueurs'!$A:$M,5,FALSE)," "))</f>
        <v xml:space="preserve"> </v>
      </c>
      <c r="Y153" s="33">
        <v>143</v>
      </c>
      <c r="Z153" s="256" t="str">
        <f t="shared" si="31"/>
        <v xml:space="preserve"> </v>
      </c>
      <c r="AA153" s="41" t="str">
        <f>IFERROR(INDEX('Infos joueurs'!$F$15:$F$270,MATCH(AB153,'Infos joueurs'!$A$15:$A$270,0))," ")</f>
        <v xml:space="preserve"> </v>
      </c>
      <c r="AB153" s="38">
        <f t="shared" si="32"/>
        <v>0</v>
      </c>
    </row>
    <row r="154" spans="1:28" x14ac:dyDescent="0.25">
      <c r="A154">
        <f t="shared" si="22"/>
        <v>1.010254</v>
      </c>
      <c r="B154">
        <f t="shared" si="23"/>
        <v>144</v>
      </c>
      <c r="C154" t="str">
        <f t="shared" si="24"/>
        <v xml:space="preserve"> </v>
      </c>
      <c r="D154">
        <f t="shared" si="25"/>
        <v>0</v>
      </c>
      <c r="E154">
        <f t="shared" si="26"/>
        <v>0</v>
      </c>
      <c r="F154">
        <f t="shared" si="27"/>
        <v>0</v>
      </c>
      <c r="G154">
        <f>IF($C$2="x",IFERROR(SMALL($A$11:$A$14,144),0),IF($C$3="x",IFERROR(SMALL($A$11:$A$18,144),0),IF($C$4="x",IFERROR(SMALL($A$11:$A$26,144),0),IF($C$5="x",IFERROR(SMALL($A$11:$A$42,144),0),IF($C$6="x",IFERROR(SMALL($A$11:$A$74,144),0),IF($C$7="x",IFERROR(SMALL($A$11:$A$138,144),0),IFERROR(SMALL($A$11:$A$266,144),0)))))))</f>
        <v>1.010254</v>
      </c>
      <c r="H154">
        <f t="shared" si="28"/>
        <v>144</v>
      </c>
      <c r="I154" t="str">
        <f t="shared" si="29"/>
        <v xml:space="preserve"> </v>
      </c>
      <c r="J154" s="34"/>
      <c r="K154" s="35" t="s">
        <v>38</v>
      </c>
      <c r="L154" s="36"/>
      <c r="M154" s="34"/>
      <c r="N154" s="35" t="s">
        <v>38</v>
      </c>
      <c r="O154" s="36"/>
      <c r="P154" s="34"/>
      <c r="Q154" s="35" t="s">
        <v>38</v>
      </c>
      <c r="R154" s="36"/>
      <c r="S154" s="37">
        <f t="shared" si="30"/>
        <v>144</v>
      </c>
      <c r="U154" s="38"/>
      <c r="V154" s="39" t="s">
        <v>182</v>
      </c>
      <c r="W154" s="40" t="str">
        <f>IF('Infos générales'!$E$2="x",IF(U154&gt;0,VLOOKUP(U154,'Infos joueurs'!$A:$M,4,FALSE)&amp;" / "&amp;VLOOKUP(U154,'Infos joueurs'!$A:$M,9,FALSE)," "),IF(U154&gt;0,VLOOKUP(U154,'Infos joueurs'!$A:$M,4,FALSE)&amp;" "&amp;VLOOKUP(U154,'Infos joueurs'!$A:$M,5,FALSE)," "))</f>
        <v xml:space="preserve"> </v>
      </c>
      <c r="Y154" s="33">
        <v>144</v>
      </c>
      <c r="Z154" s="256" t="str">
        <f t="shared" si="31"/>
        <v xml:space="preserve"> </v>
      </c>
      <c r="AA154" s="41" t="str">
        <f>IFERROR(INDEX('Infos joueurs'!$F$15:$F$270,MATCH(AB154,'Infos joueurs'!$A$15:$A$270,0))," ")</f>
        <v xml:space="preserve"> </v>
      </c>
      <c r="AB154" s="38">
        <f t="shared" si="32"/>
        <v>0</v>
      </c>
    </row>
    <row r="155" spans="1:28" x14ac:dyDescent="0.25">
      <c r="A155">
        <f t="shared" si="22"/>
        <v>1.0102549999999999</v>
      </c>
      <c r="B155">
        <f t="shared" si="23"/>
        <v>145</v>
      </c>
      <c r="C155" t="str">
        <f t="shared" si="24"/>
        <v xml:space="preserve"> </v>
      </c>
      <c r="D155">
        <f t="shared" si="25"/>
        <v>0</v>
      </c>
      <c r="E155">
        <f t="shared" si="26"/>
        <v>0</v>
      </c>
      <c r="F155">
        <f t="shared" si="27"/>
        <v>0</v>
      </c>
      <c r="G155">
        <f>IF($C$2="x",IFERROR(SMALL($A$11:$A$14,145),0),IF($C$3="x",IFERROR(SMALL($A$11:$A$18,145),0),IF($C$4="x",IFERROR(SMALL($A$11:$A$26,145),0),IF($C$5="x",IFERROR(SMALL($A$11:$A$42,145),0),IF($C$6="x",IFERROR(SMALL($A$11:$A$74,145),0),IF($C$7="x",IFERROR(SMALL($A$11:$A$138,145),0),IFERROR(SMALL($A$11:$A$266,145),0)))))))</f>
        <v>1.0102549999999999</v>
      </c>
      <c r="H155">
        <f t="shared" si="28"/>
        <v>145</v>
      </c>
      <c r="I155" t="str">
        <f t="shared" si="29"/>
        <v xml:space="preserve"> </v>
      </c>
      <c r="J155" s="34"/>
      <c r="K155" s="35" t="s">
        <v>38</v>
      </c>
      <c r="L155" s="36"/>
      <c r="M155" s="34"/>
      <c r="N155" s="35" t="s">
        <v>38</v>
      </c>
      <c r="O155" s="36"/>
      <c r="P155" s="34"/>
      <c r="Q155" s="35" t="s">
        <v>38</v>
      </c>
      <c r="R155" s="36"/>
      <c r="S155" s="37">
        <f t="shared" si="30"/>
        <v>145</v>
      </c>
      <c r="U155" s="38"/>
      <c r="V155" s="39" t="s">
        <v>183</v>
      </c>
      <c r="W155" s="40" t="str">
        <f>IF('Infos générales'!$E$2="x",IF(U155&gt;0,VLOOKUP(U155,'Infos joueurs'!$A:$M,4,FALSE)&amp;" / "&amp;VLOOKUP(U155,'Infos joueurs'!$A:$M,9,FALSE)," "),IF(U155&gt;0,VLOOKUP(U155,'Infos joueurs'!$A:$M,4,FALSE)&amp;" "&amp;VLOOKUP(U155,'Infos joueurs'!$A:$M,5,FALSE)," "))</f>
        <v xml:space="preserve"> </v>
      </c>
      <c r="Y155" s="33">
        <v>145</v>
      </c>
      <c r="Z155" s="256" t="str">
        <f t="shared" si="31"/>
        <v xml:space="preserve"> </v>
      </c>
      <c r="AA155" s="41" t="str">
        <f>IFERROR(INDEX('Infos joueurs'!$F$15:$F$270,MATCH(AB155,'Infos joueurs'!$A$15:$A$270,0))," ")</f>
        <v xml:space="preserve"> </v>
      </c>
      <c r="AB155" s="38">
        <f t="shared" si="32"/>
        <v>0</v>
      </c>
    </row>
    <row r="156" spans="1:28" x14ac:dyDescent="0.25">
      <c r="A156">
        <f t="shared" si="22"/>
        <v>1.010256</v>
      </c>
      <c r="B156">
        <f t="shared" si="23"/>
        <v>146</v>
      </c>
      <c r="C156" t="str">
        <f t="shared" si="24"/>
        <v xml:space="preserve"> </v>
      </c>
      <c r="D156">
        <f t="shared" si="25"/>
        <v>0</v>
      </c>
      <c r="E156">
        <f t="shared" si="26"/>
        <v>0</v>
      </c>
      <c r="F156">
        <f t="shared" si="27"/>
        <v>0</v>
      </c>
      <c r="G156">
        <f>IF($C$2="x",IFERROR(SMALL($A$11:$A$14,146),0),IF($C$3="x",IFERROR(SMALL($A$11:$A$18,146),0),IF($C$4="x",IFERROR(SMALL($A$11:$A$26,146),0),IF($C$5="x",IFERROR(SMALL($A$11:$A$42,146),0),IF($C$6="x",IFERROR(SMALL($A$11:$A$74,146),0),IF($C$7="x",IFERROR(SMALL($A$11:$A$138,146),0),IFERROR(SMALL($A$11:$A$266,146),0)))))))</f>
        <v>1.010256</v>
      </c>
      <c r="H156">
        <f t="shared" si="28"/>
        <v>146</v>
      </c>
      <c r="I156" t="str">
        <f t="shared" si="29"/>
        <v xml:space="preserve"> </v>
      </c>
      <c r="J156" s="34"/>
      <c r="K156" s="35" t="s">
        <v>38</v>
      </c>
      <c r="L156" s="36"/>
      <c r="M156" s="34"/>
      <c r="N156" s="35" t="s">
        <v>38</v>
      </c>
      <c r="O156" s="36"/>
      <c r="P156" s="34"/>
      <c r="Q156" s="35" t="s">
        <v>38</v>
      </c>
      <c r="R156" s="36"/>
      <c r="S156" s="37">
        <f t="shared" si="30"/>
        <v>146</v>
      </c>
      <c r="U156" s="38"/>
      <c r="V156" s="39" t="s">
        <v>184</v>
      </c>
      <c r="W156" s="40" t="str">
        <f>IF('Infos générales'!$E$2="x",IF(U156&gt;0,VLOOKUP(U156,'Infos joueurs'!$A:$M,4,FALSE)&amp;" / "&amp;VLOOKUP(U156,'Infos joueurs'!$A:$M,9,FALSE)," "),IF(U156&gt;0,VLOOKUP(U156,'Infos joueurs'!$A:$M,4,FALSE)&amp;" "&amp;VLOOKUP(U156,'Infos joueurs'!$A:$M,5,FALSE)," "))</f>
        <v xml:space="preserve"> </v>
      </c>
      <c r="Y156" s="33">
        <v>146</v>
      </c>
      <c r="Z156" s="256" t="str">
        <f t="shared" si="31"/>
        <v xml:space="preserve"> </v>
      </c>
      <c r="AA156" s="41" t="str">
        <f>IFERROR(INDEX('Infos joueurs'!$F$15:$F$270,MATCH(AB156,'Infos joueurs'!$A$15:$A$270,0))," ")</f>
        <v xml:space="preserve"> </v>
      </c>
      <c r="AB156" s="38">
        <f t="shared" si="32"/>
        <v>0</v>
      </c>
    </row>
    <row r="157" spans="1:28" x14ac:dyDescent="0.25">
      <c r="A157">
        <f t="shared" si="22"/>
        <v>1.010257</v>
      </c>
      <c r="B157">
        <f t="shared" si="23"/>
        <v>147</v>
      </c>
      <c r="C157" t="str">
        <f t="shared" si="24"/>
        <v xml:space="preserve"> </v>
      </c>
      <c r="D157">
        <f t="shared" si="25"/>
        <v>0</v>
      </c>
      <c r="E157">
        <f t="shared" si="26"/>
        <v>0</v>
      </c>
      <c r="F157">
        <f t="shared" si="27"/>
        <v>0</v>
      </c>
      <c r="G157">
        <f>IF($C$2="x",IFERROR(SMALL($A$11:$A$14,147),0),IF($C$3="x",IFERROR(SMALL($A$11:$A$18,147),0),IF($C$4="x",IFERROR(SMALL($A$11:$A$26,147),0),IF($C$5="x",IFERROR(SMALL($A$11:$A$42,147),0),IF($C$6="x",IFERROR(SMALL($A$11:$A$74,147),0),IF($C$7="x",IFERROR(SMALL($A$11:$A$138,147),0),IFERROR(SMALL($A$11:$A$266,147),0)))))))</f>
        <v>1.010257</v>
      </c>
      <c r="H157">
        <f t="shared" si="28"/>
        <v>147</v>
      </c>
      <c r="I157" t="str">
        <f t="shared" si="29"/>
        <v xml:space="preserve"> </v>
      </c>
      <c r="J157" s="34"/>
      <c r="K157" s="35" t="s">
        <v>38</v>
      </c>
      <c r="L157" s="36"/>
      <c r="M157" s="34"/>
      <c r="N157" s="35" t="s">
        <v>38</v>
      </c>
      <c r="O157" s="36"/>
      <c r="P157" s="34"/>
      <c r="Q157" s="35" t="s">
        <v>38</v>
      </c>
      <c r="R157" s="36"/>
      <c r="S157" s="37">
        <f t="shared" si="30"/>
        <v>147</v>
      </c>
      <c r="U157" s="38"/>
      <c r="V157" s="39" t="s">
        <v>185</v>
      </c>
      <c r="W157" s="40" t="str">
        <f>IF('Infos générales'!$E$2="x",IF(U157&gt;0,VLOOKUP(U157,'Infos joueurs'!$A:$M,4,FALSE)&amp;" / "&amp;VLOOKUP(U157,'Infos joueurs'!$A:$M,9,FALSE)," "),IF(U157&gt;0,VLOOKUP(U157,'Infos joueurs'!$A:$M,4,FALSE)&amp;" "&amp;VLOOKUP(U157,'Infos joueurs'!$A:$M,5,FALSE)," "))</f>
        <v xml:space="preserve"> </v>
      </c>
      <c r="Y157" s="33">
        <v>147</v>
      </c>
      <c r="Z157" s="256" t="str">
        <f t="shared" si="31"/>
        <v xml:space="preserve"> </v>
      </c>
      <c r="AA157" s="41" t="str">
        <f>IFERROR(INDEX('Infos joueurs'!$F$15:$F$270,MATCH(AB157,'Infos joueurs'!$A$15:$A$270,0))," ")</f>
        <v xml:space="preserve"> </v>
      </c>
      <c r="AB157" s="38">
        <f t="shared" si="32"/>
        <v>0</v>
      </c>
    </row>
    <row r="158" spans="1:28" x14ac:dyDescent="0.25">
      <c r="A158">
        <f t="shared" si="22"/>
        <v>1.0102580000000001</v>
      </c>
      <c r="B158">
        <f t="shared" si="23"/>
        <v>148</v>
      </c>
      <c r="C158" t="str">
        <f t="shared" si="24"/>
        <v xml:space="preserve"> </v>
      </c>
      <c r="D158">
        <f t="shared" si="25"/>
        <v>0</v>
      </c>
      <c r="E158">
        <f t="shared" si="26"/>
        <v>0</v>
      </c>
      <c r="F158">
        <f t="shared" si="27"/>
        <v>0</v>
      </c>
      <c r="G158">
        <f>IF($C$2="x",IFERROR(SMALL($A$11:$A$14,148),0),IF($C$3="x",IFERROR(SMALL($A$11:$A$18,148),0),IF($C$4="x",IFERROR(SMALL($A$11:$A$26,148),0),IF($C$5="x",IFERROR(SMALL($A$11:$A$42,148),0),IF($C$6="x",IFERROR(SMALL($A$11:$A$74,148),0),IF($C$7="x",IFERROR(SMALL($A$11:$A$138,148),0),IFERROR(SMALL($A$11:$A$266,148),0)))))))</f>
        <v>1.0102580000000001</v>
      </c>
      <c r="H158">
        <f t="shared" si="28"/>
        <v>148</v>
      </c>
      <c r="I158" t="str">
        <f t="shared" si="29"/>
        <v xml:space="preserve"> </v>
      </c>
      <c r="J158" s="34"/>
      <c r="K158" s="35" t="s">
        <v>38</v>
      </c>
      <c r="L158" s="36"/>
      <c r="M158" s="34"/>
      <c r="N158" s="35" t="s">
        <v>38</v>
      </c>
      <c r="O158" s="36"/>
      <c r="P158" s="34"/>
      <c r="Q158" s="35" t="s">
        <v>38</v>
      </c>
      <c r="R158" s="36"/>
      <c r="S158" s="37">
        <f t="shared" si="30"/>
        <v>148</v>
      </c>
      <c r="U158" s="38"/>
      <c r="V158" s="39" t="s">
        <v>186</v>
      </c>
      <c r="W158" s="40" t="str">
        <f>IF('Infos générales'!$E$2="x",IF(U158&gt;0,VLOOKUP(U158,'Infos joueurs'!$A:$M,4,FALSE)&amp;" / "&amp;VLOOKUP(U158,'Infos joueurs'!$A:$M,9,FALSE)," "),IF(U158&gt;0,VLOOKUP(U158,'Infos joueurs'!$A:$M,4,FALSE)&amp;" "&amp;VLOOKUP(U158,'Infos joueurs'!$A:$M,5,FALSE)," "))</f>
        <v xml:space="preserve"> </v>
      </c>
      <c r="Y158" s="33">
        <v>148</v>
      </c>
      <c r="Z158" s="256" t="str">
        <f t="shared" si="31"/>
        <v xml:space="preserve"> </v>
      </c>
      <c r="AA158" s="41" t="str">
        <f>IFERROR(INDEX('Infos joueurs'!$F$15:$F$270,MATCH(AB158,'Infos joueurs'!$A$15:$A$270,0))," ")</f>
        <v xml:space="preserve"> </v>
      </c>
      <c r="AB158" s="38">
        <f t="shared" si="32"/>
        <v>0</v>
      </c>
    </row>
    <row r="159" spans="1:28" x14ac:dyDescent="0.25">
      <c r="A159">
        <f t="shared" si="22"/>
        <v>1.010259</v>
      </c>
      <c r="B159">
        <f t="shared" si="23"/>
        <v>149</v>
      </c>
      <c r="C159" t="str">
        <f t="shared" si="24"/>
        <v xml:space="preserve"> </v>
      </c>
      <c r="D159">
        <f t="shared" si="25"/>
        <v>0</v>
      </c>
      <c r="E159">
        <f t="shared" si="26"/>
        <v>0</v>
      </c>
      <c r="F159">
        <f t="shared" si="27"/>
        <v>0</v>
      </c>
      <c r="G159">
        <f>IF($C$2="x",IFERROR(SMALL($A$11:$A$14,149),0),IF($C$3="x",IFERROR(SMALL($A$11:$A$18,149),0),IF($C$4="x",IFERROR(SMALL($A$11:$A$26,149),0),IF($C$5="x",IFERROR(SMALL($A$11:$A$42,149),0),IF($C$6="x",IFERROR(SMALL($A$11:$A$74,149),0),IF($C$7="x",IFERROR(SMALL($A$11:$A$138,149),0),IFERROR(SMALL($A$11:$A$266,149),0)))))))</f>
        <v>1.010259</v>
      </c>
      <c r="H159">
        <f t="shared" si="28"/>
        <v>149</v>
      </c>
      <c r="I159" t="str">
        <f t="shared" si="29"/>
        <v xml:space="preserve"> </v>
      </c>
      <c r="J159" s="34"/>
      <c r="K159" s="35" t="s">
        <v>38</v>
      </c>
      <c r="L159" s="36"/>
      <c r="M159" s="34"/>
      <c r="N159" s="35" t="s">
        <v>38</v>
      </c>
      <c r="O159" s="36"/>
      <c r="P159" s="34"/>
      <c r="Q159" s="35" t="s">
        <v>38</v>
      </c>
      <c r="R159" s="36"/>
      <c r="S159" s="37">
        <f t="shared" si="30"/>
        <v>149</v>
      </c>
      <c r="U159" s="38"/>
      <c r="V159" s="39" t="s">
        <v>187</v>
      </c>
      <c r="W159" s="40" t="str">
        <f>IF('Infos générales'!$E$2="x",IF(U159&gt;0,VLOOKUP(U159,'Infos joueurs'!$A:$M,4,FALSE)&amp;" / "&amp;VLOOKUP(U159,'Infos joueurs'!$A:$M,9,FALSE)," "),IF(U159&gt;0,VLOOKUP(U159,'Infos joueurs'!$A:$M,4,FALSE)&amp;" "&amp;VLOOKUP(U159,'Infos joueurs'!$A:$M,5,FALSE)," "))</f>
        <v xml:space="preserve"> </v>
      </c>
      <c r="Y159" s="33">
        <v>149</v>
      </c>
      <c r="Z159" s="256" t="str">
        <f t="shared" si="31"/>
        <v xml:space="preserve"> </v>
      </c>
      <c r="AA159" s="41" t="str">
        <f>IFERROR(INDEX('Infos joueurs'!$F$15:$F$270,MATCH(AB159,'Infos joueurs'!$A$15:$A$270,0))," ")</f>
        <v xml:space="preserve"> </v>
      </c>
      <c r="AB159" s="38">
        <f t="shared" si="32"/>
        <v>0</v>
      </c>
    </row>
    <row r="160" spans="1:28" x14ac:dyDescent="0.25">
      <c r="A160">
        <f t="shared" si="22"/>
        <v>1.0102599999999999</v>
      </c>
      <c r="B160">
        <f t="shared" si="23"/>
        <v>150</v>
      </c>
      <c r="C160" t="str">
        <f t="shared" si="24"/>
        <v xml:space="preserve"> </v>
      </c>
      <c r="D160">
        <f t="shared" si="25"/>
        <v>0</v>
      </c>
      <c r="E160">
        <f t="shared" si="26"/>
        <v>0</v>
      </c>
      <c r="F160">
        <f t="shared" si="27"/>
        <v>0</v>
      </c>
      <c r="G160">
        <f>IF($C$2="x",IFERROR(SMALL($A$11:$A$14,150),0),IF($C$3="x",IFERROR(SMALL($A$11:$A$18,150),0),IF($C$4="x",IFERROR(SMALL($A$11:$A$26,150),0),IF($C$5="x",IFERROR(SMALL($A$11:$A$42,150),0),IF($C$6="x",IFERROR(SMALL($A$11:$A$74,150),0),IF($C$7="x",IFERROR(SMALL($A$11:$A$138,150),0),IFERROR(SMALL($A$11:$A$266,150),0)))))))</f>
        <v>1.0102599999999999</v>
      </c>
      <c r="H160">
        <f t="shared" si="28"/>
        <v>150</v>
      </c>
      <c r="I160" t="str">
        <f t="shared" si="29"/>
        <v xml:space="preserve"> </v>
      </c>
      <c r="J160" s="34"/>
      <c r="K160" s="35" t="s">
        <v>38</v>
      </c>
      <c r="L160" s="36"/>
      <c r="M160" s="34"/>
      <c r="N160" s="35" t="s">
        <v>38</v>
      </c>
      <c r="O160" s="36"/>
      <c r="P160" s="34"/>
      <c r="Q160" s="35" t="s">
        <v>38</v>
      </c>
      <c r="R160" s="36"/>
      <c r="S160" s="37">
        <f t="shared" si="30"/>
        <v>150</v>
      </c>
      <c r="U160" s="38"/>
      <c r="V160" s="39" t="s">
        <v>188</v>
      </c>
      <c r="W160" s="40" t="str">
        <f>IF('Infos générales'!$E$2="x",IF(U160&gt;0,VLOOKUP(U160,'Infos joueurs'!$A:$M,4,FALSE)&amp;" / "&amp;VLOOKUP(U160,'Infos joueurs'!$A:$M,9,FALSE)," "),IF(U160&gt;0,VLOOKUP(U160,'Infos joueurs'!$A:$M,4,FALSE)&amp;" "&amp;VLOOKUP(U160,'Infos joueurs'!$A:$M,5,FALSE)," "))</f>
        <v xml:space="preserve"> </v>
      </c>
      <c r="Y160" s="33">
        <v>150</v>
      </c>
      <c r="Z160" s="256" t="str">
        <f t="shared" si="31"/>
        <v xml:space="preserve"> </v>
      </c>
      <c r="AA160" s="41" t="str">
        <f>IFERROR(INDEX('Infos joueurs'!$F$15:$F$270,MATCH(AB160,'Infos joueurs'!$A$15:$A$270,0))," ")</f>
        <v xml:space="preserve"> </v>
      </c>
      <c r="AB160" s="38">
        <f t="shared" si="32"/>
        <v>0</v>
      </c>
    </row>
    <row r="161" spans="1:28" x14ac:dyDescent="0.25">
      <c r="A161">
        <f t="shared" si="22"/>
        <v>1.0102610000000001</v>
      </c>
      <c r="B161">
        <f t="shared" si="23"/>
        <v>151</v>
      </c>
      <c r="C161" t="str">
        <f t="shared" si="24"/>
        <v xml:space="preserve"> </v>
      </c>
      <c r="D161">
        <f t="shared" si="25"/>
        <v>0</v>
      </c>
      <c r="E161">
        <f t="shared" si="26"/>
        <v>0</v>
      </c>
      <c r="F161">
        <f t="shared" si="27"/>
        <v>0</v>
      </c>
      <c r="G161">
        <f>IF($C$2="x",IFERROR(SMALL($A$11:$A$14,151),0),IF($C$3="x",IFERROR(SMALL($A$11:$A$18,151),0),IF($C$4="x",IFERROR(SMALL($A$11:$A$26,151),0),IF($C$5="x",IFERROR(SMALL($A$11:$A$42,151),0),IF($C$6="x",IFERROR(SMALL($A$11:$A$74,151),0),IF($C$7="x",IFERROR(SMALL($A$11:$A$138,151),0),IFERROR(SMALL($A$11:$A$266,151),0)))))))</f>
        <v>1.0102610000000001</v>
      </c>
      <c r="H161">
        <f t="shared" si="28"/>
        <v>151</v>
      </c>
      <c r="I161" t="str">
        <f t="shared" si="29"/>
        <v xml:space="preserve"> </v>
      </c>
      <c r="J161" s="34"/>
      <c r="K161" s="35" t="s">
        <v>38</v>
      </c>
      <c r="L161" s="36"/>
      <c r="M161" s="34"/>
      <c r="N161" s="35" t="s">
        <v>38</v>
      </c>
      <c r="O161" s="36"/>
      <c r="P161" s="34"/>
      <c r="Q161" s="35" t="s">
        <v>38</v>
      </c>
      <c r="R161" s="36"/>
      <c r="S161" s="37">
        <f t="shared" si="30"/>
        <v>151</v>
      </c>
      <c r="U161" s="38"/>
      <c r="V161" s="39" t="s">
        <v>189</v>
      </c>
      <c r="W161" s="40" t="str">
        <f>IF('Infos générales'!$E$2="x",IF(U161&gt;0,VLOOKUP(U161,'Infos joueurs'!$A:$M,4,FALSE)&amp;" / "&amp;VLOOKUP(U161,'Infos joueurs'!$A:$M,9,FALSE)," "),IF(U161&gt;0,VLOOKUP(U161,'Infos joueurs'!$A:$M,4,FALSE)&amp;" "&amp;VLOOKUP(U161,'Infos joueurs'!$A:$M,5,FALSE)," "))</f>
        <v xml:space="preserve"> </v>
      </c>
      <c r="Y161" s="33">
        <v>151</v>
      </c>
      <c r="Z161" s="256" t="str">
        <f t="shared" si="31"/>
        <v xml:space="preserve"> </v>
      </c>
      <c r="AA161" s="41" t="str">
        <f>IFERROR(INDEX('Infos joueurs'!$F$15:$F$270,MATCH(AB161,'Infos joueurs'!$A$15:$A$270,0))," ")</f>
        <v xml:space="preserve"> </v>
      </c>
      <c r="AB161" s="38">
        <f t="shared" si="32"/>
        <v>0</v>
      </c>
    </row>
    <row r="162" spans="1:28" x14ac:dyDescent="0.25">
      <c r="A162">
        <f t="shared" si="22"/>
        <v>1.010262</v>
      </c>
      <c r="B162">
        <f t="shared" si="23"/>
        <v>152</v>
      </c>
      <c r="C162" t="str">
        <f t="shared" si="24"/>
        <v xml:space="preserve"> </v>
      </c>
      <c r="D162">
        <f t="shared" si="25"/>
        <v>0</v>
      </c>
      <c r="E162">
        <f t="shared" si="26"/>
        <v>0</v>
      </c>
      <c r="F162">
        <f t="shared" si="27"/>
        <v>0</v>
      </c>
      <c r="G162">
        <f>IF($C$2="x",IFERROR(SMALL($A$11:$A$14,152),0),IF($C$3="x",IFERROR(SMALL($A$11:$A$18,152),0),IF($C$4="x",IFERROR(SMALL($A$11:$A$26,152),0),IF($C$5="x",IFERROR(SMALL($A$11:$A$42,152),0),IF($C$6="x",IFERROR(SMALL($A$11:$A$74,152),0),IF($C$7="x",IFERROR(SMALL($A$11:$A$138,152),0),IFERROR(SMALL($A$11:$A$266,152),0)))))))</f>
        <v>1.010262</v>
      </c>
      <c r="H162">
        <f t="shared" si="28"/>
        <v>152</v>
      </c>
      <c r="I162" t="str">
        <f t="shared" si="29"/>
        <v xml:space="preserve"> </v>
      </c>
      <c r="J162" s="34"/>
      <c r="K162" s="35" t="s">
        <v>38</v>
      </c>
      <c r="L162" s="36"/>
      <c r="M162" s="34"/>
      <c r="N162" s="35" t="s">
        <v>38</v>
      </c>
      <c r="O162" s="36"/>
      <c r="P162" s="34"/>
      <c r="Q162" s="35" t="s">
        <v>38</v>
      </c>
      <c r="R162" s="36"/>
      <c r="S162" s="37">
        <f t="shared" si="30"/>
        <v>152</v>
      </c>
      <c r="U162" s="38"/>
      <c r="V162" s="39" t="s">
        <v>190</v>
      </c>
      <c r="W162" s="40" t="str">
        <f>IF('Infos générales'!$E$2="x",IF(U162&gt;0,VLOOKUP(U162,'Infos joueurs'!$A:$M,4,FALSE)&amp;" / "&amp;VLOOKUP(U162,'Infos joueurs'!$A:$M,9,FALSE)," "),IF(U162&gt;0,VLOOKUP(U162,'Infos joueurs'!$A:$M,4,FALSE)&amp;" "&amp;VLOOKUP(U162,'Infos joueurs'!$A:$M,5,FALSE)," "))</f>
        <v xml:space="preserve"> </v>
      </c>
      <c r="Y162" s="33">
        <v>152</v>
      </c>
      <c r="Z162" s="256" t="str">
        <f t="shared" si="31"/>
        <v xml:space="preserve"> </v>
      </c>
      <c r="AA162" s="41" t="str">
        <f>IFERROR(INDEX('Infos joueurs'!$F$15:$F$270,MATCH(AB162,'Infos joueurs'!$A$15:$A$270,0))," ")</f>
        <v xml:space="preserve"> </v>
      </c>
      <c r="AB162" s="38">
        <f t="shared" si="32"/>
        <v>0</v>
      </c>
    </row>
    <row r="163" spans="1:28" x14ac:dyDescent="0.25">
      <c r="A163">
        <f t="shared" si="22"/>
        <v>1.0102629999999999</v>
      </c>
      <c r="B163">
        <f t="shared" si="23"/>
        <v>153</v>
      </c>
      <c r="C163" t="str">
        <f t="shared" si="24"/>
        <v xml:space="preserve"> </v>
      </c>
      <c r="D163">
        <f t="shared" si="25"/>
        <v>0</v>
      </c>
      <c r="E163">
        <f t="shared" si="26"/>
        <v>0</v>
      </c>
      <c r="F163">
        <f t="shared" si="27"/>
        <v>0</v>
      </c>
      <c r="G163">
        <f>IF($C$2="x",IFERROR(SMALL($A$11:$A$14,153),0),IF($C$3="x",IFERROR(SMALL($A$11:$A$18,153),0),IF($C$4="x",IFERROR(SMALL($A$11:$A$26,153),0),IF($C$5="x",IFERROR(SMALL($A$11:$A$42,153),0),IF($C$6="x",IFERROR(SMALL($A$11:$A$74,153),0),IF($C$7="x",IFERROR(SMALL($A$11:$A$138,153),0),IFERROR(SMALL($A$11:$A$266,153),0)))))))</f>
        <v>1.0102629999999999</v>
      </c>
      <c r="H163">
        <f t="shared" si="28"/>
        <v>153</v>
      </c>
      <c r="I163" t="str">
        <f t="shared" si="29"/>
        <v xml:space="preserve"> </v>
      </c>
      <c r="J163" s="34"/>
      <c r="K163" s="35" t="s">
        <v>38</v>
      </c>
      <c r="L163" s="36"/>
      <c r="M163" s="34"/>
      <c r="N163" s="35" t="s">
        <v>38</v>
      </c>
      <c r="O163" s="36"/>
      <c r="P163" s="34"/>
      <c r="Q163" s="35" t="s">
        <v>38</v>
      </c>
      <c r="R163" s="36"/>
      <c r="S163" s="37">
        <f t="shared" si="30"/>
        <v>153</v>
      </c>
      <c r="U163" s="38"/>
      <c r="V163" s="39" t="s">
        <v>191</v>
      </c>
      <c r="W163" s="40" t="str">
        <f>IF('Infos générales'!$E$2="x",IF(U163&gt;0,VLOOKUP(U163,'Infos joueurs'!$A:$M,4,FALSE)&amp;" / "&amp;VLOOKUP(U163,'Infos joueurs'!$A:$M,9,FALSE)," "),IF(U163&gt;0,VLOOKUP(U163,'Infos joueurs'!$A:$M,4,FALSE)&amp;" "&amp;VLOOKUP(U163,'Infos joueurs'!$A:$M,5,FALSE)," "))</f>
        <v xml:space="preserve"> </v>
      </c>
      <c r="Y163" s="33">
        <v>153</v>
      </c>
      <c r="Z163" s="256" t="str">
        <f t="shared" si="31"/>
        <v xml:space="preserve"> </v>
      </c>
      <c r="AA163" s="41" t="str">
        <f>IFERROR(INDEX('Infos joueurs'!$F$15:$F$270,MATCH(AB163,'Infos joueurs'!$A$15:$A$270,0))," ")</f>
        <v xml:space="preserve"> </v>
      </c>
      <c r="AB163" s="38">
        <f t="shared" si="32"/>
        <v>0</v>
      </c>
    </row>
    <row r="164" spans="1:28" x14ac:dyDescent="0.25">
      <c r="A164">
        <f t="shared" si="22"/>
        <v>1.0102640000000001</v>
      </c>
      <c r="B164">
        <f t="shared" si="23"/>
        <v>154</v>
      </c>
      <c r="C164" t="str">
        <f t="shared" si="24"/>
        <v xml:space="preserve"> </v>
      </c>
      <c r="D164">
        <f t="shared" si="25"/>
        <v>0</v>
      </c>
      <c r="E164">
        <f t="shared" si="26"/>
        <v>0</v>
      </c>
      <c r="F164">
        <f t="shared" si="27"/>
        <v>0</v>
      </c>
      <c r="G164">
        <f>IF($C$2="x",IFERROR(SMALL($A$11:$A$14,154),0),IF($C$3="x",IFERROR(SMALL($A$11:$A$18,154),0),IF($C$4="x",IFERROR(SMALL($A$11:$A$26,154),0),IF($C$5="x",IFERROR(SMALL($A$11:$A$42,154),0),IF($C$6="x",IFERROR(SMALL($A$11:$A$74,154),0),IF($C$7="x",IFERROR(SMALL($A$11:$A$138,154),0),IFERROR(SMALL($A$11:$A$266,154),0)))))))</f>
        <v>1.0102640000000001</v>
      </c>
      <c r="H164">
        <f t="shared" si="28"/>
        <v>154</v>
      </c>
      <c r="I164" t="str">
        <f t="shared" si="29"/>
        <v xml:space="preserve"> </v>
      </c>
      <c r="J164" s="34"/>
      <c r="K164" s="35" t="s">
        <v>38</v>
      </c>
      <c r="L164" s="36"/>
      <c r="M164" s="34"/>
      <c r="N164" s="35" t="s">
        <v>38</v>
      </c>
      <c r="O164" s="36"/>
      <c r="P164" s="34"/>
      <c r="Q164" s="35" t="s">
        <v>38</v>
      </c>
      <c r="R164" s="36"/>
      <c r="S164" s="37">
        <f t="shared" si="30"/>
        <v>154</v>
      </c>
      <c r="U164" s="38"/>
      <c r="V164" s="39" t="s">
        <v>192</v>
      </c>
      <c r="W164" s="40" t="str">
        <f>IF('Infos générales'!$E$2="x",IF(U164&gt;0,VLOOKUP(U164,'Infos joueurs'!$A:$M,4,FALSE)&amp;" / "&amp;VLOOKUP(U164,'Infos joueurs'!$A:$M,9,FALSE)," "),IF(U164&gt;0,VLOOKUP(U164,'Infos joueurs'!$A:$M,4,FALSE)&amp;" "&amp;VLOOKUP(U164,'Infos joueurs'!$A:$M,5,FALSE)," "))</f>
        <v xml:space="preserve"> </v>
      </c>
      <c r="Y164" s="33">
        <v>154</v>
      </c>
      <c r="Z164" s="256" t="str">
        <f t="shared" si="31"/>
        <v xml:space="preserve"> </v>
      </c>
      <c r="AA164" s="41" t="str">
        <f>IFERROR(INDEX('Infos joueurs'!$F$15:$F$270,MATCH(AB164,'Infos joueurs'!$A$15:$A$270,0))," ")</f>
        <v xml:space="preserve"> </v>
      </c>
      <c r="AB164" s="38">
        <f t="shared" si="32"/>
        <v>0</v>
      </c>
    </row>
    <row r="165" spans="1:28" x14ac:dyDescent="0.25">
      <c r="A165">
        <f t="shared" si="22"/>
        <v>1.010265</v>
      </c>
      <c r="B165">
        <f t="shared" si="23"/>
        <v>155</v>
      </c>
      <c r="C165" t="str">
        <f t="shared" si="24"/>
        <v xml:space="preserve"> </v>
      </c>
      <c r="D165">
        <f t="shared" si="25"/>
        <v>0</v>
      </c>
      <c r="E165">
        <f t="shared" si="26"/>
        <v>0</v>
      </c>
      <c r="F165">
        <f t="shared" si="27"/>
        <v>0</v>
      </c>
      <c r="G165">
        <f>IF($C$2="x",IFERROR(SMALL($A$11:$A$14,155),0),IF($C$3="x",IFERROR(SMALL($A$11:$A$18,155),0),IF($C$4="x",IFERROR(SMALL($A$11:$A$26,155),0),IF($C$5="x",IFERROR(SMALL($A$11:$A$42,155),0),IF($C$6="x",IFERROR(SMALL($A$11:$A$74,155),0),IF($C$7="x",IFERROR(SMALL($A$11:$A$138,155),0),IFERROR(SMALL($A$11:$A$266,155),0)))))))</f>
        <v>1.010265</v>
      </c>
      <c r="H165">
        <f t="shared" si="28"/>
        <v>155</v>
      </c>
      <c r="I165" t="str">
        <f t="shared" si="29"/>
        <v xml:space="preserve"> </v>
      </c>
      <c r="J165" s="34"/>
      <c r="K165" s="35" t="s">
        <v>38</v>
      </c>
      <c r="L165" s="36"/>
      <c r="M165" s="34"/>
      <c r="N165" s="35" t="s">
        <v>38</v>
      </c>
      <c r="O165" s="36"/>
      <c r="P165" s="34"/>
      <c r="Q165" s="35" t="s">
        <v>38</v>
      </c>
      <c r="R165" s="36"/>
      <c r="S165" s="37">
        <f t="shared" si="30"/>
        <v>155</v>
      </c>
      <c r="U165" s="38"/>
      <c r="V165" s="39" t="s">
        <v>193</v>
      </c>
      <c r="W165" s="40" t="str">
        <f>IF('Infos générales'!$E$2="x",IF(U165&gt;0,VLOOKUP(U165,'Infos joueurs'!$A:$M,4,FALSE)&amp;" / "&amp;VLOOKUP(U165,'Infos joueurs'!$A:$M,9,FALSE)," "),IF(U165&gt;0,VLOOKUP(U165,'Infos joueurs'!$A:$M,4,FALSE)&amp;" "&amp;VLOOKUP(U165,'Infos joueurs'!$A:$M,5,FALSE)," "))</f>
        <v xml:space="preserve"> </v>
      </c>
      <c r="Y165" s="33">
        <v>155</v>
      </c>
      <c r="Z165" s="256" t="str">
        <f t="shared" si="31"/>
        <v xml:space="preserve"> </v>
      </c>
      <c r="AA165" s="41" t="str">
        <f>IFERROR(INDEX('Infos joueurs'!$F$15:$F$270,MATCH(AB165,'Infos joueurs'!$A$15:$A$270,0))," ")</f>
        <v xml:space="preserve"> </v>
      </c>
      <c r="AB165" s="38">
        <f t="shared" si="32"/>
        <v>0</v>
      </c>
    </row>
    <row r="166" spans="1:28" x14ac:dyDescent="0.25">
      <c r="A166">
        <f t="shared" si="22"/>
        <v>1.0102660000000001</v>
      </c>
      <c r="B166">
        <f t="shared" si="23"/>
        <v>156</v>
      </c>
      <c r="C166" t="str">
        <f t="shared" si="24"/>
        <v xml:space="preserve"> </v>
      </c>
      <c r="D166">
        <f t="shared" si="25"/>
        <v>0</v>
      </c>
      <c r="E166">
        <f t="shared" si="26"/>
        <v>0</v>
      </c>
      <c r="F166">
        <f t="shared" si="27"/>
        <v>0</v>
      </c>
      <c r="G166">
        <f>IF($C$2="x",IFERROR(SMALL($A$11:$A$14,156),0),IF($C$3="x",IFERROR(SMALL($A$11:$A$18,156),0),IF($C$4="x",IFERROR(SMALL($A$11:$A$26,156),0),IF($C$5="x",IFERROR(SMALL($A$11:$A$42,156),0),IF($C$6="x",IFERROR(SMALL($A$11:$A$74,156),0),IF($C$7="x",IFERROR(SMALL($A$11:$A$138,156),0),IFERROR(SMALL($A$11:$A$266,156),0)))))))</f>
        <v>1.0102660000000001</v>
      </c>
      <c r="H166">
        <f t="shared" si="28"/>
        <v>156</v>
      </c>
      <c r="I166" t="str">
        <f t="shared" si="29"/>
        <v xml:space="preserve"> </v>
      </c>
      <c r="J166" s="34"/>
      <c r="K166" s="35" t="s">
        <v>38</v>
      </c>
      <c r="L166" s="36"/>
      <c r="M166" s="34"/>
      <c r="N166" s="35" t="s">
        <v>38</v>
      </c>
      <c r="O166" s="36"/>
      <c r="P166" s="34"/>
      <c r="Q166" s="35" t="s">
        <v>38</v>
      </c>
      <c r="R166" s="36"/>
      <c r="S166" s="37">
        <f t="shared" si="30"/>
        <v>156</v>
      </c>
      <c r="U166" s="38"/>
      <c r="V166" s="39" t="s">
        <v>194</v>
      </c>
      <c r="W166" s="40" t="str">
        <f>IF('Infos générales'!$E$2="x",IF(U166&gt;0,VLOOKUP(U166,'Infos joueurs'!$A:$M,4,FALSE)&amp;" / "&amp;VLOOKUP(U166,'Infos joueurs'!$A:$M,9,FALSE)," "),IF(U166&gt;0,VLOOKUP(U166,'Infos joueurs'!$A:$M,4,FALSE)&amp;" "&amp;VLOOKUP(U166,'Infos joueurs'!$A:$M,5,FALSE)," "))</f>
        <v xml:space="preserve"> </v>
      </c>
      <c r="Y166" s="33">
        <v>156</v>
      </c>
      <c r="Z166" s="256" t="str">
        <f t="shared" si="31"/>
        <v xml:space="preserve"> </v>
      </c>
      <c r="AA166" s="41" t="str">
        <f>IFERROR(INDEX('Infos joueurs'!$F$15:$F$270,MATCH(AB166,'Infos joueurs'!$A$15:$A$270,0))," ")</f>
        <v xml:space="preserve"> </v>
      </c>
      <c r="AB166" s="38">
        <f t="shared" si="32"/>
        <v>0</v>
      </c>
    </row>
    <row r="167" spans="1:28" x14ac:dyDescent="0.25">
      <c r="A167">
        <f t="shared" si="22"/>
        <v>1.010267</v>
      </c>
      <c r="B167">
        <f t="shared" si="23"/>
        <v>157</v>
      </c>
      <c r="C167" t="str">
        <f t="shared" si="24"/>
        <v xml:space="preserve"> </v>
      </c>
      <c r="D167">
        <f t="shared" si="25"/>
        <v>0</v>
      </c>
      <c r="E167">
        <f t="shared" si="26"/>
        <v>0</v>
      </c>
      <c r="F167">
        <f t="shared" si="27"/>
        <v>0</v>
      </c>
      <c r="G167">
        <f>IF($C$2="x",IFERROR(SMALL($A$11:$A$14,157),0),IF($C$3="x",IFERROR(SMALL($A$11:$A$18,157),0),IF($C$4="x",IFERROR(SMALL($A$11:$A$26,157),0),IF($C$5="x",IFERROR(SMALL($A$11:$A$42,157),0),IF($C$6="x",IFERROR(SMALL($A$11:$A$74,157),0),IF($C$7="x",IFERROR(SMALL($A$11:$A$138,157),0),IFERROR(SMALL($A$11:$A$266,157),0)))))))</f>
        <v>1.010267</v>
      </c>
      <c r="H167">
        <f t="shared" si="28"/>
        <v>157</v>
      </c>
      <c r="I167" t="str">
        <f t="shared" si="29"/>
        <v xml:space="preserve"> </v>
      </c>
      <c r="J167" s="34"/>
      <c r="K167" s="35" t="s">
        <v>38</v>
      </c>
      <c r="L167" s="36"/>
      <c r="M167" s="34"/>
      <c r="N167" s="35" t="s">
        <v>38</v>
      </c>
      <c r="O167" s="36"/>
      <c r="P167" s="34"/>
      <c r="Q167" s="35" t="s">
        <v>38</v>
      </c>
      <c r="R167" s="36"/>
      <c r="S167" s="37">
        <f t="shared" si="30"/>
        <v>157</v>
      </c>
      <c r="U167" s="38"/>
      <c r="V167" s="39" t="s">
        <v>195</v>
      </c>
      <c r="W167" s="40" t="str">
        <f>IF('Infos générales'!$E$2="x",IF(U167&gt;0,VLOOKUP(U167,'Infos joueurs'!$A:$M,4,FALSE)&amp;" / "&amp;VLOOKUP(U167,'Infos joueurs'!$A:$M,9,FALSE)," "),IF(U167&gt;0,VLOOKUP(U167,'Infos joueurs'!$A:$M,4,FALSE)&amp;" "&amp;VLOOKUP(U167,'Infos joueurs'!$A:$M,5,FALSE)," "))</f>
        <v xml:space="preserve"> </v>
      </c>
      <c r="Y167" s="33">
        <v>157</v>
      </c>
      <c r="Z167" s="256" t="str">
        <f t="shared" si="31"/>
        <v xml:space="preserve"> </v>
      </c>
      <c r="AA167" s="41" t="str">
        <f>IFERROR(INDEX('Infos joueurs'!$F$15:$F$270,MATCH(AB167,'Infos joueurs'!$A$15:$A$270,0))," ")</f>
        <v xml:space="preserve"> </v>
      </c>
      <c r="AB167" s="38">
        <f t="shared" si="32"/>
        <v>0</v>
      </c>
    </row>
    <row r="168" spans="1:28" x14ac:dyDescent="0.25">
      <c r="A168">
        <f t="shared" si="22"/>
        <v>1.0102679999999999</v>
      </c>
      <c r="B168">
        <f t="shared" si="23"/>
        <v>158</v>
      </c>
      <c r="C168" t="str">
        <f t="shared" si="24"/>
        <v xml:space="preserve"> </v>
      </c>
      <c r="D168">
        <f t="shared" si="25"/>
        <v>0</v>
      </c>
      <c r="E168">
        <f t="shared" si="26"/>
        <v>0</v>
      </c>
      <c r="F168">
        <f t="shared" si="27"/>
        <v>0</v>
      </c>
      <c r="G168">
        <f>IF($C$2="x",IFERROR(SMALL($A$11:$A$14,158),0),IF($C$3="x",IFERROR(SMALL($A$11:$A$18,158),0),IF($C$4="x",IFERROR(SMALL($A$11:$A$26,158),0),IF($C$5="x",IFERROR(SMALL($A$11:$A$42,158),0),IF($C$6="x",IFERROR(SMALL($A$11:$A$74,158),0),IF($C$7="x",IFERROR(SMALL($A$11:$A$138,158),0),IFERROR(SMALL($A$11:$A$266,158),0)))))))</f>
        <v>1.0102679999999999</v>
      </c>
      <c r="H168">
        <f t="shared" si="28"/>
        <v>158</v>
      </c>
      <c r="I168" t="str">
        <f t="shared" si="29"/>
        <v xml:space="preserve"> </v>
      </c>
      <c r="J168" s="34"/>
      <c r="K168" s="35" t="s">
        <v>38</v>
      </c>
      <c r="L168" s="36"/>
      <c r="M168" s="34"/>
      <c r="N168" s="35" t="s">
        <v>38</v>
      </c>
      <c r="O168" s="36"/>
      <c r="P168" s="34"/>
      <c r="Q168" s="35" t="s">
        <v>38</v>
      </c>
      <c r="R168" s="36"/>
      <c r="S168" s="37">
        <f t="shared" si="30"/>
        <v>158</v>
      </c>
      <c r="U168" s="38"/>
      <c r="V168" s="39" t="s">
        <v>196</v>
      </c>
      <c r="W168" s="40" t="str">
        <f>IF('Infos générales'!$E$2="x",IF(U168&gt;0,VLOOKUP(U168,'Infos joueurs'!$A:$M,4,FALSE)&amp;" / "&amp;VLOOKUP(U168,'Infos joueurs'!$A:$M,9,FALSE)," "),IF(U168&gt;0,VLOOKUP(U168,'Infos joueurs'!$A:$M,4,FALSE)&amp;" "&amp;VLOOKUP(U168,'Infos joueurs'!$A:$M,5,FALSE)," "))</f>
        <v xml:space="preserve"> </v>
      </c>
      <c r="Y168" s="33">
        <v>158</v>
      </c>
      <c r="Z168" s="256" t="str">
        <f t="shared" si="31"/>
        <v xml:space="preserve"> </v>
      </c>
      <c r="AA168" s="41" t="str">
        <f>IFERROR(INDEX('Infos joueurs'!$F$15:$F$270,MATCH(AB168,'Infos joueurs'!$A$15:$A$270,0))," ")</f>
        <v xml:space="preserve"> </v>
      </c>
      <c r="AB168" s="38">
        <f t="shared" si="32"/>
        <v>0</v>
      </c>
    </row>
    <row r="169" spans="1:28" x14ac:dyDescent="0.25">
      <c r="A169">
        <f t="shared" si="22"/>
        <v>1.0102690000000001</v>
      </c>
      <c r="B169">
        <f t="shared" si="23"/>
        <v>159</v>
      </c>
      <c r="C169" t="str">
        <f t="shared" si="24"/>
        <v xml:space="preserve"> </v>
      </c>
      <c r="D169">
        <f t="shared" si="25"/>
        <v>0</v>
      </c>
      <c r="E169">
        <f t="shared" si="26"/>
        <v>0</v>
      </c>
      <c r="F169">
        <f t="shared" si="27"/>
        <v>0</v>
      </c>
      <c r="G169">
        <f>IF($C$2="x",IFERROR(SMALL($A$11:$A$14,159),0),IF($C$3="x",IFERROR(SMALL($A$11:$A$18,159),0),IF($C$4="x",IFERROR(SMALL($A$11:$A$26,159),0),IF($C$5="x",IFERROR(SMALL($A$11:$A$42,159),0),IF($C$6="x",IFERROR(SMALL($A$11:$A$74,159),0),IF($C$7="x",IFERROR(SMALL($A$11:$A$138,159),0),IFERROR(SMALL($A$11:$A$266,159),0)))))))</f>
        <v>1.0102690000000001</v>
      </c>
      <c r="H169">
        <f t="shared" si="28"/>
        <v>159</v>
      </c>
      <c r="I169" t="str">
        <f t="shared" si="29"/>
        <v xml:space="preserve"> </v>
      </c>
      <c r="J169" s="34"/>
      <c r="K169" s="35" t="s">
        <v>38</v>
      </c>
      <c r="L169" s="36"/>
      <c r="M169" s="34"/>
      <c r="N169" s="35" t="s">
        <v>38</v>
      </c>
      <c r="O169" s="36"/>
      <c r="P169" s="34"/>
      <c r="Q169" s="35" t="s">
        <v>38</v>
      </c>
      <c r="R169" s="36"/>
      <c r="S169" s="37">
        <f t="shared" si="30"/>
        <v>159</v>
      </c>
      <c r="U169" s="38"/>
      <c r="V169" s="39" t="s">
        <v>197</v>
      </c>
      <c r="W169" s="40" t="str">
        <f>IF('Infos générales'!$E$2="x",IF(U169&gt;0,VLOOKUP(U169,'Infos joueurs'!$A:$M,4,FALSE)&amp;" / "&amp;VLOOKUP(U169,'Infos joueurs'!$A:$M,9,FALSE)," "),IF(U169&gt;0,VLOOKUP(U169,'Infos joueurs'!$A:$M,4,FALSE)&amp;" "&amp;VLOOKUP(U169,'Infos joueurs'!$A:$M,5,FALSE)," "))</f>
        <v xml:space="preserve"> </v>
      </c>
      <c r="Y169" s="33">
        <v>159</v>
      </c>
      <c r="Z169" s="256" t="str">
        <f t="shared" si="31"/>
        <v xml:space="preserve"> </v>
      </c>
      <c r="AA169" s="41" t="str">
        <f>IFERROR(INDEX('Infos joueurs'!$F$15:$F$270,MATCH(AB169,'Infos joueurs'!$A$15:$A$270,0))," ")</f>
        <v xml:space="preserve"> </v>
      </c>
      <c r="AB169" s="38">
        <f t="shared" si="32"/>
        <v>0</v>
      </c>
    </row>
    <row r="170" spans="1:28" x14ac:dyDescent="0.25">
      <c r="A170">
        <f t="shared" si="22"/>
        <v>1.01027</v>
      </c>
      <c r="B170">
        <f t="shared" si="23"/>
        <v>160</v>
      </c>
      <c r="C170" t="str">
        <f t="shared" si="24"/>
        <v xml:space="preserve"> </v>
      </c>
      <c r="D170">
        <f t="shared" si="25"/>
        <v>0</v>
      </c>
      <c r="E170">
        <f t="shared" si="26"/>
        <v>0</v>
      </c>
      <c r="F170">
        <f t="shared" si="27"/>
        <v>0</v>
      </c>
      <c r="G170">
        <f>IF($C$2="x",IFERROR(SMALL($A$11:$A$14,160),0),IF($C$3="x",IFERROR(SMALL($A$11:$A$18,160),0),IF($C$4="x",IFERROR(SMALL($A$11:$A$26,160),0),IF($C$5="x",IFERROR(SMALL($A$11:$A$42,160),0),IF($C$6="x",IFERROR(SMALL($A$11:$A$74,160),0),IF($C$7="x",IFERROR(SMALL($A$11:$A$138,160),0),IFERROR(SMALL($A$11:$A$266,160),0)))))))</f>
        <v>1.01027</v>
      </c>
      <c r="H170">
        <f t="shared" si="28"/>
        <v>160</v>
      </c>
      <c r="I170" t="str">
        <f t="shared" si="29"/>
        <v xml:space="preserve"> </v>
      </c>
      <c r="J170" s="34"/>
      <c r="K170" s="35" t="s">
        <v>38</v>
      </c>
      <c r="L170" s="36"/>
      <c r="M170" s="34"/>
      <c r="N170" s="35" t="s">
        <v>38</v>
      </c>
      <c r="O170" s="36"/>
      <c r="P170" s="34"/>
      <c r="Q170" s="35" t="s">
        <v>38</v>
      </c>
      <c r="R170" s="36"/>
      <c r="S170" s="37">
        <f t="shared" si="30"/>
        <v>160</v>
      </c>
      <c r="U170" s="38"/>
      <c r="V170" s="39" t="s">
        <v>198</v>
      </c>
      <c r="W170" s="40" t="str">
        <f>IF('Infos générales'!$E$2="x",IF(U170&gt;0,VLOOKUP(U170,'Infos joueurs'!$A:$M,4,FALSE)&amp;" / "&amp;VLOOKUP(U170,'Infos joueurs'!$A:$M,9,FALSE)," "),IF(U170&gt;0,VLOOKUP(U170,'Infos joueurs'!$A:$M,4,FALSE)&amp;" "&amp;VLOOKUP(U170,'Infos joueurs'!$A:$M,5,FALSE)," "))</f>
        <v xml:space="preserve"> </v>
      </c>
      <c r="Y170" s="33">
        <v>160</v>
      </c>
      <c r="Z170" s="256" t="str">
        <f t="shared" si="31"/>
        <v xml:space="preserve"> </v>
      </c>
      <c r="AA170" s="41" t="str">
        <f>IFERROR(INDEX('Infos joueurs'!$F$15:$F$270,MATCH(AB170,'Infos joueurs'!$A$15:$A$270,0))," ")</f>
        <v xml:space="preserve"> </v>
      </c>
      <c r="AB170" s="38">
        <f t="shared" si="32"/>
        <v>0</v>
      </c>
    </row>
    <row r="171" spans="1:28" x14ac:dyDescent="0.25">
      <c r="A171">
        <f t="shared" si="22"/>
        <v>1.0102709999999999</v>
      </c>
      <c r="B171">
        <f t="shared" si="23"/>
        <v>161</v>
      </c>
      <c r="C171" t="str">
        <f t="shared" si="24"/>
        <v xml:space="preserve"> </v>
      </c>
      <c r="D171">
        <f t="shared" si="25"/>
        <v>0</v>
      </c>
      <c r="E171">
        <f t="shared" si="26"/>
        <v>0</v>
      </c>
      <c r="F171">
        <f t="shared" si="27"/>
        <v>0</v>
      </c>
      <c r="G171">
        <f>IF($C$2="x",IFERROR(SMALL($A$11:$A$14,161),0),IF($C$3="x",IFERROR(SMALL($A$11:$A$18,161),0),IF($C$4="x",IFERROR(SMALL($A$11:$A$26,161),0),IF($C$5="x",IFERROR(SMALL($A$11:$A$42,161),0),IF($C$6="x",IFERROR(SMALL($A$11:$A$74,161),0),IF($C$7="x",IFERROR(SMALL($A$11:$A$138,161),0),IFERROR(SMALL($A$11:$A$266,161),0)))))))</f>
        <v>1.0102709999999999</v>
      </c>
      <c r="H171">
        <f t="shared" si="28"/>
        <v>161</v>
      </c>
      <c r="I171" t="str">
        <f t="shared" si="29"/>
        <v xml:space="preserve"> </v>
      </c>
      <c r="J171" s="34"/>
      <c r="K171" s="35" t="s">
        <v>38</v>
      </c>
      <c r="L171" s="36"/>
      <c r="M171" s="34"/>
      <c r="N171" s="35" t="s">
        <v>38</v>
      </c>
      <c r="O171" s="36"/>
      <c r="P171" s="34"/>
      <c r="Q171" s="35" t="s">
        <v>38</v>
      </c>
      <c r="R171" s="36"/>
      <c r="S171" s="37">
        <f t="shared" si="30"/>
        <v>161</v>
      </c>
      <c r="U171" s="38"/>
      <c r="V171" s="39" t="s">
        <v>199</v>
      </c>
      <c r="W171" s="40" t="str">
        <f>IF('Infos générales'!$E$2="x",IF(U171&gt;0,VLOOKUP(U171,'Infos joueurs'!$A:$M,4,FALSE)&amp;" / "&amp;VLOOKUP(U171,'Infos joueurs'!$A:$M,9,FALSE)," "),IF(U171&gt;0,VLOOKUP(U171,'Infos joueurs'!$A:$M,4,FALSE)&amp;" "&amp;VLOOKUP(U171,'Infos joueurs'!$A:$M,5,FALSE)," "))</f>
        <v xml:space="preserve"> </v>
      </c>
      <c r="Y171" s="33">
        <v>161</v>
      </c>
      <c r="Z171" s="256" t="str">
        <f t="shared" si="31"/>
        <v xml:space="preserve"> </v>
      </c>
      <c r="AA171" s="41" t="str">
        <f>IFERROR(INDEX('Infos joueurs'!$F$15:$F$270,MATCH(AB171,'Infos joueurs'!$A$15:$A$270,0))," ")</f>
        <v xml:space="preserve"> </v>
      </c>
      <c r="AB171" s="38">
        <f t="shared" si="32"/>
        <v>0</v>
      </c>
    </row>
    <row r="172" spans="1:28" x14ac:dyDescent="0.25">
      <c r="A172">
        <f t="shared" si="22"/>
        <v>1.0102720000000001</v>
      </c>
      <c r="B172">
        <f t="shared" si="23"/>
        <v>162</v>
      </c>
      <c r="C172" t="str">
        <f t="shared" si="24"/>
        <v xml:space="preserve"> </v>
      </c>
      <c r="D172">
        <f t="shared" si="25"/>
        <v>0</v>
      </c>
      <c r="E172">
        <f t="shared" si="26"/>
        <v>0</v>
      </c>
      <c r="F172">
        <f t="shared" si="27"/>
        <v>0</v>
      </c>
      <c r="G172">
        <f>IF($C$2="x",IFERROR(SMALL($A$11:$A$14,162),0),IF($C$3="x",IFERROR(SMALL($A$11:$A$18,162),0),IF($C$4="x",IFERROR(SMALL($A$11:$A$26,162),0),IF($C$5="x",IFERROR(SMALL($A$11:$A$42,162),0),IF($C$6="x",IFERROR(SMALL($A$11:$A$74,162),0),IF($C$7="x",IFERROR(SMALL($A$11:$A$138,162),0),IFERROR(SMALL($A$11:$A$266,162),0)))))))</f>
        <v>1.0102720000000001</v>
      </c>
      <c r="H172">
        <f t="shared" si="28"/>
        <v>162</v>
      </c>
      <c r="I172" t="str">
        <f t="shared" si="29"/>
        <v xml:space="preserve"> </v>
      </c>
      <c r="J172" s="34"/>
      <c r="K172" s="35" t="s">
        <v>38</v>
      </c>
      <c r="L172" s="36"/>
      <c r="M172" s="34"/>
      <c r="N172" s="35" t="s">
        <v>38</v>
      </c>
      <c r="O172" s="36"/>
      <c r="P172" s="34"/>
      <c r="Q172" s="35" t="s">
        <v>38</v>
      </c>
      <c r="R172" s="36"/>
      <c r="S172" s="37">
        <f t="shared" si="30"/>
        <v>162</v>
      </c>
      <c r="U172" s="38"/>
      <c r="V172" s="39" t="s">
        <v>200</v>
      </c>
      <c r="W172" s="40" t="str">
        <f>IF('Infos générales'!$E$2="x",IF(U172&gt;0,VLOOKUP(U172,'Infos joueurs'!$A:$M,4,FALSE)&amp;" / "&amp;VLOOKUP(U172,'Infos joueurs'!$A:$M,9,FALSE)," "),IF(U172&gt;0,VLOOKUP(U172,'Infos joueurs'!$A:$M,4,FALSE)&amp;" "&amp;VLOOKUP(U172,'Infos joueurs'!$A:$M,5,FALSE)," "))</f>
        <v xml:space="preserve"> </v>
      </c>
      <c r="Y172" s="33">
        <v>162</v>
      </c>
      <c r="Z172" s="256" t="str">
        <f t="shared" si="31"/>
        <v xml:space="preserve"> </v>
      </c>
      <c r="AA172" s="41" t="str">
        <f>IFERROR(INDEX('Infos joueurs'!$F$15:$F$270,MATCH(AB172,'Infos joueurs'!$A$15:$A$270,0))," ")</f>
        <v xml:space="preserve"> </v>
      </c>
      <c r="AB172" s="38">
        <f t="shared" si="32"/>
        <v>0</v>
      </c>
    </row>
    <row r="173" spans="1:28" x14ac:dyDescent="0.25">
      <c r="A173">
        <f t="shared" si="22"/>
        <v>1.010273</v>
      </c>
      <c r="B173">
        <f t="shared" si="23"/>
        <v>163</v>
      </c>
      <c r="C173" t="str">
        <f t="shared" si="24"/>
        <v xml:space="preserve"> </v>
      </c>
      <c r="D173">
        <f t="shared" si="25"/>
        <v>0</v>
      </c>
      <c r="E173">
        <f t="shared" si="26"/>
        <v>0</v>
      </c>
      <c r="F173">
        <f t="shared" si="27"/>
        <v>0</v>
      </c>
      <c r="G173">
        <f>IF($C$2="x",IFERROR(SMALL($A$11:$A$14,163),0),IF($C$3="x",IFERROR(SMALL($A$11:$A$18,163),0),IF($C$4="x",IFERROR(SMALL($A$11:$A$26,163),0),IF($C$5="x",IFERROR(SMALL($A$11:$A$42,163),0),IF($C$6="x",IFERROR(SMALL($A$11:$A$74,163),0),IF($C$7="x",IFERROR(SMALL($A$11:$A$138,A63),0),IFERROR(SMALL($A$11:$A$266,163),0)))))))</f>
        <v>1.010273</v>
      </c>
      <c r="H173">
        <f t="shared" si="28"/>
        <v>163</v>
      </c>
      <c r="I173" t="str">
        <f t="shared" si="29"/>
        <v xml:space="preserve"> </v>
      </c>
      <c r="J173" s="34"/>
      <c r="K173" s="35" t="s">
        <v>38</v>
      </c>
      <c r="L173" s="36"/>
      <c r="M173" s="34"/>
      <c r="N173" s="35" t="s">
        <v>38</v>
      </c>
      <c r="O173" s="36"/>
      <c r="P173" s="34"/>
      <c r="Q173" s="35" t="s">
        <v>38</v>
      </c>
      <c r="R173" s="36"/>
      <c r="S173" s="37">
        <f t="shared" si="30"/>
        <v>163</v>
      </c>
      <c r="U173" s="38"/>
      <c r="V173" s="39" t="s">
        <v>201</v>
      </c>
      <c r="W173" s="40" t="str">
        <f>IF('Infos générales'!$E$2="x",IF(U173&gt;0,VLOOKUP(U173,'Infos joueurs'!$A:$M,4,FALSE)&amp;" / "&amp;VLOOKUP(U173,'Infos joueurs'!$A:$M,9,FALSE)," "),IF(U173&gt;0,VLOOKUP(U173,'Infos joueurs'!$A:$M,4,FALSE)&amp;" "&amp;VLOOKUP(U173,'Infos joueurs'!$A:$M,5,FALSE)," "))</f>
        <v xml:space="preserve"> </v>
      </c>
      <c r="Y173" s="33">
        <v>163</v>
      </c>
      <c r="Z173" s="256" t="str">
        <f t="shared" si="31"/>
        <v xml:space="preserve"> </v>
      </c>
      <c r="AA173" s="41" t="str">
        <f>IFERROR(INDEX('Infos joueurs'!$F$15:$F$270,MATCH(AB173,'Infos joueurs'!$A$15:$A$270,0))," ")</f>
        <v xml:space="preserve"> </v>
      </c>
      <c r="AB173" s="38">
        <f t="shared" si="32"/>
        <v>0</v>
      </c>
    </row>
    <row r="174" spans="1:28" x14ac:dyDescent="0.25">
      <c r="A174">
        <f t="shared" si="22"/>
        <v>1.0102739999999999</v>
      </c>
      <c r="B174">
        <f t="shared" si="23"/>
        <v>164</v>
      </c>
      <c r="C174" t="str">
        <f t="shared" si="24"/>
        <v xml:space="preserve"> </v>
      </c>
      <c r="D174">
        <f t="shared" si="25"/>
        <v>0</v>
      </c>
      <c r="E174">
        <f t="shared" si="26"/>
        <v>0</v>
      </c>
      <c r="F174">
        <f t="shared" si="27"/>
        <v>0</v>
      </c>
      <c r="G174">
        <f>IF($C$2="x",IFERROR(SMALL($A$11:$A$14,164),0),IF($C$3="x",IFERROR(SMALL($A$11:$A$18,164),0),IF($C$4="x",IFERROR(SMALL($A$11:$A$26,164),0),IF($C$5="x",IFERROR(SMALL($A$11:$A$42,164),0),IF($C$6="x",IFERROR(SMALL($A$11:$A$74,164),0),IF($C$7="x",IFERROR(SMALL($A$11:$A$138,164),0),IFERROR(SMALL($A$11:$A$266,164),0)))))))</f>
        <v>1.0102739999999999</v>
      </c>
      <c r="H174">
        <f t="shared" si="28"/>
        <v>164</v>
      </c>
      <c r="I174" t="str">
        <f t="shared" si="29"/>
        <v xml:space="preserve"> </v>
      </c>
      <c r="J174" s="34"/>
      <c r="K174" s="35" t="s">
        <v>38</v>
      </c>
      <c r="L174" s="36"/>
      <c r="M174" s="34"/>
      <c r="N174" s="35" t="s">
        <v>38</v>
      </c>
      <c r="O174" s="36"/>
      <c r="P174" s="34"/>
      <c r="Q174" s="35" t="s">
        <v>38</v>
      </c>
      <c r="R174" s="36"/>
      <c r="S174" s="37">
        <f t="shared" si="30"/>
        <v>164</v>
      </c>
      <c r="U174" s="38"/>
      <c r="V174" s="39" t="s">
        <v>202</v>
      </c>
      <c r="W174" s="40" t="str">
        <f>IF('Infos générales'!$E$2="x",IF(U174&gt;0,VLOOKUP(U174,'Infos joueurs'!$A:$M,4,FALSE)&amp;" / "&amp;VLOOKUP(U174,'Infos joueurs'!$A:$M,9,FALSE)," "),IF(U174&gt;0,VLOOKUP(U174,'Infos joueurs'!$A:$M,4,FALSE)&amp;" "&amp;VLOOKUP(U174,'Infos joueurs'!$A:$M,5,FALSE)," "))</f>
        <v xml:space="preserve"> </v>
      </c>
      <c r="Y174" s="33">
        <v>164</v>
      </c>
      <c r="Z174" s="256" t="str">
        <f t="shared" si="31"/>
        <v xml:space="preserve"> </v>
      </c>
      <c r="AA174" s="41" t="str">
        <f>IFERROR(INDEX('Infos joueurs'!$F$15:$F$270,MATCH(AB174,'Infos joueurs'!$A$15:$A$270,0))," ")</f>
        <v xml:space="preserve"> </v>
      </c>
      <c r="AB174" s="38">
        <f t="shared" si="32"/>
        <v>0</v>
      </c>
    </row>
    <row r="175" spans="1:28" x14ac:dyDescent="0.25">
      <c r="A175">
        <f t="shared" si="22"/>
        <v>1.010275</v>
      </c>
      <c r="B175">
        <f t="shared" si="23"/>
        <v>165</v>
      </c>
      <c r="C175" t="str">
        <f t="shared" si="24"/>
        <v xml:space="preserve"> </v>
      </c>
      <c r="D175">
        <f t="shared" si="25"/>
        <v>0</v>
      </c>
      <c r="E175">
        <f t="shared" si="26"/>
        <v>0</v>
      </c>
      <c r="F175">
        <f t="shared" si="27"/>
        <v>0</v>
      </c>
      <c r="G175">
        <f>IF($C$2="x",IFERROR(SMALL($A$11:$A$14,165),0),IF($C$3="x",IFERROR(SMALL($A$11:$A$18,165),0),IF($C$4="x",IFERROR(SMALL($A$11:$A$26,165),0),IF($C$5="x",IFERROR(SMALL($A$11:$A$42,165),0),IF($C$6="x",IFERROR(SMALL($A$11:$A$74,165),0),IF($C$7="x",IFERROR(SMALL($A$11:$A$138,165),0),IFERROR(SMALL($A$11:$A$266,165),0)))))))</f>
        <v>1.010275</v>
      </c>
      <c r="H175">
        <f t="shared" si="28"/>
        <v>165</v>
      </c>
      <c r="I175" t="str">
        <f t="shared" si="29"/>
        <v xml:space="preserve"> </v>
      </c>
      <c r="J175" s="34"/>
      <c r="K175" s="35" t="s">
        <v>38</v>
      </c>
      <c r="L175" s="36"/>
      <c r="M175" s="34"/>
      <c r="N175" s="35" t="s">
        <v>38</v>
      </c>
      <c r="O175" s="36"/>
      <c r="P175" s="34"/>
      <c r="Q175" s="35" t="s">
        <v>38</v>
      </c>
      <c r="R175" s="36"/>
      <c r="S175" s="37">
        <f t="shared" si="30"/>
        <v>165</v>
      </c>
      <c r="U175" s="38"/>
      <c r="V175" s="39" t="s">
        <v>203</v>
      </c>
      <c r="W175" s="40" t="str">
        <f>IF('Infos générales'!$E$2="x",IF(U175&gt;0,VLOOKUP(U175,'Infos joueurs'!$A:$M,4,FALSE)&amp;" / "&amp;VLOOKUP(U175,'Infos joueurs'!$A:$M,9,FALSE)," "),IF(U175&gt;0,VLOOKUP(U175,'Infos joueurs'!$A:$M,4,FALSE)&amp;" "&amp;VLOOKUP(U175,'Infos joueurs'!$A:$M,5,FALSE)," "))</f>
        <v xml:space="preserve"> </v>
      </c>
      <c r="Y175" s="33">
        <v>165</v>
      </c>
      <c r="Z175" s="256" t="str">
        <f t="shared" si="31"/>
        <v xml:space="preserve"> </v>
      </c>
      <c r="AA175" s="41" t="str">
        <f>IFERROR(INDEX('Infos joueurs'!$F$15:$F$270,MATCH(AB175,'Infos joueurs'!$A$15:$A$270,0))," ")</f>
        <v xml:space="preserve"> </v>
      </c>
      <c r="AB175" s="38">
        <f t="shared" si="32"/>
        <v>0</v>
      </c>
    </row>
    <row r="176" spans="1:28" x14ac:dyDescent="0.25">
      <c r="A176">
        <f t="shared" si="22"/>
        <v>1.010276</v>
      </c>
      <c r="B176">
        <f t="shared" si="23"/>
        <v>166</v>
      </c>
      <c r="C176" t="str">
        <f t="shared" si="24"/>
        <v xml:space="preserve"> </v>
      </c>
      <c r="D176">
        <f t="shared" si="25"/>
        <v>0</v>
      </c>
      <c r="E176">
        <f t="shared" si="26"/>
        <v>0</v>
      </c>
      <c r="F176">
        <f t="shared" si="27"/>
        <v>0</v>
      </c>
      <c r="G176">
        <f>IF($C$2="x",IFERROR(SMALL($A$11:$A$14,166),0),IF($C$3="x",IFERROR(SMALL($A$11:$A$18,166),0),IF($C$4="x",IFERROR(SMALL($A$11:$A$26,166),0),IF($C$5="x",IFERROR(SMALL($A$11:$A$42,166),0),IF($C$6="x",IFERROR(SMALL($A$11:$A$74,166),0),IF($C$7="x",IFERROR(SMALL($A$11:$A$138,166),0),IFERROR(SMALL($A$11:$A$266,166),0)))))))</f>
        <v>1.010276</v>
      </c>
      <c r="H176">
        <f t="shared" si="28"/>
        <v>166</v>
      </c>
      <c r="I176" t="str">
        <f t="shared" si="29"/>
        <v xml:space="preserve"> </v>
      </c>
      <c r="J176" s="34"/>
      <c r="K176" s="35" t="s">
        <v>38</v>
      </c>
      <c r="L176" s="36"/>
      <c r="M176" s="34"/>
      <c r="N176" s="35" t="s">
        <v>38</v>
      </c>
      <c r="O176" s="36"/>
      <c r="P176" s="34"/>
      <c r="Q176" s="35" t="s">
        <v>38</v>
      </c>
      <c r="R176" s="36"/>
      <c r="S176" s="37">
        <f t="shared" si="30"/>
        <v>166</v>
      </c>
      <c r="U176" s="38"/>
      <c r="V176" s="39" t="s">
        <v>204</v>
      </c>
      <c r="W176" s="40" t="str">
        <f>IF('Infos générales'!$E$2="x",IF(U176&gt;0,VLOOKUP(U176,'Infos joueurs'!$A:$M,4,FALSE)&amp;" / "&amp;VLOOKUP(U176,'Infos joueurs'!$A:$M,9,FALSE)," "),IF(U176&gt;0,VLOOKUP(U176,'Infos joueurs'!$A:$M,4,FALSE)&amp;" "&amp;VLOOKUP(U176,'Infos joueurs'!$A:$M,5,FALSE)," "))</f>
        <v xml:space="preserve"> </v>
      </c>
      <c r="Y176" s="33">
        <v>166</v>
      </c>
      <c r="Z176" s="256" t="str">
        <f t="shared" si="31"/>
        <v xml:space="preserve"> </v>
      </c>
      <c r="AA176" s="41" t="str">
        <f>IFERROR(INDEX('Infos joueurs'!$F$15:$F$270,MATCH(AB176,'Infos joueurs'!$A$15:$A$270,0))," ")</f>
        <v xml:space="preserve"> </v>
      </c>
      <c r="AB176" s="38">
        <f t="shared" si="32"/>
        <v>0</v>
      </c>
    </row>
    <row r="177" spans="1:28" x14ac:dyDescent="0.25">
      <c r="A177">
        <f t="shared" si="22"/>
        <v>1.0102770000000001</v>
      </c>
      <c r="B177">
        <f t="shared" si="23"/>
        <v>167</v>
      </c>
      <c r="C177" t="str">
        <f t="shared" si="24"/>
        <v xml:space="preserve"> </v>
      </c>
      <c r="D177">
        <f t="shared" si="25"/>
        <v>0</v>
      </c>
      <c r="E177">
        <f t="shared" si="26"/>
        <v>0</v>
      </c>
      <c r="F177">
        <f t="shared" si="27"/>
        <v>0</v>
      </c>
      <c r="G177">
        <f>IF($C$2="x",IFERROR(SMALL($A$11:$A$14,167),0),IF($C$3="x",IFERROR(SMALL($A$11:$A$18,167),0),IF($C$4="x",IFERROR(SMALL($A$11:$A$26,167),0),IF($C$5="x",IFERROR(SMALL($A$11:$A$42,167),0),IF($C$6="x",IFERROR(SMALL($A$11:$A$74,167),0),IF($C$7="x",IFERROR(SMALL($A$11:$A$138,167),0),IFERROR(SMALL($A$11:$A$266,167),0)))))))</f>
        <v>1.0102770000000001</v>
      </c>
      <c r="H177">
        <f t="shared" si="28"/>
        <v>167</v>
      </c>
      <c r="I177" t="str">
        <f t="shared" si="29"/>
        <v xml:space="preserve"> </v>
      </c>
      <c r="J177" s="34"/>
      <c r="K177" s="35" t="s">
        <v>38</v>
      </c>
      <c r="L177" s="36"/>
      <c r="M177" s="34"/>
      <c r="N177" s="35" t="s">
        <v>38</v>
      </c>
      <c r="O177" s="36"/>
      <c r="P177" s="34"/>
      <c r="Q177" s="35" t="s">
        <v>38</v>
      </c>
      <c r="R177" s="36"/>
      <c r="S177" s="37">
        <f t="shared" si="30"/>
        <v>167</v>
      </c>
      <c r="U177" s="38"/>
      <c r="V177" s="39" t="s">
        <v>205</v>
      </c>
      <c r="W177" s="40" t="str">
        <f>IF('Infos générales'!$E$2="x",IF(U177&gt;0,VLOOKUP(U177,'Infos joueurs'!$A:$M,4,FALSE)&amp;" / "&amp;VLOOKUP(U177,'Infos joueurs'!$A:$M,9,FALSE)," "),IF(U177&gt;0,VLOOKUP(U177,'Infos joueurs'!$A:$M,4,FALSE)&amp;" "&amp;VLOOKUP(U177,'Infos joueurs'!$A:$M,5,FALSE)," "))</f>
        <v xml:space="preserve"> </v>
      </c>
      <c r="Y177" s="33">
        <v>167</v>
      </c>
      <c r="Z177" s="256" t="str">
        <f t="shared" si="31"/>
        <v xml:space="preserve"> </v>
      </c>
      <c r="AA177" s="41" t="str">
        <f>IFERROR(INDEX('Infos joueurs'!$F$15:$F$270,MATCH(AB177,'Infos joueurs'!$A$15:$A$270,0))," ")</f>
        <v xml:space="preserve"> </v>
      </c>
      <c r="AB177" s="38">
        <f t="shared" si="32"/>
        <v>0</v>
      </c>
    </row>
    <row r="178" spans="1:28" x14ac:dyDescent="0.25">
      <c r="A178">
        <f t="shared" si="22"/>
        <v>1.010278</v>
      </c>
      <c r="B178">
        <f t="shared" si="23"/>
        <v>168</v>
      </c>
      <c r="C178" t="str">
        <f t="shared" si="24"/>
        <v xml:space="preserve"> </v>
      </c>
      <c r="D178">
        <f t="shared" si="25"/>
        <v>0</v>
      </c>
      <c r="E178">
        <f t="shared" si="26"/>
        <v>0</v>
      </c>
      <c r="F178">
        <f t="shared" si="27"/>
        <v>0</v>
      </c>
      <c r="G178">
        <f>IF($C$2="x",IFERROR(SMALL($A$11:$A$14,168),0),IF($C$3="x",IFERROR(SMALL($A$11:$A$18,168),0),IF($C$4="x",IFERROR(SMALL($A$11:$A$26,168),0),IF($C$5="x",IFERROR(SMALL($A$11:$A$42,168),0),IF($C$6="x",IFERROR(SMALL($A$11:$A$74,168),0),IF($C$7="x",IFERROR(SMALL($A$11:$A$138,168),0),IFERROR(SMALL($A$11:$A$266,168),0)))))))</f>
        <v>1.010278</v>
      </c>
      <c r="H178">
        <f t="shared" si="28"/>
        <v>168</v>
      </c>
      <c r="I178" t="str">
        <f t="shared" si="29"/>
        <v xml:space="preserve"> </v>
      </c>
      <c r="J178" s="34"/>
      <c r="K178" s="35" t="s">
        <v>38</v>
      </c>
      <c r="L178" s="36"/>
      <c r="M178" s="34"/>
      <c r="N178" s="35" t="s">
        <v>38</v>
      </c>
      <c r="O178" s="36"/>
      <c r="P178" s="34"/>
      <c r="Q178" s="35" t="s">
        <v>38</v>
      </c>
      <c r="R178" s="36"/>
      <c r="S178" s="37">
        <f t="shared" si="30"/>
        <v>168</v>
      </c>
      <c r="U178" s="38"/>
      <c r="V178" s="39" t="s">
        <v>206</v>
      </c>
      <c r="W178" s="40" t="str">
        <f>IF('Infos générales'!$E$2="x",IF(U178&gt;0,VLOOKUP(U178,'Infos joueurs'!$A:$M,4,FALSE)&amp;" / "&amp;VLOOKUP(U178,'Infos joueurs'!$A:$M,9,FALSE)," "),IF(U178&gt;0,VLOOKUP(U178,'Infos joueurs'!$A:$M,4,FALSE)&amp;" "&amp;VLOOKUP(U178,'Infos joueurs'!$A:$M,5,FALSE)," "))</f>
        <v xml:space="preserve"> </v>
      </c>
      <c r="Y178" s="33">
        <v>168</v>
      </c>
      <c r="Z178" s="256" t="str">
        <f t="shared" si="31"/>
        <v xml:space="preserve"> </v>
      </c>
      <c r="AA178" s="41" t="str">
        <f>IFERROR(INDEX('Infos joueurs'!$F$15:$F$270,MATCH(AB178,'Infos joueurs'!$A$15:$A$270,0))," ")</f>
        <v xml:space="preserve"> </v>
      </c>
      <c r="AB178" s="38">
        <f t="shared" si="32"/>
        <v>0</v>
      </c>
    </row>
    <row r="179" spans="1:28" x14ac:dyDescent="0.25">
      <c r="A179">
        <f t="shared" si="22"/>
        <v>1.0102789999999999</v>
      </c>
      <c r="B179">
        <f t="shared" si="23"/>
        <v>169</v>
      </c>
      <c r="C179" t="str">
        <f t="shared" si="24"/>
        <v xml:space="preserve"> </v>
      </c>
      <c r="D179">
        <f t="shared" si="25"/>
        <v>0</v>
      </c>
      <c r="E179">
        <f t="shared" si="26"/>
        <v>0</v>
      </c>
      <c r="F179">
        <f t="shared" si="27"/>
        <v>0</v>
      </c>
      <c r="G179">
        <f>IF($C$2="x",IFERROR(SMALL($A$11:$A$14,169),0),IF($C$3="x",IFERROR(SMALL($A$11:$A$18,169),0),IF($C$4="x",IFERROR(SMALL($A$11:$A$26,169),0),IF($C$5="x",IFERROR(SMALL($A$11:$A$42,169),0),IF($C$6="x",IFERROR(SMALL($A$11:$A$74,169),0),IF($C$7="x",IFERROR(SMALL($A$11:$A$138,169),0),IFERROR(SMALL($A$11:$A$266,169),0)))))))</f>
        <v>1.0102789999999999</v>
      </c>
      <c r="H179">
        <f t="shared" si="28"/>
        <v>169</v>
      </c>
      <c r="I179" t="str">
        <f t="shared" si="29"/>
        <v xml:space="preserve"> </v>
      </c>
      <c r="J179" s="34"/>
      <c r="K179" s="35" t="s">
        <v>38</v>
      </c>
      <c r="L179" s="36"/>
      <c r="M179" s="34"/>
      <c r="N179" s="35" t="s">
        <v>38</v>
      </c>
      <c r="O179" s="36"/>
      <c r="P179" s="34"/>
      <c r="Q179" s="35" t="s">
        <v>38</v>
      </c>
      <c r="R179" s="36"/>
      <c r="S179" s="37">
        <f t="shared" si="30"/>
        <v>169</v>
      </c>
      <c r="U179" s="38"/>
      <c r="V179" s="39" t="s">
        <v>207</v>
      </c>
      <c r="W179" s="40" t="str">
        <f>IF('Infos générales'!$E$2="x",IF(U179&gt;0,VLOOKUP(U179,'Infos joueurs'!$A:$M,4,FALSE)&amp;" / "&amp;VLOOKUP(U179,'Infos joueurs'!$A:$M,9,FALSE)," "),IF(U179&gt;0,VLOOKUP(U179,'Infos joueurs'!$A:$M,4,FALSE)&amp;" "&amp;VLOOKUP(U179,'Infos joueurs'!$A:$M,5,FALSE)," "))</f>
        <v xml:space="preserve"> </v>
      </c>
      <c r="Y179" s="33">
        <v>169</v>
      </c>
      <c r="Z179" s="256" t="str">
        <f t="shared" si="31"/>
        <v xml:space="preserve"> </v>
      </c>
      <c r="AA179" s="41" t="str">
        <f>IFERROR(INDEX('Infos joueurs'!$F$15:$F$270,MATCH(AB179,'Infos joueurs'!$A$15:$A$270,0))," ")</f>
        <v xml:space="preserve"> </v>
      </c>
      <c r="AB179" s="38">
        <f t="shared" si="32"/>
        <v>0</v>
      </c>
    </row>
    <row r="180" spans="1:28" x14ac:dyDescent="0.25">
      <c r="A180">
        <f t="shared" si="22"/>
        <v>1.0102800000000001</v>
      </c>
      <c r="B180">
        <f t="shared" si="23"/>
        <v>170</v>
      </c>
      <c r="C180" t="str">
        <f t="shared" si="24"/>
        <v xml:space="preserve"> </v>
      </c>
      <c r="D180">
        <f t="shared" si="25"/>
        <v>0</v>
      </c>
      <c r="E180">
        <f t="shared" si="26"/>
        <v>0</v>
      </c>
      <c r="F180">
        <f t="shared" si="27"/>
        <v>0</v>
      </c>
      <c r="G180">
        <f>IF($C$2="x",IFERROR(SMALL($A$11:$A$14,170),0),IF($C$3="x",IFERROR(SMALL($A$11:$A$18,170),0),IF($C$4="x",IFERROR(SMALL($A$11:$A$26,170),0),IF($C$5="x",IFERROR(SMALL($A$11:$A$42,170),0),IF($C$6="x",IFERROR(SMALL($A$11:$A$74,170),0),IF($C$7="x",IFERROR(SMALL($A$11:$A$138,170),0),IFERROR(SMALL($A$11:$A$266,170),0)))))))</f>
        <v>1.0102800000000001</v>
      </c>
      <c r="H180">
        <f t="shared" si="28"/>
        <v>170</v>
      </c>
      <c r="I180" t="str">
        <f t="shared" si="29"/>
        <v xml:space="preserve"> </v>
      </c>
      <c r="J180" s="34"/>
      <c r="K180" s="35" t="s">
        <v>38</v>
      </c>
      <c r="L180" s="36"/>
      <c r="M180" s="34"/>
      <c r="N180" s="35" t="s">
        <v>38</v>
      </c>
      <c r="O180" s="36"/>
      <c r="P180" s="34"/>
      <c r="Q180" s="35" t="s">
        <v>38</v>
      </c>
      <c r="R180" s="36"/>
      <c r="S180" s="37">
        <f t="shared" si="30"/>
        <v>170</v>
      </c>
      <c r="U180" s="38"/>
      <c r="V180" s="39" t="s">
        <v>208</v>
      </c>
      <c r="W180" s="40" t="str">
        <f>IF('Infos générales'!$E$2="x",IF(U180&gt;0,VLOOKUP(U180,'Infos joueurs'!$A:$M,4,FALSE)&amp;" / "&amp;VLOOKUP(U180,'Infos joueurs'!$A:$M,9,FALSE)," "),IF(U180&gt;0,VLOOKUP(U180,'Infos joueurs'!$A:$M,4,FALSE)&amp;" "&amp;VLOOKUP(U180,'Infos joueurs'!$A:$M,5,FALSE)," "))</f>
        <v xml:space="preserve"> </v>
      </c>
      <c r="Y180" s="33">
        <v>170</v>
      </c>
      <c r="Z180" s="256" t="str">
        <f t="shared" si="31"/>
        <v xml:space="preserve"> </v>
      </c>
      <c r="AA180" s="41" t="str">
        <f>IFERROR(INDEX('Infos joueurs'!$F$15:$F$270,MATCH(AB180,'Infos joueurs'!$A$15:$A$270,0))," ")</f>
        <v xml:space="preserve"> </v>
      </c>
      <c r="AB180" s="38">
        <f t="shared" si="32"/>
        <v>0</v>
      </c>
    </row>
    <row r="181" spans="1:28" x14ac:dyDescent="0.25">
      <c r="A181">
        <f t="shared" si="22"/>
        <v>1.010281</v>
      </c>
      <c r="B181">
        <f t="shared" si="23"/>
        <v>171</v>
      </c>
      <c r="C181" t="str">
        <f t="shared" si="24"/>
        <v xml:space="preserve"> </v>
      </c>
      <c r="D181">
        <f t="shared" si="25"/>
        <v>0</v>
      </c>
      <c r="E181">
        <f t="shared" si="26"/>
        <v>0</v>
      </c>
      <c r="F181">
        <f t="shared" si="27"/>
        <v>0</v>
      </c>
      <c r="G181">
        <f>IF($C$2="x",IFERROR(SMALL($A$11:$A$14,171),0),IF($C$3="x",IFERROR(SMALL($A$11:$A$18,171),0),IF($C$4="x",IFERROR(SMALL($A$11:$A$26,171),0),IF($C$5="x",IFERROR(SMALL($A$11:$A$42,171),0),IF($C$6="x",IFERROR(SMALL($A$11:$A$74,171),0),IF($C$7="x",IFERROR(SMALL($A$11:$A$138,171),0),IFERROR(SMALL($A$11:$A$266,171),0)))))))</f>
        <v>1.010281</v>
      </c>
      <c r="H181">
        <f t="shared" si="28"/>
        <v>171</v>
      </c>
      <c r="I181" t="str">
        <f t="shared" si="29"/>
        <v xml:space="preserve"> </v>
      </c>
      <c r="J181" s="34"/>
      <c r="K181" s="35" t="s">
        <v>38</v>
      </c>
      <c r="L181" s="36"/>
      <c r="M181" s="34"/>
      <c r="N181" s="35" t="s">
        <v>38</v>
      </c>
      <c r="O181" s="36"/>
      <c r="P181" s="34"/>
      <c r="Q181" s="35" t="s">
        <v>38</v>
      </c>
      <c r="R181" s="36"/>
      <c r="S181" s="37">
        <f t="shared" si="30"/>
        <v>171</v>
      </c>
      <c r="U181" s="38"/>
      <c r="V181" s="39" t="s">
        <v>209</v>
      </c>
      <c r="W181" s="40" t="str">
        <f>IF('Infos générales'!$E$2="x",IF(U181&gt;0,VLOOKUP(U181,'Infos joueurs'!$A:$M,4,FALSE)&amp;" / "&amp;VLOOKUP(U181,'Infos joueurs'!$A:$M,9,FALSE)," "),IF(U181&gt;0,VLOOKUP(U181,'Infos joueurs'!$A:$M,4,FALSE)&amp;" "&amp;VLOOKUP(U181,'Infos joueurs'!$A:$M,5,FALSE)," "))</f>
        <v xml:space="preserve"> </v>
      </c>
      <c r="Y181" s="33">
        <v>171</v>
      </c>
      <c r="Z181" s="256" t="str">
        <f t="shared" si="31"/>
        <v xml:space="preserve"> </v>
      </c>
      <c r="AA181" s="41" t="str">
        <f>IFERROR(INDEX('Infos joueurs'!$F$15:$F$270,MATCH(AB181,'Infos joueurs'!$A$15:$A$270,0))," ")</f>
        <v xml:space="preserve"> </v>
      </c>
      <c r="AB181" s="38">
        <f t="shared" si="32"/>
        <v>0</v>
      </c>
    </row>
    <row r="182" spans="1:28" x14ac:dyDescent="0.25">
      <c r="A182">
        <f t="shared" si="22"/>
        <v>1.0102819999999999</v>
      </c>
      <c r="B182">
        <f t="shared" si="23"/>
        <v>172</v>
      </c>
      <c r="C182" t="str">
        <f t="shared" si="24"/>
        <v xml:space="preserve"> </v>
      </c>
      <c r="D182">
        <f t="shared" si="25"/>
        <v>0</v>
      </c>
      <c r="E182">
        <f t="shared" si="26"/>
        <v>0</v>
      </c>
      <c r="F182">
        <f t="shared" si="27"/>
        <v>0</v>
      </c>
      <c r="G182">
        <f>IF($C$2="x",IFERROR(SMALL($A$11:$A$14,172),0),IF($C$3="x",IFERROR(SMALL($A$11:$A$18,172),0),IF($C$4="x",IFERROR(SMALL($A$11:$A$26,172),0),IF($C$5="x",IFERROR(SMALL($A$11:$A$42,172),0),IF($C$6="x",IFERROR(SMALL($A$11:$A$74,172),0),IF($C$7="x",IFERROR(SMALL($A$11:$A$138,172),0),IFERROR(SMALL($A$11:$A$266,172),0)))))))</f>
        <v>1.0102819999999999</v>
      </c>
      <c r="H182">
        <f t="shared" si="28"/>
        <v>172</v>
      </c>
      <c r="I182" t="str">
        <f t="shared" si="29"/>
        <v xml:space="preserve"> </v>
      </c>
      <c r="J182" s="34"/>
      <c r="K182" s="35" t="s">
        <v>38</v>
      </c>
      <c r="L182" s="36"/>
      <c r="M182" s="34"/>
      <c r="N182" s="35" t="s">
        <v>38</v>
      </c>
      <c r="O182" s="36"/>
      <c r="P182" s="34"/>
      <c r="Q182" s="35" t="s">
        <v>38</v>
      </c>
      <c r="R182" s="36"/>
      <c r="S182" s="37">
        <f t="shared" si="30"/>
        <v>172</v>
      </c>
      <c r="U182" s="38"/>
      <c r="V182" s="39" t="s">
        <v>210</v>
      </c>
      <c r="W182" s="40" t="str">
        <f>IF('Infos générales'!$E$2="x",IF(U182&gt;0,VLOOKUP(U182,'Infos joueurs'!$A:$M,4,FALSE)&amp;" / "&amp;VLOOKUP(U182,'Infos joueurs'!$A:$M,9,FALSE)," "),IF(U182&gt;0,VLOOKUP(U182,'Infos joueurs'!$A:$M,4,FALSE)&amp;" "&amp;VLOOKUP(U182,'Infos joueurs'!$A:$M,5,FALSE)," "))</f>
        <v xml:space="preserve"> </v>
      </c>
      <c r="Y182" s="33">
        <v>172</v>
      </c>
      <c r="Z182" s="256" t="str">
        <f t="shared" si="31"/>
        <v xml:space="preserve"> </v>
      </c>
      <c r="AA182" s="41" t="str">
        <f>IFERROR(INDEX('Infos joueurs'!$F$15:$F$270,MATCH(AB182,'Infos joueurs'!$A$15:$A$270,0))," ")</f>
        <v xml:space="preserve"> </v>
      </c>
      <c r="AB182" s="38">
        <f t="shared" si="32"/>
        <v>0</v>
      </c>
    </row>
    <row r="183" spans="1:28" x14ac:dyDescent="0.25">
      <c r="A183">
        <f t="shared" si="22"/>
        <v>1.010283</v>
      </c>
      <c r="B183">
        <f t="shared" si="23"/>
        <v>173</v>
      </c>
      <c r="C183" t="str">
        <f t="shared" si="24"/>
        <v xml:space="preserve"> </v>
      </c>
      <c r="D183">
        <f t="shared" si="25"/>
        <v>0</v>
      </c>
      <c r="E183">
        <f t="shared" si="26"/>
        <v>0</v>
      </c>
      <c r="F183">
        <f t="shared" si="27"/>
        <v>0</v>
      </c>
      <c r="G183">
        <f>IF($C$2="x",IFERROR(SMALL($A$11:$A$14,173),0),IF($C$3="x",IFERROR(SMALL($A$11:$A$18,173),0),IF($C$4="x",IFERROR(SMALL($A$11:$A$26,173),0),IF($C$5="x",IFERROR(SMALL($A$11:$A$42,173),0),IF($C$6="x",IFERROR(SMALL($A$11:$A$74,173),0),IF($C$7="x",IFERROR(SMALL($A$11:$A$138,173),0),IFERROR(SMALL($A$11:$A$266,173),0)))))))</f>
        <v>1.010283</v>
      </c>
      <c r="H183">
        <f t="shared" si="28"/>
        <v>173</v>
      </c>
      <c r="I183" t="str">
        <f t="shared" si="29"/>
        <v xml:space="preserve"> </v>
      </c>
      <c r="J183" s="34"/>
      <c r="K183" s="35" t="s">
        <v>38</v>
      </c>
      <c r="L183" s="36"/>
      <c r="M183" s="34"/>
      <c r="N183" s="35" t="s">
        <v>38</v>
      </c>
      <c r="O183" s="36"/>
      <c r="P183" s="34"/>
      <c r="Q183" s="35" t="s">
        <v>38</v>
      </c>
      <c r="R183" s="36"/>
      <c r="S183" s="37">
        <f t="shared" si="30"/>
        <v>173</v>
      </c>
      <c r="U183" s="38"/>
      <c r="V183" s="39" t="s">
        <v>211</v>
      </c>
      <c r="W183" s="40" t="str">
        <f>IF('Infos générales'!$E$2="x",IF(U183&gt;0,VLOOKUP(U183,'Infos joueurs'!$A:$M,4,FALSE)&amp;" / "&amp;VLOOKUP(U183,'Infos joueurs'!$A:$M,9,FALSE)," "),IF(U183&gt;0,VLOOKUP(U183,'Infos joueurs'!$A:$M,4,FALSE)&amp;" "&amp;VLOOKUP(U183,'Infos joueurs'!$A:$M,5,FALSE)," "))</f>
        <v xml:space="preserve"> </v>
      </c>
      <c r="Y183" s="33">
        <v>173</v>
      </c>
      <c r="Z183" s="256" t="str">
        <f t="shared" si="31"/>
        <v xml:space="preserve"> </v>
      </c>
      <c r="AA183" s="41" t="str">
        <f>IFERROR(INDEX('Infos joueurs'!$F$15:$F$270,MATCH(AB183,'Infos joueurs'!$A$15:$A$270,0))," ")</f>
        <v xml:space="preserve"> </v>
      </c>
      <c r="AB183" s="38">
        <f t="shared" si="32"/>
        <v>0</v>
      </c>
    </row>
    <row r="184" spans="1:28" x14ac:dyDescent="0.25">
      <c r="A184">
        <f t="shared" si="22"/>
        <v>1.010284</v>
      </c>
      <c r="B184">
        <f t="shared" si="23"/>
        <v>174</v>
      </c>
      <c r="C184" t="str">
        <f t="shared" si="24"/>
        <v xml:space="preserve"> </v>
      </c>
      <c r="D184">
        <f t="shared" si="25"/>
        <v>0</v>
      </c>
      <c r="E184">
        <f t="shared" si="26"/>
        <v>0</v>
      </c>
      <c r="F184">
        <f t="shared" si="27"/>
        <v>0</v>
      </c>
      <c r="G184">
        <f>IF($C$2="x",IFERROR(SMALL($A$11:$A$14,174),0),IF($C$3="x",IFERROR(SMALL($A$11:$A$18,174),0),IF($C$4="x",IFERROR(SMALL($A$11:$A$26,174),0),IF($C$5="x",IFERROR(SMALL($A$11:$A$42,174),0),IF($C$6="x",IFERROR(SMALL($A$11:$A$74,174),0),IF($C$7="x",IFERROR(SMALL($A$11:$A$138,174),0),IFERROR(SMALL($A$11:$A$266,174),0)))))))</f>
        <v>1.010284</v>
      </c>
      <c r="H184">
        <f t="shared" si="28"/>
        <v>174</v>
      </c>
      <c r="I184" t="str">
        <f t="shared" si="29"/>
        <v xml:space="preserve"> </v>
      </c>
      <c r="J184" s="34"/>
      <c r="K184" s="35" t="s">
        <v>38</v>
      </c>
      <c r="L184" s="36"/>
      <c r="M184" s="34"/>
      <c r="N184" s="35" t="s">
        <v>38</v>
      </c>
      <c r="O184" s="36"/>
      <c r="P184" s="34"/>
      <c r="Q184" s="35" t="s">
        <v>38</v>
      </c>
      <c r="R184" s="36"/>
      <c r="S184" s="37">
        <f t="shared" si="30"/>
        <v>174</v>
      </c>
      <c r="U184" s="38"/>
      <c r="V184" s="39" t="s">
        <v>212</v>
      </c>
      <c r="W184" s="40" t="str">
        <f>IF('Infos générales'!$E$2="x",IF(U184&gt;0,VLOOKUP(U184,'Infos joueurs'!$A:$M,4,FALSE)&amp;" / "&amp;VLOOKUP(U184,'Infos joueurs'!$A:$M,9,FALSE)," "),IF(U184&gt;0,VLOOKUP(U184,'Infos joueurs'!$A:$M,4,FALSE)&amp;" "&amp;VLOOKUP(U184,'Infos joueurs'!$A:$M,5,FALSE)," "))</f>
        <v xml:space="preserve"> </v>
      </c>
      <c r="Y184" s="33">
        <v>174</v>
      </c>
      <c r="Z184" s="256" t="str">
        <f t="shared" si="31"/>
        <v xml:space="preserve"> </v>
      </c>
      <c r="AA184" s="41" t="str">
        <f>IFERROR(INDEX('Infos joueurs'!$F$15:$F$270,MATCH(AB184,'Infos joueurs'!$A$15:$A$270,0))," ")</f>
        <v xml:space="preserve"> </v>
      </c>
      <c r="AB184" s="38">
        <f t="shared" si="32"/>
        <v>0</v>
      </c>
    </row>
    <row r="185" spans="1:28" x14ac:dyDescent="0.25">
      <c r="A185">
        <f t="shared" si="22"/>
        <v>1.0102850000000001</v>
      </c>
      <c r="B185">
        <f t="shared" si="23"/>
        <v>175</v>
      </c>
      <c r="C185" t="str">
        <f t="shared" si="24"/>
        <v xml:space="preserve"> </v>
      </c>
      <c r="D185">
        <f t="shared" si="25"/>
        <v>0</v>
      </c>
      <c r="E185">
        <f t="shared" si="26"/>
        <v>0</v>
      </c>
      <c r="F185">
        <f t="shared" si="27"/>
        <v>0</v>
      </c>
      <c r="G185">
        <f>IF($C$2="x",IFERROR(SMALL($A$11:$A$14,175),0),IF($C$3="x",IFERROR(SMALL($A$11:$A$18,175),0),IF($C$4="x",IFERROR(SMALL($A$11:$A$26,175),0),IF($C$5="x",IFERROR(SMALL($A$11:$A$42,175),0),IF($C$6="x",IFERROR(SMALL($A$11:$A$74,175),0),IF($C$7="x",IFERROR(SMALL($A$11:$A$138,175),0),IFERROR(SMALL($A$11:$A$266,175),0)))))))</f>
        <v>1.0102850000000001</v>
      </c>
      <c r="H185">
        <f t="shared" si="28"/>
        <v>175</v>
      </c>
      <c r="I185" t="str">
        <f t="shared" si="29"/>
        <v xml:space="preserve"> </v>
      </c>
      <c r="J185" s="34"/>
      <c r="K185" s="35" t="s">
        <v>38</v>
      </c>
      <c r="L185" s="36"/>
      <c r="M185" s="34"/>
      <c r="N185" s="35" t="s">
        <v>38</v>
      </c>
      <c r="O185" s="36"/>
      <c r="P185" s="34"/>
      <c r="Q185" s="35" t="s">
        <v>38</v>
      </c>
      <c r="R185" s="36"/>
      <c r="S185" s="37">
        <f t="shared" si="30"/>
        <v>175</v>
      </c>
      <c r="U185" s="38"/>
      <c r="V185" s="39" t="s">
        <v>213</v>
      </c>
      <c r="W185" s="40" t="str">
        <f>IF('Infos générales'!$E$2="x",IF(U185&gt;0,VLOOKUP(U185,'Infos joueurs'!$A:$M,4,FALSE)&amp;" / "&amp;VLOOKUP(U185,'Infos joueurs'!$A:$M,9,FALSE)," "),IF(U185&gt;0,VLOOKUP(U185,'Infos joueurs'!$A:$M,4,FALSE)&amp;" "&amp;VLOOKUP(U185,'Infos joueurs'!$A:$M,5,FALSE)," "))</f>
        <v xml:space="preserve"> </v>
      </c>
      <c r="Y185" s="33">
        <v>175</v>
      </c>
      <c r="Z185" s="256" t="str">
        <f t="shared" si="31"/>
        <v xml:space="preserve"> </v>
      </c>
      <c r="AA185" s="41" t="str">
        <f>IFERROR(INDEX('Infos joueurs'!$F$15:$F$270,MATCH(AB185,'Infos joueurs'!$A$15:$A$270,0))," ")</f>
        <v xml:space="preserve"> </v>
      </c>
      <c r="AB185" s="38">
        <f t="shared" si="32"/>
        <v>0</v>
      </c>
    </row>
    <row r="186" spans="1:28" x14ac:dyDescent="0.25">
      <c r="A186">
        <f t="shared" si="22"/>
        <v>1.010286</v>
      </c>
      <c r="B186">
        <f t="shared" si="23"/>
        <v>176</v>
      </c>
      <c r="C186" t="str">
        <f t="shared" si="24"/>
        <v xml:space="preserve"> </v>
      </c>
      <c r="D186">
        <f t="shared" si="25"/>
        <v>0</v>
      </c>
      <c r="E186">
        <f t="shared" si="26"/>
        <v>0</v>
      </c>
      <c r="F186">
        <f t="shared" si="27"/>
        <v>0</v>
      </c>
      <c r="G186">
        <f>IF($C$2="x",IFERROR(SMALL($A$11:$A$14,176),0),IF($C$3="x",IFERROR(SMALL($A$11:$A$18,176),0),IF($C$4="x",IFERROR(SMALL($A$11:$A$26,176),0),IF($C$5="x",IFERROR(SMALL($A$11:$A$42,176),0),IF($C$6="x",IFERROR(SMALL($A$11:$A$74,176),0),IF($C$7="x",IFERROR(SMALL($A$11:$A$138,176),0),IFERROR(SMALL($A$11:$A$266,176),0)))))))</f>
        <v>1.010286</v>
      </c>
      <c r="H186">
        <f t="shared" si="28"/>
        <v>176</v>
      </c>
      <c r="I186" t="str">
        <f t="shared" si="29"/>
        <v xml:space="preserve"> </v>
      </c>
      <c r="J186" s="34"/>
      <c r="K186" s="35" t="s">
        <v>38</v>
      </c>
      <c r="L186" s="36"/>
      <c r="M186" s="34"/>
      <c r="N186" s="35" t="s">
        <v>38</v>
      </c>
      <c r="O186" s="36"/>
      <c r="P186" s="34"/>
      <c r="Q186" s="35" t="s">
        <v>38</v>
      </c>
      <c r="R186" s="36"/>
      <c r="S186" s="37">
        <f t="shared" si="30"/>
        <v>176</v>
      </c>
      <c r="U186" s="38"/>
      <c r="V186" s="39" t="s">
        <v>214</v>
      </c>
      <c r="W186" s="40" t="str">
        <f>IF('Infos générales'!$E$2="x",IF(U186&gt;0,VLOOKUP(U186,'Infos joueurs'!$A:$M,4,FALSE)&amp;" / "&amp;VLOOKUP(U186,'Infos joueurs'!$A:$M,9,FALSE)," "),IF(U186&gt;0,VLOOKUP(U186,'Infos joueurs'!$A:$M,4,FALSE)&amp;" "&amp;VLOOKUP(U186,'Infos joueurs'!$A:$M,5,FALSE)," "))</f>
        <v xml:space="preserve"> </v>
      </c>
      <c r="Y186" s="33">
        <v>176</v>
      </c>
      <c r="Z186" s="256" t="str">
        <f t="shared" si="31"/>
        <v xml:space="preserve"> </v>
      </c>
      <c r="AA186" s="41" t="str">
        <f>IFERROR(INDEX('Infos joueurs'!$F$15:$F$270,MATCH(AB186,'Infos joueurs'!$A$15:$A$270,0))," ")</f>
        <v xml:space="preserve"> </v>
      </c>
      <c r="AB186" s="38">
        <f t="shared" si="32"/>
        <v>0</v>
      </c>
    </row>
    <row r="187" spans="1:28" x14ac:dyDescent="0.25">
      <c r="A187">
        <f t="shared" si="22"/>
        <v>1.0102869999999999</v>
      </c>
      <c r="B187">
        <f t="shared" si="23"/>
        <v>177</v>
      </c>
      <c r="C187" t="str">
        <f t="shared" si="24"/>
        <v xml:space="preserve"> </v>
      </c>
      <c r="D187">
        <f t="shared" si="25"/>
        <v>0</v>
      </c>
      <c r="E187">
        <f t="shared" si="26"/>
        <v>0</v>
      </c>
      <c r="F187">
        <f t="shared" si="27"/>
        <v>0</v>
      </c>
      <c r="G187">
        <f>IF($C$2="x",IFERROR(SMALL($A$11:$A$14,177),0),IF($C$3="x",IFERROR(SMALL($A$11:$A$18,177),0),IF($C$4="x",IFERROR(SMALL($A$11:$A$26,177),0),IF($C$5="x",IFERROR(SMALL($A$11:$A$42,177),0),IF($C$6="x",IFERROR(SMALL($A$11:$A$74,177),0),IF($C$7="x",IFERROR(SMALL($A$11:$A$138,177),0),IFERROR(SMALL($A$11:$A$266,177),0)))))))</f>
        <v>1.0102869999999999</v>
      </c>
      <c r="H187">
        <f t="shared" si="28"/>
        <v>177</v>
      </c>
      <c r="I187" t="str">
        <f t="shared" si="29"/>
        <v xml:space="preserve"> </v>
      </c>
      <c r="J187" s="34"/>
      <c r="K187" s="35" t="s">
        <v>38</v>
      </c>
      <c r="L187" s="36"/>
      <c r="M187" s="34"/>
      <c r="N187" s="35" t="s">
        <v>38</v>
      </c>
      <c r="O187" s="36"/>
      <c r="P187" s="34"/>
      <c r="Q187" s="35" t="s">
        <v>38</v>
      </c>
      <c r="R187" s="36"/>
      <c r="S187" s="37">
        <f t="shared" si="30"/>
        <v>177</v>
      </c>
      <c r="U187" s="38"/>
      <c r="V187" s="39" t="s">
        <v>215</v>
      </c>
      <c r="W187" s="40" t="str">
        <f>IF('Infos générales'!$E$2="x",IF(U187&gt;0,VLOOKUP(U187,'Infos joueurs'!$A:$M,4,FALSE)&amp;" / "&amp;VLOOKUP(U187,'Infos joueurs'!$A:$M,9,FALSE)," "),IF(U187&gt;0,VLOOKUP(U187,'Infos joueurs'!$A:$M,4,FALSE)&amp;" "&amp;VLOOKUP(U187,'Infos joueurs'!$A:$M,5,FALSE)," "))</f>
        <v xml:space="preserve"> </v>
      </c>
      <c r="Y187" s="33">
        <v>177</v>
      </c>
      <c r="Z187" s="256" t="str">
        <f t="shared" si="31"/>
        <v xml:space="preserve"> </v>
      </c>
      <c r="AA187" s="41" t="str">
        <f>IFERROR(INDEX('Infos joueurs'!$F$15:$F$270,MATCH(AB187,'Infos joueurs'!$A$15:$A$270,0))," ")</f>
        <v xml:space="preserve"> </v>
      </c>
      <c r="AB187" s="38">
        <f t="shared" si="32"/>
        <v>0</v>
      </c>
    </row>
    <row r="188" spans="1:28" x14ac:dyDescent="0.25">
      <c r="A188">
        <f t="shared" si="22"/>
        <v>1.0102880000000001</v>
      </c>
      <c r="B188">
        <f t="shared" si="23"/>
        <v>178</v>
      </c>
      <c r="C188" t="str">
        <f t="shared" si="24"/>
        <v xml:space="preserve"> </v>
      </c>
      <c r="D188">
        <f t="shared" si="25"/>
        <v>0</v>
      </c>
      <c r="E188">
        <f t="shared" si="26"/>
        <v>0</v>
      </c>
      <c r="F188">
        <f t="shared" si="27"/>
        <v>0</v>
      </c>
      <c r="G188">
        <f>IF($C$2="x",IFERROR(SMALL($A$11:$A$14,178),0),IF($C$3="x",IFERROR(SMALL($A$11:$A$18,178),0),IF($C$4="x",IFERROR(SMALL($A$11:$A$26,178),0),IF($C$5="x",IFERROR(SMALL($A$11:$A$42,178),0),IF($C$6="x",IFERROR(SMALL($A$11:$A$74,178),0),IF($C$7="x",IFERROR(SMALL($A$11:$A$138,178),0),IFERROR(SMALL($A$11:$A$266,178),0)))))))</f>
        <v>1.0102880000000001</v>
      </c>
      <c r="H188">
        <f t="shared" si="28"/>
        <v>178</v>
      </c>
      <c r="I188" t="str">
        <f t="shared" si="29"/>
        <v xml:space="preserve"> </v>
      </c>
      <c r="J188" s="34"/>
      <c r="K188" s="35" t="s">
        <v>38</v>
      </c>
      <c r="L188" s="36"/>
      <c r="M188" s="34"/>
      <c r="N188" s="35" t="s">
        <v>38</v>
      </c>
      <c r="O188" s="36"/>
      <c r="P188" s="34"/>
      <c r="Q188" s="35" t="s">
        <v>38</v>
      </c>
      <c r="R188" s="36"/>
      <c r="S188" s="37">
        <f t="shared" si="30"/>
        <v>178</v>
      </c>
      <c r="U188" s="38"/>
      <c r="V188" s="39" t="s">
        <v>216</v>
      </c>
      <c r="W188" s="40" t="str">
        <f>IF('Infos générales'!$E$2="x",IF(U188&gt;0,VLOOKUP(U188,'Infos joueurs'!$A:$M,4,FALSE)&amp;" / "&amp;VLOOKUP(U188,'Infos joueurs'!$A:$M,9,FALSE)," "),IF(U188&gt;0,VLOOKUP(U188,'Infos joueurs'!$A:$M,4,FALSE)&amp;" "&amp;VLOOKUP(U188,'Infos joueurs'!$A:$M,5,FALSE)," "))</f>
        <v xml:space="preserve"> </v>
      </c>
      <c r="Y188" s="33">
        <v>178</v>
      </c>
      <c r="Z188" s="256" t="str">
        <f t="shared" si="31"/>
        <v xml:space="preserve"> </v>
      </c>
      <c r="AA188" s="41" t="str">
        <f>IFERROR(INDEX('Infos joueurs'!$F$15:$F$270,MATCH(AB188,'Infos joueurs'!$A$15:$A$270,0))," ")</f>
        <v xml:space="preserve"> </v>
      </c>
      <c r="AB188" s="38">
        <f t="shared" si="32"/>
        <v>0</v>
      </c>
    </row>
    <row r="189" spans="1:28" x14ac:dyDescent="0.25">
      <c r="A189">
        <f t="shared" si="22"/>
        <v>1.010289</v>
      </c>
      <c r="B189">
        <f t="shared" si="23"/>
        <v>179</v>
      </c>
      <c r="C189" t="str">
        <f t="shared" si="24"/>
        <v xml:space="preserve"> </v>
      </c>
      <c r="D189">
        <f t="shared" si="25"/>
        <v>0</v>
      </c>
      <c r="E189">
        <f t="shared" si="26"/>
        <v>0</v>
      </c>
      <c r="F189">
        <f t="shared" si="27"/>
        <v>0</v>
      </c>
      <c r="G189">
        <f>IF($C$2="x",IFERROR(SMALL($A$11:$A$14,179),0),IF($C$3="x",IFERROR(SMALL($A$11:$A$18,179),0),IF($C$4="x",IFERROR(SMALL($A$11:$A$26,179),0),IF($C$5="x",IFERROR(SMALL($A$11:$A$42,179),0),IF($C$6="x",IFERROR(SMALL($A$11:$A$74,179),0),IF($C$7="x",IFERROR(SMALL($A$11:$A$138,179),0),IFERROR(SMALL($A$11:$A$266,179),0)))))))</f>
        <v>1.010289</v>
      </c>
      <c r="H189">
        <f t="shared" si="28"/>
        <v>179</v>
      </c>
      <c r="I189" t="str">
        <f t="shared" si="29"/>
        <v xml:space="preserve"> </v>
      </c>
      <c r="J189" s="34"/>
      <c r="K189" s="35" t="s">
        <v>38</v>
      </c>
      <c r="L189" s="36"/>
      <c r="M189" s="34"/>
      <c r="N189" s="35" t="s">
        <v>38</v>
      </c>
      <c r="O189" s="36"/>
      <c r="P189" s="34"/>
      <c r="Q189" s="35" t="s">
        <v>38</v>
      </c>
      <c r="R189" s="36"/>
      <c r="S189" s="37">
        <f t="shared" si="30"/>
        <v>179</v>
      </c>
      <c r="U189" s="38"/>
      <c r="V189" s="39" t="s">
        <v>217</v>
      </c>
      <c r="W189" s="40" t="str">
        <f>IF('Infos générales'!$E$2="x",IF(U189&gt;0,VLOOKUP(U189,'Infos joueurs'!$A:$M,4,FALSE)&amp;" / "&amp;VLOOKUP(U189,'Infos joueurs'!$A:$M,9,FALSE)," "),IF(U189&gt;0,VLOOKUP(U189,'Infos joueurs'!$A:$M,4,FALSE)&amp;" "&amp;VLOOKUP(U189,'Infos joueurs'!$A:$M,5,FALSE)," "))</f>
        <v xml:space="preserve"> </v>
      </c>
      <c r="Y189" s="33">
        <v>179</v>
      </c>
      <c r="Z189" s="256" t="str">
        <f t="shared" si="31"/>
        <v xml:space="preserve"> </v>
      </c>
      <c r="AA189" s="41" t="str">
        <f>IFERROR(INDEX('Infos joueurs'!$F$15:$F$270,MATCH(AB189,'Infos joueurs'!$A$15:$A$270,0))," ")</f>
        <v xml:space="preserve"> </v>
      </c>
      <c r="AB189" s="38">
        <f t="shared" si="32"/>
        <v>0</v>
      </c>
    </row>
    <row r="190" spans="1:28" x14ac:dyDescent="0.25">
      <c r="A190">
        <f t="shared" si="22"/>
        <v>1.0102899999999999</v>
      </c>
      <c r="B190">
        <f t="shared" si="23"/>
        <v>180</v>
      </c>
      <c r="C190" t="str">
        <f t="shared" si="24"/>
        <v xml:space="preserve"> </v>
      </c>
      <c r="D190">
        <f t="shared" si="25"/>
        <v>0</v>
      </c>
      <c r="E190">
        <f t="shared" si="26"/>
        <v>0</v>
      </c>
      <c r="F190">
        <f t="shared" si="27"/>
        <v>0</v>
      </c>
      <c r="G190">
        <f>IF($C$2="x",IFERROR(SMALL($A$11:$A$14,180),0),IF($C$3="x",IFERROR(SMALL($A$11:$A$18,180),0),IF($C$4="x",IFERROR(SMALL($A$11:$A$26,180),0),IF($C$5="x",IFERROR(SMALL($A$11:$A$42,180),0),IF($C$6="x",IFERROR(SMALL($A$11:$A$74,180),0),IF($C$7="x",IFERROR(SMALL($A$11:$A$138,180),0),IFERROR(SMALL($A$11:$A$266,180),0)))))))</f>
        <v>1.0102899999999999</v>
      </c>
      <c r="H190">
        <f t="shared" si="28"/>
        <v>180</v>
      </c>
      <c r="I190" t="str">
        <f t="shared" si="29"/>
        <v xml:space="preserve"> </v>
      </c>
      <c r="J190" s="34"/>
      <c r="K190" s="35" t="s">
        <v>38</v>
      </c>
      <c r="L190" s="36"/>
      <c r="M190" s="34"/>
      <c r="N190" s="35" t="s">
        <v>38</v>
      </c>
      <c r="O190" s="36"/>
      <c r="P190" s="34"/>
      <c r="Q190" s="35" t="s">
        <v>38</v>
      </c>
      <c r="R190" s="36"/>
      <c r="S190" s="37">
        <f t="shared" si="30"/>
        <v>180</v>
      </c>
      <c r="U190" s="38"/>
      <c r="V190" s="39" t="s">
        <v>218</v>
      </c>
      <c r="W190" s="40" t="str">
        <f>IF('Infos générales'!$E$2="x",IF(U190&gt;0,VLOOKUP(U190,'Infos joueurs'!$A:$M,4,FALSE)&amp;" / "&amp;VLOOKUP(U190,'Infos joueurs'!$A:$M,9,FALSE)," "),IF(U190&gt;0,VLOOKUP(U190,'Infos joueurs'!$A:$M,4,FALSE)&amp;" "&amp;VLOOKUP(U190,'Infos joueurs'!$A:$M,5,FALSE)," "))</f>
        <v xml:space="preserve"> </v>
      </c>
      <c r="Y190" s="33">
        <v>180</v>
      </c>
      <c r="Z190" s="256" t="str">
        <f t="shared" si="31"/>
        <v xml:space="preserve"> </v>
      </c>
      <c r="AA190" s="41" t="str">
        <f>IFERROR(INDEX('Infos joueurs'!$F$15:$F$270,MATCH(AB190,'Infos joueurs'!$A$15:$A$270,0))," ")</f>
        <v xml:space="preserve"> </v>
      </c>
      <c r="AB190" s="38">
        <f t="shared" si="32"/>
        <v>0</v>
      </c>
    </row>
    <row r="191" spans="1:28" x14ac:dyDescent="0.25">
      <c r="A191">
        <f t="shared" si="22"/>
        <v>1.0102910000000001</v>
      </c>
      <c r="B191">
        <f t="shared" si="23"/>
        <v>181</v>
      </c>
      <c r="C191" t="str">
        <f t="shared" si="24"/>
        <v xml:space="preserve"> </v>
      </c>
      <c r="D191">
        <f t="shared" si="25"/>
        <v>0</v>
      </c>
      <c r="E191">
        <f t="shared" si="26"/>
        <v>0</v>
      </c>
      <c r="F191">
        <f t="shared" si="27"/>
        <v>0</v>
      </c>
      <c r="G191">
        <f>IF($C$2="x",IFERROR(SMALL($A$11:$A$14,181),0),IF($C$3="x",IFERROR(SMALL($A$11:$A$18,181),0),IF($C$4="x",IFERROR(SMALL($A$11:$A$26,181),0),IF($C$5="x",IFERROR(SMALL($A$11:$A$42,181),0),IF($C$6="x",IFERROR(SMALL($A$11:$A$74,181),0),IF($C$7="x",IFERROR(SMALL($A$11:$A$138,181),0),IFERROR(SMALL($A$11:$A$266,181),0)))))))</f>
        <v>1.0102910000000001</v>
      </c>
      <c r="H191">
        <f t="shared" si="28"/>
        <v>181</v>
      </c>
      <c r="I191" t="str">
        <f t="shared" si="29"/>
        <v xml:space="preserve"> </v>
      </c>
      <c r="J191" s="34"/>
      <c r="K191" s="35" t="s">
        <v>38</v>
      </c>
      <c r="L191" s="36"/>
      <c r="M191" s="34"/>
      <c r="N191" s="35" t="s">
        <v>38</v>
      </c>
      <c r="O191" s="36"/>
      <c r="P191" s="34"/>
      <c r="Q191" s="35" t="s">
        <v>38</v>
      </c>
      <c r="R191" s="36"/>
      <c r="S191" s="37">
        <f t="shared" si="30"/>
        <v>181</v>
      </c>
      <c r="U191" s="38"/>
      <c r="V191" s="39" t="s">
        <v>219</v>
      </c>
      <c r="W191" s="40" t="str">
        <f>IF('Infos générales'!$E$2="x",IF(U191&gt;0,VLOOKUP(U191,'Infos joueurs'!$A:$M,4,FALSE)&amp;" / "&amp;VLOOKUP(U191,'Infos joueurs'!$A:$M,9,FALSE)," "),IF(U191&gt;0,VLOOKUP(U191,'Infos joueurs'!$A:$M,4,FALSE)&amp;" "&amp;VLOOKUP(U191,'Infos joueurs'!$A:$M,5,FALSE)," "))</f>
        <v xml:space="preserve"> </v>
      </c>
      <c r="Y191" s="33">
        <v>181</v>
      </c>
      <c r="Z191" s="256" t="str">
        <f t="shared" si="31"/>
        <v xml:space="preserve"> </v>
      </c>
      <c r="AA191" s="41" t="str">
        <f>IFERROR(INDEX('Infos joueurs'!$F$15:$F$270,MATCH(AB191,'Infos joueurs'!$A$15:$A$270,0))," ")</f>
        <v xml:space="preserve"> </v>
      </c>
      <c r="AB191" s="38">
        <f t="shared" si="32"/>
        <v>0</v>
      </c>
    </row>
    <row r="192" spans="1:28" x14ac:dyDescent="0.25">
      <c r="A192">
        <f t="shared" si="22"/>
        <v>1.010292</v>
      </c>
      <c r="B192">
        <f t="shared" si="23"/>
        <v>182</v>
      </c>
      <c r="C192" t="str">
        <f t="shared" si="24"/>
        <v xml:space="preserve"> </v>
      </c>
      <c r="D192">
        <f t="shared" si="25"/>
        <v>0</v>
      </c>
      <c r="E192">
        <f t="shared" si="26"/>
        <v>0</v>
      </c>
      <c r="F192">
        <f t="shared" si="27"/>
        <v>0</v>
      </c>
      <c r="G192">
        <f>IF($C$2="x",IFERROR(SMALL($A$11:$A$14,182),0),IF($C$3="x",IFERROR(SMALL($A$11:$A$18,182),0),IF($C$4="x",IFERROR(SMALL($A$11:$A$26,182),0),IF($C$5="x",IFERROR(SMALL($A$11:$A$42,182),0),IF($C$6="x",IFERROR(SMALL($A$11:$A$74,182),0),IF($C$7="x",IFERROR(SMALL($A$11:$A$138,182),0),IFERROR(SMALL($A$11:$A$266,182),0)))))))</f>
        <v>1.010292</v>
      </c>
      <c r="H192">
        <f t="shared" si="28"/>
        <v>182</v>
      </c>
      <c r="I192" t="str">
        <f t="shared" si="29"/>
        <v xml:space="preserve"> </v>
      </c>
      <c r="J192" s="34"/>
      <c r="K192" s="35" t="s">
        <v>38</v>
      </c>
      <c r="L192" s="36"/>
      <c r="M192" s="34"/>
      <c r="N192" s="35" t="s">
        <v>38</v>
      </c>
      <c r="O192" s="36"/>
      <c r="P192" s="34"/>
      <c r="Q192" s="35" t="s">
        <v>38</v>
      </c>
      <c r="R192" s="36"/>
      <c r="S192" s="37">
        <f t="shared" si="30"/>
        <v>182</v>
      </c>
      <c r="U192" s="38"/>
      <c r="V192" s="39" t="s">
        <v>220</v>
      </c>
      <c r="W192" s="40" t="str">
        <f>IF('Infos générales'!$E$2="x",IF(U192&gt;0,VLOOKUP(U192,'Infos joueurs'!$A:$M,4,FALSE)&amp;" / "&amp;VLOOKUP(U192,'Infos joueurs'!$A:$M,9,FALSE)," "),IF(U192&gt;0,VLOOKUP(U192,'Infos joueurs'!$A:$M,4,FALSE)&amp;" "&amp;VLOOKUP(U192,'Infos joueurs'!$A:$M,5,FALSE)," "))</f>
        <v xml:space="preserve"> </v>
      </c>
      <c r="Y192" s="33">
        <v>182</v>
      </c>
      <c r="Z192" s="256" t="str">
        <f t="shared" si="31"/>
        <v xml:space="preserve"> </v>
      </c>
      <c r="AA192" s="41" t="str">
        <f>IFERROR(INDEX('Infos joueurs'!$F$15:$F$270,MATCH(AB192,'Infos joueurs'!$A$15:$A$270,0))," ")</f>
        <v xml:space="preserve"> </v>
      </c>
      <c r="AB192" s="38">
        <f t="shared" si="32"/>
        <v>0</v>
      </c>
    </row>
    <row r="193" spans="1:28" x14ac:dyDescent="0.25">
      <c r="A193">
        <f t="shared" si="22"/>
        <v>1.0102930000000001</v>
      </c>
      <c r="B193">
        <f t="shared" si="23"/>
        <v>183</v>
      </c>
      <c r="C193" t="str">
        <f t="shared" si="24"/>
        <v xml:space="preserve"> </v>
      </c>
      <c r="D193">
        <f t="shared" si="25"/>
        <v>0</v>
      </c>
      <c r="E193">
        <f t="shared" si="26"/>
        <v>0</v>
      </c>
      <c r="F193">
        <f t="shared" si="27"/>
        <v>0</v>
      </c>
      <c r="G193">
        <f>IF($C$2="x",IFERROR(SMALL($A$11:$A$14,183),0),IF($C$3="x",IFERROR(SMALL($A$11:$A$18,183),0),IF($C$4="x",IFERROR(SMALL($A$11:$A$26,183),0),IF($C$5="x",IFERROR(SMALL($A$11:$A$42,183),0),IF($C$6="x",IFERROR(SMALL($A$11:$A$74,183),0),IF($C$7="x",IFERROR(SMALL($A$11:$A$138,183),0),IFERROR(SMALL($A$11:$A$266,183),0)))))))</f>
        <v>1.0102930000000001</v>
      </c>
      <c r="H193">
        <f t="shared" si="28"/>
        <v>183</v>
      </c>
      <c r="I193" t="str">
        <f t="shared" si="29"/>
        <v xml:space="preserve"> </v>
      </c>
      <c r="J193" s="34"/>
      <c r="K193" s="35" t="s">
        <v>38</v>
      </c>
      <c r="L193" s="36"/>
      <c r="M193" s="34"/>
      <c r="N193" s="35" t="s">
        <v>38</v>
      </c>
      <c r="O193" s="36"/>
      <c r="P193" s="34"/>
      <c r="Q193" s="35" t="s">
        <v>38</v>
      </c>
      <c r="R193" s="36"/>
      <c r="S193" s="37">
        <f t="shared" si="30"/>
        <v>183</v>
      </c>
      <c r="U193" s="38"/>
      <c r="V193" s="39" t="s">
        <v>221</v>
      </c>
      <c r="W193" s="40" t="str">
        <f>IF('Infos générales'!$E$2="x",IF(U193&gt;0,VLOOKUP(U193,'Infos joueurs'!$A:$M,4,FALSE)&amp;" / "&amp;VLOOKUP(U193,'Infos joueurs'!$A:$M,9,FALSE)," "),IF(U193&gt;0,VLOOKUP(U193,'Infos joueurs'!$A:$M,4,FALSE)&amp;" "&amp;VLOOKUP(U193,'Infos joueurs'!$A:$M,5,FALSE)," "))</f>
        <v xml:space="preserve"> </v>
      </c>
      <c r="Y193" s="33">
        <v>183</v>
      </c>
      <c r="Z193" s="256" t="str">
        <f t="shared" si="31"/>
        <v xml:space="preserve"> </v>
      </c>
      <c r="AA193" s="41" t="str">
        <f>IFERROR(INDEX('Infos joueurs'!$F$15:$F$270,MATCH(AB193,'Infos joueurs'!$A$15:$A$270,0))," ")</f>
        <v xml:space="preserve"> </v>
      </c>
      <c r="AB193" s="38">
        <f t="shared" si="32"/>
        <v>0</v>
      </c>
    </row>
    <row r="194" spans="1:28" x14ac:dyDescent="0.25">
      <c r="A194">
        <f t="shared" si="22"/>
        <v>1.010294</v>
      </c>
      <c r="B194">
        <f t="shared" si="23"/>
        <v>184</v>
      </c>
      <c r="C194" t="str">
        <f t="shared" si="24"/>
        <v xml:space="preserve"> </v>
      </c>
      <c r="D194">
        <f t="shared" si="25"/>
        <v>0</v>
      </c>
      <c r="E194">
        <f t="shared" si="26"/>
        <v>0</v>
      </c>
      <c r="F194">
        <f t="shared" si="27"/>
        <v>0</v>
      </c>
      <c r="G194">
        <f>IF($C$2="x",IFERROR(SMALL($A$11:$A$14,184),0),IF($C$3="x",IFERROR(SMALL($A$11:$A$18,184),0),IF($C$4="x",IFERROR(SMALL($A$11:$A$26,184),0),IF($C$5="x",IFERROR(SMALL($A$11:$A$42,184),0),IF($C$6="x",IFERROR(SMALL($A$11:$A$74,184),0),IF($C$7="x",IFERROR(SMALL($A$11:$A$138,184),0),IFERROR(SMALL($A$11:$A$266,184),0)))))))</f>
        <v>1.010294</v>
      </c>
      <c r="H194">
        <f t="shared" si="28"/>
        <v>184</v>
      </c>
      <c r="I194" t="str">
        <f t="shared" si="29"/>
        <v xml:space="preserve"> </v>
      </c>
      <c r="J194" s="34"/>
      <c r="K194" s="35" t="s">
        <v>38</v>
      </c>
      <c r="L194" s="36"/>
      <c r="M194" s="34"/>
      <c r="N194" s="35" t="s">
        <v>38</v>
      </c>
      <c r="O194" s="36"/>
      <c r="P194" s="34"/>
      <c r="Q194" s="35" t="s">
        <v>38</v>
      </c>
      <c r="R194" s="36"/>
      <c r="S194" s="37">
        <f t="shared" si="30"/>
        <v>184</v>
      </c>
      <c r="U194" s="38"/>
      <c r="V194" s="39" t="s">
        <v>222</v>
      </c>
      <c r="W194" s="40" t="str">
        <f>IF('Infos générales'!$E$2="x",IF(U194&gt;0,VLOOKUP(U194,'Infos joueurs'!$A:$M,4,FALSE)&amp;" / "&amp;VLOOKUP(U194,'Infos joueurs'!$A:$M,9,FALSE)," "),IF(U194&gt;0,VLOOKUP(U194,'Infos joueurs'!$A:$M,4,FALSE)&amp;" "&amp;VLOOKUP(U194,'Infos joueurs'!$A:$M,5,FALSE)," "))</f>
        <v xml:space="preserve"> </v>
      </c>
      <c r="Y194" s="33">
        <v>184</v>
      </c>
      <c r="Z194" s="256" t="str">
        <f t="shared" si="31"/>
        <v xml:space="preserve"> </v>
      </c>
      <c r="AA194" s="41" t="str">
        <f>IFERROR(INDEX('Infos joueurs'!$F$15:$F$270,MATCH(AB194,'Infos joueurs'!$A$15:$A$270,0))," ")</f>
        <v xml:space="preserve"> </v>
      </c>
      <c r="AB194" s="38">
        <f t="shared" si="32"/>
        <v>0</v>
      </c>
    </row>
    <row r="195" spans="1:28" x14ac:dyDescent="0.25">
      <c r="A195">
        <f t="shared" si="22"/>
        <v>1.0102949999999999</v>
      </c>
      <c r="B195">
        <f t="shared" si="23"/>
        <v>185</v>
      </c>
      <c r="C195" t="str">
        <f t="shared" si="24"/>
        <v xml:space="preserve"> </v>
      </c>
      <c r="D195">
        <f t="shared" si="25"/>
        <v>0</v>
      </c>
      <c r="E195">
        <f t="shared" si="26"/>
        <v>0</v>
      </c>
      <c r="F195">
        <f t="shared" si="27"/>
        <v>0</v>
      </c>
      <c r="G195">
        <f>IF($C$2="x",IFERROR(SMALL($A$11:$A$14,185),0),IF($C$3="x",IFERROR(SMALL($A$11:$A$18,185),0),IF($C$4="x",IFERROR(SMALL($A$11:$A$26,185),0),IF($C$5="x",IFERROR(SMALL($A$11:$A$42,185),0),IF($C$6="x",IFERROR(SMALL($A$11:$A$74,185),0),IF($C$7="x",IFERROR(SMALL($A$11:$A$138,185),0),IFERROR(SMALL($A$11:$A$266,185),0)))))))</f>
        <v>1.0102949999999999</v>
      </c>
      <c r="H195">
        <f t="shared" si="28"/>
        <v>185</v>
      </c>
      <c r="I195" t="str">
        <f t="shared" si="29"/>
        <v xml:space="preserve"> </v>
      </c>
      <c r="J195" s="34"/>
      <c r="K195" s="35" t="s">
        <v>38</v>
      </c>
      <c r="L195" s="36"/>
      <c r="M195" s="34"/>
      <c r="N195" s="35" t="s">
        <v>38</v>
      </c>
      <c r="O195" s="36"/>
      <c r="P195" s="34"/>
      <c r="Q195" s="35" t="s">
        <v>38</v>
      </c>
      <c r="R195" s="36"/>
      <c r="S195" s="37">
        <f t="shared" si="30"/>
        <v>185</v>
      </c>
      <c r="U195" s="38"/>
      <c r="V195" s="39" t="s">
        <v>223</v>
      </c>
      <c r="W195" s="40" t="str">
        <f>IF('Infos générales'!$E$2="x",IF(U195&gt;0,VLOOKUP(U195,'Infos joueurs'!$A:$M,4,FALSE)&amp;" / "&amp;VLOOKUP(U195,'Infos joueurs'!$A:$M,9,FALSE)," "),IF(U195&gt;0,VLOOKUP(U195,'Infos joueurs'!$A:$M,4,FALSE)&amp;" "&amp;VLOOKUP(U195,'Infos joueurs'!$A:$M,5,FALSE)," "))</f>
        <v xml:space="preserve"> </v>
      </c>
      <c r="Y195" s="33">
        <v>185</v>
      </c>
      <c r="Z195" s="256" t="str">
        <f t="shared" si="31"/>
        <v xml:space="preserve"> </v>
      </c>
      <c r="AA195" s="41" t="str">
        <f>IFERROR(INDEX('Infos joueurs'!$F$15:$F$270,MATCH(AB195,'Infos joueurs'!$A$15:$A$270,0))," ")</f>
        <v xml:space="preserve"> </v>
      </c>
      <c r="AB195" s="38">
        <f t="shared" si="32"/>
        <v>0</v>
      </c>
    </row>
    <row r="196" spans="1:28" x14ac:dyDescent="0.25">
      <c r="A196">
        <f t="shared" si="22"/>
        <v>1.0102960000000001</v>
      </c>
      <c r="B196">
        <f t="shared" si="23"/>
        <v>186</v>
      </c>
      <c r="C196" t="str">
        <f t="shared" si="24"/>
        <v xml:space="preserve"> </v>
      </c>
      <c r="D196">
        <f t="shared" si="25"/>
        <v>0</v>
      </c>
      <c r="E196">
        <f t="shared" si="26"/>
        <v>0</v>
      </c>
      <c r="F196">
        <f t="shared" si="27"/>
        <v>0</v>
      </c>
      <c r="G196">
        <f>IF($C$2="x",IFERROR(SMALL($A$11:$A$14,186),0),IF($C$3="x",IFERROR(SMALL($A$11:$A$18,186),0),IF($C$4="x",IFERROR(SMALL($A$11:$A$26,186),0),IF($C$5="x",IFERROR(SMALL($A$11:$A$42,186),0),IF($C$6="x",IFERROR(SMALL($A$11:$A$74,186),0),IF($C$7="x",IFERROR(SMALL($A$11:$A$138,186),0),IFERROR(SMALL($A$11:$A$266,186),0)))))))</f>
        <v>1.0102960000000001</v>
      </c>
      <c r="H196">
        <f t="shared" si="28"/>
        <v>186</v>
      </c>
      <c r="I196" t="str">
        <f t="shared" si="29"/>
        <v xml:space="preserve"> </v>
      </c>
      <c r="J196" s="34"/>
      <c r="K196" s="35" t="s">
        <v>38</v>
      </c>
      <c r="L196" s="36"/>
      <c r="M196" s="34"/>
      <c r="N196" s="35" t="s">
        <v>38</v>
      </c>
      <c r="O196" s="36"/>
      <c r="P196" s="34"/>
      <c r="Q196" s="35" t="s">
        <v>38</v>
      </c>
      <c r="R196" s="36"/>
      <c r="S196" s="37">
        <f t="shared" si="30"/>
        <v>186</v>
      </c>
      <c r="U196" s="38"/>
      <c r="V196" s="39" t="s">
        <v>224</v>
      </c>
      <c r="W196" s="40" t="str">
        <f>IF('Infos générales'!$E$2="x",IF(U196&gt;0,VLOOKUP(U196,'Infos joueurs'!$A:$M,4,FALSE)&amp;" / "&amp;VLOOKUP(U196,'Infos joueurs'!$A:$M,9,FALSE)," "),IF(U196&gt;0,VLOOKUP(U196,'Infos joueurs'!$A:$M,4,FALSE)&amp;" "&amp;VLOOKUP(U196,'Infos joueurs'!$A:$M,5,FALSE)," "))</f>
        <v xml:space="preserve"> </v>
      </c>
      <c r="Y196" s="33">
        <v>186</v>
      </c>
      <c r="Z196" s="256" t="str">
        <f t="shared" si="31"/>
        <v xml:space="preserve"> </v>
      </c>
      <c r="AA196" s="41" t="str">
        <f>IFERROR(INDEX('Infos joueurs'!$F$15:$F$270,MATCH(AB196,'Infos joueurs'!$A$15:$A$270,0))," ")</f>
        <v xml:space="preserve"> </v>
      </c>
      <c r="AB196" s="38">
        <f t="shared" si="32"/>
        <v>0</v>
      </c>
    </row>
    <row r="197" spans="1:28" x14ac:dyDescent="0.25">
      <c r="A197">
        <f t="shared" si="22"/>
        <v>1.010297</v>
      </c>
      <c r="B197">
        <f t="shared" si="23"/>
        <v>187</v>
      </c>
      <c r="C197" t="str">
        <f t="shared" si="24"/>
        <v xml:space="preserve"> </v>
      </c>
      <c r="D197">
        <f t="shared" si="25"/>
        <v>0</v>
      </c>
      <c r="E197">
        <f t="shared" si="26"/>
        <v>0</v>
      </c>
      <c r="F197">
        <f t="shared" si="27"/>
        <v>0</v>
      </c>
      <c r="G197">
        <f>IF($C$2="x",IFERROR(SMALL($A$11:$A$14,187),0),IF($C$3="x",IFERROR(SMALL($A$11:$A$18,187),0),IF($C$4="x",IFERROR(SMALL($A$11:$A$26,187),0),IF($C$5="x",IFERROR(SMALL($A$11:$A$42,187),0),IF($C$6="x",IFERROR(SMALL($A$11:$A$74,187),0),IF($C$7="x",IFERROR(SMALL($A$11:$A$138,187),0),IFERROR(SMALL($A$11:$A$266,187),0)))))))</f>
        <v>1.010297</v>
      </c>
      <c r="H197">
        <f t="shared" si="28"/>
        <v>187</v>
      </c>
      <c r="I197" t="str">
        <f t="shared" si="29"/>
        <v xml:space="preserve"> </v>
      </c>
      <c r="J197" s="34"/>
      <c r="K197" s="35" t="s">
        <v>38</v>
      </c>
      <c r="L197" s="36"/>
      <c r="M197" s="34"/>
      <c r="N197" s="35" t="s">
        <v>38</v>
      </c>
      <c r="O197" s="36"/>
      <c r="P197" s="34"/>
      <c r="Q197" s="35" t="s">
        <v>38</v>
      </c>
      <c r="R197" s="36"/>
      <c r="S197" s="37">
        <f t="shared" si="30"/>
        <v>187</v>
      </c>
      <c r="U197" s="38"/>
      <c r="V197" s="39" t="s">
        <v>225</v>
      </c>
      <c r="W197" s="40" t="str">
        <f>IF('Infos générales'!$E$2="x",IF(U197&gt;0,VLOOKUP(U197,'Infos joueurs'!$A:$M,4,FALSE)&amp;" / "&amp;VLOOKUP(U197,'Infos joueurs'!$A:$M,9,FALSE)," "),IF(U197&gt;0,VLOOKUP(U197,'Infos joueurs'!$A:$M,4,FALSE)&amp;" "&amp;VLOOKUP(U197,'Infos joueurs'!$A:$M,5,FALSE)," "))</f>
        <v xml:space="preserve"> </v>
      </c>
      <c r="Y197" s="33">
        <v>187</v>
      </c>
      <c r="Z197" s="256" t="str">
        <f t="shared" si="31"/>
        <v xml:space="preserve"> </v>
      </c>
      <c r="AA197" s="41" t="str">
        <f>IFERROR(INDEX('Infos joueurs'!$F$15:$F$270,MATCH(AB197,'Infos joueurs'!$A$15:$A$270,0))," ")</f>
        <v xml:space="preserve"> </v>
      </c>
      <c r="AB197" s="38">
        <f t="shared" si="32"/>
        <v>0</v>
      </c>
    </row>
    <row r="198" spans="1:28" x14ac:dyDescent="0.25">
      <c r="A198">
        <f t="shared" si="22"/>
        <v>1.0102979999999999</v>
      </c>
      <c r="B198">
        <f t="shared" si="23"/>
        <v>188</v>
      </c>
      <c r="C198" t="str">
        <f t="shared" si="24"/>
        <v xml:space="preserve"> </v>
      </c>
      <c r="D198">
        <f t="shared" si="25"/>
        <v>0</v>
      </c>
      <c r="E198">
        <f t="shared" si="26"/>
        <v>0</v>
      </c>
      <c r="F198">
        <f t="shared" si="27"/>
        <v>0</v>
      </c>
      <c r="G198">
        <f>IF($C$2="x",IFERROR(SMALL($A$11:$A$14,188),0),IF($C$3="x",IFERROR(SMALL($A$11:$A$18,188),0),IF($C$4="x",IFERROR(SMALL($A$11:$A$26,188),0),IF($C$5="x",IFERROR(SMALL($A$11:$A$42,188),0),IF($C$6="x",IFERROR(SMALL($A$11:$A$74,188),0),IF($C$7="x",IFERROR(SMALL($A$11:$A$138,188),0),IFERROR(SMALL($A$11:$A$266,188),0)))))))</f>
        <v>1.0102979999999999</v>
      </c>
      <c r="H198">
        <f t="shared" si="28"/>
        <v>188</v>
      </c>
      <c r="I198" t="str">
        <f t="shared" si="29"/>
        <v xml:space="preserve"> </v>
      </c>
      <c r="J198" s="34"/>
      <c r="K198" s="35" t="s">
        <v>38</v>
      </c>
      <c r="L198" s="36"/>
      <c r="M198" s="34"/>
      <c r="N198" s="35" t="s">
        <v>38</v>
      </c>
      <c r="O198" s="36"/>
      <c r="P198" s="34"/>
      <c r="Q198" s="35" t="s">
        <v>38</v>
      </c>
      <c r="R198" s="36"/>
      <c r="S198" s="37">
        <f t="shared" si="30"/>
        <v>188</v>
      </c>
      <c r="U198" s="38"/>
      <c r="V198" s="39" t="s">
        <v>226</v>
      </c>
      <c r="W198" s="40" t="str">
        <f>IF('Infos générales'!$E$2="x",IF(U198&gt;0,VLOOKUP(U198,'Infos joueurs'!$A:$M,4,FALSE)&amp;" / "&amp;VLOOKUP(U198,'Infos joueurs'!$A:$M,9,FALSE)," "),IF(U198&gt;0,VLOOKUP(U198,'Infos joueurs'!$A:$M,4,FALSE)&amp;" "&amp;VLOOKUP(U198,'Infos joueurs'!$A:$M,5,FALSE)," "))</f>
        <v xml:space="preserve"> </v>
      </c>
      <c r="Y198" s="33">
        <v>188</v>
      </c>
      <c r="Z198" s="256" t="str">
        <f t="shared" si="31"/>
        <v xml:space="preserve"> </v>
      </c>
      <c r="AA198" s="41" t="str">
        <f>IFERROR(INDEX('Infos joueurs'!$F$15:$F$270,MATCH(AB198,'Infos joueurs'!$A$15:$A$270,0))," ")</f>
        <v xml:space="preserve"> </v>
      </c>
      <c r="AB198" s="38">
        <f t="shared" si="32"/>
        <v>0</v>
      </c>
    </row>
    <row r="199" spans="1:28" x14ac:dyDescent="0.25">
      <c r="A199">
        <f t="shared" si="22"/>
        <v>1.0102990000000001</v>
      </c>
      <c r="B199">
        <f t="shared" si="23"/>
        <v>189</v>
      </c>
      <c r="C199" t="str">
        <f t="shared" si="24"/>
        <v xml:space="preserve"> </v>
      </c>
      <c r="D199">
        <f t="shared" si="25"/>
        <v>0</v>
      </c>
      <c r="E199">
        <f t="shared" si="26"/>
        <v>0</v>
      </c>
      <c r="F199">
        <f t="shared" si="27"/>
        <v>0</v>
      </c>
      <c r="G199">
        <f>IF($C$2="x",IFERROR(SMALL($A$11:$A$14,189),0),IF($C$3="x",IFERROR(SMALL($A$11:$A$18,189),0),IF($C$4="x",IFERROR(SMALL($A$11:$A$26,189),0),IF($C$5="x",IFERROR(SMALL($A$11:$A$42,189),0),IF($C$6="x",IFERROR(SMALL($A$11:$A$74,189),0),IF($C$7="x",IFERROR(SMALL($A$11:$A$138,189),0),IFERROR(SMALL($A$11:$A$266,189),0)))))))</f>
        <v>1.0102990000000001</v>
      </c>
      <c r="H199">
        <f t="shared" si="28"/>
        <v>189</v>
      </c>
      <c r="I199" t="str">
        <f t="shared" si="29"/>
        <v xml:space="preserve"> </v>
      </c>
      <c r="J199" s="34"/>
      <c r="K199" s="35" t="s">
        <v>38</v>
      </c>
      <c r="L199" s="36"/>
      <c r="M199" s="34"/>
      <c r="N199" s="35" t="s">
        <v>38</v>
      </c>
      <c r="O199" s="36"/>
      <c r="P199" s="34"/>
      <c r="Q199" s="35" t="s">
        <v>38</v>
      </c>
      <c r="R199" s="36"/>
      <c r="S199" s="37">
        <f t="shared" si="30"/>
        <v>189</v>
      </c>
      <c r="U199" s="38"/>
      <c r="V199" s="39" t="s">
        <v>227</v>
      </c>
      <c r="W199" s="40" t="str">
        <f>IF('Infos générales'!$E$2="x",IF(U199&gt;0,VLOOKUP(U199,'Infos joueurs'!$A:$M,4,FALSE)&amp;" / "&amp;VLOOKUP(U199,'Infos joueurs'!$A:$M,9,FALSE)," "),IF(U199&gt;0,VLOOKUP(U199,'Infos joueurs'!$A:$M,4,FALSE)&amp;" "&amp;VLOOKUP(U199,'Infos joueurs'!$A:$M,5,FALSE)," "))</f>
        <v xml:space="preserve"> </v>
      </c>
      <c r="Y199" s="33">
        <v>189</v>
      </c>
      <c r="Z199" s="256" t="str">
        <f t="shared" si="31"/>
        <v xml:space="preserve"> </v>
      </c>
      <c r="AA199" s="41" t="str">
        <f>IFERROR(INDEX('Infos joueurs'!$F$15:$F$270,MATCH(AB199,'Infos joueurs'!$A$15:$A$270,0))," ")</f>
        <v xml:space="preserve"> </v>
      </c>
      <c r="AB199" s="38">
        <f t="shared" si="32"/>
        <v>0</v>
      </c>
    </row>
    <row r="200" spans="1:28" x14ac:dyDescent="0.25">
      <c r="A200">
        <f t="shared" si="22"/>
        <v>1.0103</v>
      </c>
      <c r="B200">
        <f t="shared" si="23"/>
        <v>190</v>
      </c>
      <c r="C200" t="str">
        <f t="shared" si="24"/>
        <v xml:space="preserve"> </v>
      </c>
      <c r="D200">
        <f t="shared" si="25"/>
        <v>0</v>
      </c>
      <c r="E200">
        <f t="shared" si="26"/>
        <v>0</v>
      </c>
      <c r="F200">
        <f t="shared" si="27"/>
        <v>0</v>
      </c>
      <c r="G200">
        <f>IF($C$2="x",IFERROR(SMALL($A$11:$A$14,190),0),IF($C$3="x",IFERROR(SMALL($A$11:$A$18,190),0),IF($C$4="x",IFERROR(SMALL($A$11:$A$26,190),0),IF($C$5="x",IFERROR(SMALL($A$11:$A$42,190),0),IF($C$6="x",IFERROR(SMALL($A$11:$A$74,190),0),IF($C$7="x",IFERROR(SMALL($A$11:$A$138,190),0),IFERROR(SMALL($A$11:$A$266,190),0)))))))</f>
        <v>1.0103</v>
      </c>
      <c r="H200">
        <f t="shared" si="28"/>
        <v>190</v>
      </c>
      <c r="I200" t="str">
        <f t="shared" si="29"/>
        <v xml:space="preserve"> </v>
      </c>
      <c r="J200" s="34"/>
      <c r="K200" s="35" t="s">
        <v>38</v>
      </c>
      <c r="L200" s="36"/>
      <c r="M200" s="34"/>
      <c r="N200" s="35" t="s">
        <v>38</v>
      </c>
      <c r="O200" s="36"/>
      <c r="P200" s="34"/>
      <c r="Q200" s="35" t="s">
        <v>38</v>
      </c>
      <c r="R200" s="36"/>
      <c r="S200" s="37">
        <f t="shared" si="30"/>
        <v>190</v>
      </c>
      <c r="U200" s="38"/>
      <c r="V200" s="39" t="s">
        <v>228</v>
      </c>
      <c r="W200" s="40" t="str">
        <f>IF('Infos générales'!$E$2="x",IF(U200&gt;0,VLOOKUP(U200,'Infos joueurs'!$A:$M,4,FALSE)&amp;" / "&amp;VLOOKUP(U200,'Infos joueurs'!$A:$M,9,FALSE)," "),IF(U200&gt;0,VLOOKUP(U200,'Infos joueurs'!$A:$M,4,FALSE)&amp;" "&amp;VLOOKUP(U200,'Infos joueurs'!$A:$M,5,FALSE)," "))</f>
        <v xml:space="preserve"> </v>
      </c>
      <c r="Y200" s="33">
        <v>190</v>
      </c>
      <c r="Z200" s="256" t="str">
        <f t="shared" si="31"/>
        <v xml:space="preserve"> </v>
      </c>
      <c r="AA200" s="41" t="str">
        <f>IFERROR(INDEX('Infos joueurs'!$F$15:$F$270,MATCH(AB200,'Infos joueurs'!$A$15:$A$270,0))," ")</f>
        <v xml:space="preserve"> </v>
      </c>
      <c r="AB200" s="38">
        <f t="shared" si="32"/>
        <v>0</v>
      </c>
    </row>
    <row r="201" spans="1:28" x14ac:dyDescent="0.25">
      <c r="A201">
        <f t="shared" si="22"/>
        <v>1.0103009999999999</v>
      </c>
      <c r="B201">
        <f t="shared" si="23"/>
        <v>191</v>
      </c>
      <c r="C201" t="str">
        <f t="shared" si="24"/>
        <v xml:space="preserve"> </v>
      </c>
      <c r="D201">
        <f t="shared" si="25"/>
        <v>0</v>
      </c>
      <c r="E201">
        <f t="shared" si="26"/>
        <v>0</v>
      </c>
      <c r="F201">
        <f t="shared" si="27"/>
        <v>0</v>
      </c>
      <c r="G201">
        <f>IF($C$2="x",IFERROR(SMALL($A$11:$A$14,191),0),IF($C$3="x",IFERROR(SMALL($A$11:$A$18,191),0),IF($C$4="x",IFERROR(SMALL($A$11:$A$26,191),0),IF($C$5="x",IFERROR(SMALL($A$11:$A$42,191),0),IF($C$6="x",IFERROR(SMALL($A$11:$A$74,191),0),IF($C$7="x",IFERROR(SMALL($A$11:$A$138,191),0),IFERROR(SMALL($A$11:$A$266,191),0)))))))</f>
        <v>1.0103009999999999</v>
      </c>
      <c r="H201">
        <f t="shared" si="28"/>
        <v>191</v>
      </c>
      <c r="I201" t="str">
        <f t="shared" si="29"/>
        <v xml:space="preserve"> </v>
      </c>
      <c r="J201" s="34"/>
      <c r="K201" s="35" t="s">
        <v>38</v>
      </c>
      <c r="L201" s="36"/>
      <c r="M201" s="34"/>
      <c r="N201" s="35" t="s">
        <v>38</v>
      </c>
      <c r="O201" s="36"/>
      <c r="P201" s="34"/>
      <c r="Q201" s="35" t="s">
        <v>38</v>
      </c>
      <c r="R201" s="36"/>
      <c r="S201" s="37">
        <f t="shared" si="30"/>
        <v>191</v>
      </c>
      <c r="U201" s="38"/>
      <c r="V201" s="39" t="s">
        <v>229</v>
      </c>
      <c r="W201" s="40" t="str">
        <f>IF('Infos générales'!$E$2="x",IF(U201&gt;0,VLOOKUP(U201,'Infos joueurs'!$A:$M,4,FALSE)&amp;" / "&amp;VLOOKUP(U201,'Infos joueurs'!$A:$M,9,FALSE)," "),IF(U201&gt;0,VLOOKUP(U201,'Infos joueurs'!$A:$M,4,FALSE)&amp;" "&amp;VLOOKUP(U201,'Infos joueurs'!$A:$M,5,FALSE)," "))</f>
        <v xml:space="preserve"> </v>
      </c>
      <c r="Y201" s="33">
        <v>191</v>
      </c>
      <c r="Z201" s="256" t="str">
        <f t="shared" si="31"/>
        <v xml:space="preserve"> </v>
      </c>
      <c r="AA201" s="41" t="str">
        <f>IFERROR(INDEX('Infos joueurs'!$F$15:$F$270,MATCH(AB201,'Infos joueurs'!$A$15:$A$270,0))," ")</f>
        <v xml:space="preserve"> </v>
      </c>
      <c r="AB201" s="38">
        <f t="shared" si="32"/>
        <v>0</v>
      </c>
    </row>
    <row r="202" spans="1:28" x14ac:dyDescent="0.25">
      <c r="A202">
        <f t="shared" si="22"/>
        <v>1.010302</v>
      </c>
      <c r="B202">
        <f t="shared" si="23"/>
        <v>192</v>
      </c>
      <c r="C202" t="str">
        <f t="shared" si="24"/>
        <v xml:space="preserve"> </v>
      </c>
      <c r="D202">
        <f t="shared" si="25"/>
        <v>0</v>
      </c>
      <c r="E202">
        <f t="shared" si="26"/>
        <v>0</v>
      </c>
      <c r="F202">
        <f t="shared" si="27"/>
        <v>0</v>
      </c>
      <c r="G202">
        <f>IF($C$2="x",IFERROR(SMALL($A$11:$A$14,192),0),IF($C$3="x",IFERROR(SMALL($A$11:$A$18,192),0),IF($C$4="x",IFERROR(SMALL($A$11:$A$26,192),0),IF($C$5="x",IFERROR(SMALL($A$11:$A$42,192),0),IF($C$6="x",IFERROR(SMALL($A$11:$A$74,192),0),IF($C$7="x",IFERROR(SMALL($A$11:$A$138,192),0),IFERROR(SMALL($A$11:$A$266,192),0)))))))</f>
        <v>1.010302</v>
      </c>
      <c r="H202">
        <f t="shared" si="28"/>
        <v>192</v>
      </c>
      <c r="I202" t="str">
        <f t="shared" si="29"/>
        <v xml:space="preserve"> </v>
      </c>
      <c r="J202" s="34"/>
      <c r="K202" s="35" t="s">
        <v>38</v>
      </c>
      <c r="L202" s="36"/>
      <c r="M202" s="34"/>
      <c r="N202" s="35" t="s">
        <v>38</v>
      </c>
      <c r="O202" s="36"/>
      <c r="P202" s="34"/>
      <c r="Q202" s="35" t="s">
        <v>38</v>
      </c>
      <c r="R202" s="36"/>
      <c r="S202" s="37">
        <f t="shared" si="30"/>
        <v>192</v>
      </c>
      <c r="U202" s="38"/>
      <c r="V202" s="39" t="s">
        <v>230</v>
      </c>
      <c r="W202" s="40" t="str">
        <f>IF('Infos générales'!$E$2="x",IF(U202&gt;0,VLOOKUP(U202,'Infos joueurs'!$A:$M,4,FALSE)&amp;" / "&amp;VLOOKUP(U202,'Infos joueurs'!$A:$M,9,FALSE)," "),IF(U202&gt;0,VLOOKUP(U202,'Infos joueurs'!$A:$M,4,FALSE)&amp;" "&amp;VLOOKUP(U202,'Infos joueurs'!$A:$M,5,FALSE)," "))</f>
        <v xml:space="preserve"> </v>
      </c>
      <c r="Y202" s="33">
        <v>192</v>
      </c>
      <c r="Z202" s="256" t="str">
        <f t="shared" si="31"/>
        <v xml:space="preserve"> </v>
      </c>
      <c r="AA202" s="41" t="str">
        <f>IFERROR(INDEX('Infos joueurs'!$F$15:$F$270,MATCH(AB202,'Infos joueurs'!$A$15:$A$270,0))," ")</f>
        <v xml:space="preserve"> </v>
      </c>
      <c r="AB202" s="38">
        <f t="shared" si="32"/>
        <v>0</v>
      </c>
    </row>
    <row r="203" spans="1:28" x14ac:dyDescent="0.25">
      <c r="A203">
        <f t="shared" si="22"/>
        <v>1.010303</v>
      </c>
      <c r="B203">
        <f t="shared" si="23"/>
        <v>193</v>
      </c>
      <c r="C203" t="str">
        <f t="shared" si="24"/>
        <v xml:space="preserve"> </v>
      </c>
      <c r="D203">
        <f t="shared" si="25"/>
        <v>0</v>
      </c>
      <c r="E203">
        <f t="shared" si="26"/>
        <v>0</v>
      </c>
      <c r="F203">
        <f t="shared" si="27"/>
        <v>0</v>
      </c>
      <c r="G203">
        <f>IF($C$2="x",IFERROR(SMALL($A$11:$A$14,193),0),IF($C$3="x",IFERROR(SMALL($A$11:$A$18,193),0),IF($C$4="x",IFERROR(SMALL($A$11:$A$26,193),0),IF($C$5="x",IFERROR(SMALL($A$11:$A$42,193),0),IF($C$6="x",IFERROR(SMALL($A$11:$A$74,193),0),IF($C$7="x",IFERROR(SMALL($A$11:$A$138,193),0),IFERROR(SMALL($A$11:$A$266,193),0)))))))</f>
        <v>1.010303</v>
      </c>
      <c r="H203">
        <f t="shared" si="28"/>
        <v>193</v>
      </c>
      <c r="I203" t="str">
        <f t="shared" si="29"/>
        <v xml:space="preserve"> </v>
      </c>
      <c r="J203" s="34"/>
      <c r="K203" s="35" t="s">
        <v>38</v>
      </c>
      <c r="L203" s="36"/>
      <c r="M203" s="34"/>
      <c r="N203" s="35" t="s">
        <v>38</v>
      </c>
      <c r="O203" s="36"/>
      <c r="P203" s="34"/>
      <c r="Q203" s="35" t="s">
        <v>38</v>
      </c>
      <c r="R203" s="36"/>
      <c r="S203" s="37">
        <f t="shared" si="30"/>
        <v>193</v>
      </c>
      <c r="U203" s="38"/>
      <c r="V203" s="39" t="s">
        <v>231</v>
      </c>
      <c r="W203" s="40" t="str">
        <f>IF('Infos générales'!$E$2="x",IF(U203&gt;0,VLOOKUP(U203,'Infos joueurs'!$A:$M,4,FALSE)&amp;" / "&amp;VLOOKUP(U203,'Infos joueurs'!$A:$M,9,FALSE)," "),IF(U203&gt;0,VLOOKUP(U203,'Infos joueurs'!$A:$M,4,FALSE)&amp;" "&amp;VLOOKUP(U203,'Infos joueurs'!$A:$M,5,FALSE)," "))</f>
        <v xml:space="preserve"> </v>
      </c>
      <c r="Y203" s="33">
        <v>193</v>
      </c>
      <c r="Z203" s="256" t="str">
        <f t="shared" si="31"/>
        <v xml:space="preserve"> </v>
      </c>
      <c r="AA203" s="41" t="str">
        <f>IFERROR(INDEX('Infos joueurs'!$F$15:$F$270,MATCH(AB203,'Infos joueurs'!$A$15:$A$270,0))," ")</f>
        <v xml:space="preserve"> </v>
      </c>
      <c r="AB203" s="38">
        <f t="shared" si="32"/>
        <v>0</v>
      </c>
    </row>
    <row r="204" spans="1:28" x14ac:dyDescent="0.25">
      <c r="A204">
        <f t="shared" ref="A204:A266" si="33">IF($C$2="x",(IFERROR(IF(W204="","-",RANK(D204,$D$11:$D$14,0)+RANK(E204,$E$11:$E$14,0)%+RANK(F204,$F$11:$F$14,0)%%+ROW()%%%),"-")),IF($C$3="x",(IFERROR(IF(W204="","-",RANK(D204,$D$11:$D$18,0)+RANK(E204,$E$11:$E$18,0)%+RANK(F204,$F$11:$F$18,0)%%+ROW()%%%),"-")),IF($C$4="x",(IFERROR(IF(W204="","-",RANK(D204,$D$11:$D$26,0)+RANK(E204,$E$11:$E$26,0)%+RANK(F204,$F$11:$F$26,0)%%+ROW()%%%),"-")),IF($C$5="x",(IFERROR(IF(W204="","-",RANK(D204,$D$11:$D$42,0)+RANK(E204,$E$11:$E$42,0)%+RANK(F204,$F$11:$F$42,0)%%+ROW()%%%),"-")),IF($C$6="x",(IFERROR(IF(W204="","-",RANK(D204,$D$11:$D$74,0)+RANK(E204,$E$11:$E$74,0)%+RANK(F204,$F$11:$F$74,0)%%+ROW()%%%),"-")),IF($C$7="x",(IFERROR(IF(W204="","-",RANK(D204,$D$11:$D$138,0)+RANK(E204,$E$11:$E$138,0)%+RANK(F204,$F$11:$F$138,0)%%+ROW()%%%),"-")),(IFERROR(IF(W204="","-",RANK(D204,$D$11:$D$266,0)+RANK(E204,$E$11:$E$266,0)%+RANK(F204,$F$11:$F$266,0)%%+ROW()%%%),"-"))))))))</f>
        <v>1.0103040000000001</v>
      </c>
      <c r="B204">
        <f t="shared" ref="B204:B266" si="34">IF($C$2="x",IFERROR(IF(A204="","",RANK(A204,$A$11:$A$14,1)),"-"),IF($C$3="x",IFERROR(IF(A204="","",RANK(A204,$A$11:$A$18,1)),"-"),IF($C$4="x",IFERROR(IF(A204="","",RANK(A204,$A$11:$A$26,1)),"-"),IF($C$5="x",IFERROR(IF(A204="","",RANK(A204,$A$11:$A$42,1)),"-"),IF($C$6="x",IFERROR(IF(A204="","",RANK(A204,$A$11:$A$74,1)),"-"),IF($C$7="x",IFERROR(IF(A204="","",RANK(A204,$A$11:$A$138,1)),"-"),IFERROR(IF(A204="","",RANK(A204,$A$11:$A$266,1)),"-")))))))</f>
        <v>194</v>
      </c>
      <c r="C204" t="str">
        <f t="shared" ref="C204:C266" si="35">W204</f>
        <v xml:space="preserve"> </v>
      </c>
      <c r="D204">
        <f t="shared" ref="D204:D266" si="36">SUM(J204-L204)</f>
        <v>0</v>
      </c>
      <c r="E204">
        <f t="shared" ref="E204:E266" si="37">SUM(M204-O204)</f>
        <v>0</v>
      </c>
      <c r="F204">
        <f t="shared" ref="F204:F266" si="38">SUM(P204-R204)</f>
        <v>0</v>
      </c>
      <c r="G204">
        <f>IF($C$2="x",IFERROR(SMALL($A$11:$A$14,194),0),IF($C$3="x",IFERROR(SMALL($A$11:$A$18,194),0),IF($C$4="x",IFERROR(SMALL($A$11:$A$26,194),0),IF($C$5="x",IFERROR(SMALL($A$11:$A$42,194),0),IF($C$6="x",IFERROR(SMALL($A$11:$A$74,194),0),IF($C$7="x",IFERROR(SMALL($A$11:$A$138,194),0),IFERROR(SMALL($A$11:$A$266,194),0)))))))</f>
        <v>1.0103040000000001</v>
      </c>
      <c r="H204">
        <f t="shared" ref="H204:H266" si="39">IF($C$2="x",IFERROR(IF(G204="","",RANK(G204,$G$11:$G$14,1)),0),IF($C$3="x",IFERROR(IF(G204="","",RANK(G204,$G$11:$G$18,1)),0),IF($C$4="x",IFERROR(IF(G204="","",RANK(G204,$G$11:$G$26,1)),0),IF($C$5="x",IFERROR(IF(G204="","",RANK(G204,$G$11:$G$42,1)),0),IF($C$6="x",IFERROR(IF(G204="","",RANK(G204,$G$11:$G$74,1)),0),IF($C$7="x",IFERROR(IF(G204="","",RANK(G204,$G$11:$G$138,1)),0),IFERROR(IF(G204="","",RANK(G204,$G$11:$G$266,1)),0)))))))</f>
        <v>194</v>
      </c>
      <c r="I204" t="str">
        <f t="shared" ref="I204:I266" si="40">IF($C$2="x",IFERROR(INDEX($C$11:$C$14,MATCH(G204,$A$11:$A$14,0),1),0),IF($C$3="x",IFERROR(INDEX($C$11:$C$18,MATCH(G204,$A$11:$A$18,0),1),0),IF($C$4="x",IFERROR(INDEX($C$11:$C$26,MATCH(G204,$A$11:$A$26,0),1),0),IF($C$5="x",IFERROR(INDEX($C$11:$C$42,MATCH(G204,$A$11:$A$42,0),1),0),IF($C$6="x",IFERROR(INDEX($C$11:$C$74,MATCH(G204,$A$11:$A$74,0),1),0),IF($C$7="x",IFERROR(INDEX($C$11:$C$138,MATCH(G204,$A$11:$A$138,0),1),0),IFERROR(INDEX($C$11:$C$266,MATCH(G204,$A$11:$A$266,0),1),0)))))))</f>
        <v xml:space="preserve"> </v>
      </c>
      <c r="J204" s="34"/>
      <c r="K204" s="35" t="s">
        <v>38</v>
      </c>
      <c r="L204" s="36"/>
      <c r="M204" s="34"/>
      <c r="N204" s="35" t="s">
        <v>38</v>
      </c>
      <c r="O204" s="36"/>
      <c r="P204" s="34"/>
      <c r="Q204" s="35" t="s">
        <v>38</v>
      </c>
      <c r="R204" s="36"/>
      <c r="S204" s="37">
        <f t="shared" ref="S204:S266" si="41">IF($C$2="x",IFERROR(IF(A204="","",RANK(A204,$A$11:$A$14,1)),0),IF($C$3="x",IFERROR(IF(A204="","",RANK(A204,$A$11:$A$18,1)),0),IF($C$4="x",IFERROR(IF(A204="","",RANK(A204,$A$11:$A$26,1)),0),IF($C$5="x",IFERROR(IF(A204="","",RANK(A204,$A$11:$A$42,1)),0),IF($C$6="x",IFERROR(IF(A204="","",RANK(A204,$A$11:$A$74,1)),0),IF($C$7="x",IFERROR(IF(A204="","",RANK(A204,$A$11:$A$138,1)),0),IFERROR(IF(A204="","",RANK(A204,$A$11:$A$266,1)),0)))))))</f>
        <v>194</v>
      </c>
      <c r="U204" s="38"/>
      <c r="V204" s="39" t="s">
        <v>232</v>
      </c>
      <c r="W204" s="40" t="str">
        <f>IF('Infos générales'!$E$2="x",IF(U204&gt;0,VLOOKUP(U204,'Infos joueurs'!$A:$M,4,FALSE)&amp;" / "&amp;VLOOKUP(U204,'Infos joueurs'!$A:$M,9,FALSE)," "),IF(U204&gt;0,VLOOKUP(U204,'Infos joueurs'!$A:$M,4,FALSE)&amp;" "&amp;VLOOKUP(U204,'Infos joueurs'!$A:$M,5,FALSE)," "))</f>
        <v xml:space="preserve"> </v>
      </c>
      <c r="Y204" s="33">
        <v>194</v>
      </c>
      <c r="Z204" s="256" t="str">
        <f t="shared" ref="Z204:Z266" si="42">I204</f>
        <v xml:space="preserve"> </v>
      </c>
      <c r="AA204" s="41" t="str">
        <f>IFERROR(INDEX('Infos joueurs'!$F$15:$F$270,MATCH(AB204,'Infos joueurs'!$A$15:$A$270,0))," ")</f>
        <v xml:space="preserve"> </v>
      </c>
      <c r="AB204" s="38">
        <f t="shared" ref="AB204:AB266" si="43">IFERROR(INDEX($U$11:$U$266,MATCH(Z204,$W$11:$W$266,0)),0)</f>
        <v>0</v>
      </c>
    </row>
    <row r="205" spans="1:28" x14ac:dyDescent="0.25">
      <c r="A205">
        <f t="shared" si="33"/>
        <v>1.010305</v>
      </c>
      <c r="B205">
        <f t="shared" si="34"/>
        <v>195</v>
      </c>
      <c r="C205" t="str">
        <f t="shared" si="35"/>
        <v xml:space="preserve"> </v>
      </c>
      <c r="D205">
        <f t="shared" si="36"/>
        <v>0</v>
      </c>
      <c r="E205">
        <f t="shared" si="37"/>
        <v>0</v>
      </c>
      <c r="F205">
        <f t="shared" si="38"/>
        <v>0</v>
      </c>
      <c r="G205">
        <f>IF($C$2="x",IFERROR(SMALL($A$11:$A$14,195),0),IF($C$3="x",IFERROR(SMALL($A$11:$A$18,195),0),IF($C$4="x",IFERROR(SMALL($A$11:$A$26,195),0),IF($C$5="x",IFERROR(SMALL($A$11:$A$42,195),0),IF($C$6="x",IFERROR(SMALL($A$11:$A$74,195),0),IF($C$7="x",IFERROR(SMALL($A$11:$A$138,195),0),IFERROR(SMALL($A$11:$A$266,195),0)))))))</f>
        <v>1.010305</v>
      </c>
      <c r="H205">
        <f t="shared" si="39"/>
        <v>195</v>
      </c>
      <c r="I205" t="str">
        <f t="shared" si="40"/>
        <v xml:space="preserve"> </v>
      </c>
      <c r="J205" s="34"/>
      <c r="K205" s="35" t="s">
        <v>38</v>
      </c>
      <c r="L205" s="36"/>
      <c r="M205" s="34"/>
      <c r="N205" s="35" t="s">
        <v>38</v>
      </c>
      <c r="O205" s="36"/>
      <c r="P205" s="34"/>
      <c r="Q205" s="35" t="s">
        <v>38</v>
      </c>
      <c r="R205" s="36"/>
      <c r="S205" s="37">
        <f t="shared" si="41"/>
        <v>195</v>
      </c>
      <c r="U205" s="38"/>
      <c r="V205" s="39" t="s">
        <v>233</v>
      </c>
      <c r="W205" s="40" t="str">
        <f>IF('Infos générales'!$E$2="x",IF(U205&gt;0,VLOOKUP(U205,'Infos joueurs'!$A:$M,4,FALSE)&amp;" / "&amp;VLOOKUP(U205,'Infos joueurs'!$A:$M,9,FALSE)," "),IF(U205&gt;0,VLOOKUP(U205,'Infos joueurs'!$A:$M,4,FALSE)&amp;" "&amp;VLOOKUP(U205,'Infos joueurs'!$A:$M,5,FALSE)," "))</f>
        <v xml:space="preserve"> </v>
      </c>
      <c r="Y205" s="33">
        <v>195</v>
      </c>
      <c r="Z205" s="256" t="str">
        <f t="shared" si="42"/>
        <v xml:space="preserve"> </v>
      </c>
      <c r="AA205" s="41" t="str">
        <f>IFERROR(INDEX('Infos joueurs'!$F$15:$F$270,MATCH(AB205,'Infos joueurs'!$A$15:$A$270,0))," ")</f>
        <v xml:space="preserve"> </v>
      </c>
      <c r="AB205" s="38">
        <f t="shared" si="43"/>
        <v>0</v>
      </c>
    </row>
    <row r="206" spans="1:28" x14ac:dyDescent="0.25">
      <c r="A206">
        <f t="shared" si="33"/>
        <v>1.0103059999999999</v>
      </c>
      <c r="B206">
        <f t="shared" si="34"/>
        <v>196</v>
      </c>
      <c r="C206" t="str">
        <f t="shared" si="35"/>
        <v xml:space="preserve"> </v>
      </c>
      <c r="D206">
        <f t="shared" si="36"/>
        <v>0</v>
      </c>
      <c r="E206">
        <f t="shared" si="37"/>
        <v>0</v>
      </c>
      <c r="F206">
        <f t="shared" si="38"/>
        <v>0</v>
      </c>
      <c r="G206">
        <f>IF($C$2="x",IFERROR(SMALL($A$11:$A$14,196),0),IF($C$3="x",IFERROR(SMALL($A$11:$A$18,196),0),IF($C$4="x",IFERROR(SMALL($A$11:$A$26,196),0),IF($C$5="x",IFERROR(SMALL($A$11:$A$42,196),0),IF($C$6="x",IFERROR(SMALL($A$11:$A$74,196),0),IF($C$7="x",IFERROR(SMALL($A$11:$A$138,196),0),IFERROR(SMALL($A$11:$A$266,196),0)))))))</f>
        <v>1.0103059999999999</v>
      </c>
      <c r="H206">
        <f t="shared" si="39"/>
        <v>196</v>
      </c>
      <c r="I206" t="str">
        <f t="shared" si="40"/>
        <v xml:space="preserve"> </v>
      </c>
      <c r="J206" s="34"/>
      <c r="K206" s="35" t="s">
        <v>38</v>
      </c>
      <c r="L206" s="36"/>
      <c r="M206" s="34"/>
      <c r="N206" s="35" t="s">
        <v>38</v>
      </c>
      <c r="O206" s="36"/>
      <c r="P206" s="34"/>
      <c r="Q206" s="35" t="s">
        <v>38</v>
      </c>
      <c r="R206" s="36"/>
      <c r="S206" s="37">
        <f t="shared" si="41"/>
        <v>196</v>
      </c>
      <c r="U206" s="38"/>
      <c r="V206" s="39" t="s">
        <v>234</v>
      </c>
      <c r="W206" s="40" t="str">
        <f>IF('Infos générales'!$E$2="x",IF(U206&gt;0,VLOOKUP(U206,'Infos joueurs'!$A:$M,4,FALSE)&amp;" / "&amp;VLOOKUP(U206,'Infos joueurs'!$A:$M,9,FALSE)," "),IF(U206&gt;0,VLOOKUP(U206,'Infos joueurs'!$A:$M,4,FALSE)&amp;" "&amp;VLOOKUP(U206,'Infos joueurs'!$A:$M,5,FALSE)," "))</f>
        <v xml:space="preserve"> </v>
      </c>
      <c r="Y206" s="33">
        <v>196</v>
      </c>
      <c r="Z206" s="256" t="str">
        <f t="shared" si="42"/>
        <v xml:space="preserve"> </v>
      </c>
      <c r="AA206" s="41" t="str">
        <f>IFERROR(INDEX('Infos joueurs'!$F$15:$F$270,MATCH(AB206,'Infos joueurs'!$A$15:$A$270,0))," ")</f>
        <v xml:space="preserve"> </v>
      </c>
      <c r="AB206" s="38">
        <f t="shared" si="43"/>
        <v>0</v>
      </c>
    </row>
    <row r="207" spans="1:28" x14ac:dyDescent="0.25">
      <c r="A207">
        <f t="shared" si="33"/>
        <v>1.0103070000000001</v>
      </c>
      <c r="B207">
        <f t="shared" si="34"/>
        <v>197</v>
      </c>
      <c r="C207" t="str">
        <f t="shared" si="35"/>
        <v xml:space="preserve"> </v>
      </c>
      <c r="D207">
        <f t="shared" si="36"/>
        <v>0</v>
      </c>
      <c r="E207">
        <f t="shared" si="37"/>
        <v>0</v>
      </c>
      <c r="F207">
        <f t="shared" si="38"/>
        <v>0</v>
      </c>
      <c r="G207">
        <f>IF($C$2="x",IFERROR(SMALL($A$11:$A$14,197),0),IF($C$3="x",IFERROR(SMALL($A$11:$A$18,197),0),IF($C$4="x",IFERROR(SMALL($A$11:$A$26,197),0),IF($C$5="x",IFERROR(SMALL($A$11:$A$42,197),0),IF($C$6="x",IFERROR(SMALL($A$11:$A$74,197),0),IF($C$7="x",IFERROR(SMALL($A$11:$A$138,197),0),IFERROR(SMALL($A$11:$A$266,197),0)))))))</f>
        <v>1.0103070000000001</v>
      </c>
      <c r="H207">
        <f t="shared" si="39"/>
        <v>197</v>
      </c>
      <c r="I207" t="str">
        <f t="shared" si="40"/>
        <v xml:space="preserve"> </v>
      </c>
      <c r="J207" s="34"/>
      <c r="K207" s="35" t="s">
        <v>38</v>
      </c>
      <c r="L207" s="36"/>
      <c r="M207" s="34"/>
      <c r="N207" s="35" t="s">
        <v>38</v>
      </c>
      <c r="O207" s="36"/>
      <c r="P207" s="34"/>
      <c r="Q207" s="35" t="s">
        <v>38</v>
      </c>
      <c r="R207" s="36"/>
      <c r="S207" s="37">
        <f t="shared" si="41"/>
        <v>197</v>
      </c>
      <c r="U207" s="38"/>
      <c r="V207" s="39" t="s">
        <v>235</v>
      </c>
      <c r="W207" s="40" t="str">
        <f>IF('Infos générales'!$E$2="x",IF(U207&gt;0,VLOOKUP(U207,'Infos joueurs'!$A:$M,4,FALSE)&amp;" / "&amp;VLOOKUP(U207,'Infos joueurs'!$A:$M,9,FALSE)," "),IF(U207&gt;0,VLOOKUP(U207,'Infos joueurs'!$A:$M,4,FALSE)&amp;" "&amp;VLOOKUP(U207,'Infos joueurs'!$A:$M,5,FALSE)," "))</f>
        <v xml:space="preserve"> </v>
      </c>
      <c r="Y207" s="33">
        <v>197</v>
      </c>
      <c r="Z207" s="256" t="str">
        <f t="shared" si="42"/>
        <v xml:space="preserve"> </v>
      </c>
      <c r="AA207" s="41" t="str">
        <f>IFERROR(INDEX('Infos joueurs'!$F$15:$F$270,MATCH(AB207,'Infos joueurs'!$A$15:$A$270,0))," ")</f>
        <v xml:space="preserve"> </v>
      </c>
      <c r="AB207" s="38">
        <f t="shared" si="43"/>
        <v>0</v>
      </c>
    </row>
    <row r="208" spans="1:28" x14ac:dyDescent="0.25">
      <c r="A208">
        <f t="shared" si="33"/>
        <v>1.010308</v>
      </c>
      <c r="B208">
        <f t="shared" si="34"/>
        <v>198</v>
      </c>
      <c r="C208" t="str">
        <f t="shared" si="35"/>
        <v xml:space="preserve"> </v>
      </c>
      <c r="D208">
        <f t="shared" si="36"/>
        <v>0</v>
      </c>
      <c r="E208">
        <f t="shared" si="37"/>
        <v>0</v>
      </c>
      <c r="F208">
        <f t="shared" si="38"/>
        <v>0</v>
      </c>
      <c r="G208">
        <f>IF($C$2="x",IFERROR(SMALL($A$11:$A$14,198),0),IF($C$3="x",IFERROR(SMALL($A$11:$A$18,198),0),IF($C$4="x",IFERROR(SMALL($A$11:$A$26,198),0),IF($C$5="x",IFERROR(SMALL($A$11:$A$42,198),0),IF($C$6="x",IFERROR(SMALL($A$11:$A$74,198),0),IF($C$7="x",IFERROR(SMALL($A$11:$A$138,198),0),IFERROR(SMALL($A$11:$A$266,198),0)))))))</f>
        <v>1.010308</v>
      </c>
      <c r="H208">
        <f t="shared" si="39"/>
        <v>198</v>
      </c>
      <c r="I208" t="str">
        <f t="shared" si="40"/>
        <v xml:space="preserve"> </v>
      </c>
      <c r="J208" s="34"/>
      <c r="K208" s="35" t="s">
        <v>38</v>
      </c>
      <c r="L208" s="36"/>
      <c r="M208" s="34"/>
      <c r="N208" s="35" t="s">
        <v>38</v>
      </c>
      <c r="O208" s="36"/>
      <c r="P208" s="34"/>
      <c r="Q208" s="35" t="s">
        <v>38</v>
      </c>
      <c r="R208" s="36"/>
      <c r="S208" s="37">
        <f t="shared" si="41"/>
        <v>198</v>
      </c>
      <c r="U208" s="38"/>
      <c r="V208" s="39" t="s">
        <v>236</v>
      </c>
      <c r="W208" s="40" t="str">
        <f>IF('Infos générales'!$E$2="x",IF(U208&gt;0,VLOOKUP(U208,'Infos joueurs'!$A:$M,4,FALSE)&amp;" / "&amp;VLOOKUP(U208,'Infos joueurs'!$A:$M,9,FALSE)," "),IF(U208&gt;0,VLOOKUP(U208,'Infos joueurs'!$A:$M,4,FALSE)&amp;" "&amp;VLOOKUP(U208,'Infos joueurs'!$A:$M,5,FALSE)," "))</f>
        <v xml:space="preserve"> </v>
      </c>
      <c r="Y208" s="33">
        <v>198</v>
      </c>
      <c r="Z208" s="256" t="str">
        <f t="shared" si="42"/>
        <v xml:space="preserve"> </v>
      </c>
      <c r="AA208" s="41" t="str">
        <f>IFERROR(INDEX('Infos joueurs'!$F$15:$F$270,MATCH(AB208,'Infos joueurs'!$A$15:$A$270,0))," ")</f>
        <v xml:space="preserve"> </v>
      </c>
      <c r="AB208" s="38">
        <f t="shared" si="43"/>
        <v>0</v>
      </c>
    </row>
    <row r="209" spans="1:28" x14ac:dyDescent="0.25">
      <c r="A209">
        <f t="shared" si="33"/>
        <v>1.0103089999999999</v>
      </c>
      <c r="B209">
        <f t="shared" si="34"/>
        <v>199</v>
      </c>
      <c r="C209" t="str">
        <f t="shared" si="35"/>
        <v xml:space="preserve"> </v>
      </c>
      <c r="D209">
        <f t="shared" si="36"/>
        <v>0</v>
      </c>
      <c r="E209">
        <f t="shared" si="37"/>
        <v>0</v>
      </c>
      <c r="F209">
        <f t="shared" si="38"/>
        <v>0</v>
      </c>
      <c r="G209">
        <f>IF($C$2="x",IFERROR(SMALL($A$11:$A$14,199),0),IF($C$3="x",IFERROR(SMALL($A$11:$A$18,199),0),IF($C$4="x",IFERROR(SMALL($A$11:$A$26,199),0),IF($C$5="x",IFERROR(SMALL($A$11:$A$42,199),0),IF($C$6="x",IFERROR(SMALL($A$11:$A$74,199),0),IF($C$7="x",IFERROR(SMALL($A$11:$A$138,199),0),IFERROR(SMALL($A$11:$A$266,199),0)))))))</f>
        <v>1.0103089999999999</v>
      </c>
      <c r="H209">
        <f t="shared" si="39"/>
        <v>199</v>
      </c>
      <c r="I209" t="str">
        <f t="shared" si="40"/>
        <v xml:space="preserve"> </v>
      </c>
      <c r="J209" s="34"/>
      <c r="K209" s="35" t="s">
        <v>38</v>
      </c>
      <c r="L209" s="36"/>
      <c r="M209" s="34"/>
      <c r="N209" s="35" t="s">
        <v>38</v>
      </c>
      <c r="O209" s="36"/>
      <c r="P209" s="34"/>
      <c r="Q209" s="35" t="s">
        <v>38</v>
      </c>
      <c r="R209" s="36"/>
      <c r="S209" s="37">
        <f t="shared" si="41"/>
        <v>199</v>
      </c>
      <c r="U209" s="38"/>
      <c r="V209" s="39" t="s">
        <v>237</v>
      </c>
      <c r="W209" s="40" t="str">
        <f>IF('Infos générales'!$E$2="x",IF(U209&gt;0,VLOOKUP(U209,'Infos joueurs'!$A:$M,4,FALSE)&amp;" / "&amp;VLOOKUP(U209,'Infos joueurs'!$A:$M,9,FALSE)," "),IF(U209&gt;0,VLOOKUP(U209,'Infos joueurs'!$A:$M,4,FALSE)&amp;" "&amp;VLOOKUP(U209,'Infos joueurs'!$A:$M,5,FALSE)," "))</f>
        <v xml:space="preserve"> </v>
      </c>
      <c r="Y209" s="33">
        <v>199</v>
      </c>
      <c r="Z209" s="256" t="str">
        <f t="shared" si="42"/>
        <v xml:space="preserve"> </v>
      </c>
      <c r="AA209" s="41" t="str">
        <f>IFERROR(INDEX('Infos joueurs'!$F$15:$F$270,MATCH(AB209,'Infos joueurs'!$A$15:$A$270,0))," ")</f>
        <v xml:space="preserve"> </v>
      </c>
      <c r="AB209" s="38">
        <f t="shared" si="43"/>
        <v>0</v>
      </c>
    </row>
    <row r="210" spans="1:28" x14ac:dyDescent="0.25">
      <c r="A210">
        <f t="shared" si="33"/>
        <v>1.01031</v>
      </c>
      <c r="B210">
        <f t="shared" si="34"/>
        <v>200</v>
      </c>
      <c r="C210" t="str">
        <f t="shared" si="35"/>
        <v xml:space="preserve"> </v>
      </c>
      <c r="D210">
        <f t="shared" si="36"/>
        <v>0</v>
      </c>
      <c r="E210">
        <f t="shared" si="37"/>
        <v>0</v>
      </c>
      <c r="F210">
        <f t="shared" si="38"/>
        <v>0</v>
      </c>
      <c r="G210">
        <f>IF($C$2="x",IFERROR(SMALL($A$11:$A$14,200),0),IF($C$3="x",IFERROR(SMALL($A$11:$A$18,200),0),IF($C$4="x",IFERROR(SMALL($A$11:$A$26,200),0),IF($C$5="x",IFERROR(SMALL($A$11:$A$42,200),0),IF($C$6="x",IFERROR(SMALL($A$11:$A$74,200),0),IF($C$7="x",IFERROR(SMALL($A$11:$A$138,200),0),IFERROR(SMALL($A$11:$A$266,200),0)))))))</f>
        <v>1.01031</v>
      </c>
      <c r="H210">
        <f t="shared" si="39"/>
        <v>200</v>
      </c>
      <c r="I210" t="str">
        <f t="shared" si="40"/>
        <v xml:space="preserve"> </v>
      </c>
      <c r="J210" s="34"/>
      <c r="K210" s="35" t="s">
        <v>38</v>
      </c>
      <c r="L210" s="36"/>
      <c r="M210" s="34"/>
      <c r="N210" s="35" t="s">
        <v>38</v>
      </c>
      <c r="O210" s="36"/>
      <c r="P210" s="34"/>
      <c r="Q210" s="35" t="s">
        <v>38</v>
      </c>
      <c r="R210" s="36"/>
      <c r="S210" s="37">
        <f t="shared" si="41"/>
        <v>200</v>
      </c>
      <c r="U210" s="38"/>
      <c r="V210" s="39" t="s">
        <v>238</v>
      </c>
      <c r="W210" s="40" t="str">
        <f>IF('Infos générales'!$E$2="x",IF(U210&gt;0,VLOOKUP(U210,'Infos joueurs'!$A:$M,4,FALSE)&amp;" / "&amp;VLOOKUP(U210,'Infos joueurs'!$A:$M,9,FALSE)," "),IF(U210&gt;0,VLOOKUP(U210,'Infos joueurs'!$A:$M,4,FALSE)&amp;" "&amp;VLOOKUP(U210,'Infos joueurs'!$A:$M,5,FALSE)," "))</f>
        <v xml:space="preserve"> </v>
      </c>
      <c r="Y210" s="33">
        <v>200</v>
      </c>
      <c r="Z210" s="256" t="str">
        <f t="shared" si="42"/>
        <v xml:space="preserve"> </v>
      </c>
      <c r="AA210" s="41" t="str">
        <f>IFERROR(INDEX('Infos joueurs'!$F$15:$F$270,MATCH(AB210,'Infos joueurs'!$A$15:$A$270,0))," ")</f>
        <v xml:space="preserve"> </v>
      </c>
      <c r="AB210" s="38">
        <f t="shared" si="43"/>
        <v>0</v>
      </c>
    </row>
    <row r="211" spans="1:28" x14ac:dyDescent="0.25">
      <c r="A211">
        <f t="shared" si="33"/>
        <v>1.010311</v>
      </c>
      <c r="B211">
        <f t="shared" si="34"/>
        <v>201</v>
      </c>
      <c r="C211" t="str">
        <f t="shared" si="35"/>
        <v xml:space="preserve"> </v>
      </c>
      <c r="D211">
        <f t="shared" si="36"/>
        <v>0</v>
      </c>
      <c r="E211">
        <f t="shared" si="37"/>
        <v>0</v>
      </c>
      <c r="F211">
        <f t="shared" si="38"/>
        <v>0</v>
      </c>
      <c r="G211">
        <f>IF($C$2="x",IFERROR(SMALL($A$11:$A$14,201),0),IF($C$3="x",IFERROR(SMALL($A$11:$A$18,201),0),IF($C$4="x",IFERROR(SMALL($A$11:$A$26,201),0),IF($C$5="x",IFERROR(SMALL($A$11:$A$42,201),0),IF($C$6="x",IFERROR(SMALL($A$11:$A$74,201),0),IF($C$7="x",IFERROR(SMALL($A$11:$A$138,201),0),IFERROR(SMALL($A$11:$A$266,201),0)))))))</f>
        <v>1.010311</v>
      </c>
      <c r="H211">
        <f t="shared" si="39"/>
        <v>201</v>
      </c>
      <c r="I211" t="str">
        <f t="shared" si="40"/>
        <v xml:space="preserve"> </v>
      </c>
      <c r="J211" s="34"/>
      <c r="K211" s="35" t="s">
        <v>38</v>
      </c>
      <c r="L211" s="36"/>
      <c r="M211" s="34"/>
      <c r="N211" s="35" t="s">
        <v>38</v>
      </c>
      <c r="O211" s="36"/>
      <c r="P211" s="34"/>
      <c r="Q211" s="35" t="s">
        <v>38</v>
      </c>
      <c r="R211" s="36"/>
      <c r="S211" s="37">
        <f t="shared" si="41"/>
        <v>201</v>
      </c>
      <c r="U211" s="38"/>
      <c r="V211" s="39" t="s">
        <v>239</v>
      </c>
      <c r="W211" s="40" t="str">
        <f>IF('Infos générales'!$E$2="x",IF(U211&gt;0,VLOOKUP(U211,'Infos joueurs'!$A:$M,4,FALSE)&amp;" / "&amp;VLOOKUP(U211,'Infos joueurs'!$A:$M,9,FALSE)," "),IF(U211&gt;0,VLOOKUP(U211,'Infos joueurs'!$A:$M,4,FALSE)&amp;" "&amp;VLOOKUP(U211,'Infos joueurs'!$A:$M,5,FALSE)," "))</f>
        <v xml:space="preserve"> </v>
      </c>
      <c r="Y211" s="33">
        <v>201</v>
      </c>
      <c r="Z211" s="256" t="str">
        <f t="shared" si="42"/>
        <v xml:space="preserve"> </v>
      </c>
      <c r="AA211" s="41" t="str">
        <f>IFERROR(INDEX('Infos joueurs'!$F$15:$F$270,MATCH(AB211,'Infos joueurs'!$A$15:$A$270,0))," ")</f>
        <v xml:space="preserve"> </v>
      </c>
      <c r="AB211" s="38">
        <f t="shared" si="43"/>
        <v>0</v>
      </c>
    </row>
    <row r="212" spans="1:28" x14ac:dyDescent="0.25">
      <c r="A212">
        <f t="shared" si="33"/>
        <v>1.0103120000000001</v>
      </c>
      <c r="B212">
        <f t="shared" si="34"/>
        <v>202</v>
      </c>
      <c r="C212" t="str">
        <f t="shared" si="35"/>
        <v xml:space="preserve"> </v>
      </c>
      <c r="D212">
        <f t="shared" si="36"/>
        <v>0</v>
      </c>
      <c r="E212">
        <f t="shared" si="37"/>
        <v>0</v>
      </c>
      <c r="F212">
        <f t="shared" si="38"/>
        <v>0</v>
      </c>
      <c r="G212">
        <f>IF($C$2="x",IFERROR(SMALL($A$11:$A$14,202),0),IF($C$3="x",IFERROR(SMALL($A$11:$A$18,202),0),IF($C$4="x",IFERROR(SMALL($A$11:$A$26,202),0),IF($C$5="x",IFERROR(SMALL($A$11:$A$42,202),0),IF($C$6="x",IFERROR(SMALL($A$11:$A$74,202),0),IF($C$7="x",IFERROR(SMALL($A$11:$A$138,202),0),IFERROR(SMALL($A$11:$A$266,202),0)))))))</f>
        <v>1.0103120000000001</v>
      </c>
      <c r="H212">
        <f t="shared" si="39"/>
        <v>202</v>
      </c>
      <c r="I212" t="str">
        <f t="shared" si="40"/>
        <v xml:space="preserve"> </v>
      </c>
      <c r="J212" s="34"/>
      <c r="K212" s="35" t="s">
        <v>38</v>
      </c>
      <c r="L212" s="36"/>
      <c r="M212" s="34"/>
      <c r="N212" s="35" t="s">
        <v>38</v>
      </c>
      <c r="O212" s="36"/>
      <c r="P212" s="34"/>
      <c r="Q212" s="35" t="s">
        <v>38</v>
      </c>
      <c r="R212" s="36"/>
      <c r="S212" s="37">
        <f t="shared" si="41"/>
        <v>202</v>
      </c>
      <c r="U212" s="38"/>
      <c r="V212" s="39" t="s">
        <v>240</v>
      </c>
      <c r="W212" s="40" t="str">
        <f>IF('Infos générales'!$E$2="x",IF(U212&gt;0,VLOOKUP(U212,'Infos joueurs'!$A:$M,4,FALSE)&amp;" / "&amp;VLOOKUP(U212,'Infos joueurs'!$A:$M,9,FALSE)," "),IF(U212&gt;0,VLOOKUP(U212,'Infos joueurs'!$A:$M,4,FALSE)&amp;" "&amp;VLOOKUP(U212,'Infos joueurs'!$A:$M,5,FALSE)," "))</f>
        <v xml:space="preserve"> </v>
      </c>
      <c r="Y212" s="33">
        <v>202</v>
      </c>
      <c r="Z212" s="256" t="str">
        <f t="shared" si="42"/>
        <v xml:space="preserve"> </v>
      </c>
      <c r="AA212" s="41" t="str">
        <f>IFERROR(INDEX('Infos joueurs'!$F$15:$F$270,MATCH(AB212,'Infos joueurs'!$A$15:$A$270,0))," ")</f>
        <v xml:space="preserve"> </v>
      </c>
      <c r="AB212" s="38">
        <f t="shared" si="43"/>
        <v>0</v>
      </c>
    </row>
    <row r="213" spans="1:28" x14ac:dyDescent="0.25">
      <c r="A213">
        <f t="shared" si="33"/>
        <v>1.010313</v>
      </c>
      <c r="B213">
        <f t="shared" si="34"/>
        <v>203</v>
      </c>
      <c r="C213" t="str">
        <f t="shared" si="35"/>
        <v xml:space="preserve"> </v>
      </c>
      <c r="D213">
        <f t="shared" si="36"/>
        <v>0</v>
      </c>
      <c r="E213">
        <f t="shared" si="37"/>
        <v>0</v>
      </c>
      <c r="F213">
        <f t="shared" si="38"/>
        <v>0</v>
      </c>
      <c r="G213">
        <f>IF($C$2="x",IFERROR(SMALL($A$11:$A$14,203),0),IF($C$3="x",IFERROR(SMALL($A$11:$A$18,203),0),IF($C$4="x",IFERROR(SMALL($A$11:$A$26,203),0),IF($C$5="x",IFERROR(SMALL($A$11:$A$42,203),0),IF($C$6="x",IFERROR(SMALL($A$11:$A$74,203),0),IF($C$7="x",IFERROR(SMALL($A$11:$A$138,203),0),IFERROR(SMALL($A$11:$A$266,203),0)))))))</f>
        <v>1.010313</v>
      </c>
      <c r="H213">
        <f t="shared" si="39"/>
        <v>203</v>
      </c>
      <c r="I213" t="str">
        <f t="shared" si="40"/>
        <v xml:space="preserve"> </v>
      </c>
      <c r="J213" s="34"/>
      <c r="K213" s="35" t="s">
        <v>38</v>
      </c>
      <c r="L213" s="36"/>
      <c r="M213" s="34"/>
      <c r="N213" s="35" t="s">
        <v>38</v>
      </c>
      <c r="O213" s="36"/>
      <c r="P213" s="34"/>
      <c r="Q213" s="35" t="s">
        <v>38</v>
      </c>
      <c r="R213" s="36"/>
      <c r="S213" s="37">
        <f t="shared" si="41"/>
        <v>203</v>
      </c>
      <c r="U213" s="38"/>
      <c r="V213" s="39" t="s">
        <v>241</v>
      </c>
      <c r="W213" s="40" t="str">
        <f>IF('Infos générales'!$E$2="x",IF(U213&gt;0,VLOOKUP(U213,'Infos joueurs'!$A:$M,4,FALSE)&amp;" / "&amp;VLOOKUP(U213,'Infos joueurs'!$A:$M,9,FALSE)," "),IF(U213&gt;0,VLOOKUP(U213,'Infos joueurs'!$A:$M,4,FALSE)&amp;" "&amp;VLOOKUP(U213,'Infos joueurs'!$A:$M,5,FALSE)," "))</f>
        <v xml:space="preserve"> </v>
      </c>
      <c r="Y213" s="33">
        <v>203</v>
      </c>
      <c r="Z213" s="256" t="str">
        <f t="shared" si="42"/>
        <v xml:space="preserve"> </v>
      </c>
      <c r="AA213" s="41" t="str">
        <f>IFERROR(INDEX('Infos joueurs'!$F$15:$F$270,MATCH(AB213,'Infos joueurs'!$A$15:$A$270,0))," ")</f>
        <v xml:space="preserve"> </v>
      </c>
      <c r="AB213" s="38">
        <f t="shared" si="43"/>
        <v>0</v>
      </c>
    </row>
    <row r="214" spans="1:28" x14ac:dyDescent="0.25">
      <c r="A214">
        <f t="shared" si="33"/>
        <v>1.0103139999999999</v>
      </c>
      <c r="B214">
        <f t="shared" si="34"/>
        <v>204</v>
      </c>
      <c r="C214" t="str">
        <f t="shared" si="35"/>
        <v xml:space="preserve"> </v>
      </c>
      <c r="D214">
        <f t="shared" si="36"/>
        <v>0</v>
      </c>
      <c r="E214">
        <f t="shared" si="37"/>
        <v>0</v>
      </c>
      <c r="F214">
        <f t="shared" si="38"/>
        <v>0</v>
      </c>
      <c r="G214">
        <f>IF($C$2="x",IFERROR(SMALL($A$11:$A$14,204),0),IF($C$3="x",IFERROR(SMALL($A$11:$A$18,204),0),IF($C$4="x",IFERROR(SMALL($A$11:$A$26,204),0),IF($C$5="x",IFERROR(SMALL($A$11:$A$42,204),0),IF($C$6="x",IFERROR(SMALL($A$11:$A$74,204),0),IF($C$7="x",IFERROR(SMALL($A$11:$A$138,204),0),IFERROR(SMALL($A$11:$A$266,204),0)))))))</f>
        <v>1.0103139999999999</v>
      </c>
      <c r="H214">
        <f t="shared" si="39"/>
        <v>204</v>
      </c>
      <c r="I214" t="str">
        <f t="shared" si="40"/>
        <v xml:space="preserve"> </v>
      </c>
      <c r="J214" s="34"/>
      <c r="K214" s="35" t="s">
        <v>38</v>
      </c>
      <c r="L214" s="36"/>
      <c r="M214" s="34"/>
      <c r="N214" s="35" t="s">
        <v>38</v>
      </c>
      <c r="O214" s="36"/>
      <c r="P214" s="34"/>
      <c r="Q214" s="35" t="s">
        <v>38</v>
      </c>
      <c r="R214" s="36"/>
      <c r="S214" s="37">
        <f t="shared" si="41"/>
        <v>204</v>
      </c>
      <c r="U214" s="38"/>
      <c r="V214" s="39" t="s">
        <v>242</v>
      </c>
      <c r="W214" s="40" t="str">
        <f>IF('Infos générales'!$E$2="x",IF(U214&gt;0,VLOOKUP(U214,'Infos joueurs'!$A:$M,4,FALSE)&amp;" / "&amp;VLOOKUP(U214,'Infos joueurs'!$A:$M,9,FALSE)," "),IF(U214&gt;0,VLOOKUP(U214,'Infos joueurs'!$A:$M,4,FALSE)&amp;" "&amp;VLOOKUP(U214,'Infos joueurs'!$A:$M,5,FALSE)," "))</f>
        <v xml:space="preserve"> </v>
      </c>
      <c r="Y214" s="33">
        <v>204</v>
      </c>
      <c r="Z214" s="256" t="str">
        <f t="shared" si="42"/>
        <v xml:space="preserve"> </v>
      </c>
      <c r="AA214" s="41" t="str">
        <f>IFERROR(INDEX('Infos joueurs'!$F$15:$F$270,MATCH(AB214,'Infos joueurs'!$A$15:$A$270,0))," ")</f>
        <v xml:space="preserve"> </v>
      </c>
      <c r="AB214" s="38">
        <f t="shared" si="43"/>
        <v>0</v>
      </c>
    </row>
    <row r="215" spans="1:28" x14ac:dyDescent="0.25">
      <c r="A215">
        <f t="shared" si="33"/>
        <v>1.0103150000000001</v>
      </c>
      <c r="B215">
        <f t="shared" si="34"/>
        <v>205</v>
      </c>
      <c r="C215" t="str">
        <f t="shared" si="35"/>
        <v xml:space="preserve"> </v>
      </c>
      <c r="D215">
        <f t="shared" si="36"/>
        <v>0</v>
      </c>
      <c r="E215">
        <f t="shared" si="37"/>
        <v>0</v>
      </c>
      <c r="F215">
        <f t="shared" si="38"/>
        <v>0</v>
      </c>
      <c r="G215">
        <f>IF($C$2="x",IFERROR(SMALL($A$11:$A$14,205),0),IF($C$3="x",IFERROR(SMALL($A$11:$A$18,205),0),IF($C$4="x",IFERROR(SMALL($A$11:$A$26,205),0),IF($C$5="x",IFERROR(SMALL($A$11:$A$42,205),0),IF($C$6="x",IFERROR(SMALL($A$11:$A$74,205),0),IF($C$7="x",IFERROR(SMALL($A$11:$A$138,205),0),IFERROR(SMALL($A$11:$A$266,205),0)))))))</f>
        <v>1.0103150000000001</v>
      </c>
      <c r="H215">
        <f t="shared" si="39"/>
        <v>205</v>
      </c>
      <c r="I215" t="str">
        <f t="shared" si="40"/>
        <v xml:space="preserve"> </v>
      </c>
      <c r="J215" s="34"/>
      <c r="K215" s="35" t="s">
        <v>38</v>
      </c>
      <c r="L215" s="36"/>
      <c r="M215" s="34"/>
      <c r="N215" s="35" t="s">
        <v>38</v>
      </c>
      <c r="O215" s="36"/>
      <c r="P215" s="34"/>
      <c r="Q215" s="35" t="s">
        <v>38</v>
      </c>
      <c r="R215" s="36"/>
      <c r="S215" s="37">
        <f t="shared" si="41"/>
        <v>205</v>
      </c>
      <c r="U215" s="38"/>
      <c r="V215" s="39" t="s">
        <v>243</v>
      </c>
      <c r="W215" s="40" t="str">
        <f>IF('Infos générales'!$E$2="x",IF(U215&gt;0,VLOOKUP(U215,'Infos joueurs'!$A:$M,4,FALSE)&amp;" / "&amp;VLOOKUP(U215,'Infos joueurs'!$A:$M,9,FALSE)," "),IF(U215&gt;0,VLOOKUP(U215,'Infos joueurs'!$A:$M,4,FALSE)&amp;" "&amp;VLOOKUP(U215,'Infos joueurs'!$A:$M,5,FALSE)," "))</f>
        <v xml:space="preserve"> </v>
      </c>
      <c r="Y215" s="33">
        <v>205</v>
      </c>
      <c r="Z215" s="256" t="str">
        <f t="shared" si="42"/>
        <v xml:space="preserve"> </v>
      </c>
      <c r="AA215" s="41" t="str">
        <f>IFERROR(INDEX('Infos joueurs'!$F$15:$F$270,MATCH(AB215,'Infos joueurs'!$A$15:$A$270,0))," ")</f>
        <v xml:space="preserve"> </v>
      </c>
      <c r="AB215" s="38">
        <f t="shared" si="43"/>
        <v>0</v>
      </c>
    </row>
    <row r="216" spans="1:28" x14ac:dyDescent="0.25">
      <c r="A216">
        <f t="shared" si="33"/>
        <v>1.010316</v>
      </c>
      <c r="B216">
        <f t="shared" si="34"/>
        <v>206</v>
      </c>
      <c r="C216" t="str">
        <f t="shared" si="35"/>
        <v xml:space="preserve"> </v>
      </c>
      <c r="D216">
        <f t="shared" si="36"/>
        <v>0</v>
      </c>
      <c r="E216">
        <f t="shared" si="37"/>
        <v>0</v>
      </c>
      <c r="F216">
        <f t="shared" si="38"/>
        <v>0</v>
      </c>
      <c r="G216">
        <f>IF($C$2="x",IFERROR(SMALL($A$11:$A$14,206),0),IF($C$3="x",IFERROR(SMALL($A$11:$A$18,206),0),IF($C$4="x",IFERROR(SMALL($A$11:$A$26,206),0),IF($C$5="x",IFERROR(SMALL($A$11:$A$42,206),0),IF($C$6="x",IFERROR(SMALL($A$11:$A$74,206),0),IF($C$7="x",IFERROR(SMALL($A$11:$A$138,206),0),IFERROR(SMALL($A$11:$A$266,206),0)))))))</f>
        <v>1.010316</v>
      </c>
      <c r="H216">
        <f t="shared" si="39"/>
        <v>206</v>
      </c>
      <c r="I216" t="str">
        <f t="shared" si="40"/>
        <v xml:space="preserve"> </v>
      </c>
      <c r="J216" s="34"/>
      <c r="K216" s="35" t="s">
        <v>38</v>
      </c>
      <c r="L216" s="36"/>
      <c r="M216" s="34"/>
      <c r="N216" s="35" t="s">
        <v>38</v>
      </c>
      <c r="O216" s="36"/>
      <c r="P216" s="34"/>
      <c r="Q216" s="35" t="s">
        <v>38</v>
      </c>
      <c r="R216" s="36"/>
      <c r="S216" s="37">
        <f t="shared" si="41"/>
        <v>206</v>
      </c>
      <c r="U216" s="38"/>
      <c r="V216" s="39" t="s">
        <v>244</v>
      </c>
      <c r="W216" s="40" t="str">
        <f>IF('Infos générales'!$E$2="x",IF(U216&gt;0,VLOOKUP(U216,'Infos joueurs'!$A:$M,4,FALSE)&amp;" / "&amp;VLOOKUP(U216,'Infos joueurs'!$A:$M,9,FALSE)," "),IF(U216&gt;0,VLOOKUP(U216,'Infos joueurs'!$A:$M,4,FALSE)&amp;" "&amp;VLOOKUP(U216,'Infos joueurs'!$A:$M,5,FALSE)," "))</f>
        <v xml:space="preserve"> </v>
      </c>
      <c r="Y216" s="33">
        <v>206</v>
      </c>
      <c r="Z216" s="256" t="str">
        <f t="shared" si="42"/>
        <v xml:space="preserve"> </v>
      </c>
      <c r="AA216" s="41" t="str">
        <f>IFERROR(INDEX('Infos joueurs'!$F$15:$F$270,MATCH(AB216,'Infos joueurs'!$A$15:$A$270,0))," ")</f>
        <v xml:space="preserve"> </v>
      </c>
      <c r="AB216" s="38">
        <f t="shared" si="43"/>
        <v>0</v>
      </c>
    </row>
    <row r="217" spans="1:28" x14ac:dyDescent="0.25">
      <c r="A217">
        <f t="shared" si="33"/>
        <v>1.0103169999999999</v>
      </c>
      <c r="B217">
        <f t="shared" si="34"/>
        <v>207</v>
      </c>
      <c r="C217" t="str">
        <f t="shared" si="35"/>
        <v xml:space="preserve"> </v>
      </c>
      <c r="D217">
        <f t="shared" si="36"/>
        <v>0</v>
      </c>
      <c r="E217">
        <f t="shared" si="37"/>
        <v>0</v>
      </c>
      <c r="F217">
        <f t="shared" si="38"/>
        <v>0</v>
      </c>
      <c r="G217">
        <f>IF($C$2="x",IFERROR(SMALL($A$11:$A$14,207),0),IF($C$3="x",IFERROR(SMALL($A$11:$A$18,207),0),IF($C$4="x",IFERROR(SMALL($A$11:$A$26,207),0),IF($C$5="x",IFERROR(SMALL($A$11:$A$42,207),0),IF($C$6="x",IFERROR(SMALL($A$11:$A$74,207),0),IF($C$7="x",IFERROR(SMALL($A$11:$A$138,207),0),IFERROR(SMALL($A$11:$A$266,207),0)))))))</f>
        <v>1.0103169999999999</v>
      </c>
      <c r="H217">
        <f t="shared" si="39"/>
        <v>207</v>
      </c>
      <c r="I217" t="str">
        <f t="shared" si="40"/>
        <v xml:space="preserve"> </v>
      </c>
      <c r="J217" s="34"/>
      <c r="K217" s="35" t="s">
        <v>38</v>
      </c>
      <c r="L217" s="36"/>
      <c r="M217" s="34"/>
      <c r="N217" s="35" t="s">
        <v>38</v>
      </c>
      <c r="O217" s="36"/>
      <c r="P217" s="34"/>
      <c r="Q217" s="35" t="s">
        <v>38</v>
      </c>
      <c r="R217" s="36"/>
      <c r="S217" s="37">
        <f t="shared" si="41"/>
        <v>207</v>
      </c>
      <c r="U217" s="38"/>
      <c r="V217" s="39" t="s">
        <v>245</v>
      </c>
      <c r="W217" s="40" t="str">
        <f>IF('Infos générales'!$E$2="x",IF(U217&gt;0,VLOOKUP(U217,'Infos joueurs'!$A:$M,4,FALSE)&amp;" / "&amp;VLOOKUP(U217,'Infos joueurs'!$A:$M,9,FALSE)," "),IF(U217&gt;0,VLOOKUP(U217,'Infos joueurs'!$A:$M,4,FALSE)&amp;" "&amp;VLOOKUP(U217,'Infos joueurs'!$A:$M,5,FALSE)," "))</f>
        <v xml:space="preserve"> </v>
      </c>
      <c r="Y217" s="33">
        <v>207</v>
      </c>
      <c r="Z217" s="256" t="str">
        <f t="shared" si="42"/>
        <v xml:space="preserve"> </v>
      </c>
      <c r="AA217" s="41" t="str">
        <f>IFERROR(INDEX('Infos joueurs'!$F$15:$F$270,MATCH(AB217,'Infos joueurs'!$A$15:$A$270,0))," ")</f>
        <v xml:space="preserve"> </v>
      </c>
      <c r="AB217" s="38">
        <f t="shared" si="43"/>
        <v>0</v>
      </c>
    </row>
    <row r="218" spans="1:28" x14ac:dyDescent="0.25">
      <c r="A218">
        <f t="shared" si="33"/>
        <v>1.010318</v>
      </c>
      <c r="B218">
        <f t="shared" si="34"/>
        <v>208</v>
      </c>
      <c r="C218" t="str">
        <f t="shared" si="35"/>
        <v xml:space="preserve"> </v>
      </c>
      <c r="D218">
        <f t="shared" si="36"/>
        <v>0</v>
      </c>
      <c r="E218">
        <f t="shared" si="37"/>
        <v>0</v>
      </c>
      <c r="F218">
        <f t="shared" si="38"/>
        <v>0</v>
      </c>
      <c r="G218">
        <f>IF($C$2="x",IFERROR(SMALL($A$11:$A$14,208),0),IF($C$3="x",IFERROR(SMALL($A$11:$A$18,208),0),IF($C$4="x",IFERROR(SMALL($A$11:$A$26,208),0),IF($C$5="x",IFERROR(SMALL($A$11:$A$42,208),0),IF($C$6="x",IFERROR(SMALL($A$11:$A$74,208),0),IF($C$7="x",IFERROR(SMALL($A$11:$A$138,208),0),IFERROR(SMALL($A$11:$A$266,208),0)))))))</f>
        <v>1.010318</v>
      </c>
      <c r="H218">
        <f t="shared" si="39"/>
        <v>208</v>
      </c>
      <c r="I218" t="str">
        <f t="shared" si="40"/>
        <v xml:space="preserve"> </v>
      </c>
      <c r="J218" s="34"/>
      <c r="K218" s="35" t="s">
        <v>38</v>
      </c>
      <c r="L218" s="36"/>
      <c r="M218" s="34"/>
      <c r="N218" s="35" t="s">
        <v>38</v>
      </c>
      <c r="O218" s="36"/>
      <c r="P218" s="34"/>
      <c r="Q218" s="35" t="s">
        <v>38</v>
      </c>
      <c r="R218" s="36"/>
      <c r="S218" s="37">
        <f t="shared" si="41"/>
        <v>208</v>
      </c>
      <c r="U218" s="38"/>
      <c r="V218" s="39" t="s">
        <v>246</v>
      </c>
      <c r="W218" s="40" t="str">
        <f>IF('Infos générales'!$E$2="x",IF(U218&gt;0,VLOOKUP(U218,'Infos joueurs'!$A:$M,4,FALSE)&amp;" / "&amp;VLOOKUP(U218,'Infos joueurs'!$A:$M,9,FALSE)," "),IF(U218&gt;0,VLOOKUP(U218,'Infos joueurs'!$A:$M,4,FALSE)&amp;" "&amp;VLOOKUP(U218,'Infos joueurs'!$A:$M,5,FALSE)," "))</f>
        <v xml:space="preserve"> </v>
      </c>
      <c r="Y218" s="33">
        <v>208</v>
      </c>
      <c r="Z218" s="256" t="str">
        <f t="shared" si="42"/>
        <v xml:space="preserve"> </v>
      </c>
      <c r="AA218" s="41" t="str">
        <f>IFERROR(INDEX('Infos joueurs'!$F$15:$F$270,MATCH(AB218,'Infos joueurs'!$A$15:$A$270,0))," ")</f>
        <v xml:space="preserve"> </v>
      </c>
      <c r="AB218" s="38">
        <f t="shared" si="43"/>
        <v>0</v>
      </c>
    </row>
    <row r="219" spans="1:28" x14ac:dyDescent="0.25">
      <c r="A219">
        <f t="shared" si="33"/>
        <v>1.010319</v>
      </c>
      <c r="B219">
        <f t="shared" si="34"/>
        <v>209</v>
      </c>
      <c r="C219" t="str">
        <f t="shared" si="35"/>
        <v xml:space="preserve"> </v>
      </c>
      <c r="D219">
        <f t="shared" si="36"/>
        <v>0</v>
      </c>
      <c r="E219">
        <f t="shared" si="37"/>
        <v>0</v>
      </c>
      <c r="F219">
        <f t="shared" si="38"/>
        <v>0</v>
      </c>
      <c r="G219">
        <f>IF($C$2="x",IFERROR(SMALL($A$11:$A$14,209),0),IF($C$3="x",IFERROR(SMALL($A$11:$A$18,209),0),IF($C$4="x",IFERROR(SMALL($A$11:$A$26,209),0),IF($C$5="x",IFERROR(SMALL($A$11:$A$42,209),0),IF($C$6="x",IFERROR(SMALL($A$11:$A$74,209),0),IF($C$7="x",IFERROR(SMALL($A$11:$A$138,209),0),IFERROR(SMALL($A$11:$A$266,209),0)))))))</f>
        <v>1.010319</v>
      </c>
      <c r="H219">
        <f t="shared" si="39"/>
        <v>209</v>
      </c>
      <c r="I219" t="str">
        <f t="shared" si="40"/>
        <v xml:space="preserve"> </v>
      </c>
      <c r="J219" s="34"/>
      <c r="K219" s="35" t="s">
        <v>38</v>
      </c>
      <c r="L219" s="36"/>
      <c r="M219" s="34"/>
      <c r="N219" s="35" t="s">
        <v>38</v>
      </c>
      <c r="O219" s="36"/>
      <c r="P219" s="34"/>
      <c r="Q219" s="35" t="s">
        <v>38</v>
      </c>
      <c r="R219" s="36"/>
      <c r="S219" s="37">
        <f t="shared" si="41"/>
        <v>209</v>
      </c>
      <c r="U219" s="38"/>
      <c r="V219" s="39" t="s">
        <v>247</v>
      </c>
      <c r="W219" s="40" t="str">
        <f>IF('Infos générales'!$E$2="x",IF(U219&gt;0,VLOOKUP(U219,'Infos joueurs'!$A:$M,4,FALSE)&amp;" / "&amp;VLOOKUP(U219,'Infos joueurs'!$A:$M,9,FALSE)," "),IF(U219&gt;0,VLOOKUP(U219,'Infos joueurs'!$A:$M,4,FALSE)&amp;" "&amp;VLOOKUP(U219,'Infos joueurs'!$A:$M,5,FALSE)," "))</f>
        <v xml:space="preserve"> </v>
      </c>
      <c r="Y219" s="33">
        <v>209</v>
      </c>
      <c r="Z219" s="256" t="str">
        <f t="shared" si="42"/>
        <v xml:space="preserve"> </v>
      </c>
      <c r="AA219" s="41" t="str">
        <f>IFERROR(INDEX('Infos joueurs'!$F$15:$F$270,MATCH(AB219,'Infos joueurs'!$A$15:$A$270,0))," ")</f>
        <v xml:space="preserve"> </v>
      </c>
      <c r="AB219" s="38">
        <f t="shared" si="43"/>
        <v>0</v>
      </c>
    </row>
    <row r="220" spans="1:28" x14ac:dyDescent="0.25">
      <c r="A220">
        <f t="shared" si="33"/>
        <v>1.0103200000000001</v>
      </c>
      <c r="B220">
        <f t="shared" si="34"/>
        <v>210</v>
      </c>
      <c r="C220" t="str">
        <f t="shared" si="35"/>
        <v xml:space="preserve"> </v>
      </c>
      <c r="D220">
        <f t="shared" si="36"/>
        <v>0</v>
      </c>
      <c r="E220">
        <f t="shared" si="37"/>
        <v>0</v>
      </c>
      <c r="F220">
        <f t="shared" si="38"/>
        <v>0</v>
      </c>
      <c r="G220">
        <f>IF($C$2="x",IFERROR(SMALL($A$11:$A$14,210),0),IF($C$3="x",IFERROR(SMALL($A$11:$A$18,210),0),IF($C$4="x",IFERROR(SMALL($A$11:$A$26,210),0),IF($C$5="x",IFERROR(SMALL($A$11:$A$42,210),0),IF($C$6="x",IFERROR(SMALL($A$11:$A$74,210),0),IF($C$7="x",IFERROR(SMALL($A$11:$A$138,210),0),IFERROR(SMALL($A$11:$A$266,210),0)))))))</f>
        <v>1.0103200000000001</v>
      </c>
      <c r="H220">
        <f t="shared" si="39"/>
        <v>210</v>
      </c>
      <c r="I220" t="str">
        <f t="shared" si="40"/>
        <v xml:space="preserve"> </v>
      </c>
      <c r="J220" s="34"/>
      <c r="K220" s="35" t="s">
        <v>38</v>
      </c>
      <c r="L220" s="36"/>
      <c r="M220" s="34"/>
      <c r="N220" s="35" t="s">
        <v>38</v>
      </c>
      <c r="O220" s="36"/>
      <c r="P220" s="34"/>
      <c r="Q220" s="35" t="s">
        <v>38</v>
      </c>
      <c r="R220" s="36"/>
      <c r="S220" s="37">
        <f t="shared" si="41"/>
        <v>210</v>
      </c>
      <c r="U220" s="38"/>
      <c r="V220" s="39" t="s">
        <v>248</v>
      </c>
      <c r="W220" s="40" t="str">
        <f>IF('Infos générales'!$E$2="x",IF(U220&gt;0,VLOOKUP(U220,'Infos joueurs'!$A:$M,4,FALSE)&amp;" / "&amp;VLOOKUP(U220,'Infos joueurs'!$A:$M,9,FALSE)," "),IF(U220&gt;0,VLOOKUP(U220,'Infos joueurs'!$A:$M,4,FALSE)&amp;" "&amp;VLOOKUP(U220,'Infos joueurs'!$A:$M,5,FALSE)," "))</f>
        <v xml:space="preserve"> </v>
      </c>
      <c r="Y220" s="33">
        <v>210</v>
      </c>
      <c r="Z220" s="256" t="str">
        <f t="shared" si="42"/>
        <v xml:space="preserve"> </v>
      </c>
      <c r="AA220" s="41" t="str">
        <f>IFERROR(INDEX('Infos joueurs'!$F$15:$F$270,MATCH(AB220,'Infos joueurs'!$A$15:$A$270,0))," ")</f>
        <v xml:space="preserve"> </v>
      </c>
      <c r="AB220" s="38">
        <f t="shared" si="43"/>
        <v>0</v>
      </c>
    </row>
    <row r="221" spans="1:28" x14ac:dyDescent="0.25">
      <c r="A221">
        <f t="shared" si="33"/>
        <v>1.010321</v>
      </c>
      <c r="B221">
        <f t="shared" si="34"/>
        <v>211</v>
      </c>
      <c r="C221" t="str">
        <f t="shared" si="35"/>
        <v xml:space="preserve"> </v>
      </c>
      <c r="D221">
        <f t="shared" si="36"/>
        <v>0</v>
      </c>
      <c r="E221">
        <f t="shared" si="37"/>
        <v>0</v>
      </c>
      <c r="F221">
        <f t="shared" si="38"/>
        <v>0</v>
      </c>
      <c r="G221">
        <f>IF($C$2="x",IFERROR(SMALL($A$11:$A$14,211),0),IF($C$3="x",IFERROR(SMALL($A$11:$A$18,211),0),IF($C$4="x",IFERROR(SMALL($A$11:$A$26,211),0),IF($C$5="x",IFERROR(SMALL($A$11:$A$42,211),0),IF($C$6="x",IFERROR(SMALL($A$11:$A$74,211),0),IF($C$7="x",IFERROR(SMALL($A$11:$A$138,211),0),IFERROR(SMALL($A$11:$A$266,211),0)))))))</f>
        <v>1.010321</v>
      </c>
      <c r="H221">
        <f t="shared" si="39"/>
        <v>211</v>
      </c>
      <c r="I221" t="str">
        <f t="shared" si="40"/>
        <v xml:space="preserve"> </v>
      </c>
      <c r="J221" s="34"/>
      <c r="K221" s="35" t="s">
        <v>38</v>
      </c>
      <c r="L221" s="36"/>
      <c r="M221" s="34"/>
      <c r="N221" s="35" t="s">
        <v>38</v>
      </c>
      <c r="O221" s="36"/>
      <c r="P221" s="34"/>
      <c r="Q221" s="35" t="s">
        <v>38</v>
      </c>
      <c r="R221" s="36"/>
      <c r="S221" s="37">
        <f t="shared" si="41"/>
        <v>211</v>
      </c>
      <c r="U221" s="38"/>
      <c r="V221" s="39" t="s">
        <v>249</v>
      </c>
      <c r="W221" s="40" t="str">
        <f>IF('Infos générales'!$E$2="x",IF(U221&gt;0,VLOOKUP(U221,'Infos joueurs'!$A:$M,4,FALSE)&amp;" / "&amp;VLOOKUP(U221,'Infos joueurs'!$A:$M,9,FALSE)," "),IF(U221&gt;0,VLOOKUP(U221,'Infos joueurs'!$A:$M,4,FALSE)&amp;" "&amp;VLOOKUP(U221,'Infos joueurs'!$A:$M,5,FALSE)," "))</f>
        <v xml:space="preserve"> </v>
      </c>
      <c r="Y221" s="33">
        <v>211</v>
      </c>
      <c r="Z221" s="256" t="str">
        <f t="shared" si="42"/>
        <v xml:space="preserve"> </v>
      </c>
      <c r="AA221" s="41" t="str">
        <f>IFERROR(INDEX('Infos joueurs'!$F$15:$F$270,MATCH(AB221,'Infos joueurs'!$A$15:$A$270,0))," ")</f>
        <v xml:space="preserve"> </v>
      </c>
      <c r="AB221" s="38">
        <f t="shared" si="43"/>
        <v>0</v>
      </c>
    </row>
    <row r="222" spans="1:28" x14ac:dyDescent="0.25">
      <c r="A222">
        <f t="shared" si="33"/>
        <v>1.0103219999999999</v>
      </c>
      <c r="B222">
        <f t="shared" si="34"/>
        <v>212</v>
      </c>
      <c r="C222" t="str">
        <f t="shared" si="35"/>
        <v xml:space="preserve"> </v>
      </c>
      <c r="D222">
        <f t="shared" si="36"/>
        <v>0</v>
      </c>
      <c r="E222">
        <f t="shared" si="37"/>
        <v>0</v>
      </c>
      <c r="F222">
        <f t="shared" si="38"/>
        <v>0</v>
      </c>
      <c r="G222">
        <f>IF($C$2="x",IFERROR(SMALL($A$11:$A$14,212),0),IF($C$3="x",IFERROR(SMALL($A$11:$A$18,212),0),IF($C$4="x",IFERROR(SMALL($A$11:$A$26,212),0),IF($C$5="x",IFERROR(SMALL($A$11:$A$42,212),0),IF($C$6="x",IFERROR(SMALL($A$11:$A$74,212),0),IF($C$7="x",IFERROR(SMALL($A$11:$A$138,212),0),IFERROR(SMALL($A$11:$A$266,212),0)))))))</f>
        <v>1.0103219999999999</v>
      </c>
      <c r="H222">
        <f t="shared" si="39"/>
        <v>212</v>
      </c>
      <c r="I222" t="str">
        <f t="shared" si="40"/>
        <v xml:space="preserve"> </v>
      </c>
      <c r="J222" s="34"/>
      <c r="K222" s="35" t="s">
        <v>38</v>
      </c>
      <c r="L222" s="36"/>
      <c r="M222" s="34"/>
      <c r="N222" s="35" t="s">
        <v>38</v>
      </c>
      <c r="O222" s="36"/>
      <c r="P222" s="34"/>
      <c r="Q222" s="35" t="s">
        <v>38</v>
      </c>
      <c r="R222" s="36"/>
      <c r="S222" s="37">
        <f t="shared" si="41"/>
        <v>212</v>
      </c>
      <c r="U222" s="38"/>
      <c r="V222" s="39" t="s">
        <v>250</v>
      </c>
      <c r="W222" s="40" t="str">
        <f>IF('Infos générales'!$E$2="x",IF(U222&gt;0,VLOOKUP(U222,'Infos joueurs'!$A:$M,4,FALSE)&amp;" / "&amp;VLOOKUP(U222,'Infos joueurs'!$A:$M,9,FALSE)," "),IF(U222&gt;0,VLOOKUP(U222,'Infos joueurs'!$A:$M,4,FALSE)&amp;" "&amp;VLOOKUP(U222,'Infos joueurs'!$A:$M,5,FALSE)," "))</f>
        <v xml:space="preserve"> </v>
      </c>
      <c r="Y222" s="33">
        <v>212</v>
      </c>
      <c r="Z222" s="256" t="str">
        <f t="shared" si="42"/>
        <v xml:space="preserve"> </v>
      </c>
      <c r="AA222" s="41" t="str">
        <f>IFERROR(INDEX('Infos joueurs'!$F$15:$F$270,MATCH(AB222,'Infos joueurs'!$A$15:$A$270,0))," ")</f>
        <v xml:space="preserve"> </v>
      </c>
      <c r="AB222" s="38">
        <f t="shared" si="43"/>
        <v>0</v>
      </c>
    </row>
    <row r="223" spans="1:28" x14ac:dyDescent="0.25">
      <c r="A223">
        <f t="shared" si="33"/>
        <v>1.0103230000000001</v>
      </c>
      <c r="B223">
        <f t="shared" si="34"/>
        <v>213</v>
      </c>
      <c r="C223" t="str">
        <f t="shared" si="35"/>
        <v xml:space="preserve"> </v>
      </c>
      <c r="D223">
        <f t="shared" si="36"/>
        <v>0</v>
      </c>
      <c r="E223">
        <f t="shared" si="37"/>
        <v>0</v>
      </c>
      <c r="F223">
        <f t="shared" si="38"/>
        <v>0</v>
      </c>
      <c r="G223">
        <f>IF($C$2="x",IFERROR(SMALL($A$11:$A$14,213),0),IF($C$3="x",IFERROR(SMALL($A$11:$A$18,213),0),IF($C$4="x",IFERROR(SMALL($A$11:$A$26,213),0),IF($C$5="x",IFERROR(SMALL($A$11:$A$42,213),0),IF($C$6="x",IFERROR(SMALL($A$11:$A$74,213),0),IF($C$7="x",IFERROR(SMALL($A$11:$A$138,213),0),IFERROR(SMALL($A$11:$A$266,213),0)))))))</f>
        <v>1.0103230000000001</v>
      </c>
      <c r="H223">
        <f t="shared" si="39"/>
        <v>213</v>
      </c>
      <c r="I223" t="str">
        <f t="shared" si="40"/>
        <v xml:space="preserve"> </v>
      </c>
      <c r="J223" s="34"/>
      <c r="K223" s="35" t="s">
        <v>38</v>
      </c>
      <c r="L223" s="36"/>
      <c r="M223" s="34"/>
      <c r="N223" s="35" t="s">
        <v>38</v>
      </c>
      <c r="O223" s="36"/>
      <c r="P223" s="34"/>
      <c r="Q223" s="35" t="s">
        <v>38</v>
      </c>
      <c r="R223" s="36"/>
      <c r="S223" s="37">
        <f t="shared" si="41"/>
        <v>213</v>
      </c>
      <c r="U223" s="38"/>
      <c r="V223" s="39" t="s">
        <v>251</v>
      </c>
      <c r="W223" s="40" t="str">
        <f>IF('Infos générales'!$E$2="x",IF(U223&gt;0,VLOOKUP(U223,'Infos joueurs'!$A:$M,4,FALSE)&amp;" / "&amp;VLOOKUP(U223,'Infos joueurs'!$A:$M,9,FALSE)," "),IF(U223&gt;0,VLOOKUP(U223,'Infos joueurs'!$A:$M,4,FALSE)&amp;" "&amp;VLOOKUP(U223,'Infos joueurs'!$A:$M,5,FALSE)," "))</f>
        <v xml:space="preserve"> </v>
      </c>
      <c r="Y223" s="33">
        <v>213</v>
      </c>
      <c r="Z223" s="256" t="str">
        <f t="shared" si="42"/>
        <v xml:space="preserve"> </v>
      </c>
      <c r="AA223" s="41" t="str">
        <f>IFERROR(INDEX('Infos joueurs'!$F$15:$F$270,MATCH(AB223,'Infos joueurs'!$A$15:$A$270,0))," ")</f>
        <v xml:space="preserve"> </v>
      </c>
      <c r="AB223" s="38">
        <f t="shared" si="43"/>
        <v>0</v>
      </c>
    </row>
    <row r="224" spans="1:28" x14ac:dyDescent="0.25">
      <c r="A224">
        <f t="shared" si="33"/>
        <v>1.010324</v>
      </c>
      <c r="B224">
        <f t="shared" si="34"/>
        <v>214</v>
      </c>
      <c r="C224" t="str">
        <f t="shared" si="35"/>
        <v xml:space="preserve"> </v>
      </c>
      <c r="D224">
        <f t="shared" si="36"/>
        <v>0</v>
      </c>
      <c r="E224">
        <f t="shared" si="37"/>
        <v>0</v>
      </c>
      <c r="F224">
        <f t="shared" si="38"/>
        <v>0</v>
      </c>
      <c r="G224">
        <f>IF($C$2="x",IFERROR(SMALL($A$11:$A$14,214),0),IF($C$3="x",IFERROR(SMALL($A$11:$A$18,214),0),IF($C$4="x",IFERROR(SMALL($A$11:$A$26,214),0),IF($C$5="x",IFERROR(SMALL($A$11:$A$42,214),0),IF($C$6="x",IFERROR(SMALL($A$11:$A$74,214),0),IF($C$7="x",IFERROR(SMALL($A$11:$A$138,214),0),IFERROR(SMALL($A$11:$A$266,214),0)))))))</f>
        <v>1.010324</v>
      </c>
      <c r="H224">
        <f t="shared" si="39"/>
        <v>214</v>
      </c>
      <c r="I224" t="str">
        <f t="shared" si="40"/>
        <v xml:space="preserve"> </v>
      </c>
      <c r="J224" s="34"/>
      <c r="K224" s="35" t="s">
        <v>38</v>
      </c>
      <c r="L224" s="36"/>
      <c r="M224" s="34"/>
      <c r="N224" s="35" t="s">
        <v>38</v>
      </c>
      <c r="O224" s="36"/>
      <c r="P224" s="34"/>
      <c r="Q224" s="35" t="s">
        <v>38</v>
      </c>
      <c r="R224" s="36"/>
      <c r="S224" s="37">
        <f t="shared" si="41"/>
        <v>214</v>
      </c>
      <c r="U224" s="38"/>
      <c r="V224" s="39" t="s">
        <v>252</v>
      </c>
      <c r="W224" s="40" t="str">
        <f>IF('Infos générales'!$E$2="x",IF(U224&gt;0,VLOOKUP(U224,'Infos joueurs'!$A:$M,4,FALSE)&amp;" / "&amp;VLOOKUP(U224,'Infos joueurs'!$A:$M,9,FALSE)," "),IF(U224&gt;0,VLOOKUP(U224,'Infos joueurs'!$A:$M,4,FALSE)&amp;" "&amp;VLOOKUP(U224,'Infos joueurs'!$A:$M,5,FALSE)," "))</f>
        <v xml:space="preserve"> </v>
      </c>
      <c r="Y224" s="33">
        <v>214</v>
      </c>
      <c r="Z224" s="256" t="str">
        <f t="shared" si="42"/>
        <v xml:space="preserve"> </v>
      </c>
      <c r="AA224" s="41" t="str">
        <f>IFERROR(INDEX('Infos joueurs'!$F$15:$F$270,MATCH(AB224,'Infos joueurs'!$A$15:$A$270,0))," ")</f>
        <v xml:space="preserve"> </v>
      </c>
      <c r="AB224" s="38">
        <f t="shared" si="43"/>
        <v>0</v>
      </c>
    </row>
    <row r="225" spans="1:28" x14ac:dyDescent="0.25">
      <c r="A225">
        <f t="shared" si="33"/>
        <v>1.0103249999999999</v>
      </c>
      <c r="B225">
        <f t="shared" si="34"/>
        <v>215</v>
      </c>
      <c r="C225" t="str">
        <f t="shared" si="35"/>
        <v xml:space="preserve"> </v>
      </c>
      <c r="D225">
        <f t="shared" si="36"/>
        <v>0</v>
      </c>
      <c r="E225">
        <f t="shared" si="37"/>
        <v>0</v>
      </c>
      <c r="F225">
        <f t="shared" si="38"/>
        <v>0</v>
      </c>
      <c r="G225">
        <f>IF($C$2="x",IFERROR(SMALL($A$11:$A$14,215),0),IF($C$3="x",IFERROR(SMALL($A$11:$A$18,215),0),IF($C$4="x",IFERROR(SMALL($A$11:$A$26,215),0),IF($C$5="x",IFERROR(SMALL($A$11:$A$42,215),0),IF($C$6="x",IFERROR(SMALL($A$11:$A$74,215),0),IF($C$7="x",IFERROR(SMALL($A$11:$A$138,215),0),IFERROR(SMALL($A$11:$A$266,215),0)))))))</f>
        <v>1.0103249999999999</v>
      </c>
      <c r="H225">
        <f t="shared" si="39"/>
        <v>215</v>
      </c>
      <c r="I225" t="str">
        <f t="shared" si="40"/>
        <v xml:space="preserve"> </v>
      </c>
      <c r="J225" s="34"/>
      <c r="K225" s="35" t="s">
        <v>38</v>
      </c>
      <c r="L225" s="36"/>
      <c r="M225" s="34"/>
      <c r="N225" s="35" t="s">
        <v>38</v>
      </c>
      <c r="O225" s="36"/>
      <c r="P225" s="34"/>
      <c r="Q225" s="35" t="s">
        <v>38</v>
      </c>
      <c r="R225" s="36"/>
      <c r="S225" s="37">
        <f t="shared" si="41"/>
        <v>215</v>
      </c>
      <c r="U225" s="38"/>
      <c r="V225" s="39" t="s">
        <v>253</v>
      </c>
      <c r="W225" s="40" t="str">
        <f>IF('Infos générales'!$E$2="x",IF(U225&gt;0,VLOOKUP(U225,'Infos joueurs'!$A:$M,4,FALSE)&amp;" / "&amp;VLOOKUP(U225,'Infos joueurs'!$A:$M,9,FALSE)," "),IF(U225&gt;0,VLOOKUP(U225,'Infos joueurs'!$A:$M,4,FALSE)&amp;" "&amp;VLOOKUP(U225,'Infos joueurs'!$A:$M,5,FALSE)," "))</f>
        <v xml:space="preserve"> </v>
      </c>
      <c r="Y225" s="33">
        <v>215</v>
      </c>
      <c r="Z225" s="256" t="str">
        <f t="shared" si="42"/>
        <v xml:space="preserve"> </v>
      </c>
      <c r="AA225" s="41" t="str">
        <f>IFERROR(INDEX('Infos joueurs'!$F$15:$F$270,MATCH(AB225,'Infos joueurs'!$A$15:$A$270,0))," ")</f>
        <v xml:space="preserve"> </v>
      </c>
      <c r="AB225" s="38">
        <f t="shared" si="43"/>
        <v>0</v>
      </c>
    </row>
    <row r="226" spans="1:28" x14ac:dyDescent="0.25">
      <c r="A226">
        <f t="shared" si="33"/>
        <v>1.0103260000000001</v>
      </c>
      <c r="B226">
        <f t="shared" si="34"/>
        <v>216</v>
      </c>
      <c r="C226" t="str">
        <f t="shared" si="35"/>
        <v xml:space="preserve"> </v>
      </c>
      <c r="D226">
        <f t="shared" si="36"/>
        <v>0</v>
      </c>
      <c r="E226">
        <f t="shared" si="37"/>
        <v>0</v>
      </c>
      <c r="F226">
        <f t="shared" si="38"/>
        <v>0</v>
      </c>
      <c r="G226">
        <f>IF($C$2="x",IFERROR(SMALL($A$11:$A$14,216),0),IF($C$3="x",IFERROR(SMALL($A$11:$A$18,216),0),IF($C$4="x",IFERROR(SMALL($A$11:$A$26,216),0),IF($C$5="x",IFERROR(SMALL($A$11:$A$42,216),0),IF($C$6="x",IFERROR(SMALL($A$11:$A$74,216),0),IF($C$7="x",IFERROR(SMALL($A$11:$A$138,216),0),IFERROR(SMALL($A$11:$A$266,216),0)))))))</f>
        <v>1.0103260000000001</v>
      </c>
      <c r="H226">
        <f t="shared" si="39"/>
        <v>216</v>
      </c>
      <c r="I226" t="str">
        <f t="shared" si="40"/>
        <v xml:space="preserve"> </v>
      </c>
      <c r="J226" s="34"/>
      <c r="K226" s="35" t="s">
        <v>38</v>
      </c>
      <c r="L226" s="36"/>
      <c r="M226" s="34"/>
      <c r="N226" s="35" t="s">
        <v>38</v>
      </c>
      <c r="O226" s="36"/>
      <c r="P226" s="34"/>
      <c r="Q226" s="35" t="s">
        <v>38</v>
      </c>
      <c r="R226" s="36"/>
      <c r="S226" s="37">
        <f t="shared" si="41"/>
        <v>216</v>
      </c>
      <c r="U226" s="38"/>
      <c r="V226" s="39" t="s">
        <v>254</v>
      </c>
      <c r="W226" s="40" t="str">
        <f>IF('Infos générales'!$E$2="x",IF(U226&gt;0,VLOOKUP(U226,'Infos joueurs'!$A:$M,4,FALSE)&amp;" / "&amp;VLOOKUP(U226,'Infos joueurs'!$A:$M,9,FALSE)," "),IF(U226&gt;0,VLOOKUP(U226,'Infos joueurs'!$A:$M,4,FALSE)&amp;" "&amp;VLOOKUP(U226,'Infos joueurs'!$A:$M,5,FALSE)," "))</f>
        <v xml:space="preserve"> </v>
      </c>
      <c r="Y226" s="33">
        <v>216</v>
      </c>
      <c r="Z226" s="256" t="str">
        <f t="shared" si="42"/>
        <v xml:space="preserve"> </v>
      </c>
      <c r="AA226" s="41" t="str">
        <f>IFERROR(INDEX('Infos joueurs'!$F$15:$F$270,MATCH(AB226,'Infos joueurs'!$A$15:$A$270,0))," ")</f>
        <v xml:space="preserve"> </v>
      </c>
      <c r="AB226" s="38">
        <f t="shared" si="43"/>
        <v>0</v>
      </c>
    </row>
    <row r="227" spans="1:28" x14ac:dyDescent="0.25">
      <c r="A227">
        <f t="shared" si="33"/>
        <v>1.010327</v>
      </c>
      <c r="B227">
        <f t="shared" si="34"/>
        <v>217</v>
      </c>
      <c r="C227" t="str">
        <f t="shared" si="35"/>
        <v xml:space="preserve"> </v>
      </c>
      <c r="D227">
        <f t="shared" si="36"/>
        <v>0</v>
      </c>
      <c r="E227">
        <f t="shared" si="37"/>
        <v>0</v>
      </c>
      <c r="F227">
        <f t="shared" si="38"/>
        <v>0</v>
      </c>
      <c r="G227">
        <f>IF($C$2="x",IFERROR(SMALL($A$11:$A$14,217),0),IF($C$3="x",IFERROR(SMALL($A$11:$A$18,217),0),IF($C$4="x",IFERROR(SMALL($A$11:$A$26,217),0),IF($C$5="x",IFERROR(SMALL($A$11:$A$42,217),0),IF($C$6="x",IFERROR(SMALL($A$11:$A$74,217),0),IF($C$7="x",IFERROR(SMALL($A$11:$A$138,217),0),IFERROR(SMALL($A$11:$A$266,217),0)))))))</f>
        <v>1.010327</v>
      </c>
      <c r="H227">
        <f t="shared" si="39"/>
        <v>217</v>
      </c>
      <c r="I227" t="str">
        <f t="shared" si="40"/>
        <v xml:space="preserve"> </v>
      </c>
      <c r="J227" s="34"/>
      <c r="K227" s="35" t="s">
        <v>38</v>
      </c>
      <c r="L227" s="36"/>
      <c r="M227" s="34"/>
      <c r="N227" s="35" t="s">
        <v>38</v>
      </c>
      <c r="O227" s="36"/>
      <c r="P227" s="34"/>
      <c r="Q227" s="35" t="s">
        <v>38</v>
      </c>
      <c r="R227" s="36"/>
      <c r="S227" s="37">
        <f t="shared" si="41"/>
        <v>217</v>
      </c>
      <c r="U227" s="38"/>
      <c r="V227" s="39" t="s">
        <v>255</v>
      </c>
      <c r="W227" s="40" t="str">
        <f>IF('Infos générales'!$E$2="x",IF(U227&gt;0,VLOOKUP(U227,'Infos joueurs'!$A:$M,4,FALSE)&amp;" / "&amp;VLOOKUP(U227,'Infos joueurs'!$A:$M,9,FALSE)," "),IF(U227&gt;0,VLOOKUP(U227,'Infos joueurs'!$A:$M,4,FALSE)&amp;" "&amp;VLOOKUP(U227,'Infos joueurs'!$A:$M,5,FALSE)," "))</f>
        <v xml:space="preserve"> </v>
      </c>
      <c r="Y227" s="33">
        <v>217</v>
      </c>
      <c r="Z227" s="256" t="str">
        <f t="shared" si="42"/>
        <v xml:space="preserve"> </v>
      </c>
      <c r="AA227" s="41" t="str">
        <f>IFERROR(INDEX('Infos joueurs'!$F$15:$F$270,MATCH(AB227,'Infos joueurs'!$A$15:$A$270,0))," ")</f>
        <v xml:space="preserve"> </v>
      </c>
      <c r="AB227" s="38">
        <f t="shared" si="43"/>
        <v>0</v>
      </c>
    </row>
    <row r="228" spans="1:28" x14ac:dyDescent="0.25">
      <c r="A228">
        <f t="shared" si="33"/>
        <v>1.0103279999999999</v>
      </c>
      <c r="B228">
        <f t="shared" si="34"/>
        <v>218</v>
      </c>
      <c r="C228" t="str">
        <f t="shared" si="35"/>
        <v xml:space="preserve"> </v>
      </c>
      <c r="D228">
        <f t="shared" si="36"/>
        <v>0</v>
      </c>
      <c r="E228">
        <f t="shared" si="37"/>
        <v>0</v>
      </c>
      <c r="F228">
        <f t="shared" si="38"/>
        <v>0</v>
      </c>
      <c r="G228">
        <f>IF($C$2="x",IFERROR(SMALL($A$11:$A$14,218),0),IF($C$3="x",IFERROR(SMALL($A$11:$A$18,218),0),IF($C$4="x",IFERROR(SMALL($A$11:$A$26,218),0),IF($C$5="x",IFERROR(SMALL($A$11:$A$42,218),0),IF($C$6="x",IFERROR(SMALL($A$11:$A$74,218),0),IF($C$7="x",IFERROR(SMALL($A$11:$A$138,218),0),IFERROR(SMALL($A$11:$A$266,218),0)))))))</f>
        <v>1.0103279999999999</v>
      </c>
      <c r="H228">
        <f t="shared" si="39"/>
        <v>218</v>
      </c>
      <c r="I228" t="str">
        <f t="shared" si="40"/>
        <v xml:space="preserve"> </v>
      </c>
      <c r="J228" s="34"/>
      <c r="K228" s="35" t="s">
        <v>38</v>
      </c>
      <c r="L228" s="36"/>
      <c r="M228" s="34"/>
      <c r="N228" s="35" t="s">
        <v>38</v>
      </c>
      <c r="O228" s="36"/>
      <c r="P228" s="34"/>
      <c r="Q228" s="35" t="s">
        <v>38</v>
      </c>
      <c r="R228" s="36"/>
      <c r="S228" s="37">
        <f t="shared" si="41"/>
        <v>218</v>
      </c>
      <c r="U228" s="38"/>
      <c r="V228" s="39" t="s">
        <v>256</v>
      </c>
      <c r="W228" s="40" t="str">
        <f>IF('Infos générales'!$E$2="x",IF(U228&gt;0,VLOOKUP(U228,'Infos joueurs'!$A:$M,4,FALSE)&amp;" / "&amp;VLOOKUP(U228,'Infos joueurs'!$A:$M,9,FALSE)," "),IF(U228&gt;0,VLOOKUP(U228,'Infos joueurs'!$A:$M,4,FALSE)&amp;" "&amp;VLOOKUP(U228,'Infos joueurs'!$A:$M,5,FALSE)," "))</f>
        <v xml:space="preserve"> </v>
      </c>
      <c r="Y228" s="33">
        <v>218</v>
      </c>
      <c r="Z228" s="256" t="str">
        <f t="shared" si="42"/>
        <v xml:space="preserve"> </v>
      </c>
      <c r="AA228" s="41" t="str">
        <f>IFERROR(INDEX('Infos joueurs'!$F$15:$F$270,MATCH(AB228,'Infos joueurs'!$A$15:$A$270,0))," ")</f>
        <v xml:space="preserve"> </v>
      </c>
      <c r="AB228" s="38">
        <f t="shared" si="43"/>
        <v>0</v>
      </c>
    </row>
    <row r="229" spans="1:28" x14ac:dyDescent="0.25">
      <c r="A229">
        <f t="shared" si="33"/>
        <v>1.010329</v>
      </c>
      <c r="B229">
        <f t="shared" si="34"/>
        <v>219</v>
      </c>
      <c r="C229" t="str">
        <f t="shared" si="35"/>
        <v xml:space="preserve"> </v>
      </c>
      <c r="D229">
        <f t="shared" si="36"/>
        <v>0</v>
      </c>
      <c r="E229">
        <f t="shared" si="37"/>
        <v>0</v>
      </c>
      <c r="F229">
        <f t="shared" si="38"/>
        <v>0</v>
      </c>
      <c r="G229">
        <f>IF($C$2="x",IFERROR(SMALL($A$11:$A$14,219),0),IF($C$3="x",IFERROR(SMALL($A$11:$A$18,219),0),IF($C$4="x",IFERROR(SMALL($A$11:$A$26,219),0),IF($C$5="x",IFERROR(SMALL($A$11:$A$42,219),0),IF($C$6="x",IFERROR(SMALL($A$11:$A$74,219),0),IF($C$7="x",IFERROR(SMALL($A$11:$A$138,219),0),IFERROR(SMALL($A$11:$A$266,219),0)))))))</f>
        <v>1.010329</v>
      </c>
      <c r="H229">
        <f t="shared" si="39"/>
        <v>219</v>
      </c>
      <c r="I229" t="str">
        <f t="shared" si="40"/>
        <v xml:space="preserve"> </v>
      </c>
      <c r="J229" s="34"/>
      <c r="K229" s="35" t="s">
        <v>38</v>
      </c>
      <c r="L229" s="36"/>
      <c r="M229" s="34"/>
      <c r="N229" s="35" t="s">
        <v>38</v>
      </c>
      <c r="O229" s="36"/>
      <c r="P229" s="34"/>
      <c r="Q229" s="35" t="s">
        <v>38</v>
      </c>
      <c r="R229" s="36"/>
      <c r="S229" s="37">
        <f t="shared" si="41"/>
        <v>219</v>
      </c>
      <c r="U229" s="38"/>
      <c r="V229" s="39" t="s">
        <v>257</v>
      </c>
      <c r="W229" s="40" t="str">
        <f>IF('Infos générales'!$E$2="x",IF(U229&gt;0,VLOOKUP(U229,'Infos joueurs'!$A:$M,4,FALSE)&amp;" / "&amp;VLOOKUP(U229,'Infos joueurs'!$A:$M,9,FALSE)," "),IF(U229&gt;0,VLOOKUP(U229,'Infos joueurs'!$A:$M,4,FALSE)&amp;" "&amp;VLOOKUP(U229,'Infos joueurs'!$A:$M,5,FALSE)," "))</f>
        <v xml:space="preserve"> </v>
      </c>
      <c r="Y229" s="33">
        <v>219</v>
      </c>
      <c r="Z229" s="256" t="str">
        <f t="shared" si="42"/>
        <v xml:space="preserve"> </v>
      </c>
      <c r="AA229" s="41" t="str">
        <f>IFERROR(INDEX('Infos joueurs'!$F$15:$F$270,MATCH(AB229,'Infos joueurs'!$A$15:$A$270,0))," ")</f>
        <v xml:space="preserve"> </v>
      </c>
      <c r="AB229" s="38">
        <f t="shared" si="43"/>
        <v>0</v>
      </c>
    </row>
    <row r="230" spans="1:28" x14ac:dyDescent="0.25">
      <c r="A230">
        <f t="shared" si="33"/>
        <v>1.01033</v>
      </c>
      <c r="B230">
        <f t="shared" si="34"/>
        <v>220</v>
      </c>
      <c r="C230" t="str">
        <f t="shared" si="35"/>
        <v xml:space="preserve"> </v>
      </c>
      <c r="D230">
        <f t="shared" si="36"/>
        <v>0</v>
      </c>
      <c r="E230">
        <f t="shared" si="37"/>
        <v>0</v>
      </c>
      <c r="F230">
        <f t="shared" si="38"/>
        <v>0</v>
      </c>
      <c r="G230">
        <f>IF($C$2="x",IFERROR(SMALL($A$11:$A$14,220),0),IF($C$3="x",IFERROR(SMALL($A$11:$A$18,220),0),IF($C$4="x",IFERROR(SMALL($A$11:$A$26,220),0),IF($C$5="x",IFERROR(SMALL($A$11:$A$42,220),0),IF($C$6="x",IFERROR(SMALL($A$11:$A$74,220),0),IF($C$7="x",IFERROR(SMALL($A$11:$A$138,220),0),IFERROR(SMALL($A$11:$A$266,220),0)))))))</f>
        <v>1.01033</v>
      </c>
      <c r="H230">
        <f t="shared" si="39"/>
        <v>220</v>
      </c>
      <c r="I230" t="str">
        <f t="shared" si="40"/>
        <v xml:space="preserve"> </v>
      </c>
      <c r="J230" s="34"/>
      <c r="K230" s="35" t="s">
        <v>38</v>
      </c>
      <c r="L230" s="36"/>
      <c r="M230" s="34"/>
      <c r="N230" s="35" t="s">
        <v>38</v>
      </c>
      <c r="O230" s="36"/>
      <c r="P230" s="34"/>
      <c r="Q230" s="35" t="s">
        <v>38</v>
      </c>
      <c r="R230" s="36"/>
      <c r="S230" s="37">
        <f t="shared" si="41"/>
        <v>220</v>
      </c>
      <c r="U230" s="38"/>
      <c r="V230" s="39" t="s">
        <v>258</v>
      </c>
      <c r="W230" s="40" t="str">
        <f>IF('Infos générales'!$E$2="x",IF(U230&gt;0,VLOOKUP(U230,'Infos joueurs'!$A:$M,4,FALSE)&amp;" / "&amp;VLOOKUP(U230,'Infos joueurs'!$A:$M,9,FALSE)," "),IF(U230&gt;0,VLOOKUP(U230,'Infos joueurs'!$A:$M,4,FALSE)&amp;" "&amp;VLOOKUP(U230,'Infos joueurs'!$A:$M,5,FALSE)," "))</f>
        <v xml:space="preserve"> </v>
      </c>
      <c r="Y230" s="33">
        <v>220</v>
      </c>
      <c r="Z230" s="256" t="str">
        <f t="shared" si="42"/>
        <v xml:space="preserve"> </v>
      </c>
      <c r="AA230" s="41" t="str">
        <f>IFERROR(INDEX('Infos joueurs'!$F$15:$F$270,MATCH(AB230,'Infos joueurs'!$A$15:$A$270,0))," ")</f>
        <v xml:space="preserve"> </v>
      </c>
      <c r="AB230" s="38">
        <f t="shared" si="43"/>
        <v>0</v>
      </c>
    </row>
    <row r="231" spans="1:28" x14ac:dyDescent="0.25">
      <c r="A231">
        <f t="shared" si="33"/>
        <v>1.0103310000000001</v>
      </c>
      <c r="B231">
        <f t="shared" si="34"/>
        <v>221</v>
      </c>
      <c r="C231" t="str">
        <f t="shared" si="35"/>
        <v xml:space="preserve"> </v>
      </c>
      <c r="D231">
        <f t="shared" si="36"/>
        <v>0</v>
      </c>
      <c r="E231">
        <f t="shared" si="37"/>
        <v>0</v>
      </c>
      <c r="F231">
        <f t="shared" si="38"/>
        <v>0</v>
      </c>
      <c r="G231">
        <f>IF($C$2="x",IFERROR(SMALL($A$11:$A$14,221),0),IF($C$3="x",IFERROR(SMALL($A$11:$A$18,221),0),IF($C$4="x",IFERROR(SMALL($A$11:$A$26,221),0),IF($C$5="x",IFERROR(SMALL($A$11:$A$42,221),0),IF($C$6="x",IFERROR(SMALL($A$11:$A$74,221),0),IF($C$7="x",IFERROR(SMALL($A$11:$A$138,221),0),IFERROR(SMALL($A$11:$A$266,221),0)))))))</f>
        <v>1.0103310000000001</v>
      </c>
      <c r="H231">
        <f t="shared" si="39"/>
        <v>221</v>
      </c>
      <c r="I231" t="str">
        <f t="shared" si="40"/>
        <v xml:space="preserve"> </v>
      </c>
      <c r="J231" s="34"/>
      <c r="K231" s="35" t="s">
        <v>38</v>
      </c>
      <c r="L231" s="36"/>
      <c r="M231" s="34"/>
      <c r="N231" s="35" t="s">
        <v>38</v>
      </c>
      <c r="O231" s="36"/>
      <c r="P231" s="34"/>
      <c r="Q231" s="35" t="s">
        <v>38</v>
      </c>
      <c r="R231" s="36"/>
      <c r="S231" s="37">
        <f t="shared" si="41"/>
        <v>221</v>
      </c>
      <c r="U231" s="38"/>
      <c r="V231" s="39" t="s">
        <v>259</v>
      </c>
      <c r="W231" s="40" t="str">
        <f>IF('Infos générales'!$E$2="x",IF(U231&gt;0,VLOOKUP(U231,'Infos joueurs'!$A:$M,4,FALSE)&amp;" / "&amp;VLOOKUP(U231,'Infos joueurs'!$A:$M,9,FALSE)," "),IF(U231&gt;0,VLOOKUP(U231,'Infos joueurs'!$A:$M,4,FALSE)&amp;" "&amp;VLOOKUP(U231,'Infos joueurs'!$A:$M,5,FALSE)," "))</f>
        <v xml:space="preserve"> </v>
      </c>
      <c r="Y231" s="33">
        <v>221</v>
      </c>
      <c r="Z231" s="256" t="str">
        <f t="shared" si="42"/>
        <v xml:space="preserve"> </v>
      </c>
      <c r="AA231" s="41" t="str">
        <f>IFERROR(INDEX('Infos joueurs'!$F$15:$F$270,MATCH(AB231,'Infos joueurs'!$A$15:$A$270,0))," ")</f>
        <v xml:space="preserve"> </v>
      </c>
      <c r="AB231" s="38">
        <f t="shared" si="43"/>
        <v>0</v>
      </c>
    </row>
    <row r="232" spans="1:28" x14ac:dyDescent="0.25">
      <c r="A232">
        <f t="shared" si="33"/>
        <v>1.010332</v>
      </c>
      <c r="B232">
        <f t="shared" si="34"/>
        <v>222</v>
      </c>
      <c r="C232" t="str">
        <f t="shared" si="35"/>
        <v xml:space="preserve"> </v>
      </c>
      <c r="D232">
        <f t="shared" si="36"/>
        <v>0</v>
      </c>
      <c r="E232">
        <f t="shared" si="37"/>
        <v>0</v>
      </c>
      <c r="F232">
        <f t="shared" si="38"/>
        <v>0</v>
      </c>
      <c r="G232">
        <f>IF($C$2="x",IFERROR(SMALL($A$11:$A$14,222),0),IF($C$3="x",IFERROR(SMALL($A$11:$A$18,222),0),IF($C$4="x",IFERROR(SMALL($A$11:$A$26,222),0),IF($C$5="x",IFERROR(SMALL($A$11:$A$42,222),0),IF($C$6="x",IFERROR(SMALL($A$11:$A$74,222),0),IF($C$7="x",IFERROR(SMALL($A$11:$A$138,222),0),IFERROR(SMALL($A$11:$A$266,222),0)))))))</f>
        <v>1.010332</v>
      </c>
      <c r="H232">
        <f t="shared" si="39"/>
        <v>222</v>
      </c>
      <c r="I232" t="str">
        <f t="shared" si="40"/>
        <v xml:space="preserve"> </v>
      </c>
      <c r="J232" s="34"/>
      <c r="K232" s="35" t="s">
        <v>38</v>
      </c>
      <c r="L232" s="36"/>
      <c r="M232" s="34"/>
      <c r="N232" s="35" t="s">
        <v>38</v>
      </c>
      <c r="O232" s="36"/>
      <c r="P232" s="34"/>
      <c r="Q232" s="35" t="s">
        <v>38</v>
      </c>
      <c r="R232" s="36"/>
      <c r="S232" s="37">
        <f t="shared" si="41"/>
        <v>222</v>
      </c>
      <c r="U232" s="38"/>
      <c r="V232" s="39" t="s">
        <v>260</v>
      </c>
      <c r="W232" s="40" t="str">
        <f>IF('Infos générales'!$E$2="x",IF(U232&gt;0,VLOOKUP(U232,'Infos joueurs'!$A:$M,4,FALSE)&amp;" / "&amp;VLOOKUP(U232,'Infos joueurs'!$A:$M,9,FALSE)," "),IF(U232&gt;0,VLOOKUP(U232,'Infos joueurs'!$A:$M,4,FALSE)&amp;" "&amp;VLOOKUP(U232,'Infos joueurs'!$A:$M,5,FALSE)," "))</f>
        <v xml:space="preserve"> </v>
      </c>
      <c r="Y232" s="33">
        <v>222</v>
      </c>
      <c r="Z232" s="256" t="str">
        <f t="shared" si="42"/>
        <v xml:space="preserve"> </v>
      </c>
      <c r="AA232" s="41" t="str">
        <f>IFERROR(INDEX('Infos joueurs'!$F$15:$F$270,MATCH(AB232,'Infos joueurs'!$A$15:$A$270,0))," ")</f>
        <v xml:space="preserve"> </v>
      </c>
      <c r="AB232" s="38">
        <f t="shared" si="43"/>
        <v>0</v>
      </c>
    </row>
    <row r="233" spans="1:28" x14ac:dyDescent="0.25">
      <c r="A233">
        <f t="shared" si="33"/>
        <v>1.0103329999999999</v>
      </c>
      <c r="B233">
        <f t="shared" si="34"/>
        <v>223</v>
      </c>
      <c r="C233" t="str">
        <f t="shared" si="35"/>
        <v xml:space="preserve"> </v>
      </c>
      <c r="D233">
        <f t="shared" si="36"/>
        <v>0</v>
      </c>
      <c r="E233">
        <f t="shared" si="37"/>
        <v>0</v>
      </c>
      <c r="F233">
        <f t="shared" si="38"/>
        <v>0</v>
      </c>
      <c r="G233">
        <f>IF($C$2="x",IFERROR(SMALL($A$11:$A$14,223),0),IF($C$3="x",IFERROR(SMALL($A$11:$A$18,223),0),IF($C$4="x",IFERROR(SMALL($A$11:$A$26,223),0),IF($C$5="x",IFERROR(SMALL($A$11:$A$42,223),0),IF($C$6="x",IFERROR(SMALL($A$11:$A$74,223),0),IF($C$7="x",IFERROR(SMALL($A$11:$A$138,223),0),IFERROR(SMALL($A$11:$A$266,223),0)))))))</f>
        <v>1.0103329999999999</v>
      </c>
      <c r="H233">
        <f t="shared" si="39"/>
        <v>223</v>
      </c>
      <c r="I233" t="str">
        <f t="shared" si="40"/>
        <v xml:space="preserve"> </v>
      </c>
      <c r="J233" s="34"/>
      <c r="K233" s="35" t="s">
        <v>38</v>
      </c>
      <c r="L233" s="36"/>
      <c r="M233" s="34"/>
      <c r="N233" s="35" t="s">
        <v>38</v>
      </c>
      <c r="O233" s="36"/>
      <c r="P233" s="34"/>
      <c r="Q233" s="35" t="s">
        <v>38</v>
      </c>
      <c r="R233" s="36"/>
      <c r="S233" s="37">
        <f t="shared" si="41"/>
        <v>223</v>
      </c>
      <c r="U233" s="38"/>
      <c r="V233" s="39" t="s">
        <v>261</v>
      </c>
      <c r="W233" s="40" t="str">
        <f>IF('Infos générales'!$E$2="x",IF(U233&gt;0,VLOOKUP(U233,'Infos joueurs'!$A:$M,4,FALSE)&amp;" / "&amp;VLOOKUP(U233,'Infos joueurs'!$A:$M,9,FALSE)," "),IF(U233&gt;0,VLOOKUP(U233,'Infos joueurs'!$A:$M,4,FALSE)&amp;" "&amp;VLOOKUP(U233,'Infos joueurs'!$A:$M,5,FALSE)," "))</f>
        <v xml:space="preserve"> </v>
      </c>
      <c r="Y233" s="33">
        <v>223</v>
      </c>
      <c r="Z233" s="256" t="str">
        <f t="shared" si="42"/>
        <v xml:space="preserve"> </v>
      </c>
      <c r="AA233" s="41" t="str">
        <f>IFERROR(INDEX('Infos joueurs'!$F$15:$F$270,MATCH(AB233,'Infos joueurs'!$A$15:$A$270,0))," ")</f>
        <v xml:space="preserve"> </v>
      </c>
      <c r="AB233" s="38">
        <f t="shared" si="43"/>
        <v>0</v>
      </c>
    </row>
    <row r="234" spans="1:28" x14ac:dyDescent="0.25">
      <c r="A234">
        <f t="shared" si="33"/>
        <v>1.0103340000000001</v>
      </c>
      <c r="B234">
        <f t="shared" si="34"/>
        <v>224</v>
      </c>
      <c r="C234" t="str">
        <f t="shared" si="35"/>
        <v xml:space="preserve"> </v>
      </c>
      <c r="D234">
        <f t="shared" si="36"/>
        <v>0</v>
      </c>
      <c r="E234">
        <f t="shared" si="37"/>
        <v>0</v>
      </c>
      <c r="F234">
        <f t="shared" si="38"/>
        <v>0</v>
      </c>
      <c r="G234">
        <f>IF($C$2="x",IFERROR(SMALL($A$11:$A$14,224),0),IF($C$3="x",IFERROR(SMALL($A$11:$A$18,224),0),IF($C$4="x",IFERROR(SMALL($A$11:$A$26,224),0),IF($C$5="x",IFERROR(SMALL($A$11:$A$42,224),0),IF($C$6="x",IFERROR(SMALL($A$11:$A$74,224),0),IF($C$7="x",IFERROR(SMALL($A$11:$A$138,224),0),IFERROR(SMALL($A$11:$A$266,224),0)))))))</f>
        <v>1.0103340000000001</v>
      </c>
      <c r="H234">
        <f t="shared" si="39"/>
        <v>224</v>
      </c>
      <c r="I234" t="str">
        <f t="shared" si="40"/>
        <v xml:space="preserve"> </v>
      </c>
      <c r="J234" s="34"/>
      <c r="K234" s="35" t="s">
        <v>38</v>
      </c>
      <c r="L234" s="36"/>
      <c r="M234" s="34"/>
      <c r="N234" s="35" t="s">
        <v>38</v>
      </c>
      <c r="O234" s="36"/>
      <c r="P234" s="34"/>
      <c r="Q234" s="35" t="s">
        <v>38</v>
      </c>
      <c r="R234" s="36"/>
      <c r="S234" s="37">
        <f t="shared" si="41"/>
        <v>224</v>
      </c>
      <c r="U234" s="38"/>
      <c r="V234" s="39" t="s">
        <v>262</v>
      </c>
      <c r="W234" s="40" t="str">
        <f>IF('Infos générales'!$E$2="x",IF(U234&gt;0,VLOOKUP(U234,'Infos joueurs'!$A:$M,4,FALSE)&amp;" / "&amp;VLOOKUP(U234,'Infos joueurs'!$A:$M,9,FALSE)," "),IF(U234&gt;0,VLOOKUP(U234,'Infos joueurs'!$A:$M,4,FALSE)&amp;" "&amp;VLOOKUP(U234,'Infos joueurs'!$A:$M,5,FALSE)," "))</f>
        <v xml:space="preserve"> </v>
      </c>
      <c r="Y234" s="33">
        <v>224</v>
      </c>
      <c r="Z234" s="256" t="str">
        <f t="shared" si="42"/>
        <v xml:space="preserve"> </v>
      </c>
      <c r="AA234" s="41" t="str">
        <f>IFERROR(INDEX('Infos joueurs'!$F$15:$F$270,MATCH(AB234,'Infos joueurs'!$A$15:$A$270,0))," ")</f>
        <v xml:space="preserve"> </v>
      </c>
      <c r="AB234" s="38">
        <f t="shared" si="43"/>
        <v>0</v>
      </c>
    </row>
    <row r="235" spans="1:28" x14ac:dyDescent="0.25">
      <c r="A235">
        <f t="shared" si="33"/>
        <v>1.010335</v>
      </c>
      <c r="B235">
        <f t="shared" si="34"/>
        <v>225</v>
      </c>
      <c r="C235" t="str">
        <f t="shared" si="35"/>
        <v xml:space="preserve"> </v>
      </c>
      <c r="D235">
        <f t="shared" si="36"/>
        <v>0</v>
      </c>
      <c r="E235">
        <f t="shared" si="37"/>
        <v>0</v>
      </c>
      <c r="F235">
        <f t="shared" si="38"/>
        <v>0</v>
      </c>
      <c r="G235">
        <f>IF($C$2="x",IFERROR(SMALL($A$11:$A$14,225),0),IF($C$3="x",IFERROR(SMALL($A$11:$A$18,225),0),IF($C$4="x",IFERROR(SMALL($A$11:$A$26,225),0),IF($C$5="x",IFERROR(SMALL($A$11:$A$42,225),0),IF($C$6="x",IFERROR(SMALL($A$11:$A$74,225),0),IF($C$7="x",IFERROR(SMALL($A$11:$A$138,225),0),IFERROR(SMALL($A$11:$A$266,225),0)))))))</f>
        <v>1.010335</v>
      </c>
      <c r="H235">
        <f t="shared" si="39"/>
        <v>225</v>
      </c>
      <c r="I235" t="str">
        <f t="shared" si="40"/>
        <v xml:space="preserve"> </v>
      </c>
      <c r="J235" s="34"/>
      <c r="K235" s="35" t="s">
        <v>38</v>
      </c>
      <c r="L235" s="36"/>
      <c r="M235" s="34"/>
      <c r="N235" s="35" t="s">
        <v>38</v>
      </c>
      <c r="O235" s="36"/>
      <c r="P235" s="34"/>
      <c r="Q235" s="35" t="s">
        <v>38</v>
      </c>
      <c r="R235" s="36"/>
      <c r="S235" s="37">
        <f t="shared" si="41"/>
        <v>225</v>
      </c>
      <c r="U235" s="38"/>
      <c r="V235" s="39" t="s">
        <v>263</v>
      </c>
      <c r="W235" s="40" t="str">
        <f>IF('Infos générales'!$E$2="x",IF(U235&gt;0,VLOOKUP(U235,'Infos joueurs'!$A:$M,4,FALSE)&amp;" / "&amp;VLOOKUP(U235,'Infos joueurs'!$A:$M,9,FALSE)," "),IF(U235&gt;0,VLOOKUP(U235,'Infos joueurs'!$A:$M,4,FALSE)&amp;" "&amp;VLOOKUP(U235,'Infos joueurs'!$A:$M,5,FALSE)," "))</f>
        <v xml:space="preserve"> </v>
      </c>
      <c r="Y235" s="33">
        <v>225</v>
      </c>
      <c r="Z235" s="256" t="str">
        <f t="shared" si="42"/>
        <v xml:space="preserve"> </v>
      </c>
      <c r="AA235" s="41" t="str">
        <f>IFERROR(INDEX('Infos joueurs'!$F$15:$F$270,MATCH(AB235,'Infos joueurs'!$A$15:$A$270,0))," ")</f>
        <v xml:space="preserve"> </v>
      </c>
      <c r="AB235" s="38">
        <f t="shared" si="43"/>
        <v>0</v>
      </c>
    </row>
    <row r="236" spans="1:28" x14ac:dyDescent="0.25">
      <c r="A236">
        <f t="shared" si="33"/>
        <v>1.0103359999999999</v>
      </c>
      <c r="B236">
        <f t="shared" si="34"/>
        <v>226</v>
      </c>
      <c r="C236" t="str">
        <f t="shared" si="35"/>
        <v xml:space="preserve"> </v>
      </c>
      <c r="D236">
        <f t="shared" si="36"/>
        <v>0</v>
      </c>
      <c r="E236">
        <f t="shared" si="37"/>
        <v>0</v>
      </c>
      <c r="F236">
        <f t="shared" si="38"/>
        <v>0</v>
      </c>
      <c r="G236">
        <f>IF($C$2="x",IFERROR(SMALL($A$11:$A$14,226),0),IF($C$3="x",IFERROR(SMALL($A$11:$A$18,226),0),IF($C$4="x",IFERROR(SMALL($A$11:$A$26,226),0),IF($C$5="x",IFERROR(SMALL($A$11:$A$42,226),0),IF($C$6="x",IFERROR(SMALL($A$11:$A$74,226),0),IF($C$7="x",IFERROR(SMALL($A$11:$A$138,226),0),IFERROR(SMALL($A$11:$A$266,226),0)))))))</f>
        <v>1.0103359999999999</v>
      </c>
      <c r="H236">
        <f t="shared" si="39"/>
        <v>226</v>
      </c>
      <c r="I236" t="str">
        <f t="shared" si="40"/>
        <v xml:space="preserve"> </v>
      </c>
      <c r="J236" s="34"/>
      <c r="K236" s="35" t="s">
        <v>38</v>
      </c>
      <c r="L236" s="36"/>
      <c r="M236" s="34"/>
      <c r="N236" s="35" t="s">
        <v>38</v>
      </c>
      <c r="O236" s="36"/>
      <c r="P236" s="34"/>
      <c r="Q236" s="35" t="s">
        <v>38</v>
      </c>
      <c r="R236" s="36"/>
      <c r="S236" s="37">
        <f t="shared" si="41"/>
        <v>226</v>
      </c>
      <c r="U236" s="38"/>
      <c r="V236" s="39" t="s">
        <v>264</v>
      </c>
      <c r="W236" s="40" t="str">
        <f>IF('Infos générales'!$E$2="x",IF(U236&gt;0,VLOOKUP(U236,'Infos joueurs'!$A:$M,4,FALSE)&amp;" / "&amp;VLOOKUP(U236,'Infos joueurs'!$A:$M,9,FALSE)," "),IF(U236&gt;0,VLOOKUP(U236,'Infos joueurs'!$A:$M,4,FALSE)&amp;" "&amp;VLOOKUP(U236,'Infos joueurs'!$A:$M,5,FALSE)," "))</f>
        <v xml:space="preserve"> </v>
      </c>
      <c r="Y236" s="33">
        <v>226</v>
      </c>
      <c r="Z236" s="256" t="str">
        <f t="shared" si="42"/>
        <v xml:space="preserve"> </v>
      </c>
      <c r="AA236" s="41" t="str">
        <f>IFERROR(INDEX('Infos joueurs'!$F$15:$F$270,MATCH(AB236,'Infos joueurs'!$A$15:$A$270,0))," ")</f>
        <v xml:space="preserve"> </v>
      </c>
      <c r="AB236" s="38">
        <f t="shared" si="43"/>
        <v>0</v>
      </c>
    </row>
    <row r="237" spans="1:28" x14ac:dyDescent="0.25">
      <c r="A237">
        <f t="shared" si="33"/>
        <v>1.010337</v>
      </c>
      <c r="B237">
        <f t="shared" si="34"/>
        <v>227</v>
      </c>
      <c r="C237" t="str">
        <f t="shared" si="35"/>
        <v xml:space="preserve"> </v>
      </c>
      <c r="D237">
        <f t="shared" si="36"/>
        <v>0</v>
      </c>
      <c r="E237">
        <f t="shared" si="37"/>
        <v>0</v>
      </c>
      <c r="F237">
        <f t="shared" si="38"/>
        <v>0</v>
      </c>
      <c r="G237">
        <f>IF($C$2="x",IFERROR(SMALL($A$11:$A$14,227),0),IF($C$3="x",IFERROR(SMALL($A$11:$A$18,227),0),IF($C$4="x",IFERROR(SMALL($A$11:$A$26,227),0),IF($C$5="x",IFERROR(SMALL($A$11:$A$42,227),0),IF($C$6="x",IFERROR(SMALL($A$11:$A$74,227),0),IF($C$7="x",IFERROR(SMALL($A$11:$A$138,227),0),IFERROR(SMALL($A$11:$A$266,227),0)))))))</f>
        <v>1.010337</v>
      </c>
      <c r="H237">
        <f t="shared" si="39"/>
        <v>227</v>
      </c>
      <c r="I237" t="str">
        <f t="shared" si="40"/>
        <v xml:space="preserve"> </v>
      </c>
      <c r="J237" s="34"/>
      <c r="K237" s="35" t="s">
        <v>38</v>
      </c>
      <c r="L237" s="36"/>
      <c r="M237" s="34"/>
      <c r="N237" s="35" t="s">
        <v>38</v>
      </c>
      <c r="O237" s="36"/>
      <c r="P237" s="34"/>
      <c r="Q237" s="35" t="s">
        <v>38</v>
      </c>
      <c r="R237" s="36"/>
      <c r="S237" s="37">
        <f t="shared" si="41"/>
        <v>227</v>
      </c>
      <c r="U237" s="38"/>
      <c r="V237" s="39" t="s">
        <v>265</v>
      </c>
      <c r="W237" s="40" t="str">
        <f>IF('Infos générales'!$E$2="x",IF(U237&gt;0,VLOOKUP(U237,'Infos joueurs'!$A:$M,4,FALSE)&amp;" / "&amp;VLOOKUP(U237,'Infos joueurs'!$A:$M,9,FALSE)," "),IF(U237&gt;0,VLOOKUP(U237,'Infos joueurs'!$A:$M,4,FALSE)&amp;" "&amp;VLOOKUP(U237,'Infos joueurs'!$A:$M,5,FALSE)," "))</f>
        <v xml:space="preserve"> </v>
      </c>
      <c r="Y237" s="33">
        <v>227</v>
      </c>
      <c r="Z237" s="256" t="str">
        <f t="shared" si="42"/>
        <v xml:space="preserve"> </v>
      </c>
      <c r="AA237" s="41" t="str">
        <f>IFERROR(INDEX('Infos joueurs'!$F$15:$F$270,MATCH(AB237,'Infos joueurs'!$A$15:$A$270,0))," ")</f>
        <v xml:space="preserve"> </v>
      </c>
      <c r="AB237" s="38">
        <f t="shared" si="43"/>
        <v>0</v>
      </c>
    </row>
    <row r="238" spans="1:28" x14ac:dyDescent="0.25">
      <c r="A238">
        <f t="shared" si="33"/>
        <v>1.010338</v>
      </c>
      <c r="B238">
        <f t="shared" si="34"/>
        <v>228</v>
      </c>
      <c r="C238" t="str">
        <f t="shared" si="35"/>
        <v xml:space="preserve"> </v>
      </c>
      <c r="D238">
        <f t="shared" si="36"/>
        <v>0</v>
      </c>
      <c r="E238">
        <f t="shared" si="37"/>
        <v>0</v>
      </c>
      <c r="F238">
        <f t="shared" si="38"/>
        <v>0</v>
      </c>
      <c r="G238">
        <f>IF($C$2="x",IFERROR(SMALL($A$11:$A$14,228),0),IF($C$3="x",IFERROR(SMALL($A$11:$A$18,228),0),IF($C$4="x",IFERROR(SMALL($A$11:$A$26,228),0),IF($C$5="x",IFERROR(SMALL($A$11:$A$42,228),0),IF($C$6="x",IFERROR(SMALL($A$11:$A$74,228),0),IF($C$7="x",IFERROR(SMALL($A$11:$A$138,228),0),IFERROR(SMALL($A$11:$A$266,228),0)))))))</f>
        <v>1.010338</v>
      </c>
      <c r="H238">
        <f t="shared" si="39"/>
        <v>228</v>
      </c>
      <c r="I238" t="str">
        <f t="shared" si="40"/>
        <v xml:space="preserve"> </v>
      </c>
      <c r="J238" s="34"/>
      <c r="K238" s="35" t="s">
        <v>38</v>
      </c>
      <c r="L238" s="36"/>
      <c r="M238" s="34"/>
      <c r="N238" s="35" t="s">
        <v>38</v>
      </c>
      <c r="O238" s="36"/>
      <c r="P238" s="34"/>
      <c r="Q238" s="35" t="s">
        <v>38</v>
      </c>
      <c r="R238" s="36"/>
      <c r="S238" s="37">
        <f t="shared" si="41"/>
        <v>228</v>
      </c>
      <c r="U238" s="38"/>
      <c r="V238" s="39" t="s">
        <v>266</v>
      </c>
      <c r="W238" s="40" t="str">
        <f>IF('Infos générales'!$E$2="x",IF(U238&gt;0,VLOOKUP(U238,'Infos joueurs'!$A:$M,4,FALSE)&amp;" / "&amp;VLOOKUP(U238,'Infos joueurs'!$A:$M,9,FALSE)," "),IF(U238&gt;0,VLOOKUP(U238,'Infos joueurs'!$A:$M,4,FALSE)&amp;" "&amp;VLOOKUP(U238,'Infos joueurs'!$A:$M,5,FALSE)," "))</f>
        <v xml:space="preserve"> </v>
      </c>
      <c r="Y238" s="33">
        <v>228</v>
      </c>
      <c r="Z238" s="256" t="str">
        <f t="shared" si="42"/>
        <v xml:space="preserve"> </v>
      </c>
      <c r="AA238" s="41" t="str">
        <f>IFERROR(INDEX('Infos joueurs'!$F$15:$F$270,MATCH(AB238,'Infos joueurs'!$A$15:$A$270,0))," ")</f>
        <v xml:space="preserve"> </v>
      </c>
      <c r="AB238" s="38">
        <f t="shared" si="43"/>
        <v>0</v>
      </c>
    </row>
    <row r="239" spans="1:28" x14ac:dyDescent="0.25">
      <c r="A239">
        <f t="shared" si="33"/>
        <v>1.0103390000000001</v>
      </c>
      <c r="B239">
        <f t="shared" si="34"/>
        <v>229</v>
      </c>
      <c r="C239" t="str">
        <f t="shared" si="35"/>
        <v xml:space="preserve"> </v>
      </c>
      <c r="D239">
        <f t="shared" si="36"/>
        <v>0</v>
      </c>
      <c r="E239">
        <f t="shared" si="37"/>
        <v>0</v>
      </c>
      <c r="F239">
        <f t="shared" si="38"/>
        <v>0</v>
      </c>
      <c r="G239">
        <f>IF($C$2="x",IFERROR(SMALL($A$11:$A$14,229),0),IF($C$3="x",IFERROR(SMALL($A$11:$A$18,229),0),IF($C$4="x",IFERROR(SMALL($A$11:$A$26,229),0),IF($C$5="x",IFERROR(SMALL($A$11:$A$42,229),0),IF($C$6="x",IFERROR(SMALL($A$11:$A$74,229),0),IF($C$7="x",IFERROR(SMALL($A$11:$A$138,229),0),IFERROR(SMALL($A$11:$A$266,229),0)))))))</f>
        <v>1.0103390000000001</v>
      </c>
      <c r="H239">
        <f t="shared" si="39"/>
        <v>229</v>
      </c>
      <c r="I239" t="str">
        <f t="shared" si="40"/>
        <v xml:space="preserve"> </v>
      </c>
      <c r="J239" s="34"/>
      <c r="K239" s="35" t="s">
        <v>38</v>
      </c>
      <c r="L239" s="36"/>
      <c r="M239" s="34"/>
      <c r="N239" s="35" t="s">
        <v>38</v>
      </c>
      <c r="O239" s="36"/>
      <c r="P239" s="34"/>
      <c r="Q239" s="35" t="s">
        <v>38</v>
      </c>
      <c r="R239" s="36"/>
      <c r="S239" s="37">
        <f t="shared" si="41"/>
        <v>229</v>
      </c>
      <c r="U239" s="38"/>
      <c r="V239" s="39" t="s">
        <v>267</v>
      </c>
      <c r="W239" s="40" t="str">
        <f>IF('Infos générales'!$E$2="x",IF(U239&gt;0,VLOOKUP(U239,'Infos joueurs'!$A:$M,4,FALSE)&amp;" / "&amp;VLOOKUP(U239,'Infos joueurs'!$A:$M,9,FALSE)," "),IF(U239&gt;0,VLOOKUP(U239,'Infos joueurs'!$A:$M,4,FALSE)&amp;" "&amp;VLOOKUP(U239,'Infos joueurs'!$A:$M,5,FALSE)," "))</f>
        <v xml:space="preserve"> </v>
      </c>
      <c r="Y239" s="33">
        <v>229</v>
      </c>
      <c r="Z239" s="256" t="str">
        <f t="shared" si="42"/>
        <v xml:space="preserve"> </v>
      </c>
      <c r="AA239" s="41" t="str">
        <f>IFERROR(INDEX('Infos joueurs'!$F$15:$F$270,MATCH(AB239,'Infos joueurs'!$A$15:$A$270,0))," ")</f>
        <v xml:space="preserve"> </v>
      </c>
      <c r="AB239" s="38">
        <f t="shared" si="43"/>
        <v>0</v>
      </c>
    </row>
    <row r="240" spans="1:28" x14ac:dyDescent="0.25">
      <c r="A240">
        <f t="shared" si="33"/>
        <v>1.01034</v>
      </c>
      <c r="B240">
        <f t="shared" si="34"/>
        <v>230</v>
      </c>
      <c r="C240" t="str">
        <f t="shared" si="35"/>
        <v xml:space="preserve"> </v>
      </c>
      <c r="D240">
        <f t="shared" si="36"/>
        <v>0</v>
      </c>
      <c r="E240">
        <f t="shared" si="37"/>
        <v>0</v>
      </c>
      <c r="F240">
        <f t="shared" si="38"/>
        <v>0</v>
      </c>
      <c r="G240">
        <f>IF($C$2="x",IFERROR(SMALL($A$11:$A$14,230),0),IF($C$3="x",IFERROR(SMALL($A$11:$A$18,230),0),IF($C$4="x",IFERROR(SMALL($A$11:$A$26,230),0),IF($C$5="x",IFERROR(SMALL($A$11:$A$42,230),0),IF($C$6="x",IFERROR(SMALL($A$11:$A$74,230),0),IF($C$7="x",IFERROR(SMALL($A$11:$A$138,230),0),IFERROR(SMALL($A$11:$A$266,230),0)))))))</f>
        <v>1.01034</v>
      </c>
      <c r="H240">
        <f t="shared" si="39"/>
        <v>230</v>
      </c>
      <c r="I240" t="str">
        <f t="shared" si="40"/>
        <v xml:space="preserve"> </v>
      </c>
      <c r="J240" s="34"/>
      <c r="K240" s="35" t="s">
        <v>38</v>
      </c>
      <c r="L240" s="36"/>
      <c r="M240" s="34"/>
      <c r="N240" s="35" t="s">
        <v>38</v>
      </c>
      <c r="O240" s="36"/>
      <c r="P240" s="34"/>
      <c r="Q240" s="35" t="s">
        <v>38</v>
      </c>
      <c r="R240" s="36"/>
      <c r="S240" s="37">
        <f t="shared" si="41"/>
        <v>230</v>
      </c>
      <c r="U240" s="38"/>
      <c r="V240" s="39" t="s">
        <v>268</v>
      </c>
      <c r="W240" s="40" t="str">
        <f>IF('Infos générales'!$E$2="x",IF(U240&gt;0,VLOOKUP(U240,'Infos joueurs'!$A:$M,4,FALSE)&amp;" / "&amp;VLOOKUP(U240,'Infos joueurs'!$A:$M,9,FALSE)," "),IF(U240&gt;0,VLOOKUP(U240,'Infos joueurs'!$A:$M,4,FALSE)&amp;" "&amp;VLOOKUP(U240,'Infos joueurs'!$A:$M,5,FALSE)," "))</f>
        <v xml:space="preserve"> </v>
      </c>
      <c r="Y240" s="33">
        <v>230</v>
      </c>
      <c r="Z240" s="256" t="str">
        <f t="shared" si="42"/>
        <v xml:space="preserve"> </v>
      </c>
      <c r="AA240" s="41" t="str">
        <f>IFERROR(INDEX('Infos joueurs'!$F$15:$F$270,MATCH(AB240,'Infos joueurs'!$A$15:$A$270,0))," ")</f>
        <v xml:space="preserve"> </v>
      </c>
      <c r="AB240" s="38">
        <f t="shared" si="43"/>
        <v>0</v>
      </c>
    </row>
    <row r="241" spans="1:28" x14ac:dyDescent="0.25">
      <c r="A241">
        <f t="shared" si="33"/>
        <v>1.0103409999999999</v>
      </c>
      <c r="B241">
        <f t="shared" si="34"/>
        <v>231</v>
      </c>
      <c r="C241" t="str">
        <f t="shared" si="35"/>
        <v xml:space="preserve"> </v>
      </c>
      <c r="D241">
        <f t="shared" si="36"/>
        <v>0</v>
      </c>
      <c r="E241">
        <f t="shared" si="37"/>
        <v>0</v>
      </c>
      <c r="F241">
        <f t="shared" si="38"/>
        <v>0</v>
      </c>
      <c r="G241">
        <f>IF($C$2="x",IFERROR(SMALL($A$11:$A$14,231),0),IF($C$3="x",IFERROR(SMALL($A$11:$A$18,231),0),IF($C$4="x",IFERROR(SMALL($A$11:$A$26,231),0),IF($C$5="x",IFERROR(SMALL($A$11:$A$42,231),0),IF($C$6="x",IFERROR(SMALL($A$11:$A$74,231),0),IF($C$7="x",IFERROR(SMALL($A$11:$A$138,231),0),IFERROR(SMALL($A$11:$A$266,231),0)))))))</f>
        <v>1.0103409999999999</v>
      </c>
      <c r="H241">
        <f t="shared" si="39"/>
        <v>231</v>
      </c>
      <c r="I241" t="str">
        <f t="shared" si="40"/>
        <v xml:space="preserve"> </v>
      </c>
      <c r="J241" s="34"/>
      <c r="K241" s="35" t="s">
        <v>38</v>
      </c>
      <c r="L241" s="36"/>
      <c r="M241" s="34"/>
      <c r="N241" s="35" t="s">
        <v>38</v>
      </c>
      <c r="O241" s="36"/>
      <c r="P241" s="34"/>
      <c r="Q241" s="35" t="s">
        <v>38</v>
      </c>
      <c r="R241" s="36"/>
      <c r="S241" s="37">
        <f t="shared" si="41"/>
        <v>231</v>
      </c>
      <c r="U241" s="38"/>
      <c r="V241" s="39" t="s">
        <v>269</v>
      </c>
      <c r="W241" s="40" t="str">
        <f>IF('Infos générales'!$E$2="x",IF(U241&gt;0,VLOOKUP(U241,'Infos joueurs'!$A:$M,4,FALSE)&amp;" / "&amp;VLOOKUP(U241,'Infos joueurs'!$A:$M,9,FALSE)," "),IF(U241&gt;0,VLOOKUP(U241,'Infos joueurs'!$A:$M,4,FALSE)&amp;" "&amp;VLOOKUP(U241,'Infos joueurs'!$A:$M,5,FALSE)," "))</f>
        <v xml:space="preserve"> </v>
      </c>
      <c r="Y241" s="33">
        <v>231</v>
      </c>
      <c r="Z241" s="256" t="str">
        <f t="shared" si="42"/>
        <v xml:space="preserve"> </v>
      </c>
      <c r="AA241" s="41" t="str">
        <f>IFERROR(INDEX('Infos joueurs'!$F$15:$F$270,MATCH(AB241,'Infos joueurs'!$A$15:$A$270,0))," ")</f>
        <v xml:space="preserve"> </v>
      </c>
      <c r="AB241" s="38">
        <f t="shared" si="43"/>
        <v>0</v>
      </c>
    </row>
    <row r="242" spans="1:28" x14ac:dyDescent="0.25">
      <c r="A242">
        <f t="shared" si="33"/>
        <v>1.0103420000000001</v>
      </c>
      <c r="B242">
        <f t="shared" si="34"/>
        <v>232</v>
      </c>
      <c r="C242" t="str">
        <f t="shared" si="35"/>
        <v xml:space="preserve"> </v>
      </c>
      <c r="D242">
        <f t="shared" si="36"/>
        <v>0</v>
      </c>
      <c r="E242">
        <f t="shared" si="37"/>
        <v>0</v>
      </c>
      <c r="F242">
        <f t="shared" si="38"/>
        <v>0</v>
      </c>
      <c r="G242">
        <f>IF($C$2="x",IFERROR(SMALL($A$11:$A$14,232),0),IF($C$3="x",IFERROR(SMALL($A$11:$A$18,232),0),IF($C$4="x",IFERROR(SMALL($A$11:$A$26,232),0),IF($C$5="x",IFERROR(SMALL($A$11:$A$42,232),0),IF($C$6="x",IFERROR(SMALL($A$11:$A$74,232),0),IF($C$7="x",IFERROR(SMALL($A$11:$A$138,232),0),IFERROR(SMALL($A$11:$A$266,232),0)))))))</f>
        <v>1.0103420000000001</v>
      </c>
      <c r="H242">
        <f t="shared" si="39"/>
        <v>232</v>
      </c>
      <c r="I242" t="str">
        <f t="shared" si="40"/>
        <v xml:space="preserve"> </v>
      </c>
      <c r="J242" s="34"/>
      <c r="K242" s="35" t="s">
        <v>38</v>
      </c>
      <c r="L242" s="36"/>
      <c r="M242" s="34"/>
      <c r="N242" s="35" t="s">
        <v>38</v>
      </c>
      <c r="O242" s="36"/>
      <c r="P242" s="34"/>
      <c r="Q242" s="35" t="s">
        <v>38</v>
      </c>
      <c r="R242" s="36"/>
      <c r="S242" s="37">
        <f t="shared" si="41"/>
        <v>232</v>
      </c>
      <c r="U242" s="38"/>
      <c r="V242" s="39" t="s">
        <v>270</v>
      </c>
      <c r="W242" s="40" t="str">
        <f>IF('Infos générales'!$E$2="x",IF(U242&gt;0,VLOOKUP(U242,'Infos joueurs'!$A:$M,4,FALSE)&amp;" / "&amp;VLOOKUP(U242,'Infos joueurs'!$A:$M,9,FALSE)," "),IF(U242&gt;0,VLOOKUP(U242,'Infos joueurs'!$A:$M,4,FALSE)&amp;" "&amp;VLOOKUP(U242,'Infos joueurs'!$A:$M,5,FALSE)," "))</f>
        <v xml:space="preserve"> </v>
      </c>
      <c r="Y242" s="33">
        <v>232</v>
      </c>
      <c r="Z242" s="256" t="str">
        <f t="shared" si="42"/>
        <v xml:space="preserve"> </v>
      </c>
      <c r="AA242" s="41" t="str">
        <f>IFERROR(INDEX('Infos joueurs'!$F$15:$F$270,MATCH(AB242,'Infos joueurs'!$A$15:$A$270,0))," ")</f>
        <v xml:space="preserve"> </v>
      </c>
      <c r="AB242" s="38">
        <f t="shared" si="43"/>
        <v>0</v>
      </c>
    </row>
    <row r="243" spans="1:28" x14ac:dyDescent="0.25">
      <c r="A243">
        <f t="shared" si="33"/>
        <v>1.010343</v>
      </c>
      <c r="B243">
        <f t="shared" si="34"/>
        <v>233</v>
      </c>
      <c r="C243" t="str">
        <f t="shared" si="35"/>
        <v xml:space="preserve"> </v>
      </c>
      <c r="D243">
        <f t="shared" si="36"/>
        <v>0</v>
      </c>
      <c r="E243">
        <f t="shared" si="37"/>
        <v>0</v>
      </c>
      <c r="F243">
        <f t="shared" si="38"/>
        <v>0</v>
      </c>
      <c r="G243">
        <f>IF($C$2="x",IFERROR(SMALL($A$11:$A$14,233),0),IF($C$3="x",IFERROR(SMALL($A$11:$A$18,233),0),IF($C$4="x",IFERROR(SMALL($A$11:$A$26,233),0),IF($C$5="x",IFERROR(SMALL($A$11:$A$42,233),0),IF($C$6="x",IFERROR(SMALL($A$11:$A$74,233),0),IF($C$7="x",IFERROR(SMALL($A$11:$A$138,233),0),IFERROR(SMALL($A$11:$A$266,233),0)))))))</f>
        <v>1.010343</v>
      </c>
      <c r="H243">
        <f t="shared" si="39"/>
        <v>233</v>
      </c>
      <c r="I243" t="str">
        <f t="shared" si="40"/>
        <v xml:space="preserve"> </v>
      </c>
      <c r="J243" s="34"/>
      <c r="K243" s="35" t="s">
        <v>38</v>
      </c>
      <c r="L243" s="36"/>
      <c r="M243" s="34"/>
      <c r="N243" s="35" t="s">
        <v>38</v>
      </c>
      <c r="O243" s="36"/>
      <c r="P243" s="34"/>
      <c r="Q243" s="35" t="s">
        <v>38</v>
      </c>
      <c r="R243" s="36"/>
      <c r="S243" s="37">
        <f t="shared" si="41"/>
        <v>233</v>
      </c>
      <c r="U243" s="38"/>
      <c r="V243" s="39" t="s">
        <v>271</v>
      </c>
      <c r="W243" s="40" t="str">
        <f>IF('Infos générales'!$E$2="x",IF(U243&gt;0,VLOOKUP(U243,'Infos joueurs'!$A:$M,4,FALSE)&amp;" / "&amp;VLOOKUP(U243,'Infos joueurs'!$A:$M,9,FALSE)," "),IF(U243&gt;0,VLOOKUP(U243,'Infos joueurs'!$A:$M,4,FALSE)&amp;" "&amp;VLOOKUP(U243,'Infos joueurs'!$A:$M,5,FALSE)," "))</f>
        <v xml:space="preserve"> </v>
      </c>
      <c r="Y243" s="33">
        <v>233</v>
      </c>
      <c r="Z243" s="256" t="str">
        <f t="shared" si="42"/>
        <v xml:space="preserve"> </v>
      </c>
      <c r="AA243" s="41" t="str">
        <f>IFERROR(INDEX('Infos joueurs'!$F$15:$F$270,MATCH(AB243,'Infos joueurs'!$A$15:$A$270,0))," ")</f>
        <v xml:space="preserve"> </v>
      </c>
      <c r="AB243" s="38">
        <f t="shared" si="43"/>
        <v>0</v>
      </c>
    </row>
    <row r="244" spans="1:28" x14ac:dyDescent="0.25">
      <c r="A244">
        <f t="shared" si="33"/>
        <v>1.0103439999999999</v>
      </c>
      <c r="B244">
        <f t="shared" si="34"/>
        <v>234</v>
      </c>
      <c r="C244" t="str">
        <f t="shared" si="35"/>
        <v xml:space="preserve"> </v>
      </c>
      <c r="D244">
        <f t="shared" si="36"/>
        <v>0</v>
      </c>
      <c r="E244">
        <f t="shared" si="37"/>
        <v>0</v>
      </c>
      <c r="F244">
        <f t="shared" si="38"/>
        <v>0</v>
      </c>
      <c r="G244">
        <f>IF($C$2="x",IFERROR(SMALL($A$11:$A$14,234),0),IF($C$3="x",IFERROR(SMALL($A$11:$A$18,234),0),IF($C$4="x",IFERROR(SMALL($A$11:$A$26,234),0),IF($C$5="x",IFERROR(SMALL($A$11:$A$42,234),0),IF($C$6="x",IFERROR(SMALL($A$11:$A$74,234),0),IF($C$7="x",IFERROR(SMALL($A$11:$A$138,234),0),IFERROR(SMALL($A$11:$A$266,234),0)))))))</f>
        <v>1.0103439999999999</v>
      </c>
      <c r="H244">
        <f t="shared" si="39"/>
        <v>234</v>
      </c>
      <c r="I244" t="str">
        <f t="shared" si="40"/>
        <v xml:space="preserve"> </v>
      </c>
      <c r="J244" s="34"/>
      <c r="K244" s="35" t="s">
        <v>38</v>
      </c>
      <c r="L244" s="36"/>
      <c r="M244" s="34"/>
      <c r="N244" s="35" t="s">
        <v>38</v>
      </c>
      <c r="O244" s="36"/>
      <c r="P244" s="34"/>
      <c r="Q244" s="35" t="s">
        <v>38</v>
      </c>
      <c r="R244" s="36"/>
      <c r="S244" s="37">
        <f t="shared" si="41"/>
        <v>234</v>
      </c>
      <c r="U244" s="38"/>
      <c r="V244" s="39" t="s">
        <v>272</v>
      </c>
      <c r="W244" s="40" t="str">
        <f>IF('Infos générales'!$E$2="x",IF(U244&gt;0,VLOOKUP(U244,'Infos joueurs'!$A:$M,4,FALSE)&amp;" / "&amp;VLOOKUP(U244,'Infos joueurs'!$A:$M,9,FALSE)," "),IF(U244&gt;0,VLOOKUP(U244,'Infos joueurs'!$A:$M,4,FALSE)&amp;" "&amp;VLOOKUP(U244,'Infos joueurs'!$A:$M,5,FALSE)," "))</f>
        <v xml:space="preserve"> </v>
      </c>
      <c r="Y244" s="33">
        <v>234</v>
      </c>
      <c r="Z244" s="256" t="str">
        <f t="shared" si="42"/>
        <v xml:space="preserve"> </v>
      </c>
      <c r="AA244" s="41" t="str">
        <f>IFERROR(INDEX('Infos joueurs'!$F$15:$F$270,MATCH(AB244,'Infos joueurs'!$A$15:$A$270,0))," ")</f>
        <v xml:space="preserve"> </v>
      </c>
      <c r="AB244" s="38">
        <f t="shared" si="43"/>
        <v>0</v>
      </c>
    </row>
    <row r="245" spans="1:28" x14ac:dyDescent="0.25">
      <c r="A245">
        <f t="shared" si="33"/>
        <v>1.010345</v>
      </c>
      <c r="B245">
        <f t="shared" si="34"/>
        <v>235</v>
      </c>
      <c r="C245" t="str">
        <f t="shared" si="35"/>
        <v xml:space="preserve"> </v>
      </c>
      <c r="D245">
        <f t="shared" si="36"/>
        <v>0</v>
      </c>
      <c r="E245">
        <f t="shared" si="37"/>
        <v>0</v>
      </c>
      <c r="F245">
        <f t="shared" si="38"/>
        <v>0</v>
      </c>
      <c r="G245">
        <f>IF($C$2="x",IFERROR(SMALL($A$11:$A$14,235),0),IF($C$3="x",IFERROR(SMALL($A$11:$A$18,235),0),IF($C$4="x",IFERROR(SMALL($A$11:$A$26,235),0),IF($C$5="x",IFERROR(SMALL($A$11:$A$42,235),0),IF($C$6="x",IFERROR(SMALL($A$11:$A$74,235),0),IF($C$7="x",IFERROR(SMALL($A$11:$A$138,235),0),IFERROR(SMALL($A$11:$A$266,235),0)))))))</f>
        <v>1.010345</v>
      </c>
      <c r="H245">
        <f t="shared" si="39"/>
        <v>235</v>
      </c>
      <c r="I245" t="str">
        <f t="shared" si="40"/>
        <v xml:space="preserve"> </v>
      </c>
      <c r="J245" s="34"/>
      <c r="K245" s="35" t="s">
        <v>38</v>
      </c>
      <c r="L245" s="36"/>
      <c r="M245" s="34"/>
      <c r="N245" s="35" t="s">
        <v>38</v>
      </c>
      <c r="O245" s="36"/>
      <c r="P245" s="34"/>
      <c r="Q245" s="35" t="s">
        <v>38</v>
      </c>
      <c r="R245" s="36"/>
      <c r="S245" s="37">
        <f t="shared" si="41"/>
        <v>235</v>
      </c>
      <c r="U245" s="38"/>
      <c r="V245" s="39" t="s">
        <v>273</v>
      </c>
      <c r="W245" s="40" t="str">
        <f>IF('Infos générales'!$E$2="x",IF(U245&gt;0,VLOOKUP(U245,'Infos joueurs'!$A:$M,4,FALSE)&amp;" / "&amp;VLOOKUP(U245,'Infos joueurs'!$A:$M,9,FALSE)," "),IF(U245&gt;0,VLOOKUP(U245,'Infos joueurs'!$A:$M,4,FALSE)&amp;" "&amp;VLOOKUP(U245,'Infos joueurs'!$A:$M,5,FALSE)," "))</f>
        <v xml:space="preserve"> </v>
      </c>
      <c r="Y245" s="33">
        <v>235</v>
      </c>
      <c r="Z245" s="256" t="str">
        <f t="shared" si="42"/>
        <v xml:space="preserve"> </v>
      </c>
      <c r="AA245" s="41" t="str">
        <f>IFERROR(INDEX('Infos joueurs'!$F$15:$F$270,MATCH(AB245,'Infos joueurs'!$A$15:$A$270,0))," ")</f>
        <v xml:space="preserve"> </v>
      </c>
      <c r="AB245" s="38">
        <f t="shared" si="43"/>
        <v>0</v>
      </c>
    </row>
    <row r="246" spans="1:28" x14ac:dyDescent="0.25">
      <c r="A246">
        <f t="shared" si="33"/>
        <v>1.010346</v>
      </c>
      <c r="B246">
        <f t="shared" si="34"/>
        <v>236</v>
      </c>
      <c r="C246" t="str">
        <f t="shared" si="35"/>
        <v xml:space="preserve"> </v>
      </c>
      <c r="D246">
        <f t="shared" si="36"/>
        <v>0</v>
      </c>
      <c r="E246">
        <f t="shared" si="37"/>
        <v>0</v>
      </c>
      <c r="F246">
        <f t="shared" si="38"/>
        <v>0</v>
      </c>
      <c r="G246">
        <f>IF($C$2="x",IFERROR(SMALL($A$11:$A$14,236),0),IF($C$3="x",IFERROR(SMALL($A$11:$A$18,236),0),IF($C$4="x",IFERROR(SMALL($A$11:$A$26,236),0),IF($C$5="x",IFERROR(SMALL($A$11:$A$42,236),0),IF($C$6="x",IFERROR(SMALL($A$11:$A$74,236),0),IF($C$7="x",IFERROR(SMALL($A$11:$A$138,236),0),IFERROR(SMALL($A$11:$A$266,236),0)))))))</f>
        <v>1.010346</v>
      </c>
      <c r="H246">
        <f t="shared" si="39"/>
        <v>236</v>
      </c>
      <c r="I246" t="str">
        <f t="shared" si="40"/>
        <v xml:space="preserve"> </v>
      </c>
      <c r="J246" s="34"/>
      <c r="K246" s="35" t="s">
        <v>38</v>
      </c>
      <c r="L246" s="36"/>
      <c r="M246" s="34"/>
      <c r="N246" s="35" t="s">
        <v>38</v>
      </c>
      <c r="O246" s="36"/>
      <c r="P246" s="34"/>
      <c r="Q246" s="35" t="s">
        <v>38</v>
      </c>
      <c r="R246" s="36"/>
      <c r="S246" s="37">
        <f t="shared" si="41"/>
        <v>236</v>
      </c>
      <c r="U246" s="38"/>
      <c r="V246" s="39" t="s">
        <v>274</v>
      </c>
      <c r="W246" s="40" t="str">
        <f>IF('Infos générales'!$E$2="x",IF(U246&gt;0,VLOOKUP(U246,'Infos joueurs'!$A:$M,4,FALSE)&amp;" / "&amp;VLOOKUP(U246,'Infos joueurs'!$A:$M,9,FALSE)," "),IF(U246&gt;0,VLOOKUP(U246,'Infos joueurs'!$A:$M,4,FALSE)&amp;" "&amp;VLOOKUP(U246,'Infos joueurs'!$A:$M,5,FALSE)," "))</f>
        <v xml:space="preserve"> </v>
      </c>
      <c r="Y246" s="33">
        <v>236</v>
      </c>
      <c r="Z246" s="256" t="str">
        <f t="shared" si="42"/>
        <v xml:space="preserve"> </v>
      </c>
      <c r="AA246" s="41" t="str">
        <f>IFERROR(INDEX('Infos joueurs'!$F$15:$F$270,MATCH(AB246,'Infos joueurs'!$A$15:$A$270,0))," ")</f>
        <v xml:space="preserve"> </v>
      </c>
      <c r="AB246" s="38">
        <f t="shared" si="43"/>
        <v>0</v>
      </c>
    </row>
    <row r="247" spans="1:28" x14ac:dyDescent="0.25">
      <c r="A247">
        <f t="shared" si="33"/>
        <v>1.0103470000000001</v>
      </c>
      <c r="B247">
        <f t="shared" si="34"/>
        <v>237</v>
      </c>
      <c r="C247" t="str">
        <f t="shared" si="35"/>
        <v xml:space="preserve"> </v>
      </c>
      <c r="D247">
        <f t="shared" si="36"/>
        <v>0</v>
      </c>
      <c r="E247">
        <f t="shared" si="37"/>
        <v>0</v>
      </c>
      <c r="F247">
        <f t="shared" si="38"/>
        <v>0</v>
      </c>
      <c r="G247">
        <f>IF($C$2="x",IFERROR(SMALL($A$11:$A$14,237),0),IF($C$3="x",IFERROR(SMALL($A$11:$A$18,237),0),IF($C$4="x",IFERROR(SMALL($A$11:$A$26,237),0),IF($C$5="x",IFERROR(SMALL($A$11:$A$42,237),0),IF($C$6="x",IFERROR(SMALL($A$11:$A$74,237),0),IF($C$7="x",IFERROR(SMALL($A$11:$A$138,237),0),IFERROR(SMALL($A$11:$A$266,237),0)))))))</f>
        <v>1.0103470000000001</v>
      </c>
      <c r="H247">
        <f t="shared" si="39"/>
        <v>237</v>
      </c>
      <c r="I247" t="str">
        <f t="shared" si="40"/>
        <v xml:space="preserve"> </v>
      </c>
      <c r="J247" s="34"/>
      <c r="K247" s="35" t="s">
        <v>38</v>
      </c>
      <c r="L247" s="36"/>
      <c r="M247" s="34"/>
      <c r="N247" s="35" t="s">
        <v>38</v>
      </c>
      <c r="O247" s="36"/>
      <c r="P247" s="34"/>
      <c r="Q247" s="35" t="s">
        <v>38</v>
      </c>
      <c r="R247" s="36"/>
      <c r="S247" s="37">
        <f t="shared" si="41"/>
        <v>237</v>
      </c>
      <c r="U247" s="38"/>
      <c r="V247" s="39" t="s">
        <v>275</v>
      </c>
      <c r="W247" s="40" t="str">
        <f>IF('Infos générales'!$E$2="x",IF(U247&gt;0,VLOOKUP(U247,'Infos joueurs'!$A:$M,4,FALSE)&amp;" / "&amp;VLOOKUP(U247,'Infos joueurs'!$A:$M,9,FALSE)," "),IF(U247&gt;0,VLOOKUP(U247,'Infos joueurs'!$A:$M,4,FALSE)&amp;" "&amp;VLOOKUP(U247,'Infos joueurs'!$A:$M,5,FALSE)," "))</f>
        <v xml:space="preserve"> </v>
      </c>
      <c r="Y247" s="33">
        <v>237</v>
      </c>
      <c r="Z247" s="256" t="str">
        <f t="shared" si="42"/>
        <v xml:space="preserve"> </v>
      </c>
      <c r="AA247" s="41" t="str">
        <f>IFERROR(INDEX('Infos joueurs'!$F$15:$F$270,MATCH(AB247,'Infos joueurs'!$A$15:$A$270,0))," ")</f>
        <v xml:space="preserve"> </v>
      </c>
      <c r="AB247" s="38">
        <f t="shared" si="43"/>
        <v>0</v>
      </c>
    </row>
    <row r="248" spans="1:28" x14ac:dyDescent="0.25">
      <c r="A248">
        <f t="shared" si="33"/>
        <v>1.010348</v>
      </c>
      <c r="B248">
        <f t="shared" si="34"/>
        <v>238</v>
      </c>
      <c r="C248" t="str">
        <f t="shared" si="35"/>
        <v xml:space="preserve"> </v>
      </c>
      <c r="D248">
        <f t="shared" si="36"/>
        <v>0</v>
      </c>
      <c r="E248">
        <f t="shared" si="37"/>
        <v>0</v>
      </c>
      <c r="F248">
        <f t="shared" si="38"/>
        <v>0</v>
      </c>
      <c r="G248">
        <f>IF($C$2="x",IFERROR(SMALL($A$11:$A$14,238),0),IF($C$3="x",IFERROR(SMALL($A$11:$A$18,238),0),IF($C$4="x",IFERROR(SMALL($A$11:$A$26,238),0),IF($C$5="x",IFERROR(SMALL($A$11:$A$42,238),0),IF($C$6="x",IFERROR(SMALL($A$11:$A$74,238),0),IF($C$7="x",IFERROR(SMALL($A$11:$A$138,238),0),IFERROR(SMALL($A$11:$A$266,238),0)))))))</f>
        <v>1.010348</v>
      </c>
      <c r="H248">
        <f t="shared" si="39"/>
        <v>238</v>
      </c>
      <c r="I248" t="str">
        <f t="shared" si="40"/>
        <v xml:space="preserve"> </v>
      </c>
      <c r="J248" s="34"/>
      <c r="K248" s="35" t="s">
        <v>38</v>
      </c>
      <c r="L248" s="36"/>
      <c r="M248" s="34"/>
      <c r="N248" s="35" t="s">
        <v>38</v>
      </c>
      <c r="O248" s="36"/>
      <c r="P248" s="34"/>
      <c r="Q248" s="35" t="s">
        <v>38</v>
      </c>
      <c r="R248" s="36"/>
      <c r="S248" s="37">
        <f t="shared" si="41"/>
        <v>238</v>
      </c>
      <c r="U248" s="38"/>
      <c r="V248" s="39" t="s">
        <v>276</v>
      </c>
      <c r="W248" s="40" t="str">
        <f>IF('Infos générales'!$E$2="x",IF(U248&gt;0,VLOOKUP(U248,'Infos joueurs'!$A:$M,4,FALSE)&amp;" / "&amp;VLOOKUP(U248,'Infos joueurs'!$A:$M,9,FALSE)," "),IF(U248&gt;0,VLOOKUP(U248,'Infos joueurs'!$A:$M,4,FALSE)&amp;" "&amp;VLOOKUP(U248,'Infos joueurs'!$A:$M,5,FALSE)," "))</f>
        <v xml:space="preserve"> </v>
      </c>
      <c r="Y248" s="33">
        <v>238</v>
      </c>
      <c r="Z248" s="256" t="str">
        <f t="shared" si="42"/>
        <v xml:space="preserve"> </v>
      </c>
      <c r="AA248" s="41" t="str">
        <f>IFERROR(INDEX('Infos joueurs'!$F$15:$F$270,MATCH(AB248,'Infos joueurs'!$A$15:$A$270,0))," ")</f>
        <v xml:space="preserve"> </v>
      </c>
      <c r="AB248" s="38">
        <f t="shared" si="43"/>
        <v>0</v>
      </c>
    </row>
    <row r="249" spans="1:28" x14ac:dyDescent="0.25">
      <c r="A249">
        <f t="shared" si="33"/>
        <v>1.0103489999999999</v>
      </c>
      <c r="B249">
        <f t="shared" si="34"/>
        <v>239</v>
      </c>
      <c r="C249" t="str">
        <f t="shared" si="35"/>
        <v xml:space="preserve"> </v>
      </c>
      <c r="D249">
        <f t="shared" si="36"/>
        <v>0</v>
      </c>
      <c r="E249">
        <f t="shared" si="37"/>
        <v>0</v>
      </c>
      <c r="F249">
        <f t="shared" si="38"/>
        <v>0</v>
      </c>
      <c r="G249">
        <f>IF($C$2="x",IFERROR(SMALL($A$11:$A$14,239),0),IF($C$3="x",IFERROR(SMALL($A$11:$A$18,239),0),IF($C$4="x",IFERROR(SMALL($A$11:$A$26,239),0),IF($C$5="x",IFERROR(SMALL($A$11:$A$42,239),0),IF($C$6="x",IFERROR(SMALL($A$11:$A$74,239),0),IF($C$7="x",IFERROR(SMALL($A$11:$A$138,239),0),IFERROR(SMALL($A$11:$A$266,239),0)))))))</f>
        <v>1.0103489999999999</v>
      </c>
      <c r="H249">
        <f t="shared" si="39"/>
        <v>239</v>
      </c>
      <c r="I249" t="str">
        <f t="shared" si="40"/>
        <v xml:space="preserve"> </v>
      </c>
      <c r="J249" s="34"/>
      <c r="K249" s="35" t="s">
        <v>38</v>
      </c>
      <c r="L249" s="36"/>
      <c r="M249" s="34"/>
      <c r="N249" s="35" t="s">
        <v>38</v>
      </c>
      <c r="O249" s="36"/>
      <c r="P249" s="34"/>
      <c r="Q249" s="35" t="s">
        <v>38</v>
      </c>
      <c r="R249" s="36"/>
      <c r="S249" s="37">
        <f t="shared" si="41"/>
        <v>239</v>
      </c>
      <c r="U249" s="38"/>
      <c r="V249" s="39" t="s">
        <v>277</v>
      </c>
      <c r="W249" s="40" t="str">
        <f>IF('Infos générales'!$E$2="x",IF(U249&gt;0,VLOOKUP(U249,'Infos joueurs'!$A:$M,4,FALSE)&amp;" / "&amp;VLOOKUP(U249,'Infos joueurs'!$A:$M,9,FALSE)," "),IF(U249&gt;0,VLOOKUP(U249,'Infos joueurs'!$A:$M,4,FALSE)&amp;" "&amp;VLOOKUP(U249,'Infos joueurs'!$A:$M,5,FALSE)," "))</f>
        <v xml:space="preserve"> </v>
      </c>
      <c r="Y249" s="33">
        <v>239</v>
      </c>
      <c r="Z249" s="256" t="str">
        <f t="shared" si="42"/>
        <v xml:space="preserve"> </v>
      </c>
      <c r="AA249" s="41" t="str">
        <f>IFERROR(INDEX('Infos joueurs'!$F$15:$F$270,MATCH(AB249,'Infos joueurs'!$A$15:$A$270,0))," ")</f>
        <v xml:space="preserve"> </v>
      </c>
      <c r="AB249" s="38">
        <f t="shared" si="43"/>
        <v>0</v>
      </c>
    </row>
    <row r="250" spans="1:28" x14ac:dyDescent="0.25">
      <c r="A250">
        <f t="shared" si="33"/>
        <v>1.0103500000000001</v>
      </c>
      <c r="B250">
        <f t="shared" si="34"/>
        <v>240</v>
      </c>
      <c r="C250" t="str">
        <f t="shared" si="35"/>
        <v xml:space="preserve"> </v>
      </c>
      <c r="D250">
        <f t="shared" si="36"/>
        <v>0</v>
      </c>
      <c r="E250">
        <f t="shared" si="37"/>
        <v>0</v>
      </c>
      <c r="F250">
        <f t="shared" si="38"/>
        <v>0</v>
      </c>
      <c r="G250">
        <f>IF($C$2="x",IFERROR(SMALL($A$11:$A$14,240),0),IF($C$3="x",IFERROR(SMALL($A$11:$A$18,240),0),IF($C$4="x",IFERROR(SMALL($A$11:$A$26,240),0),IF($C$5="x",IFERROR(SMALL($A$11:$A$42,240),0),IF($C$6="x",IFERROR(SMALL($A$11:$A$74,240),0),IF($C$7="x",IFERROR(SMALL($A$11:$A$138,240),0),IFERROR(SMALL($A$11:$A$266,240),0)))))))</f>
        <v>1.0103500000000001</v>
      </c>
      <c r="H250">
        <f t="shared" si="39"/>
        <v>240</v>
      </c>
      <c r="I250" t="str">
        <f t="shared" si="40"/>
        <v xml:space="preserve"> </v>
      </c>
      <c r="J250" s="34"/>
      <c r="K250" s="35" t="s">
        <v>38</v>
      </c>
      <c r="L250" s="36"/>
      <c r="M250" s="34"/>
      <c r="N250" s="35" t="s">
        <v>38</v>
      </c>
      <c r="O250" s="36"/>
      <c r="P250" s="34"/>
      <c r="Q250" s="35" t="s">
        <v>38</v>
      </c>
      <c r="R250" s="36"/>
      <c r="S250" s="37">
        <f t="shared" si="41"/>
        <v>240</v>
      </c>
      <c r="U250" s="38"/>
      <c r="V250" s="39" t="s">
        <v>278</v>
      </c>
      <c r="W250" s="40" t="str">
        <f>IF('Infos générales'!$E$2="x",IF(U250&gt;0,VLOOKUP(U250,'Infos joueurs'!$A:$M,4,FALSE)&amp;" / "&amp;VLOOKUP(U250,'Infos joueurs'!$A:$M,9,FALSE)," "),IF(U250&gt;0,VLOOKUP(U250,'Infos joueurs'!$A:$M,4,FALSE)&amp;" "&amp;VLOOKUP(U250,'Infos joueurs'!$A:$M,5,FALSE)," "))</f>
        <v xml:space="preserve"> </v>
      </c>
      <c r="Y250" s="33">
        <v>240</v>
      </c>
      <c r="Z250" s="256" t="str">
        <f t="shared" si="42"/>
        <v xml:space="preserve"> </v>
      </c>
      <c r="AA250" s="41" t="str">
        <f>IFERROR(INDEX('Infos joueurs'!$F$15:$F$270,MATCH(AB250,'Infos joueurs'!$A$15:$A$270,0))," ")</f>
        <v xml:space="preserve"> </v>
      </c>
      <c r="AB250" s="38">
        <f t="shared" si="43"/>
        <v>0</v>
      </c>
    </row>
    <row r="251" spans="1:28" x14ac:dyDescent="0.25">
      <c r="A251">
        <f t="shared" si="33"/>
        <v>1.010351</v>
      </c>
      <c r="B251">
        <f t="shared" si="34"/>
        <v>241</v>
      </c>
      <c r="C251" t="str">
        <f t="shared" si="35"/>
        <v xml:space="preserve"> </v>
      </c>
      <c r="D251">
        <f t="shared" si="36"/>
        <v>0</v>
      </c>
      <c r="E251">
        <f t="shared" si="37"/>
        <v>0</v>
      </c>
      <c r="F251">
        <f t="shared" si="38"/>
        <v>0</v>
      </c>
      <c r="G251">
        <f>IF($C$2="x",IFERROR(SMALL($A$11:$A$14,241),0),IF($C$3="x",IFERROR(SMALL($A$11:$A$18,241),0),IF($C$4="x",IFERROR(SMALL($A$11:$A$26,241),0),IF($C$5="x",IFERROR(SMALL($A$11:$A$42,241),0),IF($C$6="x",IFERROR(SMALL($A$11:$A$74,241),0),IF($C$7="x",IFERROR(SMALL($A$11:$A$138,241),0),IFERROR(SMALL($A$11:$A$266,241),0)))))))</f>
        <v>1.010351</v>
      </c>
      <c r="H251">
        <f t="shared" si="39"/>
        <v>241</v>
      </c>
      <c r="I251" t="str">
        <f t="shared" si="40"/>
        <v xml:space="preserve"> </v>
      </c>
      <c r="J251" s="34"/>
      <c r="K251" s="35" t="s">
        <v>38</v>
      </c>
      <c r="L251" s="36"/>
      <c r="M251" s="34"/>
      <c r="N251" s="35" t="s">
        <v>38</v>
      </c>
      <c r="O251" s="36"/>
      <c r="P251" s="34"/>
      <c r="Q251" s="35" t="s">
        <v>38</v>
      </c>
      <c r="R251" s="36"/>
      <c r="S251" s="37">
        <f t="shared" si="41"/>
        <v>241</v>
      </c>
      <c r="U251" s="38"/>
      <c r="V251" s="39" t="s">
        <v>279</v>
      </c>
      <c r="W251" s="40" t="str">
        <f>IF('Infos générales'!$E$2="x",IF(U251&gt;0,VLOOKUP(U251,'Infos joueurs'!$A:$M,4,FALSE)&amp;" / "&amp;VLOOKUP(U251,'Infos joueurs'!$A:$M,9,FALSE)," "),IF(U251&gt;0,VLOOKUP(U251,'Infos joueurs'!$A:$M,4,FALSE)&amp;" "&amp;VLOOKUP(U251,'Infos joueurs'!$A:$M,5,FALSE)," "))</f>
        <v xml:space="preserve"> </v>
      </c>
      <c r="Y251" s="33">
        <v>241</v>
      </c>
      <c r="Z251" s="256" t="str">
        <f t="shared" si="42"/>
        <v xml:space="preserve"> </v>
      </c>
      <c r="AA251" s="41" t="str">
        <f>IFERROR(INDEX('Infos joueurs'!$F$15:$F$270,MATCH(AB251,'Infos joueurs'!$A$15:$A$270,0))," ")</f>
        <v xml:space="preserve"> </v>
      </c>
      <c r="AB251" s="38">
        <f t="shared" si="43"/>
        <v>0</v>
      </c>
    </row>
    <row r="252" spans="1:28" x14ac:dyDescent="0.25">
      <c r="A252">
        <f t="shared" si="33"/>
        <v>1.0103519999999999</v>
      </c>
      <c r="B252">
        <f t="shared" si="34"/>
        <v>242</v>
      </c>
      <c r="C252" t="str">
        <f t="shared" si="35"/>
        <v xml:space="preserve"> </v>
      </c>
      <c r="D252">
        <f t="shared" si="36"/>
        <v>0</v>
      </c>
      <c r="E252">
        <f t="shared" si="37"/>
        <v>0</v>
      </c>
      <c r="F252">
        <f t="shared" si="38"/>
        <v>0</v>
      </c>
      <c r="G252">
        <f>IF($C$2="x",IFERROR(SMALL($A$11:$A$14,242),0),IF($C$3="x",IFERROR(SMALL($A$11:$A$18,242),0),IF($C$4="x",IFERROR(SMALL($A$11:$A$26,242),0),IF($C$5="x",IFERROR(SMALL($A$11:$A$42,242),0),IF($C$6="x",IFERROR(SMALL($A$11:$A$74,242),0),IF($C$7="x",IFERROR(SMALL($A$11:$A$138,242),0),IFERROR(SMALL($A$11:$A$266,242),0)))))))</f>
        <v>1.0103519999999999</v>
      </c>
      <c r="H252">
        <f t="shared" si="39"/>
        <v>242</v>
      </c>
      <c r="I252" t="str">
        <f t="shared" si="40"/>
        <v xml:space="preserve"> </v>
      </c>
      <c r="J252" s="34"/>
      <c r="K252" s="35" t="s">
        <v>38</v>
      </c>
      <c r="L252" s="36"/>
      <c r="M252" s="34"/>
      <c r="N252" s="35" t="s">
        <v>38</v>
      </c>
      <c r="O252" s="36"/>
      <c r="P252" s="34"/>
      <c r="Q252" s="35" t="s">
        <v>38</v>
      </c>
      <c r="R252" s="36"/>
      <c r="S252" s="37">
        <f t="shared" si="41"/>
        <v>242</v>
      </c>
      <c r="U252" s="38"/>
      <c r="V252" s="39" t="s">
        <v>280</v>
      </c>
      <c r="W252" s="40" t="str">
        <f>IF('Infos générales'!$E$2="x",IF(U252&gt;0,VLOOKUP(U252,'Infos joueurs'!$A:$M,4,FALSE)&amp;" / "&amp;VLOOKUP(U252,'Infos joueurs'!$A:$M,9,FALSE)," "),IF(U252&gt;0,VLOOKUP(U252,'Infos joueurs'!$A:$M,4,FALSE)&amp;" "&amp;VLOOKUP(U252,'Infos joueurs'!$A:$M,5,FALSE)," "))</f>
        <v xml:space="preserve"> </v>
      </c>
      <c r="Y252" s="33">
        <v>242</v>
      </c>
      <c r="Z252" s="256" t="str">
        <f t="shared" si="42"/>
        <v xml:space="preserve"> </v>
      </c>
      <c r="AA252" s="41" t="str">
        <f>IFERROR(INDEX('Infos joueurs'!$F$15:$F$270,MATCH(AB252,'Infos joueurs'!$A$15:$A$270,0))," ")</f>
        <v xml:space="preserve"> </v>
      </c>
      <c r="AB252" s="38">
        <f t="shared" si="43"/>
        <v>0</v>
      </c>
    </row>
    <row r="253" spans="1:28" x14ac:dyDescent="0.25">
      <c r="A253">
        <f t="shared" si="33"/>
        <v>1.0103530000000001</v>
      </c>
      <c r="B253">
        <f t="shared" si="34"/>
        <v>243</v>
      </c>
      <c r="C253" t="str">
        <f t="shared" si="35"/>
        <v xml:space="preserve"> </v>
      </c>
      <c r="D253">
        <f t="shared" si="36"/>
        <v>0</v>
      </c>
      <c r="E253">
        <f t="shared" si="37"/>
        <v>0</v>
      </c>
      <c r="F253">
        <f t="shared" si="38"/>
        <v>0</v>
      </c>
      <c r="G253">
        <f>IF($C$2="x",IFERROR(SMALL($A$11:$A$14,243),0),IF($C$3="x",IFERROR(SMALL($A$11:$A$18,243),0),IF($C$4="x",IFERROR(SMALL($A$11:$A$26,243),0),IF($C$5="x",IFERROR(SMALL($A$11:$A$42,243),0),IF($C$6="x",IFERROR(SMALL($A$11:$A$74,243),0),IF($C$7="x",IFERROR(SMALL($A$11:$A$138,243),0),IFERROR(SMALL($A$11:$A$266,243),0)))))))</f>
        <v>1.0103530000000001</v>
      </c>
      <c r="H253">
        <f t="shared" si="39"/>
        <v>243</v>
      </c>
      <c r="I253" t="str">
        <f t="shared" si="40"/>
        <v xml:space="preserve"> </v>
      </c>
      <c r="J253" s="34"/>
      <c r="K253" s="35" t="s">
        <v>38</v>
      </c>
      <c r="L253" s="36"/>
      <c r="M253" s="34"/>
      <c r="N253" s="35" t="s">
        <v>38</v>
      </c>
      <c r="O253" s="36"/>
      <c r="P253" s="34"/>
      <c r="Q253" s="35" t="s">
        <v>38</v>
      </c>
      <c r="R253" s="36"/>
      <c r="S253" s="37">
        <f t="shared" si="41"/>
        <v>243</v>
      </c>
      <c r="U253" s="38"/>
      <c r="V253" s="39" t="s">
        <v>281</v>
      </c>
      <c r="W253" s="40" t="str">
        <f>IF('Infos générales'!$E$2="x",IF(U253&gt;0,VLOOKUP(U253,'Infos joueurs'!$A:$M,4,FALSE)&amp;" / "&amp;VLOOKUP(U253,'Infos joueurs'!$A:$M,9,FALSE)," "),IF(U253&gt;0,VLOOKUP(U253,'Infos joueurs'!$A:$M,4,FALSE)&amp;" "&amp;VLOOKUP(U253,'Infos joueurs'!$A:$M,5,FALSE)," "))</f>
        <v xml:space="preserve"> </v>
      </c>
      <c r="Y253" s="33">
        <v>243</v>
      </c>
      <c r="Z253" s="256" t="str">
        <f t="shared" si="42"/>
        <v xml:space="preserve"> </v>
      </c>
      <c r="AA253" s="41" t="str">
        <f>IFERROR(INDEX('Infos joueurs'!$F$15:$F$270,MATCH(AB253,'Infos joueurs'!$A$15:$A$270,0))," ")</f>
        <v xml:space="preserve"> </v>
      </c>
      <c r="AB253" s="38">
        <f t="shared" si="43"/>
        <v>0</v>
      </c>
    </row>
    <row r="254" spans="1:28" x14ac:dyDescent="0.25">
      <c r="A254">
        <f t="shared" si="33"/>
        <v>1.010354</v>
      </c>
      <c r="B254">
        <f t="shared" si="34"/>
        <v>244</v>
      </c>
      <c r="C254" t="str">
        <f t="shared" si="35"/>
        <v xml:space="preserve"> </v>
      </c>
      <c r="D254">
        <f t="shared" si="36"/>
        <v>0</v>
      </c>
      <c r="E254">
        <f t="shared" si="37"/>
        <v>0</v>
      </c>
      <c r="F254">
        <f t="shared" si="38"/>
        <v>0</v>
      </c>
      <c r="G254">
        <f>IF($C$2="x",IFERROR(SMALL($A$11:$A$14,244),0),IF($C$3="x",IFERROR(SMALL($A$11:$A$18,244),0),IF($C$4="x",IFERROR(SMALL($A$11:$A$26,244),0),IF($C$5="x",IFERROR(SMALL($A$11:$A$42,244),0),IF($C$6="x",IFERROR(SMALL($A$11:$A$74,244),0),IF($C$7="x",IFERROR(SMALL($A$11:$A$138,244),0),IFERROR(SMALL($A$11:$A$266,244),0)))))))</f>
        <v>1.010354</v>
      </c>
      <c r="H254">
        <f t="shared" si="39"/>
        <v>244</v>
      </c>
      <c r="I254" t="str">
        <f t="shared" si="40"/>
        <v xml:space="preserve"> </v>
      </c>
      <c r="J254" s="34"/>
      <c r="K254" s="35" t="s">
        <v>38</v>
      </c>
      <c r="L254" s="36"/>
      <c r="M254" s="34"/>
      <c r="N254" s="35" t="s">
        <v>38</v>
      </c>
      <c r="O254" s="36"/>
      <c r="P254" s="34"/>
      <c r="Q254" s="35" t="s">
        <v>38</v>
      </c>
      <c r="R254" s="36"/>
      <c r="S254" s="37">
        <f t="shared" si="41"/>
        <v>244</v>
      </c>
      <c r="U254" s="38"/>
      <c r="V254" s="39" t="s">
        <v>282</v>
      </c>
      <c r="W254" s="40" t="str">
        <f>IF('Infos générales'!$E$2="x",IF(U254&gt;0,VLOOKUP(U254,'Infos joueurs'!$A:$M,4,FALSE)&amp;" / "&amp;VLOOKUP(U254,'Infos joueurs'!$A:$M,9,FALSE)," "),IF(U254&gt;0,VLOOKUP(U254,'Infos joueurs'!$A:$M,4,FALSE)&amp;" "&amp;VLOOKUP(U254,'Infos joueurs'!$A:$M,5,FALSE)," "))</f>
        <v xml:space="preserve"> </v>
      </c>
      <c r="Y254" s="33">
        <v>244</v>
      </c>
      <c r="Z254" s="256" t="str">
        <f t="shared" si="42"/>
        <v xml:space="preserve"> </v>
      </c>
      <c r="AA254" s="41" t="str">
        <f>IFERROR(INDEX('Infos joueurs'!$F$15:$F$270,MATCH(AB254,'Infos joueurs'!$A$15:$A$270,0))," ")</f>
        <v xml:space="preserve"> </v>
      </c>
      <c r="AB254" s="38">
        <f t="shared" si="43"/>
        <v>0</v>
      </c>
    </row>
    <row r="255" spans="1:28" x14ac:dyDescent="0.25">
      <c r="A255">
        <f t="shared" si="33"/>
        <v>1.0103549999999999</v>
      </c>
      <c r="B255">
        <f t="shared" si="34"/>
        <v>245</v>
      </c>
      <c r="C255" t="str">
        <f t="shared" si="35"/>
        <v xml:space="preserve"> </v>
      </c>
      <c r="D255">
        <f t="shared" si="36"/>
        <v>0</v>
      </c>
      <c r="E255">
        <f t="shared" si="37"/>
        <v>0</v>
      </c>
      <c r="F255">
        <f t="shared" si="38"/>
        <v>0</v>
      </c>
      <c r="G255">
        <f>IF($C$2="x",IFERROR(SMALL($A$11:$A$14,245),0),IF($C$3="x",IFERROR(SMALL($A$11:$A$18,245),0),IF($C$4="x",IFERROR(SMALL($A$11:$A$26,245),0),IF($C$5="x",IFERROR(SMALL($A$11:$A$42,245),0),IF($C$6="x",IFERROR(SMALL($A$11:$A$74,245),0),IF($C$7="x",IFERROR(SMALL($A$11:$A$138,245),0),IFERROR(SMALL($A$11:$A$266,245),0)))))))</f>
        <v>1.0103549999999999</v>
      </c>
      <c r="H255">
        <f t="shared" si="39"/>
        <v>245</v>
      </c>
      <c r="I255" t="str">
        <f t="shared" si="40"/>
        <v xml:space="preserve"> </v>
      </c>
      <c r="J255" s="34"/>
      <c r="K255" s="35" t="s">
        <v>38</v>
      </c>
      <c r="L255" s="36"/>
      <c r="M255" s="34"/>
      <c r="N255" s="35" t="s">
        <v>38</v>
      </c>
      <c r="O255" s="36"/>
      <c r="P255" s="34"/>
      <c r="Q255" s="35" t="s">
        <v>38</v>
      </c>
      <c r="R255" s="36"/>
      <c r="S255" s="37">
        <f t="shared" si="41"/>
        <v>245</v>
      </c>
      <c r="U255" s="38"/>
      <c r="V255" s="39" t="s">
        <v>283</v>
      </c>
      <c r="W255" s="40" t="str">
        <f>IF('Infos générales'!$E$2="x",IF(U255&gt;0,VLOOKUP(U255,'Infos joueurs'!$A:$M,4,FALSE)&amp;" / "&amp;VLOOKUP(U255,'Infos joueurs'!$A:$M,9,FALSE)," "),IF(U255&gt;0,VLOOKUP(U255,'Infos joueurs'!$A:$M,4,FALSE)&amp;" "&amp;VLOOKUP(U255,'Infos joueurs'!$A:$M,5,FALSE)," "))</f>
        <v xml:space="preserve"> </v>
      </c>
      <c r="Y255" s="33">
        <v>245</v>
      </c>
      <c r="Z255" s="256" t="str">
        <f t="shared" si="42"/>
        <v xml:space="preserve"> </v>
      </c>
      <c r="AA255" s="41" t="str">
        <f>IFERROR(INDEX('Infos joueurs'!$F$15:$F$270,MATCH(AB255,'Infos joueurs'!$A$15:$A$270,0))," ")</f>
        <v xml:space="preserve"> </v>
      </c>
      <c r="AB255" s="38">
        <f t="shared" si="43"/>
        <v>0</v>
      </c>
    </row>
    <row r="256" spans="1:28" x14ac:dyDescent="0.25">
      <c r="A256">
        <f t="shared" si="33"/>
        <v>1.010356</v>
      </c>
      <c r="B256">
        <f t="shared" si="34"/>
        <v>246</v>
      </c>
      <c r="C256" t="str">
        <f t="shared" si="35"/>
        <v xml:space="preserve"> </v>
      </c>
      <c r="D256">
        <f t="shared" si="36"/>
        <v>0</v>
      </c>
      <c r="E256">
        <f t="shared" si="37"/>
        <v>0</v>
      </c>
      <c r="F256">
        <f t="shared" si="38"/>
        <v>0</v>
      </c>
      <c r="G256">
        <f>IF($C$2="x",IFERROR(SMALL($A$11:$A$14,246),0),IF($C$3="x",IFERROR(SMALL($A$11:$A$18,246),0),IF($C$4="x",IFERROR(SMALL($A$11:$A$26,246),0),IF($C$5="x",IFERROR(SMALL($A$11:$A$42,246),0),IF($C$6="x",IFERROR(SMALL($A$11:$A$74,246),0),IF($C$7="x",IFERROR(SMALL($A$11:$A$138,246),0),IFERROR(SMALL($A$11:$A$266,246),0)))))))</f>
        <v>1.010356</v>
      </c>
      <c r="H256">
        <f t="shared" si="39"/>
        <v>246</v>
      </c>
      <c r="I256" t="str">
        <f t="shared" si="40"/>
        <v xml:space="preserve"> </v>
      </c>
      <c r="J256" s="34"/>
      <c r="K256" s="35" t="s">
        <v>38</v>
      </c>
      <c r="L256" s="36"/>
      <c r="M256" s="34"/>
      <c r="N256" s="35" t="s">
        <v>38</v>
      </c>
      <c r="O256" s="36"/>
      <c r="P256" s="34"/>
      <c r="Q256" s="35" t="s">
        <v>38</v>
      </c>
      <c r="R256" s="36"/>
      <c r="S256" s="37">
        <f t="shared" si="41"/>
        <v>246</v>
      </c>
      <c r="U256" s="38"/>
      <c r="V256" s="39" t="s">
        <v>284</v>
      </c>
      <c r="W256" s="40" t="str">
        <f>IF('Infos générales'!$E$2="x",IF(U256&gt;0,VLOOKUP(U256,'Infos joueurs'!$A:$M,4,FALSE)&amp;" / "&amp;VLOOKUP(U256,'Infos joueurs'!$A:$M,9,FALSE)," "),IF(U256&gt;0,VLOOKUP(U256,'Infos joueurs'!$A:$M,4,FALSE)&amp;" "&amp;VLOOKUP(U256,'Infos joueurs'!$A:$M,5,FALSE)," "))</f>
        <v xml:space="preserve"> </v>
      </c>
      <c r="Y256" s="33">
        <v>246</v>
      </c>
      <c r="Z256" s="256" t="str">
        <f t="shared" si="42"/>
        <v xml:space="preserve"> </v>
      </c>
      <c r="AA256" s="41" t="str">
        <f>IFERROR(INDEX('Infos joueurs'!$F$15:$F$270,MATCH(AB256,'Infos joueurs'!$A$15:$A$270,0))," ")</f>
        <v xml:space="preserve"> </v>
      </c>
      <c r="AB256" s="38">
        <f t="shared" si="43"/>
        <v>0</v>
      </c>
    </row>
    <row r="257" spans="1:28" x14ac:dyDescent="0.25">
      <c r="A257">
        <f t="shared" si="33"/>
        <v>1.0103569999999999</v>
      </c>
      <c r="B257">
        <f t="shared" si="34"/>
        <v>247</v>
      </c>
      <c r="C257" t="str">
        <f t="shared" si="35"/>
        <v xml:space="preserve"> </v>
      </c>
      <c r="D257">
        <f t="shared" si="36"/>
        <v>0</v>
      </c>
      <c r="E257">
        <f t="shared" si="37"/>
        <v>0</v>
      </c>
      <c r="F257">
        <f t="shared" si="38"/>
        <v>0</v>
      </c>
      <c r="G257">
        <f>IF($C$2="x",IFERROR(SMALL($A$11:$A$14,247),0),IF($C$3="x",IFERROR(SMALL($A$11:$A$18,247),0),IF($C$4="x",IFERROR(SMALL($A$11:$A$26,247),0),IF($C$5="x",IFERROR(SMALL($A$11:$A$42,247),0),IF($C$6="x",IFERROR(SMALL($A$11:$A$74,247),0),IF($C$7="x",IFERROR(SMALL($A$11:$A$138,247),0),IFERROR(SMALL($A$11:$A$266,247),0)))))))</f>
        <v>1.0103569999999999</v>
      </c>
      <c r="H257">
        <f t="shared" si="39"/>
        <v>247</v>
      </c>
      <c r="I257" t="str">
        <f t="shared" si="40"/>
        <v xml:space="preserve"> </v>
      </c>
      <c r="J257" s="34"/>
      <c r="K257" s="35" t="s">
        <v>38</v>
      </c>
      <c r="L257" s="36"/>
      <c r="M257" s="34"/>
      <c r="N257" s="35" t="s">
        <v>38</v>
      </c>
      <c r="O257" s="36"/>
      <c r="P257" s="34"/>
      <c r="Q257" s="35" t="s">
        <v>38</v>
      </c>
      <c r="R257" s="36"/>
      <c r="S257" s="37">
        <f t="shared" si="41"/>
        <v>247</v>
      </c>
      <c r="U257" s="38"/>
      <c r="V257" s="39" t="s">
        <v>285</v>
      </c>
      <c r="W257" s="40" t="str">
        <f>IF('Infos générales'!$E$2="x",IF(U257&gt;0,VLOOKUP(U257,'Infos joueurs'!$A:$M,4,FALSE)&amp;" / "&amp;VLOOKUP(U257,'Infos joueurs'!$A:$M,9,FALSE)," "),IF(U257&gt;0,VLOOKUP(U257,'Infos joueurs'!$A:$M,4,FALSE)&amp;" "&amp;VLOOKUP(U257,'Infos joueurs'!$A:$M,5,FALSE)," "))</f>
        <v xml:space="preserve"> </v>
      </c>
      <c r="Y257" s="33">
        <v>247</v>
      </c>
      <c r="Z257" s="256" t="str">
        <f t="shared" si="42"/>
        <v xml:space="preserve"> </v>
      </c>
      <c r="AA257" s="41" t="str">
        <f>IFERROR(INDEX('Infos joueurs'!$F$15:$F$270,MATCH(AB257,'Infos joueurs'!$A$15:$A$270,0))," ")</f>
        <v xml:space="preserve"> </v>
      </c>
      <c r="AB257" s="38">
        <f t="shared" si="43"/>
        <v>0</v>
      </c>
    </row>
    <row r="258" spans="1:28" x14ac:dyDescent="0.25">
      <c r="A258">
        <f t="shared" si="33"/>
        <v>1.0103580000000001</v>
      </c>
      <c r="B258">
        <f t="shared" si="34"/>
        <v>248</v>
      </c>
      <c r="C258" t="str">
        <f t="shared" si="35"/>
        <v xml:space="preserve"> </v>
      </c>
      <c r="D258">
        <f t="shared" si="36"/>
        <v>0</v>
      </c>
      <c r="E258">
        <f t="shared" si="37"/>
        <v>0</v>
      </c>
      <c r="F258">
        <f t="shared" si="38"/>
        <v>0</v>
      </c>
      <c r="G258">
        <f>IF($C$2="x",IFERROR(SMALL($A$11:$A$14,248),0),IF($C$3="x",IFERROR(SMALL($A$11:$A$18,248),0),IF($C$4="x",IFERROR(SMALL($A$11:$A$26,248),0),IF($C$5="x",IFERROR(SMALL($A$11:$A$42,248),0),IF($C$6="x",IFERROR(SMALL($A$11:$A$74,248),0),IF($C$7="x",IFERROR(SMALL($A$11:$A$138,248),0),IFERROR(SMALL($A$11:$A$266,248),0)))))))</f>
        <v>1.0103580000000001</v>
      </c>
      <c r="H258">
        <f t="shared" si="39"/>
        <v>248</v>
      </c>
      <c r="I258" t="str">
        <f t="shared" si="40"/>
        <v xml:space="preserve"> </v>
      </c>
      <c r="J258" s="34"/>
      <c r="K258" s="35" t="s">
        <v>38</v>
      </c>
      <c r="L258" s="36"/>
      <c r="M258" s="34"/>
      <c r="N258" s="35" t="s">
        <v>38</v>
      </c>
      <c r="O258" s="36"/>
      <c r="P258" s="34"/>
      <c r="Q258" s="35" t="s">
        <v>38</v>
      </c>
      <c r="R258" s="36"/>
      <c r="S258" s="37">
        <f t="shared" si="41"/>
        <v>248</v>
      </c>
      <c r="U258" s="38"/>
      <c r="V258" s="39" t="s">
        <v>286</v>
      </c>
      <c r="W258" s="40" t="str">
        <f>IF('Infos générales'!$E$2="x",IF(U258&gt;0,VLOOKUP(U258,'Infos joueurs'!$A:$M,4,FALSE)&amp;" / "&amp;VLOOKUP(U258,'Infos joueurs'!$A:$M,9,FALSE)," "),IF(U258&gt;0,VLOOKUP(U258,'Infos joueurs'!$A:$M,4,FALSE)&amp;" "&amp;VLOOKUP(U258,'Infos joueurs'!$A:$M,5,FALSE)," "))</f>
        <v xml:space="preserve"> </v>
      </c>
      <c r="Y258" s="33">
        <v>248</v>
      </c>
      <c r="Z258" s="256" t="str">
        <f t="shared" si="42"/>
        <v xml:space="preserve"> </v>
      </c>
      <c r="AA258" s="41" t="str">
        <f>IFERROR(INDEX('Infos joueurs'!$F$15:$F$270,MATCH(AB258,'Infos joueurs'!$A$15:$A$270,0))," ")</f>
        <v xml:space="preserve"> </v>
      </c>
      <c r="AB258" s="38">
        <f t="shared" si="43"/>
        <v>0</v>
      </c>
    </row>
    <row r="259" spans="1:28" x14ac:dyDescent="0.25">
      <c r="A259">
        <f t="shared" si="33"/>
        <v>1.010359</v>
      </c>
      <c r="B259">
        <f t="shared" si="34"/>
        <v>249</v>
      </c>
      <c r="C259" t="str">
        <f t="shared" si="35"/>
        <v xml:space="preserve"> </v>
      </c>
      <c r="D259">
        <f t="shared" si="36"/>
        <v>0</v>
      </c>
      <c r="E259">
        <f t="shared" si="37"/>
        <v>0</v>
      </c>
      <c r="F259">
        <f t="shared" si="38"/>
        <v>0</v>
      </c>
      <c r="G259">
        <f>IF($C$2="x",IFERROR(SMALL($A$11:$A$14,249),0),IF($C$3="x",IFERROR(SMALL($A$11:$A$18,249),0),IF($C$4="x",IFERROR(SMALL($A$11:$A$26,249),0),IF($C$5="x",IFERROR(SMALL($A$11:$A$42,249),0),IF($C$6="x",IFERROR(SMALL($A$11:$A$74,249),0),IF($C$7="x",IFERROR(SMALL($A$11:$A$138,249),0),IFERROR(SMALL($A$11:$A$266,249),0)))))))</f>
        <v>1.010359</v>
      </c>
      <c r="H259">
        <f t="shared" si="39"/>
        <v>249</v>
      </c>
      <c r="I259" t="str">
        <f t="shared" si="40"/>
        <v xml:space="preserve"> </v>
      </c>
      <c r="J259" s="34"/>
      <c r="K259" s="35" t="s">
        <v>38</v>
      </c>
      <c r="L259" s="36"/>
      <c r="M259" s="34"/>
      <c r="N259" s="35" t="s">
        <v>38</v>
      </c>
      <c r="O259" s="36"/>
      <c r="P259" s="34"/>
      <c r="Q259" s="35" t="s">
        <v>38</v>
      </c>
      <c r="R259" s="36"/>
      <c r="S259" s="37">
        <f t="shared" si="41"/>
        <v>249</v>
      </c>
      <c r="U259" s="38"/>
      <c r="V259" s="39" t="s">
        <v>287</v>
      </c>
      <c r="W259" s="40" t="str">
        <f>IF('Infos générales'!$E$2="x",IF(U259&gt;0,VLOOKUP(U259,'Infos joueurs'!$A:$M,4,FALSE)&amp;" / "&amp;VLOOKUP(U259,'Infos joueurs'!$A:$M,9,FALSE)," "),IF(U259&gt;0,VLOOKUP(U259,'Infos joueurs'!$A:$M,4,FALSE)&amp;" "&amp;VLOOKUP(U259,'Infos joueurs'!$A:$M,5,FALSE)," "))</f>
        <v xml:space="preserve"> </v>
      </c>
      <c r="Y259" s="33">
        <v>249</v>
      </c>
      <c r="Z259" s="256" t="str">
        <f t="shared" si="42"/>
        <v xml:space="preserve"> </v>
      </c>
      <c r="AA259" s="41" t="str">
        <f>IFERROR(INDEX('Infos joueurs'!$F$15:$F$270,MATCH(AB259,'Infos joueurs'!$A$15:$A$270,0))," ")</f>
        <v xml:space="preserve"> </v>
      </c>
      <c r="AB259" s="38">
        <f t="shared" si="43"/>
        <v>0</v>
      </c>
    </row>
    <row r="260" spans="1:28" x14ac:dyDescent="0.25">
      <c r="A260">
        <f t="shared" si="33"/>
        <v>1.0103599999999999</v>
      </c>
      <c r="B260">
        <f t="shared" si="34"/>
        <v>250</v>
      </c>
      <c r="C260" t="str">
        <f t="shared" si="35"/>
        <v xml:space="preserve"> </v>
      </c>
      <c r="D260">
        <f t="shared" si="36"/>
        <v>0</v>
      </c>
      <c r="E260">
        <f t="shared" si="37"/>
        <v>0</v>
      </c>
      <c r="F260">
        <f t="shared" si="38"/>
        <v>0</v>
      </c>
      <c r="G260">
        <f>IF($C$2="x",IFERROR(SMALL($A$11:$A$14,250),0),IF($C$3="x",IFERROR(SMALL($A$11:$A$18,250),0),IF($C$4="x",IFERROR(SMALL($A$11:$A$26,250),0),IF($C$5="x",IFERROR(SMALL($A$11:$A$42,250),0),IF($C$6="x",IFERROR(SMALL($A$11:$A$74,250),0),IF($C$7="x",IFERROR(SMALL($A$11:$A$138,250),0),IFERROR(SMALL($A$11:$A$266,250),0)))))))</f>
        <v>1.0103599999999999</v>
      </c>
      <c r="H260">
        <f t="shared" si="39"/>
        <v>250</v>
      </c>
      <c r="I260" t="str">
        <f t="shared" si="40"/>
        <v xml:space="preserve"> </v>
      </c>
      <c r="J260" s="34"/>
      <c r="K260" s="35" t="s">
        <v>38</v>
      </c>
      <c r="L260" s="36"/>
      <c r="M260" s="34"/>
      <c r="N260" s="35" t="s">
        <v>38</v>
      </c>
      <c r="O260" s="36"/>
      <c r="P260" s="34"/>
      <c r="Q260" s="35" t="s">
        <v>38</v>
      </c>
      <c r="R260" s="36"/>
      <c r="S260" s="37">
        <f t="shared" si="41"/>
        <v>250</v>
      </c>
      <c r="U260" s="38"/>
      <c r="V260" s="39" t="s">
        <v>288</v>
      </c>
      <c r="W260" s="40" t="str">
        <f>IF('Infos générales'!$E$2="x",IF(U260&gt;0,VLOOKUP(U260,'Infos joueurs'!$A:$M,4,FALSE)&amp;" / "&amp;VLOOKUP(U260,'Infos joueurs'!$A:$M,9,FALSE)," "),IF(U260&gt;0,VLOOKUP(U260,'Infos joueurs'!$A:$M,4,FALSE)&amp;" "&amp;VLOOKUP(U260,'Infos joueurs'!$A:$M,5,FALSE)," "))</f>
        <v xml:space="preserve"> </v>
      </c>
      <c r="Y260" s="33">
        <v>250</v>
      </c>
      <c r="Z260" s="256" t="str">
        <f t="shared" si="42"/>
        <v xml:space="preserve"> </v>
      </c>
      <c r="AA260" s="41" t="str">
        <f>IFERROR(INDEX('Infos joueurs'!$F$15:$F$270,MATCH(AB260,'Infos joueurs'!$A$15:$A$270,0))," ")</f>
        <v xml:space="preserve"> </v>
      </c>
      <c r="AB260" s="38">
        <f t="shared" si="43"/>
        <v>0</v>
      </c>
    </row>
    <row r="261" spans="1:28" x14ac:dyDescent="0.25">
      <c r="A261">
        <f t="shared" si="33"/>
        <v>1.0103610000000001</v>
      </c>
      <c r="B261">
        <f t="shared" si="34"/>
        <v>251</v>
      </c>
      <c r="C261" t="str">
        <f t="shared" si="35"/>
        <v xml:space="preserve"> </v>
      </c>
      <c r="D261">
        <f t="shared" si="36"/>
        <v>0</v>
      </c>
      <c r="E261">
        <f t="shared" si="37"/>
        <v>0</v>
      </c>
      <c r="F261">
        <f t="shared" si="38"/>
        <v>0</v>
      </c>
      <c r="G261">
        <f>IF($C$2="x",IFERROR(SMALL($A$11:$A$14,251),0),IF($C$3="x",IFERROR(SMALL($A$11:$A$18,251),0),IF($C$4="x",IFERROR(SMALL($A$11:$A$26,251),0),IF($C$5="x",IFERROR(SMALL($A$11:$A$42,251),0),IF($C$6="x",IFERROR(SMALL($A$11:$A$74,251),0),IF($C$7="x",IFERROR(SMALL($A$11:$A$138,251),0),IFERROR(SMALL($A$11:$A$266,251),0)))))))</f>
        <v>1.0103610000000001</v>
      </c>
      <c r="H261">
        <f t="shared" si="39"/>
        <v>251</v>
      </c>
      <c r="I261" t="str">
        <f t="shared" si="40"/>
        <v xml:space="preserve"> </v>
      </c>
      <c r="J261" s="34"/>
      <c r="K261" s="35" t="s">
        <v>38</v>
      </c>
      <c r="L261" s="36"/>
      <c r="M261" s="34"/>
      <c r="N261" s="35" t="s">
        <v>38</v>
      </c>
      <c r="O261" s="36"/>
      <c r="P261" s="34"/>
      <c r="Q261" s="35" t="s">
        <v>38</v>
      </c>
      <c r="R261" s="36"/>
      <c r="S261" s="37">
        <f t="shared" si="41"/>
        <v>251</v>
      </c>
      <c r="U261" s="38"/>
      <c r="V261" s="39" t="s">
        <v>289</v>
      </c>
      <c r="W261" s="40" t="str">
        <f>IF('Infos générales'!$E$2="x",IF(U261&gt;0,VLOOKUP(U261,'Infos joueurs'!$A:$M,4,FALSE)&amp;" / "&amp;VLOOKUP(U261,'Infos joueurs'!$A:$M,9,FALSE)," "),IF(U261&gt;0,VLOOKUP(U261,'Infos joueurs'!$A:$M,4,FALSE)&amp;" "&amp;VLOOKUP(U261,'Infos joueurs'!$A:$M,5,FALSE)," "))</f>
        <v xml:space="preserve"> </v>
      </c>
      <c r="Y261" s="33">
        <v>251</v>
      </c>
      <c r="Z261" s="256" t="str">
        <f t="shared" si="42"/>
        <v xml:space="preserve"> </v>
      </c>
      <c r="AA261" s="41" t="str">
        <f>IFERROR(INDEX('Infos joueurs'!$F$15:$F$270,MATCH(AB261,'Infos joueurs'!$A$15:$A$270,0))," ")</f>
        <v xml:space="preserve"> </v>
      </c>
      <c r="AB261" s="38">
        <f t="shared" si="43"/>
        <v>0</v>
      </c>
    </row>
    <row r="262" spans="1:28" x14ac:dyDescent="0.25">
      <c r="A262">
        <f t="shared" si="33"/>
        <v>1.010362</v>
      </c>
      <c r="B262">
        <f t="shared" si="34"/>
        <v>252</v>
      </c>
      <c r="C262" t="str">
        <f t="shared" si="35"/>
        <v xml:space="preserve"> </v>
      </c>
      <c r="D262">
        <f t="shared" si="36"/>
        <v>0</v>
      </c>
      <c r="E262">
        <f t="shared" si="37"/>
        <v>0</v>
      </c>
      <c r="F262">
        <f t="shared" si="38"/>
        <v>0</v>
      </c>
      <c r="G262">
        <f>IF($C$2="x",IFERROR(SMALL($A$11:$A$14,252),0),IF($C$3="x",IFERROR(SMALL($A$11:$A$18,252),0),IF($C$4="x",IFERROR(SMALL($A$11:$A$26,252),0),IF($C$5="x",IFERROR(SMALL($A$11:$A$42,252),0),IF($C$6="x",IFERROR(SMALL($A$11:$A$74,252),0),IF($C$7="x",IFERROR(SMALL($A$11:$A$138,252),0),IFERROR(SMALL($A$11:$A$266,252),0)))))))</f>
        <v>1.010362</v>
      </c>
      <c r="H262">
        <f t="shared" si="39"/>
        <v>252</v>
      </c>
      <c r="I262" t="str">
        <f t="shared" si="40"/>
        <v xml:space="preserve"> </v>
      </c>
      <c r="J262" s="34"/>
      <c r="K262" s="35" t="s">
        <v>38</v>
      </c>
      <c r="L262" s="36"/>
      <c r="M262" s="34"/>
      <c r="N262" s="35" t="s">
        <v>38</v>
      </c>
      <c r="O262" s="36"/>
      <c r="P262" s="34"/>
      <c r="Q262" s="35" t="s">
        <v>38</v>
      </c>
      <c r="R262" s="36"/>
      <c r="S262" s="37">
        <f t="shared" si="41"/>
        <v>252</v>
      </c>
      <c r="U262" s="38"/>
      <c r="V262" s="39" t="s">
        <v>290</v>
      </c>
      <c r="W262" s="40" t="str">
        <f>IF('Infos générales'!$E$2="x",IF(U262&gt;0,VLOOKUP(U262,'Infos joueurs'!$A:$M,4,FALSE)&amp;" / "&amp;VLOOKUP(U262,'Infos joueurs'!$A:$M,9,FALSE)," "),IF(U262&gt;0,VLOOKUP(U262,'Infos joueurs'!$A:$M,4,FALSE)&amp;" "&amp;VLOOKUP(U262,'Infos joueurs'!$A:$M,5,FALSE)," "))</f>
        <v xml:space="preserve"> </v>
      </c>
      <c r="Y262" s="33">
        <v>252</v>
      </c>
      <c r="Z262" s="256" t="str">
        <f t="shared" si="42"/>
        <v xml:space="preserve"> </v>
      </c>
      <c r="AA262" s="41" t="str">
        <f>IFERROR(INDEX('Infos joueurs'!$F$15:$F$270,MATCH(AB262,'Infos joueurs'!$A$15:$A$270,0))," ")</f>
        <v xml:space="preserve"> </v>
      </c>
      <c r="AB262" s="38">
        <f t="shared" si="43"/>
        <v>0</v>
      </c>
    </row>
    <row r="263" spans="1:28" x14ac:dyDescent="0.25">
      <c r="A263">
        <f t="shared" si="33"/>
        <v>1.0103629999999999</v>
      </c>
      <c r="B263">
        <f t="shared" si="34"/>
        <v>253</v>
      </c>
      <c r="C263" t="str">
        <f t="shared" si="35"/>
        <v xml:space="preserve"> </v>
      </c>
      <c r="D263">
        <f t="shared" si="36"/>
        <v>0</v>
      </c>
      <c r="E263">
        <f t="shared" si="37"/>
        <v>0</v>
      </c>
      <c r="F263">
        <f t="shared" si="38"/>
        <v>0</v>
      </c>
      <c r="G263">
        <f>IF($C$2="x",IFERROR(SMALL($A$11:$A$14,253),0),IF($C$3="x",IFERROR(SMALL($A$11:$A$18,253),0),IF($C$4="x",IFERROR(SMALL($A$11:$A$26,253),0),IF($C$5="x",IFERROR(SMALL($A$11:$A$42,253),0),IF($C$6="x",IFERROR(SMALL($A$11:$A$74,253),0),IF($C$7="x",IFERROR(SMALL($A$11:$A$138,253),0),IFERROR(SMALL($A$11:$A$266,253),0)))))))</f>
        <v>1.0103629999999999</v>
      </c>
      <c r="H263">
        <f t="shared" si="39"/>
        <v>253</v>
      </c>
      <c r="I263" t="str">
        <f t="shared" si="40"/>
        <v xml:space="preserve"> </v>
      </c>
      <c r="J263" s="34"/>
      <c r="K263" s="35" t="s">
        <v>38</v>
      </c>
      <c r="L263" s="36"/>
      <c r="M263" s="34"/>
      <c r="N263" s="35" t="s">
        <v>38</v>
      </c>
      <c r="O263" s="36"/>
      <c r="P263" s="34"/>
      <c r="Q263" s="35" t="s">
        <v>38</v>
      </c>
      <c r="R263" s="36"/>
      <c r="S263" s="37">
        <f t="shared" si="41"/>
        <v>253</v>
      </c>
      <c r="U263" s="38"/>
      <c r="V263" s="39" t="s">
        <v>291</v>
      </c>
      <c r="W263" s="40" t="str">
        <f>IF('Infos générales'!$E$2="x",IF(U263&gt;0,VLOOKUP(U263,'Infos joueurs'!$A:$M,4,FALSE)&amp;" / "&amp;VLOOKUP(U263,'Infos joueurs'!$A:$M,9,FALSE)," "),IF(U263&gt;0,VLOOKUP(U263,'Infos joueurs'!$A:$M,4,FALSE)&amp;" "&amp;VLOOKUP(U263,'Infos joueurs'!$A:$M,5,FALSE)," "))</f>
        <v xml:space="preserve"> </v>
      </c>
      <c r="Y263" s="33">
        <v>253</v>
      </c>
      <c r="Z263" s="256" t="str">
        <f t="shared" si="42"/>
        <v xml:space="preserve"> </v>
      </c>
      <c r="AA263" s="41" t="str">
        <f>IFERROR(INDEX('Infos joueurs'!$F$15:$F$270,MATCH(AB263,'Infos joueurs'!$A$15:$A$270,0))," ")</f>
        <v xml:space="preserve"> </v>
      </c>
      <c r="AB263" s="38">
        <f t="shared" si="43"/>
        <v>0</v>
      </c>
    </row>
    <row r="264" spans="1:28" x14ac:dyDescent="0.25">
      <c r="A264">
        <f t="shared" si="33"/>
        <v>1.010364</v>
      </c>
      <c r="B264">
        <f t="shared" si="34"/>
        <v>254</v>
      </c>
      <c r="C264" t="str">
        <f t="shared" si="35"/>
        <v xml:space="preserve"> </v>
      </c>
      <c r="D264">
        <f t="shared" si="36"/>
        <v>0</v>
      </c>
      <c r="E264">
        <f t="shared" si="37"/>
        <v>0</v>
      </c>
      <c r="F264">
        <f t="shared" si="38"/>
        <v>0</v>
      </c>
      <c r="G264">
        <f>IF($C$2="x",IFERROR(SMALL($A$11:$A$14,254),0),IF($C$3="x",IFERROR(SMALL($A$11:$A$18,254),0),IF($C$4="x",IFERROR(SMALL($A$11:$A$26,254),0),IF($C$5="x",IFERROR(SMALL($A$11:$A$42,254),0),IF($C$6="x",IFERROR(SMALL($A$11:$A$74,254),0),IF($C$7="x",IFERROR(SMALL($A$11:$A$138,254),0),IFERROR(SMALL($A$11:$A$266,254),0)))))))</f>
        <v>1.010364</v>
      </c>
      <c r="H264">
        <f t="shared" si="39"/>
        <v>254</v>
      </c>
      <c r="I264" t="str">
        <f t="shared" si="40"/>
        <v xml:space="preserve"> </v>
      </c>
      <c r="J264" s="34"/>
      <c r="K264" s="35" t="s">
        <v>38</v>
      </c>
      <c r="L264" s="36"/>
      <c r="M264" s="34"/>
      <c r="N264" s="35" t="s">
        <v>38</v>
      </c>
      <c r="O264" s="36"/>
      <c r="P264" s="34"/>
      <c r="Q264" s="35" t="s">
        <v>38</v>
      </c>
      <c r="R264" s="36"/>
      <c r="S264" s="37">
        <f t="shared" si="41"/>
        <v>254</v>
      </c>
      <c r="U264" s="38"/>
      <c r="V264" s="39" t="s">
        <v>292</v>
      </c>
      <c r="W264" s="40" t="str">
        <f>IF('Infos générales'!$E$2="x",IF(U264&gt;0,VLOOKUP(U264,'Infos joueurs'!$A:$M,4,FALSE)&amp;" / "&amp;VLOOKUP(U264,'Infos joueurs'!$A:$M,9,FALSE)," "),IF(U264&gt;0,VLOOKUP(U264,'Infos joueurs'!$A:$M,4,FALSE)&amp;" "&amp;VLOOKUP(U264,'Infos joueurs'!$A:$M,5,FALSE)," "))</f>
        <v xml:space="preserve"> </v>
      </c>
      <c r="Y264" s="33">
        <v>254</v>
      </c>
      <c r="Z264" s="256" t="str">
        <f t="shared" si="42"/>
        <v xml:space="preserve"> </v>
      </c>
      <c r="AA264" s="41" t="str">
        <f>IFERROR(INDEX('Infos joueurs'!$F$15:$F$270,MATCH(AB264,'Infos joueurs'!$A$15:$A$270,0))," ")</f>
        <v xml:space="preserve"> </v>
      </c>
      <c r="AB264" s="38">
        <f t="shared" si="43"/>
        <v>0</v>
      </c>
    </row>
    <row r="265" spans="1:28" x14ac:dyDescent="0.25">
      <c r="A265">
        <f t="shared" si="33"/>
        <v>1.010365</v>
      </c>
      <c r="B265">
        <f t="shared" si="34"/>
        <v>255</v>
      </c>
      <c r="C265" t="str">
        <f t="shared" si="35"/>
        <v xml:space="preserve"> </v>
      </c>
      <c r="D265">
        <f t="shared" si="36"/>
        <v>0</v>
      </c>
      <c r="E265">
        <f t="shared" si="37"/>
        <v>0</v>
      </c>
      <c r="F265">
        <f t="shared" si="38"/>
        <v>0</v>
      </c>
      <c r="G265">
        <f>IF($C$2="x",IFERROR(SMALL($A$11:$A$14,255),0),IF($C$3="x",IFERROR(SMALL($A$11:$A$18,255),0),IF($C$4="x",IFERROR(SMALL($A$11:$A$26,255),0),IF($C$5="x",IFERROR(SMALL($A$11:$A$42,255),0),IF($C$6="x",IFERROR(SMALL($A$11:$A$74,255),0),IF($C$7="x",IFERROR(SMALL($A$11:$A$138,255),0),IFERROR(SMALL($A$11:$A$266,255),0)))))))</f>
        <v>1.010365</v>
      </c>
      <c r="H265">
        <f t="shared" si="39"/>
        <v>255</v>
      </c>
      <c r="I265" t="str">
        <f t="shared" si="40"/>
        <v xml:space="preserve"> </v>
      </c>
      <c r="J265" s="34"/>
      <c r="K265" s="35" t="s">
        <v>38</v>
      </c>
      <c r="L265" s="36"/>
      <c r="M265" s="34"/>
      <c r="N265" s="35" t="s">
        <v>38</v>
      </c>
      <c r="O265" s="36"/>
      <c r="P265" s="34"/>
      <c r="Q265" s="35" t="s">
        <v>38</v>
      </c>
      <c r="R265" s="36"/>
      <c r="S265" s="37">
        <f t="shared" si="41"/>
        <v>255</v>
      </c>
      <c r="U265" s="38"/>
      <c r="V265" s="39" t="s">
        <v>293</v>
      </c>
      <c r="W265" s="40" t="str">
        <f>IF('Infos générales'!$E$2="x",IF(U265&gt;0,VLOOKUP(U265,'Infos joueurs'!$A:$M,4,FALSE)&amp;" / "&amp;VLOOKUP(U265,'Infos joueurs'!$A:$M,9,FALSE)," "),IF(U265&gt;0,VLOOKUP(U265,'Infos joueurs'!$A:$M,4,FALSE)&amp;" "&amp;VLOOKUP(U265,'Infos joueurs'!$A:$M,5,FALSE)," "))</f>
        <v xml:space="preserve"> </v>
      </c>
      <c r="Y265" s="33">
        <v>255</v>
      </c>
      <c r="Z265" s="256" t="str">
        <f t="shared" si="42"/>
        <v xml:space="preserve"> </v>
      </c>
      <c r="AA265" s="41" t="str">
        <f>IFERROR(INDEX('Infos joueurs'!$F$15:$F$270,MATCH(AB265,'Infos joueurs'!$A$15:$A$270,0))," ")</f>
        <v xml:space="preserve"> </v>
      </c>
      <c r="AB265" s="38">
        <f t="shared" si="43"/>
        <v>0</v>
      </c>
    </row>
    <row r="266" spans="1:28" x14ac:dyDescent="0.25">
      <c r="A266">
        <f t="shared" si="33"/>
        <v>1.0103660000000001</v>
      </c>
      <c r="B266">
        <f t="shared" si="34"/>
        <v>256</v>
      </c>
      <c r="C266" t="str">
        <f t="shared" si="35"/>
        <v xml:space="preserve"> </v>
      </c>
      <c r="D266">
        <f t="shared" si="36"/>
        <v>0</v>
      </c>
      <c r="E266">
        <f t="shared" si="37"/>
        <v>0</v>
      </c>
      <c r="F266">
        <f t="shared" si="38"/>
        <v>0</v>
      </c>
      <c r="G266">
        <f>IF($C$2="x",IFERROR(SMALL($A$11:$A$14,256),0),IF($C$3="x",IFERROR(SMALL($A$11:$A$18,256),0),IF($C$4="x",IFERROR(SMALL($A$11:$A$26,256),0),IF($C$5="x",IFERROR(SMALL($A$11:$A$42,256),0),IF($C$6="x",IFERROR(SMALL($A$11:$A$74,256),0),IF($C$7="x",IFERROR(SMALL($A$11:$A$138,256),0),IFERROR(SMALL($A$11:$A$266,256),0)))))))</f>
        <v>1.0103660000000001</v>
      </c>
      <c r="H266">
        <f t="shared" si="39"/>
        <v>256</v>
      </c>
      <c r="I266" t="str">
        <f t="shared" si="40"/>
        <v xml:space="preserve"> </v>
      </c>
      <c r="J266" s="34"/>
      <c r="K266" s="35" t="s">
        <v>38</v>
      </c>
      <c r="L266" s="36"/>
      <c r="M266" s="34"/>
      <c r="N266" s="35" t="s">
        <v>38</v>
      </c>
      <c r="O266" s="36"/>
      <c r="P266" s="34"/>
      <c r="Q266" s="35" t="s">
        <v>38</v>
      </c>
      <c r="R266" s="36"/>
      <c r="S266" s="37">
        <f t="shared" si="41"/>
        <v>256</v>
      </c>
      <c r="U266" s="38"/>
      <c r="V266" s="39" t="s">
        <v>294</v>
      </c>
      <c r="W266" s="40" t="str">
        <f>IF('Infos générales'!$E$2="x",IF(U266&gt;0,VLOOKUP(U266,'Infos joueurs'!$A:$M,4,FALSE)&amp;" / "&amp;VLOOKUP(U266,'Infos joueurs'!$A:$M,9,FALSE)," "),IF(U266&gt;0,VLOOKUP(U266,'Infos joueurs'!$A:$M,4,FALSE)&amp;" "&amp;VLOOKUP(U266,'Infos joueurs'!$A:$M,5,FALSE)," "))</f>
        <v xml:space="preserve"> </v>
      </c>
      <c r="Y266" s="33">
        <v>256</v>
      </c>
      <c r="Z266" s="256" t="str">
        <f t="shared" si="42"/>
        <v xml:space="preserve"> </v>
      </c>
      <c r="AA266" s="41" t="str">
        <f>IFERROR(INDEX('Infos joueurs'!$F$15:$F$270,MATCH(AB266,'Infos joueurs'!$A$15:$A$270,0))," ")</f>
        <v xml:space="preserve"> </v>
      </c>
      <c r="AB266" s="38">
        <f t="shared" si="43"/>
        <v>0</v>
      </c>
    </row>
  </sheetData>
  <mergeCells count="11">
    <mergeCell ref="J10:L10"/>
    <mergeCell ref="M10:O10"/>
    <mergeCell ref="P10:R10"/>
    <mergeCell ref="A2:B2"/>
    <mergeCell ref="E2:G7"/>
    <mergeCell ref="A3:B3"/>
    <mergeCell ref="A4:B4"/>
    <mergeCell ref="A5:B5"/>
    <mergeCell ref="A6:B6"/>
    <mergeCell ref="A7:B7"/>
    <mergeCell ref="H2:K7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8913" r:id="rId4" name="CommandButton1">
          <controlPr defaultSize="0" autoLine="0" r:id="rId5">
            <anchor moveWithCells="1">
              <from>
                <xdr:col>14</xdr:col>
                <xdr:colOff>0</xdr:colOff>
                <xdr:row>3</xdr:row>
                <xdr:rowOff>0</xdr:rowOff>
              </from>
              <to>
                <xdr:col>20</xdr:col>
                <xdr:colOff>0</xdr:colOff>
                <xdr:row>5</xdr:row>
                <xdr:rowOff>180975</xdr:rowOff>
              </to>
            </anchor>
          </controlPr>
        </control>
      </mc:Choice>
      <mc:Fallback>
        <control shapeId="38913" r:id="rId4" name="CommandButton1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50"/>
  </sheetPr>
  <dimension ref="A1:HD325"/>
  <sheetViews>
    <sheetView topLeftCell="C1" zoomScaleNormal="100" workbookViewId="0">
      <selection activeCell="E21" sqref="E21"/>
    </sheetView>
  </sheetViews>
  <sheetFormatPr baseColWidth="10" defaultColWidth="11.42578125" defaultRowHeight="8.25" customHeight="1" outlineLevelCol="1" x14ac:dyDescent="0.25"/>
  <cols>
    <col min="1" max="2" width="3.7109375" style="195" hidden="1" customWidth="1" outlineLevel="1"/>
    <col min="3" max="3" width="3.7109375" style="195" customWidth="1" collapsed="1"/>
    <col min="4" max="4" width="13.7109375" style="195" customWidth="1"/>
    <col min="5" max="5" width="3.7109375" style="195" customWidth="1"/>
    <col min="6" max="6" width="13.7109375" style="195" customWidth="1"/>
    <col min="7" max="7" width="3.7109375" style="195" customWidth="1"/>
    <col min="8" max="8" width="13.7109375" style="195" customWidth="1"/>
    <col min="9" max="9" width="3.7109375" style="195" customWidth="1"/>
    <col min="10" max="10" width="13.7109375" style="195" customWidth="1"/>
    <col min="11" max="12" width="11.42578125" style="195"/>
    <col min="13" max="14" width="3.7109375" style="195" customWidth="1"/>
    <col min="15" max="15" width="10.7109375" style="195" customWidth="1"/>
    <col min="16" max="16" width="10.7109375" style="198" customWidth="1"/>
    <col min="17" max="18" width="10.7109375" style="195" customWidth="1"/>
    <col min="19" max="19" width="3.7109375" style="195" customWidth="1"/>
    <col min="20" max="23" width="10.7109375" style="195" customWidth="1"/>
    <col min="24" max="25" width="11.42578125" style="195"/>
    <col min="26" max="26" width="11.42578125" style="198"/>
    <col min="27" max="35" width="11.42578125" style="195"/>
    <col min="36" max="36" width="11.42578125" style="198"/>
    <col min="37" max="45" width="11.42578125" style="195"/>
    <col min="46" max="46" width="11.42578125" style="198"/>
    <col min="47" max="55" width="11.42578125" style="195"/>
    <col min="56" max="56" width="11.42578125" style="198"/>
    <col min="57" max="16384" width="11.42578125" style="195"/>
  </cols>
  <sheetData>
    <row r="1" spans="1:212" ht="8.25" customHeight="1" x14ac:dyDescent="0.25">
      <c r="A1" s="193"/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P1" s="195"/>
      <c r="V1" s="193"/>
      <c r="W1" s="193"/>
      <c r="X1" s="193"/>
      <c r="Y1" s="193"/>
      <c r="Z1" s="194"/>
      <c r="AA1" s="193"/>
      <c r="AB1" s="193"/>
      <c r="AC1" s="193"/>
      <c r="AD1" s="193"/>
      <c r="AE1" s="193"/>
      <c r="AF1" s="193"/>
      <c r="AG1" s="193"/>
      <c r="AH1" s="193"/>
      <c r="AI1" s="193"/>
      <c r="AJ1" s="194"/>
      <c r="AK1" s="193"/>
      <c r="AL1" s="193"/>
      <c r="AM1" s="193"/>
      <c r="AN1" s="193"/>
      <c r="AO1" s="193"/>
      <c r="AP1" s="193"/>
      <c r="AQ1" s="193"/>
      <c r="AR1" s="193"/>
      <c r="AS1" s="193"/>
      <c r="AT1" s="194"/>
      <c r="AU1" s="193"/>
      <c r="AV1" s="193"/>
      <c r="AW1" s="193"/>
      <c r="AX1" s="193"/>
      <c r="AY1" s="193"/>
      <c r="AZ1" s="193"/>
      <c r="BA1" s="193"/>
      <c r="BB1" s="193"/>
      <c r="BC1" s="193"/>
      <c r="BD1" s="194"/>
      <c r="BE1" s="193"/>
      <c r="BF1" s="193"/>
      <c r="BG1" s="193"/>
      <c r="BH1" s="193"/>
      <c r="BI1" s="193"/>
      <c r="BJ1" s="193"/>
      <c r="BK1" s="193"/>
      <c r="BL1" s="193"/>
      <c r="BM1" s="193"/>
      <c r="BO1" s="196"/>
      <c r="BP1" s="196"/>
      <c r="BQ1" s="196"/>
      <c r="BR1" s="196"/>
      <c r="BS1" s="196"/>
      <c r="BT1" s="196"/>
      <c r="BU1" s="196"/>
      <c r="BV1" s="196"/>
      <c r="BW1" s="196"/>
      <c r="BX1" s="196"/>
      <c r="BY1" s="196"/>
      <c r="BZ1" s="196"/>
      <c r="CA1" s="196"/>
      <c r="CB1" s="196"/>
      <c r="CC1" s="196"/>
      <c r="CD1" s="196"/>
      <c r="CE1" s="196"/>
      <c r="CF1" s="196"/>
      <c r="CG1" s="196"/>
      <c r="CH1" s="196"/>
      <c r="CI1" s="196"/>
      <c r="CJ1" s="196"/>
      <c r="CK1" s="196"/>
      <c r="CL1" s="196"/>
      <c r="CM1" s="196"/>
      <c r="CN1" s="196"/>
      <c r="CO1" s="196"/>
      <c r="CP1" s="196"/>
      <c r="CQ1" s="196"/>
      <c r="CR1" s="196"/>
      <c r="CS1" s="196"/>
      <c r="CT1" s="196"/>
      <c r="CU1" s="196"/>
      <c r="CV1" s="196"/>
      <c r="CW1" s="196"/>
      <c r="CX1" s="196"/>
      <c r="CY1" s="196"/>
      <c r="CZ1" s="196"/>
      <c r="DA1" s="196"/>
      <c r="DB1" s="196"/>
      <c r="DC1" s="196"/>
      <c r="DD1" s="196"/>
      <c r="DE1" s="196"/>
      <c r="DF1" s="196"/>
      <c r="DG1" s="196"/>
      <c r="DH1" s="196"/>
      <c r="DI1" s="196"/>
      <c r="DJ1" s="196"/>
    </row>
    <row r="2" spans="1:212" ht="8.25" customHeight="1" x14ac:dyDescent="0.25">
      <c r="C2" s="353" t="s">
        <v>346</v>
      </c>
      <c r="D2" s="353"/>
      <c r="E2" s="353"/>
      <c r="F2" s="353"/>
      <c r="G2" s="353"/>
      <c r="H2" s="353"/>
      <c r="I2" s="353"/>
      <c r="J2" s="353"/>
      <c r="K2" s="353"/>
      <c r="L2" s="353"/>
      <c r="M2" s="201"/>
      <c r="N2" s="353" t="s">
        <v>346</v>
      </c>
      <c r="O2" s="353"/>
      <c r="P2" s="353"/>
      <c r="Q2" s="353"/>
      <c r="R2" s="353"/>
      <c r="S2" s="353"/>
      <c r="T2" s="353"/>
      <c r="U2" s="353"/>
      <c r="V2" s="353"/>
      <c r="W2" s="353"/>
      <c r="X2" s="232"/>
      <c r="Y2" s="232"/>
      <c r="Z2" s="232"/>
      <c r="AA2" s="232"/>
      <c r="AB2" s="232"/>
      <c r="AD2" s="232"/>
      <c r="AE2" s="232"/>
      <c r="AF2" s="232"/>
      <c r="AG2" s="232"/>
      <c r="AH2" s="232"/>
      <c r="AI2" s="232"/>
      <c r="AJ2" s="232"/>
      <c r="AK2" s="232"/>
      <c r="AL2" s="232"/>
      <c r="AM2" s="232"/>
      <c r="AN2" s="232"/>
      <c r="AO2" s="232"/>
      <c r="AP2" s="232"/>
      <c r="AQ2" s="232"/>
      <c r="AR2" s="232"/>
      <c r="AS2" s="232"/>
      <c r="AT2" s="232"/>
      <c r="AU2" s="232"/>
      <c r="AV2" s="232"/>
      <c r="AW2" s="232"/>
      <c r="AX2" s="232"/>
      <c r="AY2" s="232"/>
      <c r="AZ2" s="232"/>
      <c r="BA2" s="232"/>
      <c r="BB2" s="232"/>
      <c r="BC2" s="232"/>
      <c r="BD2" s="232"/>
      <c r="BE2" s="232"/>
      <c r="BF2" s="232"/>
      <c r="BG2" s="232"/>
      <c r="BH2" s="232"/>
      <c r="BI2" s="232"/>
      <c r="BJ2" s="232"/>
      <c r="BK2" s="232"/>
      <c r="BL2" s="232"/>
      <c r="BM2" s="232"/>
      <c r="BN2" s="232"/>
      <c r="BO2" s="232"/>
      <c r="BP2" s="232"/>
      <c r="BQ2" s="232"/>
      <c r="BR2" s="232"/>
      <c r="BS2" s="232"/>
      <c r="BT2" s="232"/>
      <c r="BU2" s="232"/>
      <c r="BV2" s="232"/>
      <c r="BW2" s="232"/>
      <c r="BX2" s="232"/>
      <c r="BY2" s="232"/>
      <c r="BZ2" s="232"/>
      <c r="CA2" s="232"/>
      <c r="CB2" s="232"/>
      <c r="CC2" s="232"/>
      <c r="CD2" s="232"/>
      <c r="CE2" s="232"/>
      <c r="CF2" s="232"/>
      <c r="CG2" s="232"/>
      <c r="CH2" s="232"/>
      <c r="CI2" s="232"/>
      <c r="CJ2" s="232"/>
      <c r="CK2" s="232"/>
      <c r="CL2" s="197"/>
      <c r="CM2" s="197"/>
      <c r="CN2" s="197"/>
      <c r="CO2" s="197"/>
      <c r="CP2" s="197"/>
      <c r="CQ2" s="197"/>
      <c r="CR2" s="197"/>
      <c r="CS2" s="197"/>
      <c r="CT2" s="197"/>
      <c r="CU2" s="197"/>
      <c r="CV2" s="197"/>
      <c r="CW2" s="197"/>
      <c r="CX2" s="197"/>
      <c r="CY2" s="197"/>
      <c r="CZ2" s="197"/>
      <c r="DA2" s="197"/>
      <c r="DB2" s="197"/>
      <c r="DC2" s="197"/>
      <c r="DD2" s="197"/>
      <c r="DE2" s="197"/>
      <c r="DF2" s="197"/>
      <c r="DG2" s="197"/>
      <c r="DH2" s="197"/>
      <c r="DI2" s="197"/>
      <c r="DJ2" s="197"/>
      <c r="DK2" s="197"/>
      <c r="DL2" s="197"/>
      <c r="DM2" s="197"/>
      <c r="DN2" s="197"/>
      <c r="DO2" s="197"/>
      <c r="DP2" s="197"/>
    </row>
    <row r="3" spans="1:212" ht="8.25" customHeight="1" x14ac:dyDescent="0.25">
      <c r="B3" s="197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201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232"/>
      <c r="Y3" s="232"/>
      <c r="Z3" s="232"/>
      <c r="AA3" s="232"/>
      <c r="AB3" s="232"/>
      <c r="AD3" s="232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  <c r="BD3" s="232"/>
      <c r="BE3" s="232"/>
      <c r="BF3" s="232"/>
      <c r="BG3" s="232"/>
      <c r="BH3" s="232"/>
      <c r="BI3" s="232"/>
      <c r="BJ3" s="232"/>
      <c r="BK3" s="232"/>
      <c r="BL3" s="232"/>
      <c r="BM3" s="232"/>
      <c r="BN3" s="232"/>
      <c r="BO3" s="232"/>
      <c r="BP3" s="232"/>
      <c r="BQ3" s="232"/>
      <c r="BR3" s="232"/>
      <c r="BS3" s="232"/>
      <c r="BT3" s="232"/>
      <c r="BU3" s="232"/>
      <c r="BV3" s="232"/>
      <c r="BW3" s="232"/>
      <c r="BX3" s="232"/>
      <c r="BY3" s="232"/>
      <c r="BZ3" s="232"/>
      <c r="CA3" s="232"/>
      <c r="CB3" s="232"/>
      <c r="CC3" s="232"/>
      <c r="CD3" s="232"/>
      <c r="CE3" s="232"/>
      <c r="CF3" s="232"/>
      <c r="CG3" s="232"/>
      <c r="CH3" s="232"/>
      <c r="CI3" s="232"/>
      <c r="CJ3" s="232"/>
      <c r="CK3" s="232"/>
      <c r="CL3" s="197"/>
      <c r="CM3" s="197"/>
      <c r="CN3" s="197"/>
      <c r="CO3" s="197"/>
      <c r="CP3" s="197"/>
      <c r="CQ3" s="197"/>
      <c r="CR3" s="197"/>
      <c r="CS3" s="197"/>
      <c r="CT3" s="197"/>
      <c r="CU3" s="197"/>
      <c r="CV3" s="197"/>
      <c r="CW3" s="197"/>
      <c r="CX3" s="197"/>
      <c r="CY3" s="197"/>
      <c r="CZ3" s="197"/>
      <c r="DA3" s="197"/>
      <c r="DB3" s="197"/>
      <c r="DC3" s="197"/>
      <c r="DD3" s="197"/>
      <c r="DE3" s="197"/>
      <c r="DF3" s="197"/>
      <c r="DG3" s="197"/>
      <c r="DH3" s="197"/>
      <c r="DI3" s="197"/>
      <c r="DJ3" s="197"/>
      <c r="DK3" s="197"/>
      <c r="DL3" s="197"/>
      <c r="DM3" s="197"/>
      <c r="DN3" s="197"/>
      <c r="DO3" s="197"/>
      <c r="DP3" s="197"/>
    </row>
    <row r="4" spans="1:212" ht="8.25" customHeight="1" x14ac:dyDescent="0.25">
      <c r="A4" s="242"/>
      <c r="B4" s="197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201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232"/>
      <c r="Y4" s="232"/>
      <c r="Z4" s="232"/>
      <c r="AA4" s="232"/>
      <c r="AB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232"/>
      <c r="AX4" s="232"/>
      <c r="AY4" s="232"/>
      <c r="AZ4" s="232"/>
      <c r="BA4" s="232"/>
      <c r="BB4" s="232"/>
      <c r="BC4" s="232"/>
      <c r="BD4" s="232"/>
      <c r="BE4" s="232"/>
      <c r="BF4" s="232"/>
      <c r="BG4" s="232"/>
      <c r="BH4" s="232"/>
      <c r="BI4" s="232"/>
      <c r="BJ4" s="232"/>
      <c r="BK4" s="232"/>
      <c r="BL4" s="232"/>
      <c r="BM4" s="232"/>
      <c r="BN4" s="232"/>
      <c r="BO4" s="232"/>
      <c r="BP4" s="232"/>
      <c r="BQ4" s="232"/>
      <c r="BR4" s="232"/>
      <c r="BS4" s="232"/>
      <c r="BT4" s="232"/>
      <c r="BU4" s="232"/>
      <c r="BV4" s="232"/>
      <c r="BW4" s="232"/>
      <c r="BX4" s="232"/>
      <c r="BY4" s="232"/>
      <c r="BZ4" s="232"/>
      <c r="CA4" s="232"/>
      <c r="CB4" s="232"/>
      <c r="CC4" s="232"/>
      <c r="CD4" s="232"/>
      <c r="CE4" s="232"/>
      <c r="CF4" s="232"/>
      <c r="CG4" s="232"/>
      <c r="CH4" s="232"/>
      <c r="CI4" s="232"/>
      <c r="CJ4" s="232"/>
      <c r="CK4" s="232"/>
      <c r="CL4" s="197"/>
      <c r="CM4" s="197"/>
      <c r="CN4" s="197"/>
      <c r="CO4" s="197"/>
      <c r="CP4" s="197"/>
      <c r="CQ4" s="197"/>
      <c r="CR4" s="197"/>
      <c r="CS4" s="197"/>
      <c r="CT4" s="197"/>
      <c r="CU4" s="197"/>
      <c r="CV4" s="197"/>
      <c r="CW4" s="197"/>
      <c r="CX4" s="197"/>
      <c r="CY4" s="197"/>
      <c r="CZ4" s="197"/>
      <c r="DA4" s="197"/>
      <c r="DB4" s="197"/>
      <c r="DC4" s="197"/>
      <c r="DD4" s="197"/>
      <c r="DE4" s="197"/>
      <c r="DF4" s="197"/>
      <c r="DG4" s="197"/>
      <c r="DH4" s="197"/>
      <c r="DI4" s="197"/>
      <c r="DJ4" s="197"/>
      <c r="DK4" s="197"/>
      <c r="DL4" s="197"/>
      <c r="DM4" s="197"/>
      <c r="DN4" s="197"/>
      <c r="DO4" s="197"/>
      <c r="DP4" s="197"/>
    </row>
    <row r="5" spans="1:212" ht="8.25" customHeight="1" x14ac:dyDescent="0.25">
      <c r="A5" s="242"/>
      <c r="B5" s="197"/>
      <c r="C5" s="352">
        <v>43330</v>
      </c>
      <c r="D5" s="352"/>
      <c r="E5" s="352"/>
      <c r="F5" s="352"/>
      <c r="G5" s="352"/>
      <c r="H5" s="352"/>
      <c r="I5" s="352"/>
      <c r="J5" s="352"/>
      <c r="K5" s="352"/>
      <c r="L5" s="352"/>
      <c r="M5" s="245"/>
      <c r="N5" s="352">
        <v>43330</v>
      </c>
      <c r="O5" s="352"/>
      <c r="P5" s="352"/>
      <c r="Q5" s="352"/>
      <c r="R5" s="352"/>
      <c r="S5" s="352"/>
      <c r="T5" s="352"/>
      <c r="U5" s="352"/>
      <c r="V5" s="352"/>
      <c r="W5" s="352"/>
      <c r="X5" s="197"/>
      <c r="Y5" s="197"/>
      <c r="Z5" s="197"/>
      <c r="AA5" s="197"/>
      <c r="AB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7"/>
      <c r="AP5" s="197"/>
      <c r="AQ5" s="197"/>
      <c r="AR5" s="197"/>
      <c r="AS5" s="197"/>
      <c r="AT5" s="197"/>
      <c r="AU5" s="197"/>
      <c r="AV5" s="197"/>
      <c r="AW5" s="197"/>
      <c r="AX5" s="197"/>
      <c r="AY5" s="197"/>
      <c r="AZ5" s="197"/>
      <c r="BA5" s="197"/>
      <c r="BB5" s="197"/>
      <c r="BC5" s="197"/>
      <c r="BD5" s="197"/>
      <c r="BE5" s="197"/>
      <c r="BF5" s="197"/>
      <c r="BG5" s="197"/>
      <c r="BH5" s="197"/>
      <c r="BI5" s="197"/>
      <c r="BJ5" s="197"/>
      <c r="BK5" s="197"/>
      <c r="BL5" s="197"/>
      <c r="BM5" s="197"/>
      <c r="BN5" s="197"/>
      <c r="BO5" s="197"/>
      <c r="BP5" s="197"/>
      <c r="BQ5" s="197"/>
      <c r="BR5" s="197"/>
      <c r="BS5" s="197"/>
      <c r="BT5" s="197"/>
      <c r="BU5" s="197"/>
      <c r="BV5" s="197"/>
      <c r="BW5" s="197"/>
      <c r="BX5" s="197"/>
      <c r="BY5" s="197"/>
      <c r="BZ5" s="197"/>
      <c r="CA5" s="197"/>
      <c r="CB5" s="197"/>
      <c r="CC5" s="197"/>
      <c r="CD5" s="197"/>
      <c r="CE5" s="197"/>
      <c r="CF5" s="197"/>
      <c r="CG5" s="197"/>
      <c r="CH5" s="197"/>
      <c r="CI5" s="197"/>
      <c r="CJ5" s="197"/>
      <c r="CK5" s="197"/>
    </row>
    <row r="6" spans="1:212" ht="8.25" customHeight="1" x14ac:dyDescent="0.25">
      <c r="A6" s="242"/>
      <c r="C6" s="352"/>
      <c r="D6" s="352"/>
      <c r="E6" s="352"/>
      <c r="F6" s="352"/>
      <c r="G6" s="352"/>
      <c r="H6" s="352"/>
      <c r="I6" s="352"/>
      <c r="J6" s="352"/>
      <c r="K6" s="352"/>
      <c r="L6" s="352"/>
      <c r="M6" s="245"/>
      <c r="N6" s="352"/>
      <c r="O6" s="352"/>
      <c r="P6" s="352"/>
      <c r="Q6" s="352"/>
      <c r="R6" s="352"/>
      <c r="S6" s="352"/>
      <c r="T6" s="352"/>
      <c r="U6" s="352"/>
      <c r="V6" s="352"/>
      <c r="W6" s="352"/>
      <c r="X6" s="197"/>
      <c r="Y6" s="197"/>
      <c r="Z6" s="197"/>
      <c r="AA6" s="197"/>
      <c r="AB6" s="197"/>
      <c r="AD6" s="197"/>
      <c r="AE6" s="197"/>
      <c r="AF6" s="197"/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97"/>
      <c r="AR6" s="197"/>
      <c r="AS6" s="197"/>
      <c r="AT6" s="197"/>
      <c r="AU6" s="197"/>
      <c r="AV6" s="197"/>
      <c r="AW6" s="197"/>
      <c r="AX6" s="197"/>
      <c r="AY6" s="197"/>
      <c r="AZ6" s="197"/>
      <c r="BA6" s="197"/>
      <c r="BB6" s="197"/>
      <c r="BC6" s="197"/>
      <c r="BD6" s="197"/>
      <c r="BE6" s="197"/>
      <c r="BF6" s="197"/>
      <c r="BG6" s="197"/>
      <c r="BH6" s="197"/>
      <c r="BI6" s="197"/>
      <c r="BJ6" s="197"/>
      <c r="BK6" s="197"/>
      <c r="BL6" s="197"/>
      <c r="BM6" s="197"/>
      <c r="BN6" s="197"/>
      <c r="BO6" s="197"/>
      <c r="BP6" s="197"/>
      <c r="BQ6" s="197"/>
      <c r="BR6" s="197"/>
      <c r="BS6" s="197"/>
      <c r="BT6" s="197"/>
      <c r="BU6" s="197"/>
      <c r="BV6" s="197"/>
      <c r="BW6" s="197"/>
      <c r="BX6" s="197"/>
      <c r="BY6" s="197"/>
      <c r="BZ6" s="197"/>
      <c r="CA6" s="197"/>
      <c r="CB6" s="197"/>
      <c r="CC6" s="197"/>
      <c r="CD6" s="197"/>
      <c r="CE6" s="197"/>
      <c r="CF6" s="197"/>
      <c r="CG6" s="197"/>
      <c r="CH6" s="197"/>
      <c r="CI6" s="197"/>
      <c r="CJ6" s="197"/>
      <c r="CK6" s="197"/>
      <c r="CL6" s="199"/>
      <c r="CM6" s="199"/>
      <c r="CN6" s="199"/>
      <c r="CO6" s="199"/>
      <c r="CP6" s="199"/>
      <c r="CQ6" s="199"/>
      <c r="CR6" s="199"/>
      <c r="CS6" s="199"/>
      <c r="CT6" s="199"/>
      <c r="CU6" s="199"/>
      <c r="CV6" s="199"/>
      <c r="CW6" s="199"/>
      <c r="CX6" s="199"/>
      <c r="CY6" s="199"/>
      <c r="CZ6" s="199"/>
      <c r="DA6" s="199"/>
      <c r="DB6" s="199"/>
      <c r="DC6" s="199"/>
      <c r="DD6" s="199"/>
      <c r="DE6" s="199"/>
      <c r="DF6" s="199"/>
      <c r="DG6" s="199"/>
      <c r="DH6" s="199"/>
      <c r="DI6" s="199"/>
      <c r="DJ6" s="199"/>
      <c r="DK6" s="199"/>
      <c r="DL6" s="199"/>
      <c r="DM6" s="199"/>
      <c r="DN6" s="199"/>
      <c r="DO6" s="199"/>
      <c r="DP6" s="199"/>
      <c r="EN6" s="193"/>
      <c r="EO6" s="193"/>
      <c r="EP6" s="193"/>
      <c r="EQ6" s="193"/>
      <c r="ER6" s="193"/>
      <c r="ES6" s="193"/>
      <c r="ET6" s="193"/>
      <c r="EU6" s="193"/>
      <c r="EV6" s="193"/>
      <c r="EW6" s="193"/>
      <c r="EX6" s="193"/>
      <c r="EY6" s="193"/>
      <c r="EZ6" s="193"/>
      <c r="FA6" s="194"/>
      <c r="FB6" s="193"/>
      <c r="FC6" s="193"/>
      <c r="FD6" s="193"/>
      <c r="FE6" s="193"/>
      <c r="FF6" s="193"/>
      <c r="FG6" s="193"/>
      <c r="FH6" s="193"/>
      <c r="FI6" s="193"/>
      <c r="FJ6" s="193"/>
      <c r="FK6" s="194"/>
      <c r="FL6" s="193"/>
      <c r="FM6" s="193"/>
      <c r="FN6" s="193"/>
      <c r="FO6" s="193"/>
      <c r="FP6" s="193"/>
      <c r="FQ6" s="193"/>
      <c r="FR6" s="193"/>
      <c r="FS6" s="193"/>
      <c r="FT6" s="193"/>
      <c r="FU6" s="194"/>
      <c r="FV6" s="193"/>
      <c r="FW6" s="193"/>
      <c r="FX6" s="193"/>
      <c r="FY6" s="193"/>
      <c r="FZ6" s="193"/>
      <c r="GA6" s="193"/>
      <c r="GB6" s="193"/>
      <c r="GC6" s="193"/>
      <c r="GD6" s="193"/>
      <c r="GE6" s="194"/>
      <c r="GF6" s="193"/>
      <c r="GG6" s="193"/>
      <c r="GH6" s="193"/>
      <c r="GI6" s="193"/>
      <c r="GJ6" s="193"/>
      <c r="GK6" s="193"/>
      <c r="GL6" s="193"/>
      <c r="GM6" s="193"/>
      <c r="GN6" s="193"/>
      <c r="GO6" s="194"/>
      <c r="GP6" s="193"/>
      <c r="GQ6" s="193"/>
      <c r="GR6" s="193"/>
      <c r="GS6" s="193"/>
      <c r="GT6" s="193"/>
      <c r="GU6" s="193"/>
      <c r="GV6" s="193"/>
      <c r="GW6" s="193"/>
      <c r="GX6" s="193"/>
      <c r="GY6" s="193"/>
      <c r="GZ6" s="193"/>
      <c r="HA6" s="193"/>
      <c r="HB6" s="193"/>
      <c r="HC6" s="193"/>
      <c r="HD6" s="193"/>
    </row>
    <row r="7" spans="1:212" ht="8.25" customHeight="1" x14ac:dyDescent="0.25">
      <c r="B7" s="199"/>
      <c r="C7" s="352"/>
      <c r="D7" s="352"/>
      <c r="E7" s="352"/>
      <c r="F7" s="352"/>
      <c r="G7" s="352"/>
      <c r="H7" s="352"/>
      <c r="I7" s="352"/>
      <c r="J7" s="352"/>
      <c r="K7" s="352"/>
      <c r="L7" s="352"/>
      <c r="M7" s="245"/>
      <c r="N7" s="352"/>
      <c r="O7" s="352"/>
      <c r="P7" s="352"/>
      <c r="Q7" s="352"/>
      <c r="R7" s="352"/>
      <c r="S7" s="352"/>
      <c r="T7" s="352"/>
      <c r="U7" s="352"/>
      <c r="V7" s="352"/>
      <c r="W7" s="352"/>
      <c r="Z7" s="195"/>
      <c r="AA7" s="197"/>
      <c r="AB7" s="197"/>
      <c r="AD7" s="197"/>
      <c r="AE7" s="197"/>
      <c r="AF7" s="197"/>
      <c r="AG7" s="197"/>
      <c r="AH7" s="197"/>
      <c r="AI7" s="197"/>
      <c r="AJ7" s="197"/>
      <c r="AK7" s="197"/>
      <c r="AL7" s="197"/>
      <c r="AM7" s="197"/>
      <c r="AN7" s="197"/>
      <c r="AO7" s="197"/>
      <c r="AP7" s="197"/>
      <c r="AQ7" s="197"/>
      <c r="AR7" s="197"/>
      <c r="AS7" s="197"/>
      <c r="AT7" s="197"/>
      <c r="AU7" s="197"/>
      <c r="AV7" s="197"/>
      <c r="AW7" s="197"/>
      <c r="AX7" s="197"/>
      <c r="AY7" s="197"/>
      <c r="AZ7" s="197"/>
      <c r="BA7" s="197"/>
      <c r="BB7" s="197"/>
      <c r="BC7" s="197"/>
      <c r="BD7" s="197"/>
      <c r="BE7" s="197"/>
      <c r="BF7" s="197"/>
      <c r="BG7" s="197"/>
      <c r="BH7" s="197"/>
      <c r="BI7" s="197"/>
      <c r="BJ7" s="197"/>
      <c r="BK7" s="197"/>
      <c r="BL7" s="197"/>
      <c r="BM7" s="197"/>
      <c r="BN7" s="197"/>
      <c r="BO7" s="197"/>
      <c r="BP7" s="197"/>
      <c r="BQ7" s="197"/>
      <c r="BR7" s="197"/>
      <c r="BS7" s="197"/>
      <c r="BT7" s="197"/>
      <c r="BU7" s="197"/>
      <c r="BV7" s="197"/>
      <c r="BW7" s="197"/>
      <c r="BX7" s="197"/>
      <c r="BY7" s="197"/>
      <c r="BZ7" s="197"/>
      <c r="CA7" s="197"/>
      <c r="CB7" s="197"/>
      <c r="CC7" s="197"/>
      <c r="CD7" s="197"/>
      <c r="CE7" s="197"/>
      <c r="CF7" s="197"/>
      <c r="CG7" s="197"/>
      <c r="CH7" s="197"/>
      <c r="CI7" s="197"/>
      <c r="CJ7" s="197"/>
      <c r="CK7" s="197"/>
      <c r="CL7" s="199"/>
      <c r="CM7" s="199"/>
      <c r="CN7" s="199"/>
      <c r="CO7" s="199"/>
      <c r="CP7" s="199"/>
      <c r="CQ7" s="199"/>
      <c r="CR7" s="199"/>
      <c r="CS7" s="199"/>
      <c r="CT7" s="199"/>
      <c r="CU7" s="199"/>
      <c r="CV7" s="199"/>
      <c r="CW7" s="199"/>
      <c r="CX7" s="199"/>
      <c r="CY7" s="199"/>
      <c r="CZ7" s="199"/>
      <c r="DA7" s="199"/>
      <c r="DB7" s="199"/>
      <c r="DC7" s="199"/>
      <c r="DD7" s="199"/>
      <c r="DE7" s="199"/>
      <c r="DF7" s="199"/>
      <c r="DG7" s="199"/>
      <c r="DH7" s="199"/>
      <c r="DI7" s="199"/>
      <c r="DJ7" s="199"/>
      <c r="DK7" s="199"/>
      <c r="DL7" s="199"/>
      <c r="DM7" s="199"/>
      <c r="DN7" s="199"/>
      <c r="DO7" s="199"/>
      <c r="DP7" s="199"/>
      <c r="EN7" s="193"/>
      <c r="EO7" s="193"/>
      <c r="EP7" s="193"/>
      <c r="EQ7" s="193"/>
      <c r="ER7" s="193"/>
      <c r="ES7" s="193"/>
      <c r="ET7" s="193"/>
      <c r="EU7" s="193"/>
      <c r="EV7" s="193"/>
      <c r="EW7" s="193"/>
      <c r="EX7" s="193"/>
      <c r="EY7" s="193"/>
      <c r="EZ7" s="193"/>
      <c r="FA7" s="194"/>
      <c r="FB7" s="193"/>
      <c r="FC7" s="193"/>
      <c r="FD7" s="193"/>
      <c r="FE7" s="193"/>
      <c r="FF7" s="193"/>
      <c r="FG7" s="193"/>
      <c r="FH7" s="193"/>
      <c r="FI7" s="193"/>
      <c r="FJ7" s="193"/>
      <c r="FK7" s="194"/>
      <c r="FL7" s="193"/>
      <c r="FM7" s="193"/>
      <c r="FN7" s="193"/>
      <c r="FO7" s="193"/>
      <c r="FP7" s="193"/>
      <c r="FQ7" s="193"/>
      <c r="FR7" s="193"/>
      <c r="FS7" s="193"/>
      <c r="FT7" s="193"/>
      <c r="FU7" s="194"/>
      <c r="FV7" s="193"/>
      <c r="FW7" s="193"/>
      <c r="FX7" s="193"/>
      <c r="FY7" s="193"/>
      <c r="FZ7" s="193"/>
      <c r="GA7" s="193"/>
      <c r="GB7" s="193"/>
      <c r="GC7" s="193"/>
      <c r="GD7" s="193"/>
      <c r="GE7" s="194"/>
      <c r="GF7" s="193"/>
      <c r="GG7" s="193"/>
      <c r="GH7" s="193"/>
      <c r="GI7" s="193"/>
      <c r="GJ7" s="193"/>
      <c r="GK7" s="193"/>
      <c r="GL7" s="193"/>
      <c r="GM7" s="193"/>
      <c r="GN7" s="193"/>
      <c r="GO7" s="194"/>
      <c r="GP7" s="193"/>
      <c r="GQ7" s="193"/>
      <c r="GR7" s="193"/>
      <c r="GS7" s="193"/>
      <c r="GT7" s="193"/>
      <c r="GU7" s="193"/>
      <c r="GV7" s="193"/>
      <c r="GW7" s="193"/>
      <c r="GX7" s="193"/>
      <c r="GY7" s="193"/>
      <c r="GZ7" s="193"/>
      <c r="HA7" s="193"/>
      <c r="HB7" s="193"/>
      <c r="HC7" s="193"/>
      <c r="HD7" s="193"/>
    </row>
    <row r="8" spans="1:212" ht="8.25" customHeight="1" x14ac:dyDescent="0.25">
      <c r="B8" s="199"/>
      <c r="C8" s="199"/>
      <c r="D8" s="199"/>
      <c r="E8" s="199"/>
      <c r="F8" s="199"/>
      <c r="G8" s="199"/>
      <c r="H8" s="199"/>
      <c r="I8" s="199"/>
      <c r="J8" s="199"/>
      <c r="K8" s="199"/>
      <c r="L8" s="199"/>
      <c r="M8" s="199"/>
      <c r="N8" s="200"/>
      <c r="O8" s="199"/>
      <c r="P8" s="199"/>
      <c r="Q8" s="199"/>
      <c r="R8" s="199"/>
      <c r="S8" s="199"/>
      <c r="T8" s="199"/>
      <c r="U8" s="199"/>
      <c r="Z8" s="195"/>
      <c r="AA8" s="199"/>
      <c r="AB8" s="199"/>
      <c r="AD8" s="199"/>
      <c r="AE8" s="199"/>
      <c r="AF8" s="199"/>
      <c r="AG8" s="199"/>
      <c r="AH8" s="199"/>
      <c r="AI8" s="199"/>
      <c r="AJ8" s="199"/>
      <c r="AK8" s="199"/>
      <c r="AL8" s="199"/>
      <c r="AM8" s="199"/>
      <c r="AN8" s="199"/>
      <c r="AO8" s="199"/>
      <c r="AP8" s="199"/>
      <c r="AQ8" s="199"/>
      <c r="AR8" s="199"/>
      <c r="AS8" s="199"/>
      <c r="AT8" s="199"/>
      <c r="AU8" s="199"/>
      <c r="AV8" s="199"/>
      <c r="AW8" s="199"/>
      <c r="AX8" s="199"/>
      <c r="AY8" s="199"/>
      <c r="AZ8" s="199"/>
      <c r="BA8" s="199"/>
      <c r="BB8" s="199"/>
      <c r="BC8" s="199"/>
      <c r="BD8" s="200"/>
      <c r="BE8" s="200"/>
      <c r="BF8" s="200"/>
      <c r="BG8" s="200"/>
      <c r="BH8" s="200"/>
      <c r="BI8" s="200"/>
      <c r="BJ8" s="200"/>
      <c r="BK8" s="200"/>
      <c r="BL8" s="200"/>
      <c r="BM8" s="200"/>
      <c r="BP8" s="199"/>
      <c r="BQ8" s="199"/>
      <c r="BR8" s="199"/>
      <c r="BS8" s="199"/>
      <c r="BT8" s="199"/>
      <c r="BU8" s="199"/>
      <c r="BV8" s="199"/>
      <c r="BW8" s="199"/>
      <c r="BX8" s="199"/>
      <c r="BY8" s="199"/>
      <c r="BZ8" s="199"/>
      <c r="CA8" s="199"/>
      <c r="CB8" s="199"/>
      <c r="CC8" s="199"/>
      <c r="CD8" s="199"/>
      <c r="CE8" s="199"/>
      <c r="CF8" s="199"/>
      <c r="CG8" s="199"/>
      <c r="CH8" s="199"/>
      <c r="CI8" s="199"/>
      <c r="CJ8" s="199"/>
      <c r="CK8" s="199"/>
      <c r="CL8" s="199"/>
      <c r="CM8" s="199"/>
      <c r="CN8" s="199"/>
      <c r="CO8" s="199"/>
      <c r="CP8" s="199"/>
      <c r="CQ8" s="199"/>
      <c r="CR8" s="199"/>
      <c r="CS8" s="199"/>
      <c r="CT8" s="199"/>
      <c r="CU8" s="199"/>
      <c r="CV8" s="199"/>
      <c r="CW8" s="199"/>
      <c r="CX8" s="199"/>
      <c r="CY8" s="199"/>
      <c r="CZ8" s="199"/>
      <c r="DA8" s="199"/>
      <c r="DB8" s="199"/>
      <c r="DC8" s="199"/>
      <c r="DD8" s="199"/>
      <c r="DE8" s="199"/>
      <c r="DF8" s="199"/>
      <c r="DG8" s="199"/>
      <c r="DH8" s="199"/>
      <c r="DI8" s="199"/>
      <c r="DJ8" s="199"/>
      <c r="DK8" s="199"/>
      <c r="DL8" s="199"/>
      <c r="DM8" s="199"/>
      <c r="DN8" s="199"/>
      <c r="DO8" s="199"/>
      <c r="DP8" s="199"/>
      <c r="EN8" s="193"/>
      <c r="EO8" s="193"/>
      <c r="EP8" s="193"/>
      <c r="EQ8" s="193"/>
      <c r="ER8" s="193"/>
      <c r="ES8" s="193"/>
      <c r="ET8" s="193"/>
      <c r="EU8" s="193"/>
      <c r="EV8" s="193"/>
      <c r="EW8" s="193"/>
      <c r="EX8" s="193"/>
      <c r="EY8" s="193"/>
      <c r="EZ8" s="193"/>
      <c r="FA8" s="194"/>
      <c r="FB8" s="193"/>
      <c r="FC8" s="193"/>
      <c r="FD8" s="193"/>
      <c r="FE8" s="193"/>
      <c r="FF8" s="193"/>
      <c r="FG8" s="193"/>
      <c r="FH8" s="193"/>
      <c r="FI8" s="193"/>
      <c r="FJ8" s="193"/>
      <c r="FK8" s="194"/>
      <c r="FL8" s="193"/>
      <c r="FM8" s="193"/>
      <c r="FN8" s="193"/>
      <c r="FO8" s="193"/>
      <c r="FP8" s="193"/>
      <c r="FQ8" s="193"/>
      <c r="FR8" s="193"/>
      <c r="FS8" s="193"/>
      <c r="FT8" s="193"/>
      <c r="FU8" s="194"/>
      <c r="FV8" s="193"/>
      <c r="FW8" s="193"/>
      <c r="FX8" s="193"/>
      <c r="FY8" s="193"/>
      <c r="FZ8" s="193"/>
      <c r="GA8" s="193"/>
      <c r="GB8" s="193"/>
      <c r="GC8" s="193"/>
      <c r="GD8" s="193"/>
      <c r="GE8" s="194"/>
      <c r="GF8" s="193"/>
      <c r="GG8" s="193"/>
      <c r="GH8" s="193"/>
      <c r="GI8" s="193"/>
      <c r="GJ8" s="193"/>
      <c r="GK8" s="193"/>
      <c r="GL8" s="193"/>
      <c r="GM8" s="193"/>
      <c r="GN8" s="193"/>
      <c r="GO8" s="194"/>
      <c r="GP8" s="193"/>
      <c r="GQ8" s="193"/>
      <c r="GR8" s="193"/>
      <c r="GS8" s="193"/>
      <c r="GT8" s="193"/>
      <c r="GU8" s="193"/>
      <c r="GV8" s="193"/>
      <c r="GW8" s="193"/>
      <c r="GX8" s="193"/>
      <c r="GY8" s="193"/>
      <c r="GZ8" s="193"/>
      <c r="HA8" s="193"/>
      <c r="HB8" s="193"/>
      <c r="HC8" s="193"/>
      <c r="HD8" s="193"/>
    </row>
    <row r="9" spans="1:212" ht="8.25" customHeight="1" x14ac:dyDescent="0.25"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8"/>
      <c r="N9" s="200"/>
      <c r="O9" s="198"/>
      <c r="Q9" s="198"/>
      <c r="S9" s="200"/>
      <c r="T9" s="200"/>
      <c r="U9" s="200"/>
      <c r="Z9" s="195"/>
      <c r="AA9" s="200"/>
      <c r="AB9" s="200"/>
      <c r="AD9" s="200"/>
      <c r="AE9" s="200"/>
      <c r="AF9" s="200"/>
      <c r="AG9" s="200"/>
      <c r="AH9" s="200"/>
      <c r="AI9" s="200"/>
      <c r="AJ9" s="200"/>
      <c r="AK9" s="200"/>
      <c r="AL9" s="200"/>
      <c r="AM9" s="200"/>
      <c r="AN9" s="200"/>
      <c r="AO9" s="200"/>
      <c r="AP9" s="200"/>
      <c r="AQ9" s="200"/>
      <c r="AR9" s="200"/>
      <c r="AS9" s="200"/>
      <c r="AT9" s="200"/>
      <c r="AU9" s="200"/>
      <c r="AV9" s="200"/>
      <c r="AW9" s="200"/>
      <c r="AX9" s="200"/>
      <c r="AY9" s="200"/>
      <c r="AZ9" s="200"/>
      <c r="BA9" s="200"/>
      <c r="BB9" s="200"/>
      <c r="BC9" s="200"/>
      <c r="BD9" s="200"/>
      <c r="BE9" s="200"/>
      <c r="BF9" s="200"/>
      <c r="BG9" s="200"/>
      <c r="BH9" s="200"/>
      <c r="BI9" s="200"/>
      <c r="BJ9" s="200"/>
      <c r="BK9" s="200"/>
      <c r="BL9" s="200"/>
      <c r="BM9" s="200"/>
    </row>
    <row r="10" spans="1:212" ht="8.25" customHeight="1" x14ac:dyDescent="0.25"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232"/>
      <c r="O10" s="198"/>
      <c r="Q10" s="198"/>
      <c r="S10" s="200"/>
      <c r="T10" s="200"/>
      <c r="U10" s="200"/>
      <c r="Z10" s="195"/>
      <c r="AA10" s="200"/>
      <c r="AB10" s="200"/>
      <c r="AD10" s="200"/>
      <c r="AE10" s="200"/>
      <c r="AF10" s="200"/>
      <c r="AG10" s="200"/>
      <c r="AH10" s="200"/>
      <c r="AI10" s="200"/>
      <c r="AJ10" s="200"/>
      <c r="AK10" s="200"/>
      <c r="AL10" s="200"/>
      <c r="AM10" s="200"/>
      <c r="AN10" s="200"/>
      <c r="AO10" s="200"/>
      <c r="AP10" s="200"/>
      <c r="AQ10" s="200"/>
      <c r="AR10" s="200"/>
      <c r="AS10" s="200"/>
      <c r="AT10" s="200"/>
      <c r="AU10" s="200"/>
      <c r="AV10" s="200"/>
      <c r="AW10" s="200"/>
      <c r="AX10" s="200"/>
      <c r="AY10" s="200"/>
      <c r="AZ10" s="200"/>
      <c r="BA10" s="200"/>
      <c r="BB10" s="200"/>
      <c r="BC10" s="200"/>
      <c r="BD10" s="200"/>
      <c r="BE10" s="200"/>
      <c r="BF10" s="200"/>
      <c r="BG10" s="200"/>
      <c r="BH10" s="200"/>
      <c r="BI10" s="200"/>
      <c r="BJ10" s="200"/>
      <c r="BK10" s="200"/>
      <c r="BL10" s="200"/>
      <c r="BM10" s="200"/>
    </row>
    <row r="11" spans="1:212" ht="8.25" customHeight="1" x14ac:dyDescent="0.25">
      <c r="C11" s="232"/>
      <c r="D11" s="232"/>
      <c r="E11" s="232"/>
      <c r="F11" s="232"/>
      <c r="G11" s="232"/>
      <c r="H11" s="232"/>
      <c r="I11" s="232"/>
      <c r="J11" s="232"/>
      <c r="K11" s="232"/>
      <c r="L11" s="232"/>
      <c r="M11" s="232"/>
      <c r="N11" s="232"/>
      <c r="O11" s="232"/>
      <c r="P11" s="232"/>
      <c r="Q11" s="232"/>
      <c r="R11" s="232"/>
      <c r="S11" s="232"/>
      <c r="T11" s="232"/>
      <c r="U11" s="232"/>
      <c r="Z11" s="195"/>
      <c r="AA11" s="232"/>
      <c r="AB11" s="232"/>
      <c r="AD11" s="232"/>
      <c r="AE11" s="232"/>
      <c r="AF11" s="232"/>
      <c r="AG11" s="232"/>
      <c r="AH11" s="232"/>
      <c r="AI11" s="232"/>
      <c r="AJ11" s="232"/>
      <c r="AK11" s="232"/>
      <c r="AL11" s="232"/>
      <c r="AM11" s="232"/>
      <c r="AN11" s="232"/>
      <c r="AO11" s="232"/>
      <c r="AP11" s="232"/>
      <c r="AQ11" s="232"/>
      <c r="AR11" s="232"/>
      <c r="AS11" s="232"/>
      <c r="AT11" s="232"/>
      <c r="AU11" s="232"/>
      <c r="AV11" s="232"/>
      <c r="AW11" s="232"/>
      <c r="AX11" s="232"/>
      <c r="AY11" s="232"/>
      <c r="AZ11" s="232"/>
      <c r="BA11" s="232"/>
      <c r="BB11" s="232"/>
      <c r="BC11" s="232"/>
      <c r="BD11" s="232"/>
      <c r="BE11" s="232"/>
      <c r="BF11" s="232"/>
      <c r="BG11" s="232"/>
      <c r="BH11" s="232"/>
      <c r="BI11" s="232"/>
      <c r="BJ11" s="232"/>
      <c r="BK11" s="232"/>
      <c r="BL11" s="232"/>
      <c r="BP11" s="232"/>
      <c r="BQ11" s="232"/>
      <c r="BR11" s="232"/>
      <c r="BS11" s="232"/>
      <c r="BT11" s="232"/>
      <c r="BU11" s="232"/>
      <c r="BV11" s="232"/>
      <c r="BW11" s="232"/>
      <c r="BX11" s="232"/>
      <c r="BY11" s="232"/>
      <c r="BZ11" s="232"/>
      <c r="CA11" s="232"/>
      <c r="CB11" s="232"/>
      <c r="CC11" s="232"/>
      <c r="CD11" s="232"/>
      <c r="CE11" s="232"/>
      <c r="CF11" s="232"/>
      <c r="CG11" s="232"/>
      <c r="CH11" s="232"/>
      <c r="CI11" s="232"/>
      <c r="CJ11" s="232"/>
      <c r="CK11" s="232"/>
      <c r="CL11" s="232"/>
      <c r="CM11" s="232"/>
      <c r="CN11" s="232"/>
      <c r="CO11" s="232"/>
      <c r="CP11" s="232"/>
      <c r="CQ11" s="232"/>
      <c r="CR11" s="232"/>
      <c r="CS11" s="232"/>
      <c r="CT11" s="232"/>
      <c r="CU11" s="232"/>
      <c r="CV11" s="232"/>
      <c r="CW11" s="232"/>
      <c r="CX11" s="232"/>
      <c r="CY11" s="232"/>
      <c r="CZ11" s="232"/>
      <c r="DA11" s="232"/>
      <c r="DB11" s="232"/>
      <c r="DC11" s="232"/>
      <c r="DD11" s="232"/>
      <c r="DE11" s="232"/>
      <c r="DF11" s="232"/>
      <c r="DG11" s="232"/>
      <c r="DH11" s="232"/>
      <c r="DI11" s="232"/>
      <c r="DJ11" s="232"/>
      <c r="DK11" s="232"/>
      <c r="DL11" s="232"/>
      <c r="DM11" s="232"/>
      <c r="DN11" s="232"/>
      <c r="DO11" s="232"/>
      <c r="DP11" s="232"/>
      <c r="DQ11" s="232"/>
      <c r="DR11" s="232"/>
      <c r="DS11" s="232"/>
      <c r="DT11" s="232"/>
      <c r="DU11" s="232"/>
      <c r="DV11" s="232"/>
      <c r="DW11" s="232"/>
      <c r="DX11" s="232"/>
    </row>
    <row r="12" spans="1:212" ht="8.25" customHeight="1" x14ac:dyDescent="0.25">
      <c r="B12" s="232"/>
      <c r="C12" s="232"/>
      <c r="D12" s="232"/>
      <c r="E12" s="232"/>
      <c r="F12" s="232"/>
      <c r="G12" s="232"/>
      <c r="H12" s="232"/>
      <c r="I12" s="232"/>
      <c r="J12" s="232"/>
      <c r="K12" s="232"/>
      <c r="L12" s="232"/>
      <c r="M12" s="232"/>
      <c r="O12" s="232"/>
      <c r="P12" s="232"/>
      <c r="Q12" s="232"/>
      <c r="R12" s="232"/>
      <c r="S12" s="232"/>
      <c r="T12" s="232"/>
      <c r="U12" s="232"/>
      <c r="Z12" s="195"/>
      <c r="AA12" s="232"/>
      <c r="AB12" s="232"/>
      <c r="AD12" s="232"/>
      <c r="AE12" s="232"/>
      <c r="AF12" s="232"/>
      <c r="AG12" s="232"/>
      <c r="AH12" s="232"/>
      <c r="AI12" s="232"/>
      <c r="AJ12" s="232"/>
      <c r="AK12" s="232"/>
      <c r="AL12" s="232"/>
      <c r="AM12" s="232"/>
      <c r="AN12" s="232"/>
      <c r="AO12" s="232"/>
      <c r="AP12" s="232"/>
      <c r="AQ12" s="232"/>
      <c r="AR12" s="232"/>
      <c r="AS12" s="232"/>
      <c r="AT12" s="232"/>
      <c r="AU12" s="232"/>
      <c r="AV12" s="232"/>
      <c r="AW12" s="232"/>
      <c r="AX12" s="232"/>
      <c r="AY12" s="232"/>
      <c r="AZ12" s="232"/>
      <c r="BA12" s="232"/>
      <c r="BB12" s="232"/>
      <c r="BC12" s="232"/>
      <c r="BD12" s="232"/>
      <c r="BE12" s="232"/>
      <c r="BF12" s="232"/>
      <c r="BG12" s="232"/>
      <c r="BH12" s="232"/>
      <c r="BI12" s="232"/>
      <c r="BJ12" s="232"/>
      <c r="BK12" s="232"/>
      <c r="BL12" s="232"/>
      <c r="BO12" s="232"/>
      <c r="BP12" s="232"/>
      <c r="BQ12" s="232"/>
      <c r="BR12" s="232"/>
      <c r="BS12" s="232"/>
      <c r="BT12" s="232"/>
      <c r="BU12" s="232"/>
      <c r="BV12" s="232"/>
      <c r="BW12" s="232"/>
      <c r="BX12" s="232"/>
      <c r="BY12" s="232"/>
      <c r="BZ12" s="232"/>
      <c r="CA12" s="232"/>
      <c r="CB12" s="232"/>
      <c r="CC12" s="232"/>
      <c r="CD12" s="232"/>
      <c r="CE12" s="232"/>
      <c r="CF12" s="232"/>
      <c r="CG12" s="232"/>
      <c r="CH12" s="232"/>
      <c r="CI12" s="232"/>
      <c r="CJ12" s="232"/>
      <c r="CK12" s="232"/>
      <c r="CL12" s="232"/>
      <c r="CM12" s="232"/>
      <c r="CN12" s="232"/>
      <c r="CO12" s="232"/>
      <c r="CP12" s="232"/>
      <c r="CQ12" s="232"/>
      <c r="CR12" s="232"/>
      <c r="CS12" s="232"/>
      <c r="CT12" s="232"/>
      <c r="CU12" s="232"/>
      <c r="CV12" s="232"/>
      <c r="CW12" s="232"/>
      <c r="CX12" s="232"/>
      <c r="CY12" s="232"/>
      <c r="CZ12" s="232"/>
      <c r="DA12" s="232"/>
      <c r="DB12" s="232"/>
      <c r="DC12" s="232"/>
      <c r="DD12" s="232"/>
      <c r="DE12" s="232"/>
      <c r="DF12" s="232"/>
      <c r="DG12" s="232"/>
      <c r="DH12" s="232"/>
      <c r="DI12" s="232"/>
      <c r="DJ12" s="232"/>
      <c r="DK12" s="232"/>
      <c r="DL12" s="232"/>
      <c r="DM12" s="232"/>
      <c r="DN12" s="232"/>
      <c r="DO12" s="232"/>
      <c r="DP12" s="232"/>
      <c r="DQ12" s="232"/>
      <c r="DR12" s="232"/>
      <c r="DS12" s="232"/>
      <c r="DT12" s="232"/>
      <c r="DU12" s="232"/>
      <c r="DV12" s="232"/>
      <c r="DW12" s="232"/>
      <c r="DX12" s="232"/>
    </row>
    <row r="13" spans="1:212" ht="8.25" customHeight="1" x14ac:dyDescent="0.25">
      <c r="B13" s="232"/>
      <c r="C13" s="232"/>
      <c r="D13" s="232"/>
      <c r="E13" s="232"/>
      <c r="F13" s="232"/>
      <c r="G13" s="232"/>
      <c r="H13" s="232"/>
      <c r="I13" s="232"/>
      <c r="J13" s="232"/>
      <c r="K13" s="232"/>
      <c r="L13" s="232"/>
      <c r="M13" s="232"/>
      <c r="N13" s="232"/>
      <c r="O13" s="232"/>
      <c r="P13" s="232"/>
      <c r="Q13" s="232"/>
      <c r="R13" s="232"/>
      <c r="S13" s="232"/>
      <c r="T13" s="232"/>
      <c r="U13" s="232"/>
      <c r="Z13" s="195"/>
      <c r="AA13" s="232"/>
      <c r="AB13" s="232"/>
      <c r="AD13" s="232"/>
      <c r="AE13" s="232"/>
      <c r="AF13" s="232"/>
      <c r="AG13" s="232"/>
      <c r="AH13" s="232"/>
      <c r="AI13" s="232"/>
      <c r="AJ13" s="232"/>
      <c r="AK13" s="232"/>
      <c r="AL13" s="232"/>
      <c r="AM13" s="232"/>
      <c r="AN13" s="232"/>
      <c r="AO13" s="232"/>
      <c r="AP13" s="232"/>
      <c r="AQ13" s="232"/>
      <c r="AR13" s="232"/>
      <c r="AS13" s="232"/>
      <c r="AT13" s="232"/>
      <c r="AU13" s="232"/>
      <c r="AV13" s="232"/>
      <c r="AW13" s="232"/>
      <c r="AX13" s="232"/>
      <c r="AY13" s="232"/>
      <c r="AZ13" s="232"/>
      <c r="BA13" s="232"/>
      <c r="BB13" s="232"/>
      <c r="BC13" s="232"/>
      <c r="BD13" s="232"/>
      <c r="BE13" s="232"/>
      <c r="BF13" s="232"/>
      <c r="BG13" s="232"/>
      <c r="BH13" s="232"/>
      <c r="BI13" s="232"/>
      <c r="BJ13" s="232"/>
      <c r="BK13" s="232"/>
      <c r="BL13" s="232"/>
      <c r="BO13" s="232"/>
      <c r="BP13" s="232"/>
      <c r="BQ13" s="232"/>
      <c r="BR13" s="232"/>
      <c r="BS13" s="232"/>
      <c r="BT13" s="232"/>
      <c r="BU13" s="232"/>
      <c r="BV13" s="232"/>
      <c r="BW13" s="232"/>
      <c r="BX13" s="232"/>
      <c r="BY13" s="232"/>
      <c r="BZ13" s="232"/>
      <c r="CA13" s="232"/>
      <c r="CB13" s="232"/>
      <c r="CC13" s="232"/>
      <c r="CD13" s="232"/>
      <c r="CE13" s="232"/>
      <c r="CF13" s="232"/>
      <c r="CG13" s="232"/>
      <c r="CH13" s="232"/>
      <c r="CI13" s="232"/>
      <c r="CJ13" s="232"/>
      <c r="CK13" s="232"/>
      <c r="CL13" s="232"/>
      <c r="CM13" s="232"/>
      <c r="CN13" s="232"/>
      <c r="CO13" s="232"/>
      <c r="CP13" s="232"/>
      <c r="CQ13" s="232"/>
      <c r="CR13" s="232"/>
      <c r="CS13" s="232"/>
      <c r="CT13" s="232"/>
      <c r="CU13" s="232"/>
      <c r="CV13" s="232"/>
      <c r="CW13" s="232"/>
      <c r="CX13" s="232"/>
      <c r="CY13" s="232"/>
      <c r="CZ13" s="232"/>
      <c r="DA13" s="232"/>
      <c r="DB13" s="232"/>
      <c r="DC13" s="232"/>
      <c r="DD13" s="232"/>
      <c r="DE13" s="232"/>
      <c r="DF13" s="232"/>
      <c r="DG13" s="232"/>
      <c r="DH13" s="232"/>
      <c r="DI13" s="232"/>
      <c r="DJ13" s="232"/>
      <c r="DK13" s="232"/>
      <c r="DL13" s="232"/>
      <c r="DM13" s="232"/>
      <c r="DN13" s="232"/>
      <c r="DO13" s="232"/>
      <c r="DP13" s="232"/>
      <c r="DQ13" s="232"/>
      <c r="DR13" s="232"/>
      <c r="DS13" s="232"/>
      <c r="DT13" s="232"/>
      <c r="DU13" s="232"/>
      <c r="DV13" s="232"/>
      <c r="DW13" s="232"/>
      <c r="DX13" s="232"/>
    </row>
    <row r="14" spans="1:212" ht="8.25" customHeight="1" x14ac:dyDescent="0.25">
      <c r="B14" s="232"/>
      <c r="C14" s="232"/>
      <c r="D14" s="232"/>
      <c r="E14" s="232"/>
      <c r="F14" s="232"/>
      <c r="G14" s="232"/>
      <c r="H14" s="232"/>
      <c r="I14" s="232"/>
      <c r="J14" s="232"/>
      <c r="K14" s="232"/>
      <c r="L14" s="232"/>
      <c r="M14" s="232"/>
      <c r="N14" s="232"/>
      <c r="O14" s="232"/>
      <c r="P14" s="232"/>
      <c r="Q14" s="232"/>
      <c r="R14" s="232"/>
      <c r="S14" s="232"/>
      <c r="T14" s="232"/>
      <c r="U14" s="232"/>
      <c r="Z14" s="195"/>
      <c r="AA14" s="232"/>
      <c r="AB14" s="232"/>
      <c r="AC14" s="232"/>
      <c r="AD14" s="232"/>
      <c r="AE14" s="232"/>
      <c r="AF14" s="232"/>
      <c r="AG14" s="232"/>
      <c r="AH14" s="232"/>
      <c r="AI14" s="232"/>
      <c r="AJ14" s="232"/>
      <c r="AK14" s="232"/>
      <c r="AL14" s="232"/>
      <c r="AM14" s="232"/>
      <c r="AN14" s="232"/>
      <c r="AO14" s="232"/>
      <c r="AP14" s="232"/>
      <c r="AQ14" s="232"/>
      <c r="AR14" s="232"/>
      <c r="AS14" s="232"/>
      <c r="AT14" s="232"/>
      <c r="AU14" s="232"/>
      <c r="AV14" s="232"/>
      <c r="AW14" s="232"/>
      <c r="AX14" s="232"/>
      <c r="AY14" s="232"/>
      <c r="AZ14" s="232"/>
      <c r="BA14" s="232"/>
      <c r="BB14" s="232"/>
      <c r="BC14" s="232"/>
      <c r="BD14" s="232"/>
      <c r="BE14" s="232"/>
      <c r="BF14" s="232"/>
      <c r="BG14" s="232"/>
      <c r="BH14" s="232"/>
      <c r="BI14" s="232"/>
      <c r="BJ14" s="232"/>
      <c r="BK14" s="232"/>
      <c r="BL14" s="232"/>
      <c r="BO14" s="232"/>
      <c r="BP14" s="232"/>
      <c r="BQ14" s="232"/>
      <c r="BR14" s="232"/>
      <c r="BS14" s="232"/>
      <c r="BT14" s="232"/>
      <c r="BU14" s="232"/>
      <c r="BV14" s="232"/>
      <c r="BW14" s="232"/>
      <c r="BX14" s="232"/>
      <c r="BY14" s="232"/>
      <c r="BZ14" s="232"/>
      <c r="CA14" s="232"/>
      <c r="CB14" s="232"/>
      <c r="CC14" s="232"/>
      <c r="CD14" s="232"/>
      <c r="CE14" s="232"/>
      <c r="CF14" s="232"/>
      <c r="CG14" s="232"/>
      <c r="CH14" s="232"/>
      <c r="CI14" s="232"/>
      <c r="CJ14" s="232"/>
      <c r="CK14" s="232"/>
      <c r="CL14" s="232"/>
      <c r="CM14" s="232"/>
      <c r="CN14" s="232"/>
      <c r="CO14" s="232"/>
      <c r="CP14" s="232"/>
      <c r="CQ14" s="232"/>
      <c r="CR14" s="232"/>
      <c r="CS14" s="232"/>
      <c r="CT14" s="232"/>
      <c r="CU14" s="232"/>
      <c r="CV14" s="232"/>
      <c r="CW14" s="232"/>
      <c r="CX14" s="232"/>
      <c r="CY14" s="232"/>
      <c r="CZ14" s="232"/>
      <c r="DA14" s="232"/>
      <c r="DB14" s="232"/>
      <c r="DC14" s="232"/>
      <c r="DD14" s="232"/>
      <c r="DE14" s="232"/>
      <c r="DF14" s="232"/>
      <c r="DG14" s="232"/>
      <c r="DH14" s="232"/>
      <c r="DI14" s="232"/>
      <c r="DJ14" s="232"/>
      <c r="DK14" s="232"/>
      <c r="DL14" s="232"/>
      <c r="DM14" s="232"/>
      <c r="DN14" s="232"/>
      <c r="DO14" s="232"/>
      <c r="DP14" s="232"/>
      <c r="DQ14" s="232"/>
      <c r="DR14" s="232"/>
      <c r="DS14" s="232"/>
      <c r="DT14" s="232"/>
      <c r="DU14" s="232"/>
      <c r="DV14" s="232"/>
      <c r="DW14" s="232"/>
      <c r="DX14" s="232"/>
    </row>
    <row r="15" spans="1:212" ht="8.25" customHeight="1" x14ac:dyDescent="0.25">
      <c r="B15" s="232"/>
      <c r="C15" s="232"/>
      <c r="D15" s="232"/>
      <c r="E15" s="232"/>
      <c r="F15" s="232"/>
      <c r="G15" s="232"/>
      <c r="H15" s="232"/>
      <c r="I15" s="232"/>
      <c r="J15" s="232"/>
      <c r="K15" s="232"/>
      <c r="L15" s="232"/>
      <c r="M15" s="232"/>
      <c r="N15" s="232"/>
      <c r="O15" s="232"/>
      <c r="P15" s="232"/>
      <c r="Q15" s="232"/>
      <c r="R15" s="232"/>
      <c r="S15" s="232"/>
      <c r="T15" s="232"/>
      <c r="U15" s="232"/>
      <c r="Z15" s="195"/>
      <c r="AA15" s="232"/>
      <c r="AB15" s="232"/>
      <c r="AC15" s="232"/>
      <c r="AD15" s="232"/>
      <c r="AE15" s="232"/>
      <c r="AF15" s="232"/>
      <c r="AG15" s="232"/>
      <c r="AH15" s="232"/>
      <c r="AI15" s="232"/>
      <c r="AJ15" s="232"/>
      <c r="AK15" s="232"/>
      <c r="AL15" s="232"/>
      <c r="AM15" s="232"/>
      <c r="AN15" s="232"/>
      <c r="AO15" s="232"/>
      <c r="AP15" s="232"/>
      <c r="AQ15" s="232"/>
      <c r="AR15" s="232"/>
      <c r="AS15" s="232"/>
      <c r="AT15" s="232"/>
      <c r="AU15" s="232"/>
      <c r="AV15" s="232"/>
      <c r="AW15" s="232"/>
      <c r="AX15" s="232"/>
      <c r="AY15" s="232"/>
      <c r="AZ15" s="232"/>
      <c r="BA15" s="232"/>
      <c r="BB15" s="232"/>
      <c r="BC15" s="232"/>
      <c r="BD15" s="232"/>
      <c r="BE15" s="232"/>
      <c r="BF15" s="232"/>
      <c r="BG15" s="232"/>
      <c r="BH15" s="232"/>
      <c r="BI15" s="232"/>
      <c r="BJ15" s="232"/>
      <c r="BK15" s="232"/>
      <c r="BL15" s="232"/>
      <c r="BO15" s="232"/>
      <c r="BP15" s="232"/>
      <c r="BQ15" s="232"/>
      <c r="BR15" s="232"/>
      <c r="BS15" s="232"/>
      <c r="BT15" s="232"/>
      <c r="BU15" s="232"/>
      <c r="BV15" s="232"/>
      <c r="BW15" s="232"/>
      <c r="BX15" s="232"/>
      <c r="BY15" s="232"/>
      <c r="BZ15" s="232"/>
      <c r="CA15" s="232"/>
      <c r="CB15" s="232"/>
      <c r="CC15" s="232"/>
      <c r="CD15" s="232"/>
      <c r="CE15" s="232"/>
      <c r="CF15" s="232"/>
      <c r="CG15" s="232"/>
      <c r="CH15" s="232"/>
      <c r="CI15" s="232"/>
      <c r="CJ15" s="232"/>
      <c r="CK15" s="232"/>
      <c r="CL15" s="232"/>
      <c r="CM15" s="232"/>
      <c r="CN15" s="232"/>
      <c r="CO15" s="232"/>
      <c r="CP15" s="232"/>
      <c r="CQ15" s="232"/>
      <c r="CR15" s="232"/>
      <c r="CS15" s="232"/>
      <c r="CT15" s="232"/>
      <c r="CU15" s="232"/>
      <c r="CV15" s="232"/>
      <c r="CW15" s="232"/>
      <c r="CX15" s="232"/>
      <c r="CY15" s="232"/>
      <c r="CZ15" s="232"/>
      <c r="DA15" s="232"/>
      <c r="DB15" s="232"/>
      <c r="DC15" s="232"/>
      <c r="DD15" s="232"/>
      <c r="DE15" s="232"/>
      <c r="DF15" s="232"/>
      <c r="DG15" s="232"/>
      <c r="DH15" s="232"/>
      <c r="DI15" s="232"/>
      <c r="DJ15" s="232"/>
      <c r="DK15" s="232"/>
      <c r="DL15" s="232"/>
      <c r="DM15" s="232"/>
      <c r="DN15" s="232"/>
      <c r="DO15" s="232"/>
      <c r="DP15" s="232"/>
      <c r="DQ15" s="232"/>
      <c r="DR15" s="232"/>
      <c r="DS15" s="232"/>
      <c r="DT15" s="232"/>
      <c r="DU15" s="232"/>
      <c r="DV15" s="232"/>
      <c r="DW15" s="232"/>
      <c r="DX15" s="232"/>
      <c r="DZ15" s="205"/>
      <c r="EA15" s="205"/>
    </row>
    <row r="16" spans="1:212" ht="8.25" customHeight="1" x14ac:dyDescent="0.25">
      <c r="A16" s="223"/>
      <c r="B16" s="223"/>
      <c r="C16" s="223"/>
      <c r="D16" s="350" t="s">
        <v>336</v>
      </c>
      <c r="E16" s="350"/>
      <c r="F16" s="223"/>
      <c r="G16" s="223"/>
      <c r="H16" s="223"/>
      <c r="I16" s="223"/>
      <c r="J16" s="223"/>
      <c r="K16" s="223"/>
      <c r="L16" s="232"/>
      <c r="M16" s="232"/>
      <c r="N16" s="232"/>
      <c r="O16" s="232"/>
      <c r="P16" s="232"/>
      <c r="Q16" s="232"/>
      <c r="R16" s="232"/>
      <c r="S16" s="232"/>
      <c r="T16" s="232"/>
      <c r="U16" s="232"/>
      <c r="Z16" s="195"/>
      <c r="AA16" s="232"/>
      <c r="AB16" s="232"/>
      <c r="AC16" s="232"/>
      <c r="AD16" s="232"/>
      <c r="AE16" s="232"/>
      <c r="AF16" s="232"/>
      <c r="AG16" s="232"/>
      <c r="AH16" s="232"/>
      <c r="AI16" s="232"/>
      <c r="AJ16" s="232"/>
      <c r="AK16" s="232"/>
      <c r="AL16" s="232"/>
      <c r="AM16" s="232"/>
      <c r="AN16" s="232"/>
      <c r="AO16" s="232"/>
      <c r="AP16" s="232"/>
      <c r="AQ16" s="232"/>
      <c r="AR16" s="232"/>
      <c r="AS16" s="232"/>
      <c r="AT16" s="232"/>
      <c r="AU16" s="232"/>
      <c r="AV16" s="232"/>
      <c r="AW16" s="232"/>
      <c r="AX16" s="232"/>
      <c r="AY16" s="232"/>
      <c r="AZ16" s="232"/>
      <c r="BA16" s="232"/>
      <c r="BB16" s="232"/>
      <c r="BC16" s="232"/>
      <c r="BD16" s="232"/>
      <c r="BE16" s="232"/>
      <c r="BF16" s="232"/>
      <c r="BG16" s="232"/>
      <c r="BH16" s="232"/>
      <c r="BI16" s="232"/>
      <c r="BJ16" s="232"/>
      <c r="BK16" s="232"/>
      <c r="BL16" s="232"/>
      <c r="BO16" s="232"/>
      <c r="BP16" s="232"/>
      <c r="BQ16" s="232"/>
      <c r="BR16" s="232"/>
      <c r="BS16" s="232"/>
      <c r="BT16" s="232"/>
      <c r="BU16" s="232"/>
      <c r="BV16" s="232"/>
      <c r="BW16" s="232"/>
      <c r="BX16" s="232"/>
      <c r="BY16" s="232"/>
      <c r="BZ16" s="232"/>
      <c r="CA16" s="232"/>
      <c r="CB16" s="232"/>
      <c r="CC16" s="232"/>
      <c r="CD16" s="232"/>
      <c r="CE16" s="232"/>
      <c r="CF16" s="232"/>
      <c r="CG16" s="232"/>
      <c r="CH16" s="232"/>
      <c r="CI16" s="232"/>
      <c r="CJ16" s="232"/>
      <c r="CK16" s="232"/>
      <c r="CL16" s="232"/>
      <c r="CM16" s="232"/>
      <c r="CN16" s="232"/>
      <c r="CO16" s="232"/>
      <c r="CP16" s="232"/>
      <c r="CQ16" s="232"/>
      <c r="CR16" s="232"/>
      <c r="CS16" s="232"/>
      <c r="CT16" s="232"/>
      <c r="CU16" s="232"/>
      <c r="CV16" s="232"/>
      <c r="CW16" s="232"/>
      <c r="CX16" s="232"/>
      <c r="CY16" s="232"/>
      <c r="CZ16" s="232"/>
      <c r="DA16" s="232"/>
      <c r="DB16" s="232"/>
      <c r="DC16" s="232"/>
      <c r="DD16" s="232"/>
      <c r="DE16" s="232"/>
      <c r="DF16" s="232"/>
      <c r="DG16" s="232"/>
      <c r="DH16" s="232"/>
      <c r="DI16" s="232"/>
      <c r="DJ16" s="232"/>
      <c r="DK16" s="232"/>
      <c r="DL16" s="232"/>
      <c r="DM16" s="232"/>
      <c r="DN16" s="232"/>
      <c r="DO16" s="232"/>
      <c r="DP16" s="232"/>
      <c r="DQ16" s="232"/>
      <c r="DR16" s="232"/>
      <c r="DS16" s="232"/>
      <c r="DT16" s="232"/>
      <c r="DU16" s="232"/>
      <c r="DV16" s="232"/>
      <c r="DW16" s="232"/>
      <c r="DX16" s="232"/>
      <c r="DZ16" s="205"/>
      <c r="EA16" s="205"/>
    </row>
    <row r="17" spans="1:131" ht="8.25" customHeight="1" x14ac:dyDescent="0.25">
      <c r="A17" s="223"/>
      <c r="B17" s="223"/>
      <c r="C17" s="223"/>
      <c r="D17" s="350"/>
      <c r="E17" s="350"/>
      <c r="F17" s="223"/>
      <c r="G17" s="223"/>
      <c r="H17" s="223"/>
      <c r="I17" s="223"/>
      <c r="J17" s="223"/>
      <c r="K17" s="223"/>
      <c r="O17" s="205"/>
      <c r="P17" s="205"/>
      <c r="Q17" s="205"/>
      <c r="R17" s="205"/>
      <c r="S17" s="205"/>
      <c r="T17" s="205"/>
      <c r="U17" s="205"/>
      <c r="Z17" s="195"/>
      <c r="AW17" s="193"/>
      <c r="AX17" s="193"/>
      <c r="AY17" s="193"/>
      <c r="AZ17" s="193"/>
      <c r="BA17" s="193"/>
      <c r="BB17" s="193"/>
      <c r="DZ17" s="205"/>
      <c r="EA17" s="205"/>
    </row>
    <row r="18" spans="1:131" ht="8.25" customHeight="1" x14ac:dyDescent="0.25">
      <c r="A18" s="223"/>
      <c r="B18" s="223"/>
      <c r="C18" s="223"/>
      <c r="D18" s="223"/>
      <c r="E18" s="223"/>
      <c r="F18" s="223"/>
      <c r="G18" s="223"/>
      <c r="H18" s="223"/>
      <c r="I18" s="223"/>
      <c r="J18" s="223"/>
      <c r="K18" s="223"/>
      <c r="L18" s="233"/>
      <c r="M18" s="233"/>
      <c r="N18" s="205"/>
      <c r="O18" s="205"/>
      <c r="P18" s="205"/>
      <c r="Q18" s="205"/>
      <c r="R18" s="205"/>
      <c r="S18" s="205"/>
      <c r="T18" s="205"/>
      <c r="U18" s="205"/>
      <c r="Z18" s="195"/>
      <c r="AA18" s="233"/>
      <c r="AB18" s="233"/>
      <c r="AC18" s="233"/>
      <c r="AD18" s="233"/>
      <c r="AE18" s="233"/>
      <c r="AF18" s="233"/>
      <c r="AG18" s="233"/>
      <c r="AH18" s="233"/>
      <c r="AI18" s="233"/>
      <c r="AJ18" s="233"/>
      <c r="AK18" s="233"/>
      <c r="AL18" s="233"/>
      <c r="AM18" s="233"/>
      <c r="AN18" s="233"/>
      <c r="AO18" s="233"/>
      <c r="AP18" s="233"/>
      <c r="AQ18" s="233"/>
      <c r="AR18" s="233"/>
      <c r="AS18" s="233"/>
      <c r="AT18" s="233"/>
      <c r="AU18" s="233"/>
      <c r="AV18" s="233"/>
      <c r="AW18" s="233"/>
      <c r="AX18" s="233"/>
      <c r="AY18" s="233"/>
      <c r="AZ18" s="233"/>
      <c r="BA18" s="233"/>
      <c r="BB18" s="233"/>
      <c r="BC18" s="233"/>
      <c r="BD18" s="233"/>
      <c r="BE18" s="233"/>
      <c r="BF18" s="233"/>
      <c r="BG18" s="233"/>
      <c r="BH18" s="233"/>
      <c r="BI18" s="233"/>
      <c r="BJ18" s="233"/>
      <c r="BK18" s="233"/>
      <c r="BL18" s="233"/>
      <c r="BO18" s="233"/>
      <c r="BP18" s="233"/>
      <c r="BQ18" s="233"/>
      <c r="BR18" s="233"/>
      <c r="BS18" s="233"/>
      <c r="BT18" s="233"/>
      <c r="BU18" s="233"/>
      <c r="BV18" s="233"/>
      <c r="BW18" s="233"/>
      <c r="BX18" s="233"/>
      <c r="BY18" s="233"/>
      <c r="BZ18" s="233"/>
      <c r="CA18" s="233"/>
      <c r="CB18" s="233"/>
      <c r="CC18" s="233"/>
      <c r="CD18" s="233"/>
      <c r="CE18" s="233"/>
      <c r="CF18" s="233"/>
      <c r="CG18" s="233"/>
      <c r="CH18" s="233"/>
      <c r="CI18" s="233"/>
      <c r="CJ18" s="233"/>
      <c r="CK18" s="233"/>
      <c r="CL18" s="233"/>
      <c r="CM18" s="233"/>
      <c r="CN18" s="233"/>
      <c r="CO18" s="233"/>
      <c r="CP18" s="233"/>
      <c r="CQ18" s="233"/>
      <c r="CR18" s="233"/>
      <c r="CS18" s="233"/>
      <c r="CT18" s="233"/>
      <c r="CU18" s="233"/>
      <c r="CV18" s="233"/>
      <c r="CW18" s="233"/>
      <c r="CX18" s="233"/>
      <c r="CY18" s="233"/>
      <c r="CZ18" s="233"/>
      <c r="DA18" s="233"/>
      <c r="DB18" s="233"/>
      <c r="DC18" s="233"/>
      <c r="DD18" s="233"/>
      <c r="DE18" s="233"/>
      <c r="DF18" s="233"/>
      <c r="DG18" s="233"/>
      <c r="DH18" s="233"/>
      <c r="DI18" s="233"/>
      <c r="DJ18" s="233"/>
      <c r="DK18" s="233"/>
      <c r="DL18" s="233"/>
      <c r="DM18" s="233"/>
      <c r="DN18" s="233"/>
      <c r="DO18" s="233"/>
      <c r="DP18" s="233"/>
      <c r="DQ18" s="233"/>
      <c r="DR18" s="233"/>
      <c r="DS18" s="233"/>
      <c r="DT18" s="233"/>
      <c r="DU18" s="233"/>
      <c r="DV18" s="233"/>
      <c r="DW18" s="233"/>
      <c r="DX18" s="233"/>
      <c r="DZ18" s="205"/>
      <c r="EA18" s="205"/>
    </row>
    <row r="19" spans="1:131" ht="8.25" customHeight="1" x14ac:dyDescent="0.25">
      <c r="L19" s="233"/>
      <c r="M19" s="233"/>
      <c r="N19" s="205"/>
      <c r="O19" s="205"/>
      <c r="P19" s="205"/>
      <c r="Q19" s="205"/>
      <c r="R19" s="205"/>
      <c r="S19" s="205"/>
      <c r="T19" s="205"/>
      <c r="U19" s="205"/>
      <c r="Z19" s="195"/>
      <c r="AA19" s="233"/>
      <c r="AB19" s="233"/>
      <c r="AC19" s="233"/>
      <c r="AD19" s="233"/>
      <c r="AE19" s="233"/>
      <c r="AF19" s="233"/>
      <c r="AG19" s="233"/>
      <c r="AH19" s="233"/>
      <c r="AI19" s="233"/>
      <c r="AJ19" s="233"/>
      <c r="AK19" s="233"/>
      <c r="AL19" s="233"/>
      <c r="AM19" s="233"/>
      <c r="AN19" s="233"/>
      <c r="AO19" s="233"/>
      <c r="AP19" s="233"/>
      <c r="AQ19" s="233"/>
      <c r="AR19" s="233"/>
      <c r="AS19" s="233"/>
      <c r="AT19" s="233"/>
      <c r="AU19" s="233"/>
      <c r="AV19" s="233"/>
      <c r="AW19" s="233"/>
      <c r="AX19" s="233"/>
      <c r="AY19" s="233"/>
      <c r="AZ19" s="233"/>
      <c r="BA19" s="233"/>
      <c r="BB19" s="233"/>
      <c r="BC19" s="233"/>
      <c r="BD19" s="233"/>
      <c r="BE19" s="233"/>
      <c r="BF19" s="233"/>
      <c r="BG19" s="233"/>
      <c r="BH19" s="233"/>
      <c r="BI19" s="233"/>
      <c r="BJ19" s="233"/>
      <c r="BK19" s="233"/>
      <c r="BL19" s="233"/>
      <c r="BO19" s="233"/>
      <c r="BP19" s="233"/>
      <c r="BQ19" s="233"/>
      <c r="BR19" s="233"/>
      <c r="BS19" s="233"/>
      <c r="BT19" s="233"/>
      <c r="BU19" s="233"/>
      <c r="BV19" s="233"/>
      <c r="BW19" s="233"/>
      <c r="BX19" s="233"/>
      <c r="BY19" s="233"/>
      <c r="BZ19" s="233"/>
      <c r="CA19" s="233"/>
      <c r="CB19" s="233"/>
      <c r="CC19" s="233"/>
      <c r="CD19" s="233"/>
      <c r="CE19" s="233"/>
      <c r="CF19" s="233"/>
      <c r="CG19" s="233"/>
      <c r="CH19" s="233"/>
      <c r="CI19" s="233"/>
      <c r="CJ19" s="233"/>
      <c r="CK19" s="233"/>
      <c r="CL19" s="233"/>
      <c r="CM19" s="233"/>
      <c r="CN19" s="233"/>
      <c r="CO19" s="233"/>
      <c r="CP19" s="233"/>
      <c r="CQ19" s="233"/>
      <c r="CR19" s="233"/>
      <c r="CS19" s="233"/>
      <c r="CT19" s="233"/>
      <c r="CU19" s="233"/>
      <c r="CV19" s="233"/>
      <c r="CW19" s="233"/>
      <c r="CX19" s="233"/>
      <c r="CY19" s="233"/>
      <c r="CZ19" s="233"/>
      <c r="DA19" s="233"/>
      <c r="DB19" s="233"/>
      <c r="DC19" s="233"/>
      <c r="DD19" s="233"/>
      <c r="DE19" s="233"/>
      <c r="DF19" s="233"/>
      <c r="DG19" s="233"/>
      <c r="DH19" s="233"/>
      <c r="DI19" s="233"/>
      <c r="DJ19" s="233"/>
      <c r="DK19" s="233"/>
      <c r="DL19" s="233"/>
      <c r="DM19" s="233"/>
      <c r="DN19" s="233"/>
      <c r="DO19" s="233"/>
      <c r="DP19" s="233"/>
      <c r="DQ19" s="233"/>
      <c r="DR19" s="233"/>
      <c r="DS19" s="233"/>
      <c r="DT19" s="233"/>
      <c r="DU19" s="233"/>
      <c r="DV19" s="233"/>
      <c r="DW19" s="233"/>
      <c r="DX19" s="233"/>
    </row>
    <row r="20" spans="1:131" ht="8.25" customHeight="1" x14ac:dyDescent="0.15">
      <c r="A20" s="244"/>
      <c r="B20" s="246">
        <f>IF(A20&gt;0,A20,INDEX('Classement pour tableau final'!$AB$11:$AB$266,MATCH(1,'Classement pour tableau final'!$Y$11:$Y$266,0)))</f>
        <v>1</v>
      </c>
      <c r="C20" s="193"/>
      <c r="D20" s="224" t="str">
        <f>IF('Infos générales'!$E$2="x",IF(B20&gt;0,VLOOKUP(B20,'Infos joueurs'!$A:$M,4,FALSE)&amp;" / "&amp;VLOOKUP(B20,'Infos joueurs'!$A:$M,9,FALSE),"1"),IF(B20&gt;0,VLOOKUP(B20,'Infos joueurs'!$A:$M,4,FALSE)&amp;" "&amp;VLOOKUP(B20,'Infos joueurs'!$A:$M,5,FALSE),"1"))</f>
        <v>Begert Nicolas</v>
      </c>
      <c r="E20" s="224"/>
      <c r="F20" s="229"/>
      <c r="G20" s="229"/>
      <c r="H20" s="229"/>
      <c r="I20" s="229"/>
      <c r="J20" s="229"/>
      <c r="K20" s="229"/>
      <c r="L20" s="233"/>
      <c r="M20" s="233"/>
      <c r="N20" s="233"/>
      <c r="O20" s="233"/>
      <c r="P20" s="233"/>
      <c r="Q20" s="233"/>
      <c r="R20" s="233"/>
      <c r="S20" s="233"/>
      <c r="T20" s="233"/>
      <c r="U20" s="233"/>
      <c r="Z20" s="195"/>
      <c r="AA20" s="233"/>
      <c r="AB20" s="233"/>
      <c r="AC20" s="233"/>
      <c r="AD20" s="233"/>
      <c r="AE20" s="233"/>
      <c r="AF20" s="233"/>
      <c r="AG20" s="233"/>
      <c r="AH20" s="233"/>
      <c r="AI20" s="233"/>
      <c r="AJ20" s="233"/>
      <c r="AK20" s="233"/>
      <c r="AL20" s="233"/>
      <c r="AM20" s="233"/>
      <c r="AN20" s="233"/>
      <c r="AO20" s="233"/>
      <c r="AP20" s="233"/>
      <c r="AQ20" s="233"/>
      <c r="AR20" s="233"/>
      <c r="AS20" s="233"/>
      <c r="AT20" s="233"/>
      <c r="AU20" s="233"/>
      <c r="AV20" s="233"/>
      <c r="AW20" s="233"/>
      <c r="AX20" s="233"/>
      <c r="AY20" s="233"/>
      <c r="AZ20" s="233"/>
      <c r="BA20" s="233"/>
      <c r="BB20" s="233"/>
      <c r="BC20" s="233"/>
      <c r="BD20" s="233"/>
      <c r="BE20" s="233"/>
      <c r="BF20" s="233"/>
      <c r="BG20" s="233"/>
      <c r="BH20" s="233"/>
      <c r="BI20" s="233"/>
      <c r="BJ20" s="233"/>
      <c r="BK20" s="233"/>
      <c r="BL20" s="233"/>
      <c r="BO20" s="233"/>
      <c r="BP20" s="233"/>
      <c r="BQ20" s="233"/>
      <c r="BR20" s="233"/>
      <c r="BS20" s="233"/>
      <c r="BT20" s="233"/>
      <c r="BU20" s="233"/>
      <c r="BV20" s="233"/>
      <c r="BW20" s="233"/>
      <c r="BX20" s="233"/>
      <c r="BY20" s="233"/>
      <c r="BZ20" s="233"/>
      <c r="CA20" s="233"/>
      <c r="CB20" s="233"/>
      <c r="CC20" s="233"/>
      <c r="CD20" s="233"/>
      <c r="CE20" s="233"/>
      <c r="CF20" s="233"/>
      <c r="CG20" s="233"/>
      <c r="CH20" s="233"/>
      <c r="CI20" s="233"/>
      <c r="CJ20" s="233"/>
      <c r="CK20" s="233"/>
      <c r="CL20" s="233"/>
      <c r="CM20" s="233"/>
      <c r="CN20" s="233"/>
      <c r="CO20" s="233"/>
      <c r="CP20" s="233"/>
      <c r="CQ20" s="233"/>
      <c r="CR20" s="233"/>
      <c r="CS20" s="233"/>
      <c r="CT20" s="233"/>
      <c r="CU20" s="233"/>
      <c r="CV20" s="233"/>
      <c r="CW20" s="233"/>
      <c r="CX20" s="233"/>
      <c r="CY20" s="233"/>
      <c r="CZ20" s="233"/>
      <c r="DA20" s="233"/>
      <c r="DB20" s="233"/>
      <c r="DC20" s="233"/>
      <c r="DD20" s="233"/>
      <c r="DE20" s="233"/>
      <c r="DF20" s="233"/>
      <c r="DG20" s="233"/>
      <c r="DH20" s="233"/>
      <c r="DI20" s="233"/>
      <c r="DJ20" s="233"/>
      <c r="DK20" s="233"/>
      <c r="DL20" s="233"/>
      <c r="DM20" s="233"/>
      <c r="DN20" s="233"/>
      <c r="DO20" s="233"/>
      <c r="DP20" s="233"/>
      <c r="DQ20" s="233"/>
      <c r="DR20" s="233"/>
      <c r="DS20" s="233"/>
      <c r="DT20" s="233"/>
      <c r="DU20" s="233"/>
      <c r="DV20" s="233"/>
      <c r="DW20" s="233"/>
      <c r="DX20" s="233"/>
    </row>
    <row r="21" spans="1:131" ht="8.25" customHeight="1" x14ac:dyDescent="0.15">
      <c r="A21" s="193"/>
      <c r="B21" s="193"/>
      <c r="C21" s="193"/>
      <c r="D21" s="203"/>
      <c r="E21" s="204">
        <v>1</v>
      </c>
      <c r="F21" s="225" t="str">
        <f>IF(E21+E22=0,"",IF(E21&gt;E22,D20,D22))</f>
        <v>Begert Nicolas</v>
      </c>
      <c r="G21" s="229"/>
      <c r="H21" s="229"/>
      <c r="I21" s="229"/>
      <c r="J21" s="229"/>
      <c r="L21" s="233"/>
      <c r="M21" s="233"/>
      <c r="N21" s="233"/>
      <c r="O21" s="233"/>
      <c r="P21" s="233"/>
      <c r="Q21" s="233"/>
      <c r="R21" s="233"/>
      <c r="S21" s="233"/>
      <c r="T21" s="233"/>
      <c r="U21" s="233"/>
      <c r="Z21" s="195"/>
      <c r="AA21" s="233"/>
      <c r="AB21" s="233"/>
      <c r="AC21" s="233"/>
      <c r="AD21" s="233"/>
      <c r="AE21" s="233"/>
      <c r="AF21" s="233"/>
      <c r="AG21" s="233"/>
      <c r="AH21" s="233"/>
      <c r="AI21" s="233"/>
      <c r="AJ21" s="233"/>
      <c r="AK21" s="233"/>
      <c r="AL21" s="233"/>
      <c r="AM21" s="233"/>
      <c r="AN21" s="233"/>
      <c r="AO21" s="233"/>
      <c r="AP21" s="233"/>
      <c r="AQ21" s="233"/>
      <c r="AR21" s="233"/>
      <c r="AS21" s="233"/>
      <c r="AT21" s="233"/>
      <c r="AU21" s="233"/>
      <c r="AV21" s="233"/>
      <c r="AW21" s="233"/>
      <c r="AX21" s="233"/>
      <c r="AY21" s="233"/>
      <c r="AZ21" s="233"/>
      <c r="BA21" s="233"/>
      <c r="BB21" s="233"/>
      <c r="BC21" s="233"/>
      <c r="BD21" s="233"/>
      <c r="BE21" s="233"/>
      <c r="BF21" s="233"/>
      <c r="BG21" s="233"/>
      <c r="BH21" s="233"/>
      <c r="BI21" s="233"/>
      <c r="BJ21" s="233"/>
      <c r="BK21" s="233"/>
      <c r="BL21" s="233"/>
      <c r="BO21" s="233"/>
      <c r="BP21" s="233"/>
      <c r="BQ21" s="233"/>
      <c r="BR21" s="233"/>
      <c r="BS21" s="233"/>
      <c r="BT21" s="233"/>
      <c r="BU21" s="233"/>
      <c r="BV21" s="233"/>
      <c r="BW21" s="233"/>
      <c r="BX21" s="233"/>
      <c r="BY21" s="233"/>
      <c r="BZ21" s="233"/>
      <c r="CA21" s="233"/>
      <c r="CB21" s="233"/>
      <c r="CC21" s="233"/>
      <c r="CD21" s="233"/>
      <c r="CE21" s="233"/>
      <c r="CF21" s="233"/>
      <c r="CG21" s="233"/>
      <c r="CH21" s="233"/>
      <c r="CI21" s="233"/>
      <c r="CJ21" s="233"/>
      <c r="CK21" s="233"/>
      <c r="CL21" s="233"/>
      <c r="CM21" s="233"/>
      <c r="CN21" s="233"/>
      <c r="CO21" s="233"/>
      <c r="CP21" s="233"/>
      <c r="CQ21" s="233"/>
      <c r="CR21" s="233"/>
      <c r="CS21" s="233"/>
      <c r="CT21" s="233"/>
      <c r="CU21" s="233"/>
      <c r="CV21" s="233"/>
      <c r="CW21" s="233"/>
      <c r="CX21" s="233"/>
      <c r="CY21" s="233"/>
      <c r="CZ21" s="233"/>
      <c r="DA21" s="233"/>
      <c r="DB21" s="233"/>
      <c r="DC21" s="233"/>
      <c r="DD21" s="233"/>
      <c r="DE21" s="233"/>
      <c r="DF21" s="233"/>
      <c r="DG21" s="233"/>
      <c r="DH21" s="233"/>
      <c r="DI21" s="233"/>
      <c r="DJ21" s="233"/>
      <c r="DK21" s="233"/>
      <c r="DL21" s="233"/>
      <c r="DM21" s="233"/>
      <c r="DN21" s="233"/>
      <c r="DO21" s="233"/>
      <c r="DP21" s="233"/>
      <c r="DQ21" s="233"/>
      <c r="DR21" s="233"/>
      <c r="DS21" s="233"/>
      <c r="DT21" s="233"/>
      <c r="DU21" s="233"/>
      <c r="DV21" s="233"/>
      <c r="DW21" s="233"/>
      <c r="DX21" s="233"/>
    </row>
    <row r="22" spans="1:131" ht="8.25" customHeight="1" x14ac:dyDescent="0.15">
      <c r="A22" s="244"/>
      <c r="B22" s="246">
        <f>IF(A22&gt;0,A22,INDEX('Classement pour tableau final'!$AB$11:$AB$266,MATCH(8,'Classement pour tableau final'!$Y$11:$Y$266,0)))</f>
        <v>8</v>
      </c>
      <c r="C22" s="193"/>
      <c r="D22" s="224" t="str">
        <f>IF('Infos générales'!$E$2="x",IF(B22&gt;0,VLOOKUP(B22,'Infos joueurs'!$A:$M,4,FALSE)&amp;" / "&amp;VLOOKUP(B22,'Infos joueurs'!$A:$M,9,FALSE),"8"),IF(B22&gt;0,VLOOKUP(B22,'Infos joueurs'!$A:$M,4,FALSE)&amp;" "&amp;VLOOKUP(B22,'Infos joueurs'!$A:$M,5,FALSE),"8"))</f>
        <v>Derivaz Valentin</v>
      </c>
      <c r="E22" s="204"/>
      <c r="F22" s="193"/>
      <c r="G22" s="206"/>
      <c r="H22" s="193"/>
      <c r="I22" s="193"/>
      <c r="J22" s="193"/>
    </row>
    <row r="23" spans="1:131" ht="8.25" customHeight="1" x14ac:dyDescent="0.25">
      <c r="A23" s="193"/>
      <c r="B23" s="196"/>
      <c r="C23" s="193"/>
      <c r="D23" s="203"/>
      <c r="E23" s="194"/>
      <c r="F23" s="193"/>
      <c r="G23" s="204"/>
      <c r="H23" s="226" t="str">
        <f>IF(G23+G24=0,"",IF(G23&gt;G24,F21,F25))</f>
        <v>Blazquez Esteban</v>
      </c>
      <c r="I23" s="212"/>
      <c r="J23" s="212"/>
    </row>
    <row r="24" spans="1:131" ht="8.25" customHeight="1" x14ac:dyDescent="0.15">
      <c r="A24" s="244"/>
      <c r="B24" s="246">
        <f>IF(A24&gt;0,A24,INDEX('Classement pour tableau final'!$AB$11:$AB$266,MATCH(5,'Classement pour tableau final'!$Y$11:$Y$266,0)))</f>
        <v>5</v>
      </c>
      <c r="C24" s="193"/>
      <c r="D24" s="224" t="str">
        <f>IF('Infos générales'!$E$2="x",IF(B24&gt;0,VLOOKUP(B24,'Infos joueurs'!$A:$M,4,FALSE)&amp;" / "&amp;VLOOKUP(B24,'Infos joueurs'!$A:$M,9,FALSE),"5"),IF(B24&gt;0,VLOOKUP(B24,'Infos joueurs'!$A:$M,4,FALSE)&amp;" "&amp;VLOOKUP(B24,'Infos joueurs'!$A:$M,5,FALSE),"5"))</f>
        <v>Clausix Adam</v>
      </c>
      <c r="E24" s="194"/>
      <c r="F24" s="193"/>
      <c r="G24" s="204">
        <v>1</v>
      </c>
      <c r="H24" s="193"/>
      <c r="I24" s="206"/>
      <c r="J24" s="193"/>
    </row>
    <row r="25" spans="1:131" ht="8.25" customHeight="1" x14ac:dyDescent="0.15">
      <c r="A25" s="193"/>
      <c r="B25" s="196"/>
      <c r="C25" s="193"/>
      <c r="D25" s="203"/>
      <c r="E25" s="204"/>
      <c r="F25" s="225" t="str">
        <f>IF(E25+E26=0,"",IF(E25&gt;E26,D24,D26))</f>
        <v>Blazquez Esteban</v>
      </c>
      <c r="G25" s="206"/>
      <c r="H25" s="193"/>
      <c r="I25" s="206"/>
      <c r="J25" s="193"/>
      <c r="AZ25" s="193"/>
      <c r="BA25" s="193"/>
      <c r="BB25" s="193"/>
      <c r="BC25" s="193"/>
      <c r="BD25" s="193"/>
      <c r="BE25" s="194"/>
      <c r="BF25" s="193"/>
    </row>
    <row r="26" spans="1:131" ht="8.25" customHeight="1" x14ac:dyDescent="0.15">
      <c r="A26" s="244"/>
      <c r="B26" s="246">
        <f>IF(A26&gt;0,A26,INDEX('Classement pour tableau final'!$AB$11:$AB$266,MATCH(4,'Classement pour tableau final'!$Y$11:$Y$266,0)))</f>
        <v>4</v>
      </c>
      <c r="C26" s="193"/>
      <c r="D26" s="224" t="str">
        <f>IF('Infos générales'!$E$2="x",IF(B26&gt;0,VLOOKUP(B26,'Infos joueurs'!$A:$M,4,FALSE)&amp;" / "&amp;VLOOKUP(B26,'Infos joueurs'!$A:$M,9,FALSE),"4"),IF(B26&gt;0,VLOOKUP(B26,'Infos joueurs'!$A:$M,4,FALSE)&amp;" "&amp;VLOOKUP(B26,'Infos joueurs'!$A:$M,5,FALSE),"4"))</f>
        <v>Blazquez Esteban</v>
      </c>
      <c r="E26" s="204">
        <v>1</v>
      </c>
      <c r="F26" s="193"/>
      <c r="G26" s="194"/>
      <c r="H26" s="193"/>
      <c r="I26" s="206"/>
      <c r="J26" s="193"/>
      <c r="P26" s="195"/>
      <c r="Z26" s="195"/>
      <c r="AZ26" s="193"/>
      <c r="BA26" s="193"/>
      <c r="BB26" s="193"/>
      <c r="BC26" s="193"/>
      <c r="BD26" s="193"/>
      <c r="BE26" s="194"/>
      <c r="BF26" s="193"/>
    </row>
    <row r="27" spans="1:131" ht="8.25" customHeight="1" x14ac:dyDescent="0.25">
      <c r="A27" s="193"/>
      <c r="B27" s="196"/>
      <c r="C27" s="193"/>
      <c r="D27" s="203"/>
      <c r="E27" s="194"/>
      <c r="F27" s="193"/>
      <c r="G27" s="194"/>
      <c r="H27" s="193"/>
      <c r="I27" s="204">
        <v>1</v>
      </c>
      <c r="J27" s="226" t="str">
        <f>IF(I27+I28=0,"",IF(I27&gt;I28,H23,H31))</f>
        <v>Blazquez Esteban</v>
      </c>
      <c r="N27" s="351" t="s">
        <v>328</v>
      </c>
      <c r="O27" s="351"/>
      <c r="P27" s="351"/>
      <c r="Q27" s="351"/>
      <c r="R27" s="351"/>
      <c r="S27" s="351"/>
      <c r="T27" s="351"/>
      <c r="U27" s="351"/>
      <c r="V27" s="351"/>
      <c r="W27" s="351"/>
      <c r="Z27" s="195"/>
      <c r="AZ27" s="193"/>
      <c r="BA27" s="193"/>
      <c r="BB27" s="193"/>
      <c r="BC27" s="193"/>
      <c r="BD27" s="193"/>
      <c r="BE27" s="194"/>
      <c r="BF27" s="193"/>
    </row>
    <row r="28" spans="1:131" ht="8.25" customHeight="1" x14ac:dyDescent="0.15">
      <c r="A28" s="244"/>
      <c r="B28" s="246">
        <f>IF(A28&gt;0,A28,INDEX('Classement pour tableau final'!$AB$11:$AB$266,MATCH(3,'Classement pour tableau final'!$Y$11:$Y$266,0)))</f>
        <v>3</v>
      </c>
      <c r="C28" s="193"/>
      <c r="D28" s="224" t="str">
        <f>IF('Infos générales'!$E$2="x",IF(B28&gt;0,VLOOKUP(B28,'Infos joueurs'!$A:$M,4,FALSE)&amp;" / "&amp;VLOOKUP(B28,'Infos joueurs'!$A:$M,9,FALSE),"3"),IF(B28&gt;0,VLOOKUP(B28,'Infos joueurs'!$A:$M,4,FALSE)&amp;" "&amp;VLOOKUP(B28,'Infos joueurs'!$A:$M,5,FALSE),"3"))</f>
        <v>Berisha Fatlum</v>
      </c>
      <c r="E28" s="194"/>
      <c r="F28" s="193"/>
      <c r="G28" s="194"/>
      <c r="H28" s="193"/>
      <c r="I28" s="204"/>
      <c r="J28" s="193"/>
      <c r="N28" s="351"/>
      <c r="O28" s="351"/>
      <c r="P28" s="351"/>
      <c r="Q28" s="351"/>
      <c r="R28" s="351"/>
      <c r="S28" s="351"/>
      <c r="T28" s="351"/>
      <c r="U28" s="351"/>
      <c r="V28" s="351"/>
      <c r="W28" s="351"/>
      <c r="Z28" s="195"/>
      <c r="AZ28" s="196"/>
      <c r="BA28" s="196"/>
      <c r="BB28" s="196"/>
      <c r="BC28" s="196"/>
      <c r="BD28" s="210"/>
      <c r="BM28" s="193"/>
    </row>
    <row r="29" spans="1:131" ht="8.25" customHeight="1" x14ac:dyDescent="0.15">
      <c r="A29" s="193"/>
      <c r="B29" s="196"/>
      <c r="C29" s="193"/>
      <c r="D29" s="203"/>
      <c r="E29" s="204">
        <v>1</v>
      </c>
      <c r="F29" s="225" t="str">
        <f>IF(E29+E30=0,"",IF(E29&gt;E30,D28,D30))</f>
        <v>Berisha Fatlum</v>
      </c>
      <c r="G29" s="194"/>
      <c r="H29" s="193"/>
      <c r="I29" s="206"/>
      <c r="J29" s="196"/>
      <c r="N29" s="351"/>
      <c r="O29" s="351"/>
      <c r="P29" s="351"/>
      <c r="Q29" s="351"/>
      <c r="R29" s="351"/>
      <c r="S29" s="351"/>
      <c r="T29" s="351"/>
      <c r="U29" s="351"/>
      <c r="V29" s="351"/>
      <c r="W29" s="351"/>
      <c r="Z29" s="195"/>
      <c r="AZ29" s="196"/>
      <c r="BA29" s="196"/>
      <c r="BB29" s="196"/>
      <c r="BC29" s="196"/>
      <c r="BD29" s="210"/>
      <c r="BM29" s="193"/>
    </row>
    <row r="30" spans="1:131" ht="8.25" customHeight="1" collapsed="1" x14ac:dyDescent="0.15">
      <c r="A30" s="244"/>
      <c r="B30" s="246">
        <f>IF(A30&gt;0,A30,INDEX('Classement pour tableau final'!$AB$11:$AB$266,MATCH(6,'Classement pour tableau final'!$Y$11:$Y$266,0)))</f>
        <v>6</v>
      </c>
      <c r="C30" s="193"/>
      <c r="D30" s="224" t="str">
        <f>IF('Infos générales'!$E$2="x",IF(B30&gt;0,VLOOKUP(B30,'Infos joueurs'!$A:$M,4,FALSE)&amp;" / "&amp;VLOOKUP(B30,'Infos joueurs'!$A:$M,9,FALSE),"6"),IF(B30&gt;0,VLOOKUP(B30,'Infos joueurs'!$A:$M,4,FALSE)&amp;" "&amp;VLOOKUP(B30,'Infos joueurs'!$A:$M,5,FALSE),"6"))</f>
        <v>Clerc Manon</v>
      </c>
      <c r="E30" s="204"/>
      <c r="F30" s="193"/>
      <c r="G30" s="206"/>
      <c r="H30" s="193"/>
      <c r="I30" s="206"/>
      <c r="J30" s="196"/>
      <c r="N30" s="193"/>
      <c r="O30" s="193"/>
      <c r="S30" s="193"/>
      <c r="T30" s="193"/>
      <c r="W30" s="198"/>
      <c r="Z30" s="195"/>
      <c r="AZ30" s="196"/>
      <c r="BA30" s="196"/>
      <c r="BB30" s="196"/>
      <c r="BC30" s="196"/>
      <c r="BD30" s="210"/>
      <c r="BM30" s="193"/>
    </row>
    <row r="31" spans="1:131" ht="8.25" customHeight="1" x14ac:dyDescent="0.25">
      <c r="A31" s="193"/>
      <c r="B31" s="196"/>
      <c r="C31" s="193"/>
      <c r="D31" s="203"/>
      <c r="E31" s="194"/>
      <c r="F31" s="193"/>
      <c r="G31" s="204">
        <v>1</v>
      </c>
      <c r="H31" s="226" t="str">
        <f>IF(G31+G32=0,"",IF(G31&gt;G32,F29,F33))</f>
        <v>Berisha Fatlum</v>
      </c>
      <c r="I31" s="206"/>
      <c r="J31" s="196"/>
      <c r="P31" s="195"/>
      <c r="Z31" s="195"/>
      <c r="AZ31" s="196"/>
      <c r="BA31" s="196"/>
      <c r="BB31" s="196"/>
      <c r="BC31" s="196"/>
      <c r="BD31" s="196"/>
      <c r="BE31" s="194"/>
      <c r="BF31" s="193"/>
      <c r="BG31" s="193"/>
      <c r="BH31" s="193"/>
      <c r="BI31" s="193"/>
      <c r="BJ31" s="193"/>
      <c r="BK31" s="193"/>
      <c r="BL31" s="193"/>
      <c r="BM31" s="193"/>
      <c r="BP31" s="205"/>
      <c r="BQ31" s="205"/>
      <c r="BR31" s="205"/>
      <c r="BS31" s="205"/>
      <c r="BT31" s="205"/>
      <c r="BU31" s="205"/>
      <c r="BV31" s="205"/>
      <c r="BW31" s="205"/>
      <c r="BX31" s="205"/>
      <c r="BY31" s="205"/>
      <c r="BZ31" s="205"/>
      <c r="CA31" s="205"/>
      <c r="CB31" s="205"/>
      <c r="CC31" s="205"/>
      <c r="CD31" s="205"/>
      <c r="CE31" s="205"/>
      <c r="CF31" s="205"/>
      <c r="CG31" s="205"/>
      <c r="CH31" s="205"/>
      <c r="CI31" s="205"/>
      <c r="CJ31" s="205"/>
      <c r="CK31" s="205"/>
      <c r="CL31" s="205"/>
      <c r="CM31" s="205"/>
      <c r="CN31" s="205"/>
      <c r="CO31" s="205"/>
      <c r="CP31" s="205"/>
      <c r="CQ31" s="205"/>
      <c r="CR31" s="205"/>
      <c r="CS31" s="205"/>
      <c r="CT31" s="205"/>
      <c r="CU31" s="205"/>
      <c r="CV31" s="205"/>
      <c r="CW31" s="205"/>
      <c r="CX31" s="205"/>
      <c r="CY31" s="205"/>
      <c r="CZ31" s="205"/>
      <c r="DA31" s="205"/>
      <c r="DB31" s="205"/>
      <c r="DC31" s="205"/>
      <c r="DD31" s="205"/>
      <c r="DE31" s="205"/>
      <c r="DF31" s="205"/>
      <c r="DG31" s="205"/>
      <c r="DH31" s="205"/>
      <c r="DI31" s="205"/>
      <c r="DJ31" s="205"/>
      <c r="DK31" s="205"/>
      <c r="DL31" s="205"/>
      <c r="DM31" s="205"/>
      <c r="DN31" s="205"/>
      <c r="DO31" s="205"/>
      <c r="DP31" s="205"/>
      <c r="DQ31" s="205"/>
      <c r="DR31" s="205"/>
      <c r="DS31" s="205"/>
      <c r="DT31" s="205"/>
      <c r="DU31" s="205"/>
      <c r="DV31" s="205"/>
      <c r="DW31" s="205"/>
      <c r="DX31" s="205"/>
      <c r="DY31" s="205"/>
    </row>
    <row r="32" spans="1:131" ht="8.25" customHeight="1" x14ac:dyDescent="0.15">
      <c r="A32" s="244"/>
      <c r="B32" s="246">
        <f>IF(A32&gt;0,A32,INDEX('Classement pour tableau final'!$AB$11:$AB$266,MATCH(7,'Classement pour tableau final'!$Y$11:$Y$266,0)))</f>
        <v>7</v>
      </c>
      <c r="C32" s="193"/>
      <c r="D32" s="224" t="str">
        <f>IF('Infos générales'!$E$2="x",IF(B32&gt;0,VLOOKUP(B32,'Infos joueurs'!$A:$M,4,FALSE)&amp;" / "&amp;VLOOKUP(B32,'Infos joueurs'!$A:$M,9,FALSE),"7"),IF(B32&gt;0,VLOOKUP(B32,'Infos joueurs'!$A:$M,4,FALSE)&amp;" "&amp;VLOOKUP(B32,'Infos joueurs'!$A:$M,5,FALSE),"7"))</f>
        <v>Debons Elie</v>
      </c>
      <c r="E32" s="194"/>
      <c r="F32" s="193"/>
      <c r="G32" s="204"/>
      <c r="H32" s="193"/>
      <c r="I32" s="193"/>
      <c r="J32" s="193"/>
      <c r="P32" s="195"/>
      <c r="Z32" s="195"/>
      <c r="AW32" s="193"/>
      <c r="AX32" s="193"/>
      <c r="AY32" s="193"/>
      <c r="AZ32" s="196"/>
      <c r="BA32" s="196"/>
      <c r="BB32" s="196"/>
      <c r="BC32" s="196"/>
      <c r="BD32" s="196"/>
      <c r="BE32" s="194"/>
      <c r="BF32" s="193"/>
      <c r="BG32" s="193"/>
      <c r="BH32" s="193"/>
      <c r="BI32" s="193"/>
      <c r="BJ32" s="193"/>
      <c r="BK32" s="193"/>
      <c r="BL32" s="193"/>
      <c r="BM32" s="193"/>
      <c r="BO32" s="205"/>
      <c r="BP32" s="205"/>
      <c r="BQ32" s="205"/>
      <c r="BR32" s="205"/>
      <c r="BS32" s="205"/>
      <c r="BT32" s="205"/>
      <c r="BU32" s="205"/>
      <c r="BV32" s="205"/>
      <c r="BW32" s="205"/>
      <c r="BX32" s="205"/>
      <c r="BY32" s="205"/>
      <c r="BZ32" s="205"/>
      <c r="CA32" s="205"/>
      <c r="CB32" s="205"/>
      <c r="CC32" s="205"/>
      <c r="CD32" s="205"/>
      <c r="CE32" s="205"/>
      <c r="CF32" s="205"/>
      <c r="CG32" s="205"/>
      <c r="CH32" s="205"/>
      <c r="CI32" s="205"/>
      <c r="CJ32" s="205"/>
      <c r="CK32" s="205"/>
      <c r="CL32" s="205"/>
      <c r="CM32" s="205"/>
      <c r="CN32" s="205"/>
      <c r="CO32" s="205"/>
      <c r="CP32" s="205"/>
      <c r="CQ32" s="205"/>
      <c r="CR32" s="205"/>
      <c r="CS32" s="205"/>
      <c r="CT32" s="205"/>
      <c r="CU32" s="205"/>
      <c r="CV32" s="205"/>
      <c r="CW32" s="205"/>
      <c r="CX32" s="205"/>
      <c r="CY32" s="205"/>
      <c r="CZ32" s="205"/>
      <c r="DA32" s="205"/>
      <c r="DB32" s="205"/>
      <c r="DC32" s="205"/>
      <c r="DD32" s="205"/>
      <c r="DE32" s="205"/>
      <c r="DF32" s="205"/>
      <c r="DG32" s="205"/>
      <c r="DH32" s="205"/>
      <c r="DI32" s="205"/>
      <c r="DJ32" s="205"/>
      <c r="DK32" s="205"/>
      <c r="DL32" s="205"/>
      <c r="DM32" s="205"/>
      <c r="DN32" s="205"/>
      <c r="DO32" s="205"/>
      <c r="DP32" s="205"/>
      <c r="DQ32" s="205"/>
      <c r="DR32" s="205"/>
      <c r="DS32" s="205"/>
      <c r="DT32" s="205"/>
      <c r="DU32" s="205"/>
      <c r="DV32" s="205"/>
      <c r="DW32" s="205"/>
      <c r="DX32" s="205"/>
      <c r="DY32" s="205"/>
    </row>
    <row r="33" spans="1:212" ht="8.25" customHeight="1" x14ac:dyDescent="0.15">
      <c r="A33" s="193"/>
      <c r="B33" s="196"/>
      <c r="C33" s="193"/>
      <c r="D33" s="203"/>
      <c r="E33" s="204"/>
      <c r="F33" s="225" t="str">
        <f>IF(E33+E34=0,"",IF(E33&gt;E34,D32,D34))</f>
        <v>Bellon Antoine</v>
      </c>
      <c r="G33" s="206"/>
      <c r="H33" s="193"/>
      <c r="I33" s="193"/>
      <c r="J33" s="193"/>
      <c r="N33" s="193"/>
      <c r="O33" s="193"/>
      <c r="P33" s="223"/>
      <c r="Q33" s="223"/>
      <c r="S33" s="193"/>
      <c r="T33" s="193"/>
      <c r="W33" s="198"/>
      <c r="Z33" s="195"/>
      <c r="AW33" s="193"/>
      <c r="AX33" s="193"/>
      <c r="AY33" s="193"/>
      <c r="AZ33" s="196"/>
      <c r="BA33" s="196"/>
      <c r="BB33" s="196"/>
      <c r="BC33" s="196"/>
      <c r="BD33" s="196"/>
      <c r="BE33" s="194"/>
      <c r="BF33" s="193"/>
      <c r="BG33" s="193"/>
      <c r="BH33" s="193"/>
      <c r="BI33" s="193"/>
      <c r="BJ33" s="193"/>
      <c r="BK33" s="193"/>
      <c r="BL33" s="193"/>
      <c r="BM33" s="193"/>
      <c r="BO33" s="205"/>
      <c r="BP33" s="205"/>
      <c r="BQ33" s="205"/>
      <c r="BR33" s="205"/>
      <c r="BS33" s="205"/>
      <c r="BT33" s="205"/>
      <c r="BU33" s="205"/>
      <c r="BV33" s="205"/>
      <c r="BW33" s="205"/>
      <c r="BX33" s="205"/>
      <c r="BY33" s="205"/>
      <c r="BZ33" s="205"/>
      <c r="CA33" s="205"/>
      <c r="CB33" s="205"/>
      <c r="CC33" s="205"/>
      <c r="CD33" s="205"/>
      <c r="CE33" s="205"/>
      <c r="CF33" s="205"/>
      <c r="CG33" s="205"/>
      <c r="CH33" s="205"/>
      <c r="CI33" s="205"/>
      <c r="CJ33" s="205"/>
      <c r="CK33" s="205"/>
      <c r="CL33" s="205"/>
      <c r="CM33" s="205"/>
      <c r="CN33" s="205"/>
      <c r="CO33" s="205"/>
      <c r="CP33" s="205"/>
      <c r="CQ33" s="205"/>
      <c r="CR33" s="205"/>
      <c r="CS33" s="205"/>
      <c r="CT33" s="205"/>
      <c r="CU33" s="205"/>
      <c r="CV33" s="205"/>
      <c r="CW33" s="205"/>
      <c r="CX33" s="205"/>
      <c r="CY33" s="205"/>
      <c r="CZ33" s="205"/>
      <c r="DA33" s="205"/>
      <c r="DB33" s="205"/>
      <c r="DC33" s="205"/>
      <c r="DD33" s="205"/>
      <c r="DE33" s="205"/>
      <c r="DF33" s="205"/>
      <c r="DG33" s="205"/>
      <c r="DH33" s="205"/>
      <c r="DI33" s="205"/>
      <c r="DJ33" s="205"/>
      <c r="DK33" s="205"/>
      <c r="DL33" s="205"/>
      <c r="DM33" s="205"/>
      <c r="DN33" s="205"/>
      <c r="DO33" s="205"/>
      <c r="DP33" s="205"/>
      <c r="DQ33" s="205"/>
      <c r="DR33" s="205"/>
      <c r="DS33" s="205"/>
      <c r="DT33" s="205"/>
      <c r="DU33" s="205"/>
      <c r="DV33" s="205"/>
      <c r="DW33" s="205"/>
      <c r="DX33" s="205"/>
      <c r="DY33" s="205"/>
    </row>
    <row r="34" spans="1:212" ht="8.25" customHeight="1" x14ac:dyDescent="0.15">
      <c r="A34" s="244"/>
      <c r="B34" s="246">
        <f>IF(A34&gt;0,A34,INDEX('Classement pour tableau final'!$AB$11:$AB$266,MATCH(2,'Classement pour tableau final'!$Y$11:$Y$266,0)))</f>
        <v>2</v>
      </c>
      <c r="C34" s="193"/>
      <c r="D34" s="224" t="str">
        <f>IF('Infos générales'!$E$2="x",IF(B34&gt;0,VLOOKUP(B34,'Infos joueurs'!$A:$M,4,FALSE)&amp;" / "&amp;VLOOKUP(B34,'Infos joueurs'!$A:$M,9,FALSE),"2"),IF(B34&gt;0,VLOOKUP(B34,'Infos joueurs'!$A:$M,4,FALSE)&amp;" "&amp;VLOOKUP(B34,'Infos joueurs'!$A:$M,5,FALSE),"2"))</f>
        <v>Bellon Antoine</v>
      </c>
      <c r="E34" s="204">
        <v>1</v>
      </c>
      <c r="F34" s="193"/>
      <c r="G34" s="193"/>
      <c r="H34" s="193"/>
      <c r="I34" s="193"/>
      <c r="J34" s="193"/>
      <c r="N34" s="193"/>
      <c r="O34" s="193"/>
      <c r="P34" s="195"/>
      <c r="S34" s="193"/>
      <c r="T34" s="193"/>
      <c r="W34" s="198"/>
      <c r="Z34" s="195"/>
      <c r="AW34" s="193"/>
      <c r="AX34" s="193"/>
      <c r="AY34" s="193"/>
      <c r="AZ34" s="214"/>
      <c r="BA34" s="214"/>
      <c r="BB34" s="214"/>
      <c r="BC34" s="214"/>
      <c r="BD34" s="214"/>
      <c r="BE34" s="194"/>
      <c r="BF34" s="193"/>
      <c r="BG34" s="193"/>
      <c r="BH34" s="193"/>
      <c r="BI34" s="193"/>
      <c r="BJ34" s="193"/>
      <c r="BK34" s="193"/>
      <c r="BL34" s="193"/>
      <c r="BM34" s="193"/>
      <c r="BO34" s="205"/>
      <c r="BP34" s="205"/>
      <c r="BQ34" s="205"/>
      <c r="BR34" s="205"/>
      <c r="BS34" s="205"/>
      <c r="BT34" s="205"/>
      <c r="BU34" s="205"/>
      <c r="BV34" s="205"/>
      <c r="BW34" s="205"/>
      <c r="BX34" s="205"/>
      <c r="BY34" s="205"/>
      <c r="BZ34" s="205"/>
      <c r="CA34" s="205"/>
      <c r="CB34" s="205"/>
      <c r="CC34" s="205"/>
      <c r="CD34" s="205"/>
      <c r="CE34" s="205"/>
      <c r="CF34" s="205"/>
      <c r="CG34" s="205"/>
      <c r="CH34" s="205"/>
      <c r="CI34" s="205"/>
      <c r="CJ34" s="205"/>
      <c r="CK34" s="205"/>
      <c r="CL34" s="205"/>
      <c r="CM34" s="205"/>
      <c r="CN34" s="205"/>
      <c r="CO34" s="205"/>
      <c r="CP34" s="205"/>
      <c r="CQ34" s="205"/>
      <c r="CR34" s="205"/>
      <c r="CS34" s="205"/>
      <c r="CT34" s="205"/>
      <c r="CU34" s="205"/>
      <c r="CV34" s="205"/>
      <c r="CW34" s="205"/>
      <c r="CX34" s="205"/>
      <c r="CY34" s="205"/>
      <c r="CZ34" s="205"/>
      <c r="DA34" s="205"/>
      <c r="DB34" s="205"/>
      <c r="DC34" s="205"/>
      <c r="DD34" s="205"/>
      <c r="DE34" s="205"/>
      <c r="DF34" s="205"/>
      <c r="DG34" s="205"/>
      <c r="DH34" s="205"/>
      <c r="DI34" s="205"/>
      <c r="DJ34" s="205"/>
      <c r="DK34" s="205"/>
      <c r="DL34" s="205"/>
      <c r="DM34" s="205"/>
      <c r="DN34" s="205"/>
      <c r="DO34" s="205"/>
      <c r="DP34" s="205"/>
      <c r="DQ34" s="205"/>
      <c r="DR34" s="205"/>
      <c r="DS34" s="205"/>
      <c r="DT34" s="205"/>
      <c r="DU34" s="205"/>
      <c r="DV34" s="205"/>
      <c r="DW34" s="205"/>
      <c r="DX34" s="205"/>
      <c r="DY34" s="205"/>
    </row>
    <row r="35" spans="1:212" ht="8.25" customHeight="1" x14ac:dyDescent="0.25">
      <c r="A35" s="196"/>
      <c r="B35" s="196"/>
      <c r="C35" s="193"/>
      <c r="D35" s="203"/>
      <c r="E35" s="193"/>
      <c r="F35" s="193"/>
      <c r="G35" s="193"/>
      <c r="H35" s="193"/>
      <c r="I35" s="193"/>
      <c r="J35" s="193"/>
      <c r="K35" s="193"/>
      <c r="N35" s="193"/>
      <c r="O35" s="193"/>
      <c r="P35" s="195"/>
      <c r="S35" s="193"/>
      <c r="T35" s="193"/>
      <c r="W35" s="198"/>
      <c r="Z35" s="195"/>
      <c r="AW35" s="196"/>
      <c r="AX35" s="196"/>
      <c r="AY35" s="196"/>
      <c r="AZ35" s="196"/>
      <c r="BA35" s="196"/>
      <c r="BB35" s="196"/>
      <c r="BC35" s="196"/>
      <c r="BD35" s="196"/>
      <c r="BE35" s="194"/>
      <c r="BF35" s="193"/>
      <c r="BG35" s="193"/>
      <c r="BH35" s="193"/>
      <c r="BI35" s="193"/>
      <c r="BJ35" s="193"/>
      <c r="BK35" s="193"/>
      <c r="BL35" s="193"/>
      <c r="BM35" s="193"/>
    </row>
    <row r="36" spans="1:212" ht="8.25" customHeight="1" x14ac:dyDescent="0.25">
      <c r="A36" s="196"/>
      <c r="P36" s="195"/>
      <c r="Z36" s="195"/>
      <c r="AC36" s="193"/>
      <c r="AD36" s="193"/>
      <c r="AE36" s="193"/>
      <c r="AF36" s="193"/>
      <c r="AG36" s="193"/>
      <c r="AH36" s="193"/>
      <c r="AI36" s="193"/>
      <c r="AJ36" s="193"/>
      <c r="AK36" s="194"/>
      <c r="AL36" s="193"/>
      <c r="AM36" s="193"/>
      <c r="AN36" s="193"/>
      <c r="AO36" s="193"/>
      <c r="AP36" s="193"/>
      <c r="AQ36" s="193"/>
      <c r="AR36" s="193"/>
      <c r="AS36" s="193"/>
      <c r="AT36" s="193"/>
      <c r="AU36" s="194"/>
      <c r="AV36" s="193"/>
      <c r="AW36" s="196"/>
      <c r="AX36" s="196"/>
      <c r="AY36" s="196"/>
      <c r="AZ36" s="196"/>
      <c r="BA36" s="196"/>
      <c r="BB36" s="196"/>
      <c r="BC36" s="196"/>
      <c r="BD36" s="196"/>
      <c r="BE36" s="210"/>
      <c r="BF36" s="196"/>
      <c r="BG36" s="193"/>
      <c r="BH36" s="193"/>
      <c r="BI36" s="193"/>
      <c r="BJ36" s="193"/>
      <c r="BK36" s="193"/>
      <c r="BL36" s="193"/>
      <c r="BM36" s="193"/>
    </row>
    <row r="37" spans="1:212" ht="8.25" customHeight="1" x14ac:dyDescent="0.25">
      <c r="A37" s="196"/>
      <c r="P37" s="195"/>
      <c r="Z37" s="195"/>
      <c r="AC37" s="193"/>
      <c r="AD37" s="193"/>
      <c r="AE37" s="193"/>
      <c r="AF37" s="193"/>
      <c r="AG37" s="193"/>
      <c r="AH37" s="193"/>
      <c r="AI37" s="193"/>
      <c r="AJ37" s="193"/>
      <c r="AK37" s="194"/>
      <c r="AL37" s="193"/>
      <c r="AM37" s="193"/>
      <c r="AN37" s="193"/>
      <c r="AO37" s="193"/>
      <c r="AP37" s="193"/>
      <c r="AQ37" s="193"/>
      <c r="AR37" s="193"/>
      <c r="AS37" s="193"/>
      <c r="AT37" s="193"/>
      <c r="AU37" s="194"/>
      <c r="AV37" s="193"/>
      <c r="AW37" s="196"/>
      <c r="AX37" s="196"/>
      <c r="AY37" s="196"/>
      <c r="AZ37" s="196"/>
      <c r="BA37" s="196"/>
      <c r="BB37" s="196"/>
      <c r="BC37" s="196"/>
      <c r="BD37" s="196"/>
      <c r="BE37" s="210"/>
      <c r="BF37" s="196"/>
      <c r="BG37" s="193"/>
      <c r="BH37" s="193"/>
      <c r="BI37" s="193"/>
      <c r="BJ37" s="193"/>
      <c r="BK37" s="193"/>
      <c r="BL37" s="193"/>
      <c r="BM37" s="193"/>
    </row>
    <row r="38" spans="1:212" ht="8.25" customHeight="1" x14ac:dyDescent="0.25">
      <c r="A38" s="196"/>
      <c r="N38" s="193"/>
      <c r="O38" s="193"/>
      <c r="P38" s="195"/>
      <c r="S38" s="193"/>
      <c r="T38" s="193"/>
      <c r="V38" s="193"/>
      <c r="W38" s="193"/>
      <c r="Z38" s="195"/>
      <c r="AC38" s="193"/>
      <c r="AD38" s="193"/>
      <c r="AE38" s="193"/>
      <c r="AF38" s="193"/>
      <c r="AG38" s="193"/>
      <c r="AH38" s="193"/>
      <c r="AI38" s="193"/>
      <c r="AJ38" s="193"/>
      <c r="AK38" s="194"/>
      <c r="AL38" s="193"/>
      <c r="AM38" s="193"/>
      <c r="AN38" s="193"/>
      <c r="AO38" s="193"/>
      <c r="AP38" s="193"/>
      <c r="AQ38" s="193"/>
      <c r="AR38" s="193"/>
      <c r="AS38" s="193"/>
      <c r="AT38" s="193"/>
      <c r="AU38" s="194"/>
      <c r="AV38" s="193"/>
      <c r="AW38" s="196"/>
      <c r="AX38" s="196"/>
      <c r="AY38" s="196"/>
      <c r="AZ38" s="196"/>
      <c r="BA38" s="196"/>
      <c r="BB38" s="196"/>
      <c r="BC38" s="196"/>
      <c r="BD38" s="196"/>
      <c r="BE38" s="210"/>
      <c r="BF38" s="196"/>
      <c r="BG38" s="193"/>
      <c r="BH38" s="193"/>
      <c r="BI38" s="193"/>
      <c r="BJ38" s="193"/>
      <c r="BK38" s="193"/>
      <c r="BL38" s="193"/>
      <c r="BM38" s="193"/>
    </row>
    <row r="39" spans="1:212" ht="8.25" customHeight="1" x14ac:dyDescent="0.25">
      <c r="A39" s="196"/>
      <c r="G39" s="223"/>
      <c r="H39" s="223"/>
      <c r="I39" s="223"/>
      <c r="J39" s="223"/>
      <c r="K39" s="223"/>
      <c r="N39" s="193"/>
      <c r="O39" s="193"/>
      <c r="P39" s="195"/>
      <c r="S39" s="193"/>
      <c r="T39" s="193"/>
      <c r="V39" s="214"/>
      <c r="W39" s="214"/>
      <c r="Z39" s="195"/>
      <c r="AC39" s="193"/>
      <c r="AD39" s="193"/>
      <c r="AE39" s="212"/>
      <c r="AF39" s="212"/>
      <c r="AG39" s="212"/>
      <c r="AH39" s="212"/>
      <c r="AI39" s="212"/>
      <c r="AJ39" s="212"/>
      <c r="AK39" s="194"/>
      <c r="AL39" s="193"/>
      <c r="AM39" s="193"/>
      <c r="AN39" s="193"/>
      <c r="AO39" s="193"/>
      <c r="AP39" s="193"/>
      <c r="AQ39" s="193"/>
      <c r="AR39" s="193"/>
      <c r="AS39" s="193"/>
      <c r="AT39" s="193"/>
      <c r="AU39" s="194"/>
      <c r="AV39" s="193"/>
      <c r="AW39" s="196"/>
      <c r="AX39" s="196"/>
      <c r="AY39" s="196"/>
      <c r="AZ39" s="196"/>
      <c r="BA39" s="196"/>
      <c r="BB39" s="196"/>
      <c r="BC39" s="196"/>
      <c r="BD39" s="196"/>
      <c r="BE39" s="210"/>
      <c r="BF39" s="196"/>
      <c r="BG39" s="193"/>
      <c r="BH39" s="193"/>
      <c r="BI39" s="193"/>
      <c r="BJ39" s="193"/>
      <c r="BK39" s="193"/>
      <c r="BL39" s="193"/>
      <c r="BM39" s="193"/>
      <c r="DA39" s="193"/>
      <c r="DB39" s="193"/>
      <c r="DC39" s="193"/>
      <c r="DD39" s="193"/>
      <c r="DE39" s="193"/>
      <c r="DF39" s="193"/>
      <c r="DG39" s="193"/>
      <c r="DH39" s="193"/>
      <c r="DI39" s="193"/>
      <c r="DJ39" s="193"/>
      <c r="DK39" s="193"/>
      <c r="DL39" s="193"/>
      <c r="DM39" s="193"/>
      <c r="DN39" s="193"/>
      <c r="DO39" s="193"/>
      <c r="DP39" s="193"/>
      <c r="DQ39" s="193"/>
      <c r="DR39" s="193"/>
      <c r="DS39" s="193"/>
      <c r="DT39" s="193"/>
      <c r="DU39" s="193"/>
      <c r="DV39" s="193"/>
      <c r="DW39" s="193"/>
      <c r="DX39" s="193"/>
    </row>
    <row r="40" spans="1:212" ht="8.25" customHeight="1" x14ac:dyDescent="0.25">
      <c r="A40" s="196"/>
      <c r="F40" s="223"/>
      <c r="G40" s="223"/>
      <c r="H40" s="350" t="s">
        <v>327</v>
      </c>
      <c r="I40" s="350"/>
      <c r="J40" s="223"/>
      <c r="K40" s="223"/>
      <c r="N40" s="193"/>
      <c r="O40" s="193"/>
      <c r="P40" s="195"/>
      <c r="S40" s="193"/>
      <c r="T40" s="193"/>
      <c r="V40" s="214"/>
      <c r="W40" s="214"/>
      <c r="Z40" s="195"/>
      <c r="AC40" s="193"/>
      <c r="AD40" s="193"/>
      <c r="AE40" s="193"/>
      <c r="AF40" s="193"/>
      <c r="AG40" s="193"/>
      <c r="AH40" s="193"/>
      <c r="AI40" s="193"/>
      <c r="AJ40" s="193"/>
      <c r="AK40" s="193"/>
      <c r="AL40" s="193"/>
      <c r="AM40" s="193"/>
      <c r="AN40" s="193"/>
      <c r="AO40" s="193"/>
      <c r="AP40" s="193"/>
      <c r="AQ40" s="193"/>
      <c r="AR40" s="193"/>
      <c r="AS40" s="193"/>
      <c r="AT40" s="193"/>
      <c r="AU40" s="194"/>
      <c r="AV40" s="193"/>
      <c r="AW40" s="196"/>
      <c r="AX40" s="196"/>
      <c r="AY40" s="196"/>
      <c r="AZ40" s="196"/>
      <c r="BA40" s="196"/>
      <c r="BB40" s="196"/>
      <c r="BC40" s="196"/>
      <c r="BD40" s="196"/>
      <c r="BE40" s="210"/>
      <c r="BF40" s="196"/>
      <c r="BG40" s="193"/>
      <c r="BH40" s="193"/>
      <c r="BI40" s="193"/>
      <c r="BJ40" s="193"/>
      <c r="BK40" s="193"/>
      <c r="BL40" s="193"/>
      <c r="BM40" s="193"/>
      <c r="BT40" s="236"/>
      <c r="BU40" s="236"/>
      <c r="BV40" s="236"/>
      <c r="BW40" s="236"/>
      <c r="BX40" s="236"/>
      <c r="BY40" s="236"/>
      <c r="BZ40" s="236"/>
      <c r="CA40" s="236"/>
      <c r="CB40" s="236"/>
      <c r="CC40" s="236"/>
      <c r="CD40" s="236"/>
      <c r="CE40" s="236"/>
      <c r="CF40" s="236"/>
      <c r="CG40" s="236"/>
      <c r="CH40" s="236"/>
      <c r="CI40" s="236"/>
      <c r="CJ40" s="236"/>
      <c r="CK40" s="236"/>
      <c r="CL40" s="236"/>
      <c r="CM40" s="236"/>
      <c r="CN40" s="236"/>
      <c r="CO40" s="236"/>
      <c r="CP40" s="236"/>
      <c r="CQ40" s="236"/>
      <c r="CX40" s="235"/>
      <c r="CY40" s="212"/>
      <c r="DA40" s="236"/>
      <c r="DB40" s="236"/>
      <c r="DC40" s="236"/>
      <c r="DD40" s="236"/>
      <c r="DE40" s="236"/>
      <c r="DF40" s="236"/>
      <c r="DG40" s="236"/>
      <c r="DH40" s="236"/>
      <c r="DI40" s="236"/>
      <c r="DJ40" s="236"/>
      <c r="DK40" s="236"/>
      <c r="DL40" s="236"/>
      <c r="DM40" s="236"/>
      <c r="DN40" s="236"/>
      <c r="DO40" s="236"/>
      <c r="DP40" s="236"/>
      <c r="DQ40" s="236"/>
      <c r="DR40" s="236"/>
      <c r="DS40" s="236"/>
      <c r="DT40" s="236"/>
      <c r="DU40" s="236"/>
      <c r="DV40" s="236"/>
      <c r="DW40" s="236"/>
      <c r="DX40" s="236"/>
      <c r="DY40" s="236"/>
    </row>
    <row r="41" spans="1:212" ht="8.25" customHeight="1" x14ac:dyDescent="0.25">
      <c r="A41" s="196"/>
      <c r="F41" s="223"/>
      <c r="G41" s="223"/>
      <c r="H41" s="350"/>
      <c r="I41" s="350"/>
      <c r="J41" s="223"/>
      <c r="K41" s="223"/>
      <c r="P41" s="195"/>
      <c r="Z41" s="195"/>
      <c r="AC41" s="193"/>
      <c r="AD41" s="193"/>
      <c r="AE41" s="193"/>
      <c r="AF41" s="193"/>
      <c r="AG41" s="193"/>
      <c r="AH41" s="193"/>
      <c r="AI41" s="193"/>
      <c r="AJ41" s="193"/>
      <c r="AK41" s="193"/>
      <c r="AL41" s="193"/>
      <c r="AM41" s="193"/>
      <c r="AN41" s="193"/>
      <c r="AO41" s="193"/>
      <c r="AP41" s="193"/>
      <c r="AQ41" s="193"/>
      <c r="AR41" s="193"/>
      <c r="AS41" s="193"/>
      <c r="AT41" s="193"/>
      <c r="AU41" s="194"/>
      <c r="AV41" s="193"/>
      <c r="AW41" s="214"/>
      <c r="AX41" s="214"/>
      <c r="AY41" s="214"/>
      <c r="AZ41" s="196"/>
      <c r="BA41" s="196"/>
      <c r="BB41" s="196"/>
      <c r="BC41" s="196"/>
      <c r="BD41" s="196"/>
      <c r="BE41" s="210"/>
      <c r="BF41" s="196"/>
      <c r="BG41" s="193"/>
      <c r="BH41" s="193"/>
      <c r="BI41" s="193"/>
      <c r="BJ41" s="193"/>
      <c r="BK41" s="193"/>
      <c r="BL41" s="193"/>
      <c r="BM41" s="193"/>
      <c r="BT41" s="236"/>
      <c r="BU41" s="236"/>
      <c r="BV41" s="236"/>
      <c r="BW41" s="236"/>
      <c r="BX41" s="236"/>
      <c r="BY41" s="236"/>
      <c r="BZ41" s="236"/>
      <c r="CA41" s="236"/>
      <c r="CB41" s="236"/>
      <c r="CC41" s="236"/>
      <c r="CD41" s="236"/>
      <c r="CE41" s="236"/>
      <c r="CF41" s="236"/>
      <c r="CG41" s="236"/>
      <c r="CH41" s="236"/>
      <c r="CI41" s="236"/>
      <c r="CJ41" s="236"/>
      <c r="CK41" s="236"/>
      <c r="CL41" s="236"/>
      <c r="CM41" s="236"/>
      <c r="CN41" s="236"/>
      <c r="CO41" s="236"/>
      <c r="CP41" s="236"/>
      <c r="CQ41" s="236"/>
      <c r="CR41" s="193"/>
      <c r="CS41" s="193"/>
      <c r="CT41" s="193"/>
      <c r="CX41" s="235"/>
      <c r="CY41" s="212"/>
      <c r="DA41" s="236"/>
      <c r="DB41" s="236"/>
      <c r="DC41" s="236"/>
      <c r="DD41" s="236"/>
      <c r="DE41" s="236"/>
      <c r="DF41" s="236"/>
      <c r="DG41" s="236"/>
      <c r="DH41" s="236"/>
      <c r="DI41" s="236"/>
      <c r="DJ41" s="236"/>
      <c r="DK41" s="236"/>
      <c r="DL41" s="236"/>
      <c r="DM41" s="236"/>
      <c r="DN41" s="236"/>
      <c r="DO41" s="236"/>
      <c r="DP41" s="236"/>
      <c r="DQ41" s="236"/>
      <c r="DR41" s="236"/>
      <c r="DS41" s="236"/>
      <c r="DT41" s="236"/>
      <c r="DU41" s="236"/>
      <c r="DV41" s="236"/>
      <c r="DW41" s="236"/>
      <c r="DX41" s="236"/>
      <c r="DY41" s="236"/>
    </row>
    <row r="42" spans="1:212" ht="8.25" customHeight="1" x14ac:dyDescent="0.25">
      <c r="A42" s="196"/>
      <c r="I42" s="198"/>
      <c r="P42" s="195"/>
      <c r="Z42" s="195"/>
      <c r="AC42" s="193"/>
      <c r="AD42" s="193"/>
      <c r="AE42" s="193"/>
      <c r="AF42" s="193"/>
      <c r="AG42" s="193"/>
      <c r="AH42" s="193"/>
      <c r="AI42" s="193"/>
      <c r="AJ42" s="193"/>
      <c r="AK42" s="193"/>
      <c r="AL42" s="193"/>
      <c r="AM42" s="193"/>
      <c r="AN42" s="193"/>
      <c r="AO42" s="193"/>
      <c r="AP42" s="193"/>
      <c r="AQ42" s="193"/>
      <c r="AR42" s="193"/>
      <c r="AS42" s="193"/>
      <c r="AT42" s="193"/>
      <c r="AU42" s="194"/>
      <c r="AV42" s="193"/>
      <c r="AW42" s="196"/>
      <c r="AX42" s="196"/>
      <c r="AY42" s="196"/>
      <c r="AZ42" s="196"/>
      <c r="BA42" s="196"/>
      <c r="BB42" s="196"/>
      <c r="BC42" s="196"/>
      <c r="BD42" s="196"/>
      <c r="BE42" s="210"/>
      <c r="BF42" s="196"/>
      <c r="BG42" s="193"/>
      <c r="BH42" s="193"/>
      <c r="BI42" s="193"/>
      <c r="BJ42" s="193"/>
      <c r="BK42" s="193"/>
      <c r="BL42" s="193"/>
      <c r="BT42" s="193"/>
      <c r="BU42" s="193"/>
      <c r="BV42" s="193"/>
      <c r="BW42" s="193"/>
      <c r="BX42" s="193"/>
      <c r="BY42" s="193"/>
      <c r="BZ42" s="193"/>
      <c r="CA42" s="193"/>
      <c r="CB42" s="194"/>
      <c r="CC42" s="193"/>
      <c r="CD42" s="193"/>
      <c r="CE42" s="193"/>
      <c r="CF42" s="193"/>
      <c r="CG42" s="193"/>
      <c r="CH42" s="193"/>
      <c r="CI42" s="193"/>
      <c r="CJ42" s="193"/>
      <c r="CK42" s="193"/>
      <c r="CL42" s="194"/>
      <c r="CM42" s="193"/>
      <c r="CN42" s="193"/>
      <c r="CO42" s="193"/>
      <c r="CP42" s="193"/>
      <c r="CQ42" s="193"/>
      <c r="CR42" s="193"/>
      <c r="CS42" s="193"/>
      <c r="CT42" s="193"/>
      <c r="CX42" s="193"/>
      <c r="CY42" s="193"/>
      <c r="DA42" s="193"/>
      <c r="DB42" s="193"/>
      <c r="DC42" s="193"/>
      <c r="DD42" s="193"/>
      <c r="DE42" s="193"/>
      <c r="DF42" s="193"/>
      <c r="DG42" s="193"/>
      <c r="DH42" s="193"/>
      <c r="DI42" s="194"/>
      <c r="DJ42" s="193"/>
      <c r="DK42" s="193"/>
      <c r="DL42" s="193"/>
      <c r="DM42" s="193"/>
      <c r="DN42" s="193"/>
      <c r="DO42" s="193"/>
      <c r="DP42" s="193"/>
      <c r="DQ42" s="193"/>
      <c r="DR42" s="193"/>
      <c r="DS42" s="194"/>
      <c r="DT42" s="193"/>
      <c r="DU42" s="193"/>
      <c r="DV42" s="193"/>
      <c r="DW42" s="193"/>
      <c r="DX42" s="193"/>
      <c r="DY42" s="193"/>
    </row>
    <row r="43" spans="1:212" ht="8.25" customHeight="1" x14ac:dyDescent="0.25">
      <c r="A43" s="196"/>
      <c r="I43" s="193"/>
      <c r="J43" s="193"/>
      <c r="K43" s="193"/>
      <c r="O43" s="193"/>
      <c r="P43" s="195"/>
      <c r="S43" s="193"/>
      <c r="T43" s="193"/>
      <c r="Z43" s="195"/>
      <c r="AA43" s="193"/>
      <c r="AB43" s="193"/>
      <c r="AC43" s="193"/>
      <c r="AD43" s="193"/>
      <c r="AE43" s="193"/>
      <c r="AF43" s="193"/>
      <c r="AG43" s="193"/>
      <c r="AH43" s="193"/>
      <c r="AI43" s="214"/>
      <c r="AJ43" s="214"/>
      <c r="AK43" s="193"/>
      <c r="AL43" s="193"/>
      <c r="AM43" s="212"/>
      <c r="AN43" s="212"/>
      <c r="AO43" s="212"/>
      <c r="AP43" s="212"/>
      <c r="AQ43" s="212"/>
      <c r="AR43" s="212"/>
      <c r="AS43" s="212"/>
      <c r="AT43" s="212"/>
      <c r="AU43" s="194"/>
      <c r="AV43" s="193"/>
      <c r="AW43" s="196"/>
      <c r="AX43" s="196"/>
      <c r="AY43" s="196"/>
      <c r="AZ43" s="196"/>
      <c r="BA43" s="196"/>
      <c r="BB43" s="196"/>
      <c r="BC43" s="196"/>
      <c r="BD43" s="196"/>
      <c r="BE43" s="210"/>
      <c r="BF43" s="196"/>
      <c r="BG43" s="193"/>
      <c r="BH43" s="193"/>
      <c r="BI43" s="193"/>
      <c r="BJ43" s="193"/>
      <c r="BK43" s="193"/>
      <c r="BL43" s="193"/>
      <c r="BT43" s="193"/>
      <c r="BU43" s="193"/>
      <c r="BV43" s="193"/>
      <c r="BW43" s="193"/>
      <c r="BX43" s="193"/>
      <c r="BY43" s="193"/>
      <c r="BZ43" s="193"/>
      <c r="CA43" s="193"/>
      <c r="CB43" s="194"/>
      <c r="CC43" s="193"/>
      <c r="CD43" s="193"/>
      <c r="CE43" s="193"/>
      <c r="CF43" s="193"/>
      <c r="CG43" s="193"/>
      <c r="CH43" s="193"/>
      <c r="CI43" s="193"/>
      <c r="CJ43" s="193"/>
      <c r="CK43" s="193"/>
      <c r="CL43" s="194"/>
      <c r="CM43" s="193"/>
      <c r="CN43" s="193"/>
      <c r="CO43" s="193"/>
      <c r="CP43" s="193"/>
      <c r="CQ43" s="193"/>
      <c r="CR43" s="193"/>
      <c r="CS43" s="193"/>
      <c r="CT43" s="193"/>
      <c r="CX43" s="193"/>
      <c r="CY43" s="193"/>
      <c r="DA43" s="193"/>
      <c r="DB43" s="193"/>
      <c r="DC43" s="193"/>
      <c r="DD43" s="193"/>
      <c r="DE43" s="193"/>
      <c r="DF43" s="193"/>
      <c r="DG43" s="193"/>
      <c r="DH43" s="193"/>
      <c r="DI43" s="194"/>
      <c r="DJ43" s="193"/>
      <c r="DK43" s="193"/>
      <c r="DL43" s="193"/>
      <c r="DM43" s="193"/>
      <c r="DN43" s="193"/>
      <c r="DO43" s="193"/>
      <c r="DP43" s="193"/>
      <c r="DQ43" s="193"/>
      <c r="DR43" s="193"/>
      <c r="DS43" s="194"/>
      <c r="DT43" s="193"/>
      <c r="DU43" s="193"/>
      <c r="DV43" s="193"/>
      <c r="DW43" s="193"/>
      <c r="DX43" s="193"/>
      <c r="DY43" s="193"/>
    </row>
    <row r="44" spans="1:212" ht="8.25" customHeight="1" x14ac:dyDescent="0.15">
      <c r="A44" s="196"/>
      <c r="F44" s="228"/>
      <c r="G44" s="228"/>
      <c r="H44" s="224" t="str">
        <f>IF(G23+G24=0,"",IF(G23&lt;G24,F21,F25))</f>
        <v>Begert Nicolas</v>
      </c>
      <c r="I44" s="224"/>
      <c r="J44" s="229"/>
      <c r="N44" s="349">
        <v>1</v>
      </c>
      <c r="O44" s="357" t="str">
        <f>IF(I27+I28=0,"",IF(I27&gt;I28,H23,H31))</f>
        <v>Blazquez Esteban</v>
      </c>
      <c r="P44" s="357"/>
      <c r="Q44" s="357"/>
      <c r="R44" s="357"/>
      <c r="S44" s="349">
        <v>5</v>
      </c>
      <c r="T44" s="357" t="str">
        <f>IF(G62+G63=0,"",IF(G62&gt;G63,F60,F64))</f>
        <v>Debons Elie</v>
      </c>
      <c r="U44" s="357"/>
      <c r="V44" s="357"/>
      <c r="W44" s="357"/>
      <c r="X44" s="193"/>
      <c r="Y44" s="193"/>
      <c r="Z44" s="193"/>
      <c r="AA44" s="193"/>
      <c r="AB44" s="193"/>
      <c r="AC44" s="193"/>
      <c r="AD44" s="193"/>
      <c r="AE44" s="193"/>
      <c r="AF44" s="193"/>
      <c r="AG44" s="193"/>
      <c r="AH44" s="193"/>
      <c r="AI44" s="214"/>
      <c r="AJ44" s="214"/>
      <c r="AK44" s="193"/>
      <c r="AL44" s="193"/>
      <c r="AM44" s="193"/>
      <c r="AN44" s="193"/>
      <c r="AO44" s="193"/>
      <c r="AP44" s="193"/>
      <c r="AQ44" s="193"/>
      <c r="AR44" s="193"/>
      <c r="AS44" s="193"/>
      <c r="AT44" s="193"/>
      <c r="AU44" s="194"/>
      <c r="AV44" s="193"/>
      <c r="AW44" s="196"/>
      <c r="AX44" s="196"/>
      <c r="AY44" s="196"/>
      <c r="BL44" s="193"/>
      <c r="BT44" s="193"/>
      <c r="BU44" s="193"/>
      <c r="BV44" s="193"/>
      <c r="BW44" s="193"/>
      <c r="BX44" s="193"/>
      <c r="BY44" s="193"/>
      <c r="BZ44" s="193"/>
      <c r="CA44" s="193"/>
      <c r="CB44" s="194"/>
      <c r="CC44" s="193"/>
      <c r="CD44" s="193"/>
      <c r="CE44" s="193"/>
      <c r="CF44" s="193"/>
      <c r="CG44" s="193"/>
      <c r="CH44" s="193"/>
      <c r="CI44" s="193"/>
      <c r="CJ44" s="193"/>
      <c r="CK44" s="193"/>
      <c r="CL44" s="194"/>
      <c r="CM44" s="193"/>
      <c r="CN44" s="193"/>
      <c r="CO44" s="193"/>
      <c r="CP44" s="193"/>
      <c r="CQ44" s="193"/>
      <c r="CR44" s="193"/>
      <c r="CS44" s="193"/>
      <c r="CT44" s="193"/>
      <c r="CX44" s="193"/>
      <c r="CY44" s="193"/>
      <c r="DA44" s="193"/>
      <c r="DB44" s="193"/>
      <c r="DC44" s="193"/>
      <c r="DD44" s="193"/>
      <c r="DE44" s="193"/>
      <c r="DF44" s="193"/>
      <c r="DG44" s="193"/>
      <c r="DH44" s="193"/>
      <c r="DI44" s="194"/>
      <c r="DJ44" s="193"/>
      <c r="DK44" s="193"/>
      <c r="DL44" s="193"/>
      <c r="DM44" s="193"/>
      <c r="DN44" s="193"/>
      <c r="DO44" s="193"/>
      <c r="DP44" s="193"/>
      <c r="DQ44" s="193"/>
      <c r="DR44" s="193"/>
      <c r="DS44" s="194"/>
      <c r="DT44" s="193"/>
      <c r="DU44" s="193"/>
      <c r="DV44" s="193"/>
      <c r="DW44" s="193"/>
      <c r="DX44" s="193"/>
      <c r="DY44" s="193"/>
    </row>
    <row r="45" spans="1:212" ht="8.25" customHeight="1" x14ac:dyDescent="0.15">
      <c r="A45" s="196"/>
      <c r="G45" s="196"/>
      <c r="H45" s="203"/>
      <c r="I45" s="204"/>
      <c r="J45" s="224" t="str">
        <f>IF(I45+I46=0,"",IF(I45&gt;I46,H44,H46))</f>
        <v>Bellon Antoine</v>
      </c>
      <c r="N45" s="349"/>
      <c r="O45" s="358"/>
      <c r="P45" s="358"/>
      <c r="Q45" s="358"/>
      <c r="R45" s="358"/>
      <c r="S45" s="349"/>
      <c r="T45" s="358"/>
      <c r="U45" s="358"/>
      <c r="V45" s="358"/>
      <c r="W45" s="358"/>
      <c r="X45" s="229"/>
      <c r="Y45" s="229"/>
      <c r="Z45" s="229"/>
      <c r="AA45" s="193"/>
      <c r="AB45" s="193"/>
      <c r="AC45" s="193"/>
      <c r="AD45" s="193"/>
      <c r="AE45" s="193"/>
      <c r="AF45" s="193"/>
      <c r="AG45" s="193"/>
      <c r="AH45" s="193"/>
      <c r="AI45" s="193"/>
      <c r="AJ45" s="193"/>
      <c r="AK45" s="193"/>
      <c r="AL45" s="193"/>
      <c r="AM45" s="196"/>
      <c r="AN45" s="196"/>
      <c r="AO45" s="196"/>
      <c r="AP45" s="196"/>
      <c r="AQ45" s="196"/>
      <c r="AR45" s="196"/>
      <c r="AS45" s="196"/>
      <c r="AT45" s="196"/>
      <c r="AU45" s="210"/>
      <c r="AV45" s="193"/>
      <c r="AW45" s="196"/>
      <c r="AX45" s="196"/>
      <c r="AY45" s="196"/>
      <c r="BT45" s="236"/>
      <c r="BU45" s="236"/>
      <c r="BV45" s="236"/>
      <c r="BW45" s="236"/>
      <c r="BX45" s="236"/>
      <c r="BY45" s="236"/>
      <c r="BZ45" s="236"/>
      <c r="CA45" s="236"/>
      <c r="CB45" s="236"/>
      <c r="CC45" s="236"/>
      <c r="CD45" s="236"/>
      <c r="CE45" s="236"/>
      <c r="CF45" s="236"/>
      <c r="CG45" s="236"/>
      <c r="CH45" s="236"/>
      <c r="CI45" s="236"/>
      <c r="CJ45" s="236"/>
      <c r="CK45" s="236"/>
      <c r="CL45" s="236"/>
      <c r="CM45" s="236"/>
      <c r="CN45" s="236"/>
      <c r="CO45" s="236"/>
      <c r="CP45" s="236"/>
      <c r="CQ45" s="236"/>
      <c r="CR45" s="193"/>
      <c r="CS45" s="193"/>
      <c r="CT45" s="193"/>
      <c r="CX45" s="235"/>
      <c r="CY45" s="212"/>
      <c r="DA45" s="236"/>
      <c r="DB45" s="236"/>
      <c r="DC45" s="236"/>
      <c r="DD45" s="236"/>
      <c r="DE45" s="236"/>
      <c r="DF45" s="236"/>
      <c r="DG45" s="236"/>
      <c r="DH45" s="236"/>
      <c r="DI45" s="236"/>
      <c r="DJ45" s="236"/>
      <c r="DK45" s="236"/>
      <c r="DL45" s="236"/>
      <c r="DM45" s="236"/>
      <c r="DN45" s="236"/>
      <c r="DO45" s="236"/>
      <c r="DP45" s="236"/>
      <c r="DQ45" s="236"/>
      <c r="DR45" s="236"/>
      <c r="DS45" s="236"/>
      <c r="DT45" s="236"/>
      <c r="DU45" s="236"/>
      <c r="DV45" s="236"/>
      <c r="DW45" s="236"/>
      <c r="DX45" s="236"/>
      <c r="DY45" s="236"/>
    </row>
    <row r="46" spans="1:212" ht="8.25" customHeight="1" x14ac:dyDescent="0.15">
      <c r="A46" s="196"/>
      <c r="F46" s="228"/>
      <c r="G46" s="228"/>
      <c r="H46" s="229" t="str">
        <f>IF(G31+G32=0,"",IF(G31&lt;G32,F29,F33))</f>
        <v>Bellon Antoine</v>
      </c>
      <c r="I46" s="204">
        <v>1</v>
      </c>
      <c r="J46" s="193"/>
      <c r="O46" s="214"/>
      <c r="P46" s="195"/>
      <c r="W46" s="193"/>
      <c r="X46" s="193"/>
      <c r="Y46" s="193"/>
      <c r="Z46" s="193"/>
      <c r="AA46" s="193"/>
      <c r="AB46" s="193"/>
      <c r="AC46" s="193"/>
      <c r="AD46" s="193"/>
      <c r="AE46" s="193"/>
      <c r="AF46" s="193"/>
      <c r="AG46" s="193"/>
      <c r="AH46" s="193"/>
      <c r="AI46" s="193"/>
      <c r="AJ46" s="193"/>
      <c r="AK46" s="193"/>
      <c r="AL46" s="193"/>
      <c r="AM46" s="196"/>
      <c r="AN46" s="196"/>
      <c r="AO46" s="196"/>
      <c r="AP46" s="196"/>
      <c r="AQ46" s="196"/>
      <c r="AR46" s="196"/>
      <c r="AS46" s="196"/>
      <c r="AT46" s="196"/>
      <c r="AU46" s="210"/>
      <c r="AV46" s="196"/>
      <c r="AW46" s="196"/>
      <c r="AX46" s="196"/>
      <c r="AY46" s="196"/>
      <c r="BT46" s="236"/>
      <c r="BU46" s="236"/>
      <c r="BV46" s="236"/>
      <c r="BW46" s="236"/>
      <c r="BX46" s="236"/>
      <c r="BY46" s="236"/>
      <c r="BZ46" s="236"/>
      <c r="CA46" s="236"/>
      <c r="CB46" s="236"/>
      <c r="CC46" s="236"/>
      <c r="CD46" s="236"/>
      <c r="CE46" s="236"/>
      <c r="CF46" s="236"/>
      <c r="CG46" s="236"/>
      <c r="CH46" s="236"/>
      <c r="CI46" s="236"/>
      <c r="CJ46" s="236"/>
      <c r="CK46" s="236"/>
      <c r="CL46" s="236"/>
      <c r="CM46" s="236"/>
      <c r="CN46" s="236"/>
      <c r="CO46" s="236"/>
      <c r="CP46" s="236"/>
      <c r="CQ46" s="236"/>
      <c r="CR46" s="193"/>
      <c r="CS46" s="193"/>
      <c r="CT46" s="193"/>
      <c r="CX46" s="235"/>
      <c r="CY46" s="212"/>
      <c r="DA46" s="236"/>
      <c r="DB46" s="236"/>
      <c r="DC46" s="236"/>
      <c r="DD46" s="236"/>
      <c r="DE46" s="236"/>
      <c r="DF46" s="236"/>
      <c r="DG46" s="236"/>
      <c r="DH46" s="236"/>
      <c r="DI46" s="236"/>
      <c r="DJ46" s="236"/>
      <c r="DK46" s="236"/>
      <c r="DL46" s="236"/>
      <c r="DM46" s="236"/>
      <c r="DN46" s="236"/>
      <c r="DO46" s="236"/>
      <c r="DP46" s="236"/>
      <c r="DQ46" s="236"/>
      <c r="DR46" s="236"/>
      <c r="DS46" s="236"/>
      <c r="DT46" s="236"/>
      <c r="DU46" s="236"/>
      <c r="DV46" s="236"/>
      <c r="DW46" s="236"/>
      <c r="DX46" s="236"/>
      <c r="DY46" s="236"/>
      <c r="HB46" s="193"/>
      <c r="HC46" s="193"/>
      <c r="HD46" s="193"/>
    </row>
    <row r="47" spans="1:212" ht="8.25" customHeight="1" x14ac:dyDescent="0.25">
      <c r="F47" s="196"/>
      <c r="G47" s="196"/>
      <c r="H47" s="208"/>
      <c r="I47" s="243"/>
      <c r="J47" s="196"/>
      <c r="O47" s="193"/>
      <c r="P47" s="195"/>
      <c r="W47" s="193"/>
      <c r="X47" s="193"/>
      <c r="Y47" s="214"/>
      <c r="Z47" s="214"/>
      <c r="AA47" s="193"/>
      <c r="AB47" s="193"/>
      <c r="AC47" s="193"/>
      <c r="AD47" s="193"/>
      <c r="AE47" s="212"/>
      <c r="AF47" s="212"/>
      <c r="AG47" s="212"/>
      <c r="AH47" s="212"/>
      <c r="AI47" s="212"/>
      <c r="AJ47" s="212"/>
      <c r="AK47" s="193"/>
      <c r="AL47" s="193"/>
      <c r="AM47" s="196"/>
      <c r="AN47" s="196"/>
      <c r="AO47" s="196"/>
      <c r="AP47" s="196"/>
      <c r="AQ47" s="196"/>
      <c r="AR47" s="196"/>
      <c r="AS47" s="196"/>
      <c r="AT47" s="196"/>
      <c r="AU47" s="210"/>
      <c r="AV47" s="196"/>
      <c r="AW47" s="196"/>
      <c r="AX47" s="196"/>
      <c r="AY47" s="196"/>
      <c r="BT47" s="193"/>
      <c r="BU47" s="193"/>
      <c r="BV47" s="193"/>
      <c r="BW47" s="193"/>
      <c r="BX47" s="193"/>
      <c r="BY47" s="193"/>
      <c r="BZ47" s="193"/>
      <c r="CA47" s="193"/>
      <c r="CB47" s="194"/>
      <c r="CC47" s="193"/>
      <c r="CD47" s="193"/>
      <c r="CE47" s="193"/>
      <c r="CF47" s="193"/>
      <c r="CG47" s="193"/>
      <c r="CH47" s="193"/>
      <c r="CI47" s="193"/>
      <c r="CJ47" s="193"/>
      <c r="CK47" s="193"/>
      <c r="CL47" s="194"/>
      <c r="CM47" s="193"/>
      <c r="CN47" s="193"/>
      <c r="CO47" s="193"/>
      <c r="CP47" s="193"/>
      <c r="CQ47" s="193"/>
      <c r="CR47" s="193"/>
      <c r="CS47" s="193"/>
      <c r="CT47" s="193"/>
      <c r="CX47" s="193"/>
      <c r="CY47" s="193"/>
      <c r="DA47" s="193"/>
      <c r="DB47" s="193"/>
      <c r="DC47" s="193"/>
      <c r="DD47" s="193"/>
      <c r="DE47" s="193"/>
      <c r="DF47" s="193"/>
      <c r="DG47" s="193"/>
      <c r="DH47" s="193"/>
      <c r="DI47" s="194"/>
      <c r="DJ47" s="193"/>
      <c r="DK47" s="193"/>
      <c r="DL47" s="193"/>
      <c r="DM47" s="193"/>
      <c r="DN47" s="193"/>
      <c r="DO47" s="193"/>
      <c r="DP47" s="193"/>
      <c r="DQ47" s="193"/>
      <c r="DR47" s="193"/>
      <c r="DS47" s="194"/>
      <c r="DT47" s="193"/>
      <c r="DU47" s="193"/>
      <c r="DV47" s="193"/>
      <c r="DW47" s="193"/>
      <c r="DX47" s="193"/>
      <c r="DY47" s="193"/>
      <c r="HB47" s="193"/>
      <c r="HC47" s="193"/>
      <c r="HD47" s="193"/>
    </row>
    <row r="48" spans="1:212" ht="8.25" customHeight="1" x14ac:dyDescent="0.15">
      <c r="O48" s="229"/>
      <c r="P48" s="195"/>
      <c r="W48" s="193"/>
      <c r="X48" s="193"/>
      <c r="Y48" s="214"/>
      <c r="Z48" s="214"/>
      <c r="AA48" s="193"/>
      <c r="AB48" s="193"/>
      <c r="AC48" s="193"/>
      <c r="AD48" s="193"/>
      <c r="AE48" s="193"/>
      <c r="AF48" s="193"/>
      <c r="AG48" s="193"/>
      <c r="AH48" s="193"/>
      <c r="AI48" s="193"/>
      <c r="AJ48" s="193"/>
      <c r="AK48" s="194"/>
      <c r="AL48" s="196"/>
      <c r="AM48" s="196"/>
      <c r="AN48" s="196"/>
      <c r="AO48" s="196"/>
      <c r="AP48" s="196"/>
      <c r="AQ48" s="196"/>
      <c r="AR48" s="196"/>
      <c r="AS48" s="196"/>
      <c r="AT48" s="196"/>
      <c r="AU48" s="210"/>
      <c r="AV48" s="193"/>
      <c r="AW48" s="196"/>
      <c r="AX48" s="196"/>
      <c r="AY48" s="196"/>
      <c r="BT48" s="193"/>
      <c r="BU48" s="193"/>
      <c r="BV48" s="193"/>
      <c r="BW48" s="193"/>
      <c r="BX48" s="193"/>
      <c r="BY48" s="193"/>
      <c r="BZ48" s="193"/>
      <c r="CA48" s="193"/>
      <c r="CB48" s="194"/>
      <c r="CC48" s="193"/>
      <c r="CD48" s="193"/>
      <c r="CE48" s="193"/>
      <c r="CF48" s="193"/>
      <c r="CG48" s="193"/>
      <c r="CH48" s="193"/>
      <c r="CI48" s="193"/>
      <c r="CJ48" s="193"/>
      <c r="CK48" s="193"/>
      <c r="CL48" s="194"/>
      <c r="CM48" s="193"/>
      <c r="CN48" s="193"/>
      <c r="CO48" s="193"/>
      <c r="CP48" s="193"/>
      <c r="CQ48" s="193"/>
      <c r="CR48" s="193"/>
      <c r="CS48" s="193"/>
      <c r="CT48" s="193"/>
      <c r="CX48" s="193"/>
      <c r="CY48" s="193"/>
      <c r="DA48" s="193"/>
      <c r="DB48" s="193"/>
      <c r="DC48" s="193"/>
      <c r="DD48" s="193"/>
      <c r="DE48" s="193"/>
      <c r="DF48" s="193"/>
      <c r="DG48" s="193"/>
      <c r="DH48" s="193"/>
      <c r="DI48" s="194"/>
      <c r="DJ48" s="193"/>
      <c r="DK48" s="193"/>
      <c r="DL48" s="193"/>
      <c r="DM48" s="193"/>
      <c r="DN48" s="193"/>
      <c r="DO48" s="193"/>
      <c r="DP48" s="193"/>
      <c r="DQ48" s="193"/>
      <c r="DR48" s="193"/>
      <c r="DS48" s="194"/>
      <c r="DT48" s="193"/>
      <c r="DU48" s="193"/>
      <c r="DV48" s="193"/>
      <c r="DW48" s="193"/>
      <c r="DX48" s="193"/>
      <c r="DY48" s="193"/>
      <c r="HB48" s="193"/>
      <c r="HC48" s="193"/>
      <c r="HD48" s="193"/>
    </row>
    <row r="49" spans="2:212" ht="8.25" customHeight="1" x14ac:dyDescent="0.15">
      <c r="O49" s="214"/>
      <c r="P49" s="195"/>
      <c r="W49" s="229"/>
      <c r="X49" s="229"/>
      <c r="Y49" s="229"/>
      <c r="Z49" s="229"/>
      <c r="AA49" s="193"/>
      <c r="AB49" s="193"/>
      <c r="AC49" s="193"/>
      <c r="AD49" s="193"/>
      <c r="AE49" s="193"/>
      <c r="AF49" s="193"/>
      <c r="AG49" s="193"/>
      <c r="AH49" s="193"/>
      <c r="AI49" s="193"/>
      <c r="AJ49" s="193"/>
      <c r="AK49" s="194"/>
      <c r="AL49" s="196"/>
      <c r="AM49" s="196"/>
      <c r="AN49" s="196"/>
      <c r="AO49" s="196"/>
      <c r="AP49" s="196"/>
      <c r="AQ49" s="196"/>
      <c r="AR49" s="196"/>
      <c r="AS49" s="196"/>
      <c r="AT49" s="196"/>
      <c r="AU49" s="210"/>
      <c r="AV49" s="193"/>
      <c r="AW49" s="196"/>
      <c r="AX49" s="196"/>
      <c r="AY49" s="196"/>
      <c r="BT49" s="193"/>
      <c r="BU49" s="193"/>
      <c r="BV49" s="193"/>
      <c r="BW49" s="193"/>
      <c r="BX49" s="193"/>
      <c r="BY49" s="193"/>
      <c r="BZ49" s="193"/>
      <c r="CA49" s="193"/>
      <c r="CB49" s="194"/>
      <c r="CC49" s="193"/>
      <c r="CD49" s="193"/>
      <c r="CE49" s="193"/>
      <c r="CF49" s="193"/>
      <c r="CG49" s="193"/>
      <c r="CH49" s="193"/>
      <c r="CI49" s="193"/>
      <c r="CJ49" s="193"/>
      <c r="CK49" s="193"/>
      <c r="CL49" s="194"/>
      <c r="CM49" s="193"/>
      <c r="CN49" s="193"/>
      <c r="CO49" s="193"/>
      <c r="CP49" s="193"/>
      <c r="CQ49" s="193"/>
      <c r="CR49" s="193"/>
      <c r="CS49" s="193"/>
      <c r="CT49" s="193"/>
      <c r="CX49" s="193"/>
      <c r="CY49" s="193"/>
      <c r="DA49" s="193"/>
      <c r="DB49" s="193"/>
      <c r="DC49" s="193"/>
      <c r="DD49" s="193"/>
      <c r="DE49" s="193"/>
      <c r="DF49" s="193"/>
      <c r="DG49" s="193"/>
      <c r="DH49" s="193"/>
      <c r="DI49" s="194"/>
      <c r="DJ49" s="193"/>
      <c r="DK49" s="193"/>
      <c r="DL49" s="193"/>
      <c r="DM49" s="193"/>
      <c r="DN49" s="193"/>
      <c r="DO49" s="193"/>
      <c r="DP49" s="193"/>
      <c r="DQ49" s="193"/>
      <c r="DR49" s="193"/>
      <c r="DS49" s="194"/>
      <c r="DT49" s="193"/>
      <c r="DU49" s="193"/>
      <c r="DV49" s="193"/>
      <c r="DW49" s="193"/>
      <c r="DX49" s="193"/>
      <c r="DY49" s="193"/>
      <c r="HB49" s="193"/>
      <c r="HC49" s="193"/>
      <c r="HD49" s="193"/>
    </row>
    <row r="50" spans="2:212" ht="8.25" customHeight="1" x14ac:dyDescent="0.25">
      <c r="O50" s="214"/>
      <c r="P50" s="195"/>
      <c r="W50" s="193"/>
      <c r="X50" s="193"/>
      <c r="Y50" s="193"/>
      <c r="Z50" s="193"/>
      <c r="AA50" s="194"/>
      <c r="AB50" s="193"/>
      <c r="AC50" s="193"/>
      <c r="AD50" s="193"/>
      <c r="AE50" s="193"/>
      <c r="AF50" s="193"/>
      <c r="AG50" s="193"/>
      <c r="AH50" s="193"/>
      <c r="AI50" s="193"/>
      <c r="AJ50" s="193"/>
      <c r="AK50" s="194"/>
      <c r="AL50" s="196"/>
      <c r="AM50" s="196"/>
      <c r="AN50" s="196"/>
      <c r="AO50" s="196"/>
      <c r="AP50" s="196"/>
      <c r="AQ50" s="196"/>
      <c r="AR50" s="196"/>
      <c r="AS50" s="196"/>
      <c r="AT50" s="196"/>
      <c r="AU50" s="210"/>
      <c r="AV50" s="193"/>
      <c r="AW50" s="196"/>
      <c r="AX50" s="196"/>
      <c r="AY50" s="196"/>
      <c r="BT50" s="236"/>
      <c r="BU50" s="236"/>
      <c r="BV50" s="236"/>
      <c r="BW50" s="236"/>
      <c r="BX50" s="236"/>
      <c r="BY50" s="236"/>
      <c r="BZ50" s="236"/>
      <c r="CA50" s="236"/>
      <c r="CB50" s="236"/>
      <c r="CC50" s="236"/>
      <c r="CD50" s="236"/>
      <c r="CE50" s="236"/>
      <c r="CF50" s="236"/>
      <c r="CG50" s="236"/>
      <c r="CH50" s="236"/>
      <c r="CI50" s="236"/>
      <c r="CJ50" s="236"/>
      <c r="CK50" s="236"/>
      <c r="CL50" s="236"/>
      <c r="CM50" s="236"/>
      <c r="CN50" s="236"/>
      <c r="CO50" s="236"/>
      <c r="CP50" s="236"/>
      <c r="CQ50" s="236"/>
      <c r="CR50" s="193"/>
      <c r="CS50" s="193"/>
      <c r="CT50" s="193"/>
      <c r="CX50" s="235"/>
      <c r="CY50" s="212"/>
      <c r="DA50" s="236"/>
      <c r="DB50" s="236"/>
      <c r="DC50" s="236"/>
      <c r="DD50" s="236"/>
      <c r="DE50" s="236"/>
      <c r="DF50" s="236"/>
      <c r="DG50" s="236"/>
      <c r="DH50" s="236"/>
      <c r="DI50" s="236"/>
      <c r="DJ50" s="236"/>
      <c r="DK50" s="236"/>
      <c r="DL50" s="236"/>
      <c r="DM50" s="236"/>
      <c r="DN50" s="236"/>
      <c r="DO50" s="236"/>
      <c r="DP50" s="236"/>
      <c r="DQ50" s="236"/>
      <c r="DR50" s="236"/>
      <c r="DS50" s="236"/>
      <c r="DT50" s="236"/>
      <c r="DU50" s="236"/>
      <c r="DV50" s="236"/>
      <c r="DW50" s="236"/>
      <c r="DX50" s="236"/>
      <c r="DY50" s="236"/>
      <c r="HB50" s="193"/>
      <c r="HC50" s="193"/>
      <c r="HD50" s="193"/>
    </row>
    <row r="51" spans="2:212" ht="8.25" customHeight="1" x14ac:dyDescent="0.25">
      <c r="B51" s="193"/>
      <c r="O51" s="193"/>
      <c r="P51" s="193"/>
      <c r="Q51" s="193"/>
      <c r="U51" s="193"/>
      <c r="V51" s="193"/>
      <c r="W51" s="193"/>
      <c r="X51" s="193"/>
      <c r="Y51" s="193"/>
      <c r="Z51" s="193"/>
      <c r="AA51" s="194"/>
      <c r="AB51" s="193"/>
      <c r="AC51" s="193"/>
      <c r="AD51" s="193"/>
      <c r="AE51" s="193"/>
      <c r="AF51" s="193"/>
      <c r="AG51" s="193"/>
      <c r="AH51" s="193"/>
      <c r="AI51" s="193"/>
      <c r="AJ51" s="193"/>
      <c r="AK51" s="194"/>
      <c r="AL51" s="196"/>
      <c r="AM51" s="196"/>
      <c r="AN51" s="196"/>
      <c r="AO51" s="196"/>
      <c r="AP51" s="196"/>
      <c r="AQ51" s="196"/>
      <c r="AR51" s="196"/>
      <c r="AS51" s="160"/>
      <c r="AT51" s="160"/>
      <c r="AU51" s="215"/>
      <c r="BT51" s="236"/>
      <c r="BU51" s="236"/>
      <c r="BV51" s="236"/>
      <c r="BW51" s="236"/>
      <c r="BX51" s="236"/>
      <c r="BY51" s="236"/>
      <c r="BZ51" s="236"/>
      <c r="CA51" s="236"/>
      <c r="CB51" s="236"/>
      <c r="CC51" s="236"/>
      <c r="CD51" s="236"/>
      <c r="CE51" s="236"/>
      <c r="CF51" s="236"/>
      <c r="CG51" s="236"/>
      <c r="CH51" s="236"/>
      <c r="CI51" s="236"/>
      <c r="CJ51" s="236"/>
      <c r="CK51" s="236"/>
      <c r="CL51" s="236"/>
      <c r="CM51" s="236"/>
      <c r="CN51" s="236"/>
      <c r="CO51" s="236"/>
      <c r="CP51" s="236"/>
      <c r="CQ51" s="236"/>
      <c r="CR51" s="193"/>
      <c r="CS51" s="193"/>
      <c r="CT51" s="193"/>
      <c r="CX51" s="235"/>
      <c r="CY51" s="212"/>
      <c r="DA51" s="236"/>
      <c r="DB51" s="236"/>
      <c r="DC51" s="236"/>
      <c r="DD51" s="236"/>
      <c r="DE51" s="236"/>
      <c r="DF51" s="236"/>
      <c r="DG51" s="236"/>
      <c r="DH51" s="236"/>
      <c r="DI51" s="236"/>
      <c r="DJ51" s="236"/>
      <c r="DK51" s="236"/>
      <c r="DL51" s="236"/>
      <c r="DM51" s="236"/>
      <c r="DN51" s="236"/>
      <c r="DO51" s="236"/>
      <c r="DP51" s="236"/>
      <c r="DQ51" s="236"/>
      <c r="DR51" s="236"/>
      <c r="DS51" s="236"/>
      <c r="DT51" s="236"/>
      <c r="DU51" s="236"/>
      <c r="DV51" s="236"/>
      <c r="DW51" s="236"/>
      <c r="DX51" s="236"/>
      <c r="DY51" s="236"/>
      <c r="HB51" s="193"/>
      <c r="HC51" s="193"/>
      <c r="HD51" s="193"/>
    </row>
    <row r="52" spans="2:212" ht="8.25" customHeight="1" x14ac:dyDescent="0.25">
      <c r="P52" s="195"/>
      <c r="BT52" s="193"/>
      <c r="BU52" s="193"/>
      <c r="BV52" s="193"/>
      <c r="BW52" s="193"/>
      <c r="BX52" s="193"/>
      <c r="BY52" s="193"/>
      <c r="BZ52" s="193"/>
      <c r="CA52" s="193"/>
      <c r="CB52" s="194"/>
      <c r="CC52" s="193"/>
      <c r="CD52" s="193"/>
      <c r="CE52" s="193"/>
      <c r="CF52" s="193"/>
      <c r="CG52" s="193"/>
      <c r="CH52" s="193"/>
      <c r="CI52" s="193"/>
      <c r="CJ52" s="193"/>
      <c r="CK52" s="193"/>
      <c r="CL52" s="194"/>
      <c r="CM52" s="193"/>
      <c r="CN52" s="193"/>
      <c r="CO52" s="193"/>
      <c r="CP52" s="193"/>
      <c r="CQ52" s="193"/>
      <c r="CR52" s="193"/>
      <c r="CS52" s="193"/>
      <c r="CT52" s="193"/>
      <c r="CX52" s="193"/>
      <c r="CY52" s="193"/>
      <c r="DA52" s="193"/>
      <c r="DB52" s="193"/>
      <c r="DC52" s="193"/>
      <c r="DD52" s="193"/>
      <c r="DE52" s="193"/>
      <c r="DF52" s="193"/>
      <c r="DG52" s="193"/>
      <c r="DH52" s="193"/>
      <c r="DI52" s="194"/>
      <c r="DJ52" s="193"/>
      <c r="DK52" s="193"/>
      <c r="DL52" s="193"/>
      <c r="DM52" s="193"/>
      <c r="DN52" s="193"/>
      <c r="DO52" s="193"/>
      <c r="DP52" s="193"/>
      <c r="DQ52" s="193"/>
      <c r="DR52" s="193"/>
      <c r="DS52" s="194"/>
      <c r="DT52" s="193"/>
      <c r="DU52" s="193"/>
      <c r="DV52" s="193"/>
      <c r="DW52" s="193"/>
      <c r="DX52" s="193"/>
      <c r="DY52" s="193"/>
      <c r="HB52" s="193"/>
      <c r="HC52" s="193"/>
      <c r="HD52" s="193"/>
    </row>
    <row r="53" spans="2:212" ht="8.25" customHeight="1" x14ac:dyDescent="0.25">
      <c r="BT53" s="193"/>
      <c r="BU53" s="193"/>
      <c r="BV53" s="193"/>
      <c r="BW53" s="193"/>
      <c r="BX53" s="193"/>
      <c r="BY53" s="193"/>
      <c r="BZ53" s="193"/>
      <c r="CA53" s="193"/>
      <c r="CB53" s="194"/>
      <c r="CC53" s="193"/>
      <c r="CD53" s="193"/>
      <c r="CE53" s="193"/>
      <c r="CF53" s="193"/>
      <c r="CG53" s="193"/>
      <c r="CH53" s="193"/>
      <c r="CI53" s="193"/>
      <c r="CJ53" s="193"/>
      <c r="CK53" s="193"/>
      <c r="CL53" s="194"/>
      <c r="CM53" s="193"/>
      <c r="CN53" s="193"/>
      <c r="CO53" s="193"/>
      <c r="CP53" s="193"/>
      <c r="CQ53" s="193"/>
      <c r="CR53" s="193"/>
      <c r="CS53" s="193"/>
      <c r="CT53" s="193"/>
      <c r="CX53" s="193"/>
      <c r="CY53" s="193"/>
      <c r="DA53" s="193"/>
      <c r="DB53" s="193"/>
      <c r="DC53" s="193"/>
      <c r="DD53" s="193"/>
      <c r="DE53" s="193"/>
      <c r="DF53" s="193"/>
      <c r="DG53" s="193"/>
      <c r="DH53" s="193"/>
      <c r="DI53" s="194"/>
      <c r="DJ53" s="193"/>
      <c r="DK53" s="193"/>
      <c r="DL53" s="193"/>
      <c r="DM53" s="193"/>
      <c r="DN53" s="193"/>
      <c r="DO53" s="193"/>
      <c r="DP53" s="193"/>
      <c r="DQ53" s="193"/>
      <c r="DR53" s="193"/>
      <c r="DS53" s="194"/>
      <c r="DT53" s="193"/>
      <c r="DU53" s="193"/>
      <c r="DV53" s="193"/>
      <c r="DW53" s="193"/>
      <c r="DX53" s="193"/>
      <c r="DY53" s="193"/>
      <c r="HB53" s="193"/>
      <c r="HC53" s="193"/>
      <c r="HD53" s="193"/>
    </row>
    <row r="54" spans="2:212" ht="8.25" customHeight="1" x14ac:dyDescent="0.25">
      <c r="N54" s="349">
        <v>2</v>
      </c>
      <c r="O54" s="357" t="str">
        <f>IF(I27+I28=0,"",IF(I27&lt;I28,H23,H31))</f>
        <v>Berisha Fatlum</v>
      </c>
      <c r="P54" s="357"/>
      <c r="Q54" s="357"/>
      <c r="R54" s="357"/>
      <c r="S54" s="349">
        <v>6</v>
      </c>
      <c r="T54" s="357" t="str">
        <f>IF(G62+G63=0,"",IF(G62&lt;G63,F60,F64))</f>
        <v>Clausix Adam</v>
      </c>
      <c r="U54" s="357"/>
      <c r="V54" s="357"/>
      <c r="W54" s="357"/>
      <c r="BT54" s="193"/>
      <c r="BU54" s="193"/>
      <c r="BV54" s="193"/>
      <c r="BW54" s="193"/>
      <c r="BX54" s="193"/>
      <c r="BY54" s="193"/>
      <c r="BZ54" s="193"/>
      <c r="CA54" s="193"/>
      <c r="CB54" s="194"/>
      <c r="CC54" s="193"/>
      <c r="CD54" s="193"/>
      <c r="CE54" s="193"/>
      <c r="CF54" s="193"/>
      <c r="CG54" s="193"/>
      <c r="CH54" s="193"/>
      <c r="CI54" s="193"/>
      <c r="CJ54" s="193"/>
      <c r="CK54" s="193"/>
      <c r="CL54" s="194"/>
      <c r="CM54" s="193"/>
      <c r="CN54" s="193"/>
      <c r="CO54" s="193"/>
      <c r="CP54" s="193"/>
      <c r="CQ54" s="193"/>
      <c r="CR54" s="193"/>
      <c r="CS54" s="193"/>
      <c r="CT54" s="193"/>
      <c r="CX54" s="193"/>
      <c r="CY54" s="193"/>
      <c r="DA54" s="193"/>
      <c r="DB54" s="193"/>
      <c r="DC54" s="193"/>
      <c r="DD54" s="193"/>
      <c r="DE54" s="193"/>
      <c r="DF54" s="193"/>
      <c r="DG54" s="193"/>
      <c r="DH54" s="193"/>
      <c r="DI54" s="194"/>
      <c r="DJ54" s="193"/>
      <c r="DK54" s="193"/>
      <c r="DL54" s="193"/>
      <c r="DM54" s="193"/>
      <c r="DN54" s="193"/>
      <c r="DO54" s="193"/>
      <c r="DP54" s="193"/>
      <c r="DQ54" s="193"/>
      <c r="DR54" s="193"/>
      <c r="DS54" s="194"/>
      <c r="DT54" s="193"/>
      <c r="DU54" s="193"/>
      <c r="DV54" s="193"/>
      <c r="DW54" s="193"/>
      <c r="DX54" s="193"/>
      <c r="DY54" s="193"/>
      <c r="HB54" s="193"/>
      <c r="HC54" s="193"/>
      <c r="HD54" s="193"/>
    </row>
    <row r="55" spans="2:212" ht="8.25" customHeight="1" x14ac:dyDescent="0.25">
      <c r="D55" s="350" t="s">
        <v>337</v>
      </c>
      <c r="E55" s="350"/>
      <c r="F55" s="223"/>
      <c r="G55" s="223"/>
      <c r="H55" s="223"/>
      <c r="N55" s="349"/>
      <c r="O55" s="358"/>
      <c r="P55" s="358"/>
      <c r="Q55" s="358"/>
      <c r="R55" s="358"/>
      <c r="S55" s="349"/>
      <c r="T55" s="358"/>
      <c r="U55" s="358"/>
      <c r="V55" s="358"/>
      <c r="W55" s="358"/>
      <c r="Z55" s="195"/>
      <c r="AC55" s="223"/>
      <c r="AD55" s="223"/>
      <c r="AE55" s="223"/>
      <c r="AF55" s="223"/>
      <c r="AG55" s="223"/>
      <c r="AH55" s="223"/>
      <c r="AI55" s="223"/>
      <c r="AJ55" s="223"/>
      <c r="AK55" s="223"/>
      <c r="AL55" s="223"/>
      <c r="BT55" s="236"/>
      <c r="BU55" s="236"/>
      <c r="BV55" s="236"/>
      <c r="BW55" s="236"/>
      <c r="BX55" s="236"/>
      <c r="BY55" s="236"/>
      <c r="BZ55" s="236"/>
      <c r="CA55" s="236"/>
      <c r="CB55" s="236"/>
      <c r="CC55" s="236"/>
      <c r="CD55" s="236"/>
      <c r="CE55" s="236"/>
      <c r="CF55" s="236"/>
      <c r="CG55" s="236"/>
      <c r="CH55" s="236"/>
      <c r="CI55" s="236"/>
      <c r="CJ55" s="236"/>
      <c r="CK55" s="236"/>
      <c r="CL55" s="236"/>
      <c r="CM55" s="236"/>
      <c r="CN55" s="236"/>
      <c r="CO55" s="236"/>
      <c r="CP55" s="236"/>
      <c r="CQ55" s="236"/>
      <c r="CR55" s="193"/>
      <c r="CS55" s="193"/>
      <c r="CT55" s="193"/>
      <c r="CX55" s="235"/>
      <c r="CY55" s="212"/>
      <c r="DA55" s="236"/>
      <c r="DB55" s="236"/>
      <c r="DC55" s="236"/>
      <c r="DD55" s="236"/>
      <c r="DE55" s="236"/>
      <c r="DF55" s="236"/>
      <c r="DG55" s="236"/>
      <c r="DH55" s="236"/>
      <c r="DI55" s="236"/>
      <c r="DJ55" s="236"/>
      <c r="DK55" s="236"/>
      <c r="DL55" s="236"/>
      <c r="DM55" s="236"/>
      <c r="DN55" s="236"/>
      <c r="DO55" s="236"/>
      <c r="DP55" s="236"/>
      <c r="DQ55" s="236"/>
      <c r="DR55" s="236"/>
      <c r="DS55" s="236"/>
      <c r="DT55" s="236"/>
      <c r="DU55" s="236"/>
      <c r="DV55" s="236"/>
      <c r="DW55" s="236"/>
      <c r="DX55" s="236"/>
      <c r="DY55" s="236"/>
      <c r="HB55" s="193"/>
      <c r="HC55" s="193"/>
      <c r="HD55" s="193"/>
    </row>
    <row r="56" spans="2:212" ht="8.25" customHeight="1" x14ac:dyDescent="0.25">
      <c r="D56" s="350"/>
      <c r="E56" s="350"/>
      <c r="F56" s="223"/>
      <c r="G56" s="223"/>
      <c r="H56" s="223"/>
      <c r="Z56" s="195"/>
      <c r="AC56" s="223"/>
      <c r="AD56" s="223"/>
      <c r="AE56" s="223"/>
      <c r="AF56" s="223"/>
      <c r="AG56" s="223"/>
      <c r="AH56" s="223"/>
      <c r="AI56" s="223"/>
      <c r="AJ56" s="223"/>
      <c r="AK56" s="223"/>
      <c r="AL56" s="223"/>
      <c r="BT56" s="236"/>
      <c r="BU56" s="236"/>
      <c r="BV56" s="236"/>
      <c r="BW56" s="236"/>
      <c r="BX56" s="236"/>
      <c r="BY56" s="236"/>
      <c r="BZ56" s="236"/>
      <c r="CA56" s="236"/>
      <c r="CB56" s="236"/>
      <c r="CC56" s="236"/>
      <c r="CD56" s="236"/>
      <c r="CE56" s="236"/>
      <c r="CF56" s="236"/>
      <c r="CG56" s="236"/>
      <c r="CH56" s="236"/>
      <c r="CI56" s="236"/>
      <c r="CJ56" s="236"/>
      <c r="CK56" s="236"/>
      <c r="CL56" s="236"/>
      <c r="CM56" s="236"/>
      <c r="CN56" s="236"/>
      <c r="CO56" s="236"/>
      <c r="CP56" s="236"/>
      <c r="CQ56" s="236"/>
      <c r="CR56" s="193"/>
      <c r="CS56" s="193"/>
      <c r="CT56" s="193"/>
      <c r="CX56" s="235"/>
      <c r="CY56" s="212"/>
      <c r="DA56" s="236"/>
      <c r="DB56" s="236"/>
      <c r="DC56" s="236"/>
      <c r="DD56" s="236"/>
      <c r="DE56" s="236"/>
      <c r="DF56" s="236"/>
      <c r="DG56" s="236"/>
      <c r="DH56" s="236"/>
      <c r="DI56" s="236"/>
      <c r="DJ56" s="236"/>
      <c r="DK56" s="236"/>
      <c r="DL56" s="236"/>
      <c r="DM56" s="236"/>
      <c r="DN56" s="236"/>
      <c r="DO56" s="236"/>
      <c r="DP56" s="236"/>
      <c r="DQ56" s="236"/>
      <c r="DR56" s="236"/>
      <c r="DS56" s="236"/>
      <c r="DT56" s="236"/>
      <c r="DU56" s="236"/>
      <c r="DV56" s="236"/>
      <c r="DW56" s="236"/>
      <c r="DX56" s="236"/>
      <c r="DY56" s="236"/>
      <c r="HB56" s="193"/>
      <c r="HC56" s="193"/>
      <c r="HD56" s="193"/>
    </row>
    <row r="57" spans="2:212" ht="8.25" customHeight="1" x14ac:dyDescent="0.25">
      <c r="D57" s="223"/>
      <c r="E57" s="223"/>
      <c r="F57" s="223"/>
      <c r="G57" s="223"/>
      <c r="H57" s="223"/>
      <c r="Z57" s="195"/>
      <c r="AC57" s="223"/>
      <c r="AD57" s="223"/>
      <c r="AE57" s="223"/>
      <c r="AF57" s="223"/>
      <c r="AG57" s="223"/>
      <c r="AH57" s="223"/>
      <c r="AI57" s="223"/>
      <c r="AJ57" s="223"/>
      <c r="AK57" s="223"/>
      <c r="AL57" s="223"/>
      <c r="BT57" s="193"/>
      <c r="BU57" s="193"/>
      <c r="BV57" s="193"/>
      <c r="BW57" s="193"/>
      <c r="BX57" s="193"/>
      <c r="BY57" s="193"/>
      <c r="BZ57" s="193"/>
      <c r="CA57" s="193"/>
      <c r="CB57" s="194"/>
      <c r="CC57" s="193"/>
      <c r="CD57" s="193"/>
      <c r="CE57" s="193"/>
      <c r="CF57" s="193"/>
      <c r="CG57" s="193"/>
      <c r="CH57" s="193"/>
      <c r="CI57" s="193"/>
      <c r="CJ57" s="193"/>
      <c r="CK57" s="193"/>
      <c r="CL57" s="194"/>
      <c r="CM57" s="193"/>
      <c r="CN57" s="193"/>
      <c r="CO57" s="193"/>
      <c r="CP57" s="193"/>
      <c r="CQ57" s="193"/>
      <c r="CR57" s="193"/>
      <c r="CS57" s="193"/>
      <c r="CT57" s="193"/>
      <c r="CV57" s="193"/>
      <c r="CW57" s="193"/>
      <c r="CX57" s="193"/>
      <c r="CY57" s="193"/>
      <c r="DA57" s="193"/>
      <c r="DB57" s="193"/>
      <c r="DC57" s="193"/>
      <c r="DD57" s="193"/>
      <c r="DE57" s="193"/>
      <c r="DF57" s="193"/>
      <c r="DG57" s="193"/>
      <c r="DH57" s="193"/>
      <c r="DI57" s="194"/>
      <c r="DJ57" s="193"/>
      <c r="DK57" s="193"/>
      <c r="DL57" s="193"/>
      <c r="DM57" s="193"/>
      <c r="DN57" s="193"/>
      <c r="DO57" s="193"/>
      <c r="DP57" s="193"/>
      <c r="DQ57" s="193"/>
      <c r="DR57" s="193"/>
      <c r="DS57" s="194"/>
      <c r="DT57" s="193"/>
      <c r="DU57" s="193"/>
      <c r="DV57" s="193"/>
      <c r="DW57" s="193"/>
      <c r="DX57" s="193"/>
      <c r="DY57" s="193"/>
      <c r="HB57" s="193"/>
      <c r="HC57" s="193"/>
      <c r="HD57" s="193"/>
    </row>
    <row r="58" spans="2:212" ht="8.25" customHeight="1" x14ac:dyDescent="0.25">
      <c r="H58" s="193"/>
      <c r="Z58" s="195"/>
      <c r="BT58" s="193"/>
      <c r="BU58" s="193"/>
      <c r="BV58" s="193"/>
      <c r="BW58" s="193"/>
      <c r="BX58" s="193"/>
      <c r="BY58" s="193"/>
      <c r="BZ58" s="193"/>
      <c r="CA58" s="193"/>
      <c r="CB58" s="193"/>
      <c r="CC58" s="193"/>
      <c r="CD58" s="193"/>
      <c r="CE58" s="193"/>
      <c r="CF58" s="193"/>
      <c r="CG58" s="193"/>
      <c r="CH58" s="193"/>
      <c r="CI58" s="193"/>
      <c r="CJ58" s="193"/>
      <c r="CK58" s="193"/>
      <c r="CL58" s="193"/>
      <c r="CM58" s="193"/>
      <c r="CN58" s="193"/>
      <c r="CO58" s="193"/>
      <c r="CP58" s="193"/>
      <c r="CQ58" s="193"/>
      <c r="CR58" s="193"/>
      <c r="CS58" s="193"/>
      <c r="CT58" s="193"/>
      <c r="CW58" s="193"/>
      <c r="CX58" s="193"/>
      <c r="CY58" s="193"/>
      <c r="CZ58" s="193"/>
      <c r="DA58" s="193"/>
      <c r="DB58" s="194"/>
      <c r="DC58" s="193"/>
      <c r="DD58" s="193"/>
      <c r="DE58" s="193"/>
      <c r="DF58" s="193"/>
      <c r="DG58" s="193"/>
      <c r="DH58" s="193"/>
      <c r="DI58" s="193"/>
      <c r="DJ58" s="193"/>
      <c r="DK58" s="193"/>
      <c r="DL58" s="194"/>
      <c r="DM58" s="193"/>
      <c r="DN58" s="193"/>
      <c r="DO58" s="193"/>
      <c r="DP58" s="193"/>
      <c r="DQ58" s="193"/>
      <c r="DR58" s="193"/>
      <c r="DS58" s="193"/>
      <c r="DT58" s="194"/>
      <c r="DU58" s="193"/>
      <c r="DV58" s="193"/>
      <c r="DW58" s="193"/>
      <c r="DX58" s="193"/>
      <c r="DY58" s="193"/>
      <c r="HB58" s="193"/>
      <c r="HC58" s="193"/>
      <c r="HD58" s="193"/>
    </row>
    <row r="59" spans="2:212" ht="8.25" customHeight="1" x14ac:dyDescent="0.15">
      <c r="D59" s="224" t="str">
        <f>IF(E21+E22=0,"",IF(E21&lt;E22,D20,D22))</f>
        <v>Derivaz Valentin</v>
      </c>
      <c r="E59" s="224"/>
      <c r="F59" s="229"/>
      <c r="G59" s="229"/>
      <c r="H59" s="229"/>
      <c r="Z59" s="195"/>
      <c r="AC59" s="194"/>
      <c r="AD59" s="193"/>
      <c r="AE59" s="193"/>
      <c r="AF59" s="193"/>
      <c r="AG59" s="193"/>
      <c r="AH59" s="193"/>
      <c r="AI59" s="193"/>
      <c r="AJ59" s="193"/>
      <c r="AK59" s="196"/>
      <c r="AL59" s="196"/>
      <c r="AM59" s="210"/>
      <c r="AN59" s="196"/>
      <c r="AO59" s="196"/>
      <c r="AP59" s="196"/>
      <c r="AQ59" s="196"/>
      <c r="AR59" s="196"/>
      <c r="AS59" s="196"/>
      <c r="AT59" s="196"/>
      <c r="CW59" s="193"/>
      <c r="CX59" s="193"/>
      <c r="CY59" s="193"/>
      <c r="CZ59" s="193"/>
      <c r="DA59" s="193"/>
      <c r="DB59" s="194"/>
      <c r="DC59" s="193"/>
      <c r="DD59" s="193"/>
      <c r="DE59" s="193"/>
      <c r="DF59" s="193"/>
      <c r="DG59" s="193"/>
      <c r="DH59" s="193"/>
      <c r="DI59" s="193"/>
      <c r="DJ59" s="193"/>
      <c r="DK59" s="193"/>
      <c r="DL59" s="194"/>
      <c r="DM59" s="193"/>
      <c r="DN59" s="193"/>
      <c r="DO59" s="193"/>
      <c r="DP59" s="193"/>
      <c r="DQ59" s="193"/>
      <c r="DR59" s="193"/>
      <c r="DS59" s="193"/>
      <c r="DT59" s="194"/>
      <c r="DU59" s="193"/>
      <c r="DV59" s="193"/>
      <c r="DW59" s="193"/>
      <c r="DX59" s="193"/>
      <c r="DY59" s="193"/>
      <c r="HB59" s="193"/>
      <c r="HC59" s="193"/>
      <c r="HD59" s="193"/>
    </row>
    <row r="60" spans="2:212" ht="8.25" customHeight="1" x14ac:dyDescent="0.15">
      <c r="D60" s="203"/>
      <c r="E60" s="204"/>
      <c r="F60" s="225" t="str">
        <f>IF(E60+E61=0,"",IF(E60&gt;E61,D59,D61))</f>
        <v>Clausix Adam</v>
      </c>
      <c r="G60" s="229"/>
      <c r="H60" s="229"/>
      <c r="Z60" s="195"/>
      <c r="AD60" s="229"/>
      <c r="AE60" s="229"/>
      <c r="AF60" s="229"/>
      <c r="AG60" s="229"/>
      <c r="AH60" s="229"/>
      <c r="AI60" s="229"/>
      <c r="AJ60" s="229"/>
      <c r="AK60" s="194"/>
      <c r="AL60" s="193"/>
      <c r="AM60" s="193"/>
      <c r="AN60" s="193"/>
      <c r="AO60" s="193"/>
      <c r="AP60" s="193"/>
      <c r="AQ60" s="193"/>
      <c r="AR60" s="193"/>
      <c r="AS60" s="193"/>
      <c r="AT60" s="193"/>
      <c r="AU60" s="193"/>
      <c r="CW60" s="235"/>
      <c r="CX60" s="235"/>
      <c r="CY60" s="235"/>
      <c r="CZ60" s="212"/>
      <c r="DA60" s="236"/>
      <c r="DB60" s="236"/>
      <c r="DC60" s="236"/>
      <c r="DD60" s="236"/>
      <c r="DE60" s="236"/>
      <c r="DF60" s="236"/>
      <c r="DG60" s="236"/>
      <c r="DH60" s="236"/>
      <c r="DI60" s="236"/>
      <c r="DJ60" s="236"/>
      <c r="DK60" s="236"/>
      <c r="DL60" s="236"/>
      <c r="DM60" s="236"/>
      <c r="DN60" s="236"/>
      <c r="DO60" s="236"/>
      <c r="DP60" s="236"/>
      <c r="DQ60" s="236"/>
      <c r="DR60" s="236"/>
      <c r="DS60" s="236"/>
      <c r="DT60" s="236"/>
      <c r="DU60" s="236"/>
      <c r="DV60" s="236"/>
      <c r="DW60" s="236"/>
      <c r="DX60" s="236"/>
      <c r="DY60" s="236"/>
      <c r="HB60" s="193"/>
      <c r="HC60" s="193"/>
      <c r="HD60" s="193"/>
    </row>
    <row r="61" spans="2:212" ht="8.25" customHeight="1" x14ac:dyDescent="0.15">
      <c r="D61" s="224" t="str">
        <f>IF(E25+E26=0,"",IF(E25&lt;E26,D24,D26))</f>
        <v>Clausix Adam</v>
      </c>
      <c r="E61" s="204">
        <v>1</v>
      </c>
      <c r="F61" s="193"/>
      <c r="G61" s="206"/>
      <c r="H61" s="193"/>
      <c r="Z61" s="195"/>
      <c r="AD61" s="193"/>
      <c r="AE61" s="193"/>
      <c r="AF61" s="193"/>
      <c r="AG61" s="193"/>
      <c r="AH61" s="193"/>
      <c r="AI61" s="214"/>
      <c r="AJ61" s="214"/>
      <c r="AK61" s="193"/>
      <c r="AL61" s="193"/>
      <c r="AM61" s="229"/>
      <c r="AN61" s="229"/>
      <c r="AO61" s="229"/>
      <c r="AP61" s="229"/>
      <c r="AQ61" s="229"/>
      <c r="AR61" s="229"/>
      <c r="AS61" s="229"/>
      <c r="AT61" s="229"/>
      <c r="AU61" s="193"/>
      <c r="CW61" s="235"/>
      <c r="CX61" s="235"/>
      <c r="CY61" s="235"/>
      <c r="CZ61" s="212"/>
      <c r="DA61" s="236"/>
      <c r="DB61" s="236"/>
      <c r="DC61" s="236"/>
      <c r="DD61" s="236"/>
      <c r="DE61" s="236"/>
      <c r="DF61" s="236"/>
      <c r="DG61" s="236"/>
      <c r="DH61" s="236"/>
      <c r="DI61" s="236"/>
      <c r="DJ61" s="236"/>
      <c r="DK61" s="236"/>
      <c r="DL61" s="236"/>
      <c r="DM61" s="236"/>
      <c r="DN61" s="236"/>
      <c r="DO61" s="236"/>
      <c r="DP61" s="236"/>
      <c r="DQ61" s="236"/>
      <c r="DR61" s="236"/>
      <c r="DS61" s="236"/>
      <c r="DT61" s="236"/>
      <c r="DU61" s="236"/>
      <c r="DV61" s="236"/>
      <c r="DW61" s="236"/>
      <c r="DX61" s="236"/>
      <c r="DY61" s="236"/>
      <c r="DZ61" s="194"/>
      <c r="EA61" s="193"/>
      <c r="HB61" s="193"/>
      <c r="HC61" s="193"/>
      <c r="HD61" s="193"/>
    </row>
    <row r="62" spans="2:212" ht="8.25" customHeight="1" x14ac:dyDescent="0.15">
      <c r="D62" s="203"/>
      <c r="E62" s="194"/>
      <c r="F62" s="193"/>
      <c r="G62" s="204"/>
      <c r="H62" s="226" t="str">
        <f>IF(G62+G63=0,"",IF(G62&gt;G63,F60,F64))</f>
        <v>Debons Elie</v>
      </c>
      <c r="Z62" s="195"/>
      <c r="AD62" s="229"/>
      <c r="AE62" s="229"/>
      <c r="AF62" s="229"/>
      <c r="AG62" s="229"/>
      <c r="AH62" s="229"/>
      <c r="AI62" s="214"/>
      <c r="AJ62" s="214"/>
      <c r="AK62" s="193"/>
      <c r="AL62" s="193"/>
      <c r="AM62" s="193"/>
      <c r="AN62" s="193"/>
      <c r="AO62" s="193"/>
      <c r="AP62" s="193"/>
      <c r="AQ62" s="193"/>
      <c r="AR62" s="193"/>
      <c r="AS62" s="193"/>
      <c r="AT62" s="193"/>
      <c r="AU62" s="193"/>
      <c r="CW62" s="193"/>
      <c r="CX62" s="193"/>
      <c r="CY62" s="193"/>
      <c r="CZ62" s="193"/>
      <c r="DA62" s="193"/>
      <c r="DB62" s="194"/>
      <c r="DC62" s="193"/>
      <c r="DD62" s="193"/>
      <c r="DE62" s="193"/>
      <c r="DF62" s="193"/>
      <c r="DG62" s="193"/>
      <c r="DH62" s="193"/>
      <c r="DI62" s="193"/>
      <c r="DJ62" s="193"/>
      <c r="DK62" s="193"/>
      <c r="DL62" s="194"/>
      <c r="DM62" s="193"/>
      <c r="DN62" s="193"/>
      <c r="DO62" s="193"/>
      <c r="DP62" s="193"/>
      <c r="DQ62" s="193"/>
      <c r="DR62" s="193"/>
      <c r="DS62" s="193"/>
      <c r="DT62" s="194"/>
      <c r="DU62" s="193"/>
      <c r="DV62" s="193"/>
      <c r="DW62" s="193"/>
      <c r="DX62" s="193"/>
      <c r="DY62" s="193"/>
      <c r="DZ62" s="196"/>
      <c r="EA62" s="196"/>
      <c r="HB62" s="193"/>
      <c r="HC62" s="193"/>
      <c r="HD62" s="193"/>
    </row>
    <row r="63" spans="2:212" ht="8.25" customHeight="1" x14ac:dyDescent="0.15">
      <c r="D63" s="224" t="str">
        <f>IF(E29+E30=0,"",IF(E29&lt;E30,D28,D30))</f>
        <v>Clerc Manon</v>
      </c>
      <c r="E63" s="194"/>
      <c r="F63" s="193"/>
      <c r="G63" s="204">
        <v>1</v>
      </c>
      <c r="H63" s="193"/>
      <c r="Z63" s="195"/>
      <c r="AD63" s="196"/>
      <c r="AE63" s="196"/>
      <c r="AF63" s="196"/>
      <c r="AG63" s="196"/>
      <c r="AH63" s="196"/>
      <c r="AI63" s="196"/>
      <c r="AJ63" s="196"/>
      <c r="AK63" s="193"/>
      <c r="AL63" s="193"/>
      <c r="AM63" s="196"/>
      <c r="AN63" s="196"/>
      <c r="AO63" s="196"/>
      <c r="AP63" s="196"/>
      <c r="AQ63" s="196"/>
      <c r="AR63" s="196"/>
      <c r="AS63" s="210"/>
      <c r="AT63" s="210"/>
      <c r="AU63" s="193"/>
      <c r="BM63" s="193"/>
      <c r="CW63" s="193"/>
      <c r="CX63" s="193"/>
      <c r="CY63" s="193"/>
      <c r="CZ63" s="193"/>
      <c r="DA63" s="193"/>
      <c r="DB63" s="194"/>
      <c r="DC63" s="193"/>
      <c r="DD63" s="193"/>
      <c r="DE63" s="193"/>
      <c r="DF63" s="193"/>
      <c r="DG63" s="193"/>
      <c r="DH63" s="193"/>
      <c r="DI63" s="193"/>
      <c r="DJ63" s="193"/>
      <c r="DK63" s="193"/>
      <c r="DL63" s="194"/>
      <c r="DM63" s="193"/>
      <c r="DN63" s="193"/>
      <c r="DO63" s="193"/>
      <c r="DP63" s="193"/>
      <c r="DQ63" s="193"/>
      <c r="DR63" s="193"/>
      <c r="DS63" s="193"/>
      <c r="DT63" s="194"/>
      <c r="DU63" s="193"/>
      <c r="DV63" s="193"/>
      <c r="DW63" s="193"/>
      <c r="DX63" s="193"/>
      <c r="DY63" s="193"/>
      <c r="DZ63" s="216"/>
      <c r="EA63" s="216"/>
      <c r="HB63" s="193"/>
      <c r="HC63" s="193"/>
      <c r="HD63" s="193"/>
    </row>
    <row r="64" spans="2:212" ht="8.25" customHeight="1" x14ac:dyDescent="0.15">
      <c r="D64" s="203"/>
      <c r="E64" s="204"/>
      <c r="F64" s="225" t="str">
        <f>IF(E64+E65=0,"",IF(E64&gt;E65,D63,D65))</f>
        <v>Debons Elie</v>
      </c>
      <c r="G64" s="206"/>
      <c r="H64" s="193"/>
      <c r="N64" s="349">
        <v>3</v>
      </c>
      <c r="O64" s="357" t="str">
        <f>IF(I45+I46=0,"",IF(I45&gt;I46,H44,H46))</f>
        <v>Bellon Antoine</v>
      </c>
      <c r="P64" s="357"/>
      <c r="Q64" s="357"/>
      <c r="R64" s="357"/>
      <c r="S64" s="349">
        <v>7</v>
      </c>
      <c r="T64" s="357" t="str">
        <f>IF(I78+I79=0,"",IF(I78&gt;I79,H77,H79))</f>
        <v>Derivaz Valentin</v>
      </c>
      <c r="U64" s="357"/>
      <c r="V64" s="357"/>
      <c r="W64" s="357"/>
      <c r="AD64" s="193"/>
      <c r="AE64" s="193"/>
      <c r="AF64" s="193"/>
      <c r="AG64" s="193"/>
      <c r="AH64" s="193"/>
      <c r="AI64" s="193"/>
      <c r="AJ64" s="194"/>
      <c r="AK64" s="193"/>
      <c r="AL64" s="193"/>
      <c r="AM64" s="193"/>
      <c r="AN64" s="193"/>
      <c r="AO64" s="193"/>
      <c r="AP64" s="193"/>
      <c r="AQ64" s="193"/>
      <c r="AR64" s="193"/>
      <c r="AS64" s="193"/>
      <c r="AT64" s="194"/>
      <c r="AU64" s="193"/>
      <c r="BM64" s="193"/>
      <c r="CW64" s="193"/>
      <c r="CX64" s="193"/>
      <c r="CY64" s="193"/>
      <c r="CZ64" s="193"/>
      <c r="DA64" s="193"/>
      <c r="DB64" s="194"/>
      <c r="DC64" s="193"/>
      <c r="DD64" s="193"/>
      <c r="DE64" s="193"/>
      <c r="DF64" s="193"/>
      <c r="DG64" s="193"/>
      <c r="DH64" s="193"/>
      <c r="DI64" s="193"/>
      <c r="DJ64" s="193"/>
      <c r="DK64" s="193"/>
      <c r="DL64" s="194"/>
      <c r="DM64" s="193"/>
      <c r="DN64" s="193"/>
      <c r="DO64" s="193"/>
      <c r="DP64" s="193"/>
      <c r="DQ64" s="193"/>
      <c r="DR64" s="193"/>
      <c r="DS64" s="193"/>
      <c r="DT64" s="194"/>
      <c r="DU64" s="193"/>
      <c r="DV64" s="193"/>
      <c r="DW64" s="193"/>
      <c r="DX64" s="193"/>
      <c r="DY64" s="193"/>
      <c r="DZ64" s="216"/>
      <c r="EA64" s="216"/>
      <c r="HB64" s="193"/>
      <c r="HC64" s="193"/>
      <c r="HD64" s="193"/>
    </row>
    <row r="65" spans="1:212" ht="8.25" customHeight="1" x14ac:dyDescent="0.15">
      <c r="D65" s="224" t="str">
        <f>IF(E33+E34=0,"",IF(E33&lt;E34,D32,D34))</f>
        <v>Debons Elie</v>
      </c>
      <c r="E65" s="204">
        <v>1</v>
      </c>
      <c r="F65" s="193"/>
      <c r="G65" s="193"/>
      <c r="H65" s="193"/>
      <c r="N65" s="349"/>
      <c r="O65" s="358"/>
      <c r="P65" s="358"/>
      <c r="Q65" s="358"/>
      <c r="R65" s="358"/>
      <c r="S65" s="349"/>
      <c r="T65" s="358"/>
      <c r="U65" s="358"/>
      <c r="V65" s="358"/>
      <c r="W65" s="358"/>
      <c r="BM65" s="193"/>
      <c r="CW65" s="235"/>
      <c r="CX65" s="235"/>
      <c r="CY65" s="235"/>
      <c r="CZ65" s="212"/>
      <c r="DA65" s="236"/>
      <c r="DB65" s="236"/>
      <c r="DC65" s="236"/>
      <c r="DD65" s="236"/>
      <c r="DE65" s="236"/>
      <c r="DF65" s="236"/>
      <c r="DG65" s="236"/>
      <c r="DH65" s="236"/>
      <c r="DI65" s="236"/>
      <c r="DJ65" s="236"/>
      <c r="DK65" s="236"/>
      <c r="DL65" s="236"/>
      <c r="DM65" s="236"/>
      <c r="DN65" s="236"/>
      <c r="DO65" s="236"/>
      <c r="DP65" s="236"/>
      <c r="DQ65" s="236"/>
      <c r="DR65" s="236"/>
      <c r="DS65" s="236"/>
      <c r="DT65" s="236"/>
      <c r="DU65" s="236"/>
      <c r="DV65" s="236"/>
      <c r="DW65" s="236"/>
      <c r="DX65" s="236"/>
      <c r="DY65" s="236"/>
      <c r="DZ65" s="196"/>
      <c r="EA65" s="196"/>
      <c r="HB65" s="193"/>
      <c r="HC65" s="193"/>
      <c r="HD65" s="193"/>
    </row>
    <row r="66" spans="1:212" ht="8.25" customHeight="1" x14ac:dyDescent="0.25">
      <c r="F66" s="203"/>
      <c r="G66" s="193"/>
      <c r="H66" s="193"/>
      <c r="BM66" s="193"/>
      <c r="CW66" s="235"/>
      <c r="CX66" s="235"/>
      <c r="CY66" s="235"/>
      <c r="CZ66" s="212"/>
      <c r="DA66" s="236"/>
      <c r="DB66" s="236"/>
      <c r="DC66" s="236"/>
      <c r="DD66" s="236"/>
      <c r="DE66" s="236"/>
      <c r="DF66" s="236"/>
      <c r="DG66" s="236"/>
      <c r="DH66" s="236"/>
      <c r="DI66" s="236"/>
      <c r="DJ66" s="236"/>
      <c r="DK66" s="236"/>
      <c r="DL66" s="236"/>
      <c r="DM66" s="236"/>
      <c r="DN66" s="236"/>
      <c r="DO66" s="236"/>
      <c r="DP66" s="236"/>
      <c r="DQ66" s="236"/>
      <c r="DR66" s="236"/>
      <c r="DS66" s="236"/>
      <c r="DT66" s="236"/>
      <c r="DU66" s="236"/>
      <c r="DV66" s="236"/>
      <c r="DW66" s="236"/>
      <c r="DX66" s="236"/>
      <c r="DY66" s="236"/>
      <c r="DZ66" s="196"/>
      <c r="EA66" s="196"/>
      <c r="HB66" s="193"/>
      <c r="HC66" s="193"/>
      <c r="HD66" s="193"/>
    </row>
    <row r="67" spans="1:212" ht="8.25" customHeight="1" x14ac:dyDescent="0.25">
      <c r="BL67" s="193"/>
      <c r="BM67" s="193"/>
      <c r="CW67" s="193"/>
      <c r="CX67" s="193"/>
      <c r="CY67" s="193"/>
      <c r="CZ67" s="193"/>
      <c r="DA67" s="193"/>
      <c r="DB67" s="194"/>
      <c r="DC67" s="193"/>
      <c r="DD67" s="193"/>
      <c r="DE67" s="193"/>
      <c r="DF67" s="193"/>
      <c r="DG67" s="193"/>
      <c r="DH67" s="193"/>
      <c r="DI67" s="193"/>
      <c r="DJ67" s="193"/>
      <c r="DK67" s="193"/>
      <c r="DL67" s="194"/>
      <c r="DM67" s="193"/>
      <c r="DN67" s="193"/>
      <c r="DO67" s="193"/>
      <c r="DP67" s="193"/>
      <c r="DQ67" s="193"/>
      <c r="DR67" s="193"/>
      <c r="DS67" s="193"/>
      <c r="DT67" s="194"/>
      <c r="DU67" s="193"/>
      <c r="DV67" s="193"/>
      <c r="DW67" s="193"/>
      <c r="DX67" s="193"/>
      <c r="DY67" s="193"/>
      <c r="DZ67" s="196"/>
      <c r="EA67" s="196"/>
      <c r="HB67" s="193"/>
      <c r="HC67" s="193"/>
      <c r="HD67" s="193"/>
    </row>
    <row r="68" spans="1:212" ht="8.25" customHeight="1" x14ac:dyDescent="0.25">
      <c r="A68" s="193"/>
      <c r="BM68" s="193"/>
      <c r="CW68" s="193"/>
      <c r="CX68" s="193"/>
      <c r="CY68" s="193"/>
      <c r="CZ68" s="193"/>
      <c r="DA68" s="193"/>
      <c r="DB68" s="194"/>
      <c r="DC68" s="193"/>
      <c r="DD68" s="193"/>
      <c r="DE68" s="193"/>
      <c r="DF68" s="193"/>
      <c r="DG68" s="193"/>
      <c r="DH68" s="193"/>
      <c r="DI68" s="193"/>
      <c r="DJ68" s="193"/>
      <c r="DK68" s="193"/>
      <c r="DL68" s="194"/>
      <c r="DM68" s="193"/>
      <c r="DN68" s="193"/>
      <c r="DO68" s="193"/>
      <c r="DP68" s="193"/>
      <c r="DQ68" s="193"/>
      <c r="DR68" s="193"/>
      <c r="DS68" s="193"/>
      <c r="DT68" s="194"/>
      <c r="DU68" s="193"/>
      <c r="DV68" s="193"/>
      <c r="DW68" s="193"/>
      <c r="DX68" s="193"/>
      <c r="DY68" s="193"/>
      <c r="DZ68" s="216"/>
      <c r="EA68" s="216"/>
      <c r="HB68" s="193"/>
      <c r="HC68" s="193"/>
      <c r="HD68" s="193"/>
    </row>
    <row r="69" spans="1:212" ht="8.25" customHeight="1" x14ac:dyDescent="0.25">
      <c r="A69" s="193"/>
      <c r="BM69" s="193"/>
      <c r="CW69" s="193"/>
      <c r="CX69" s="193"/>
      <c r="CY69" s="193"/>
      <c r="CZ69" s="193"/>
      <c r="DA69" s="193"/>
      <c r="DB69" s="194"/>
      <c r="DC69" s="193"/>
      <c r="DD69" s="193"/>
      <c r="DE69" s="193"/>
      <c r="DF69" s="193"/>
      <c r="DG69" s="193"/>
      <c r="DH69" s="193"/>
      <c r="DI69" s="193"/>
      <c r="DJ69" s="193"/>
      <c r="DK69" s="193"/>
      <c r="DL69" s="194"/>
      <c r="DM69" s="193"/>
      <c r="DN69" s="193"/>
      <c r="DO69" s="193"/>
      <c r="DP69" s="193"/>
      <c r="DQ69" s="193"/>
      <c r="DR69" s="193"/>
      <c r="DS69" s="193"/>
      <c r="DT69" s="194"/>
      <c r="DU69" s="193"/>
      <c r="DV69" s="193"/>
      <c r="DW69" s="193"/>
      <c r="DX69" s="193"/>
      <c r="DY69" s="193"/>
      <c r="DZ69" s="216"/>
      <c r="EA69" s="216"/>
      <c r="HB69" s="193"/>
      <c r="HC69" s="193"/>
      <c r="HD69" s="193"/>
    </row>
    <row r="70" spans="1:212" ht="8.25" customHeight="1" x14ac:dyDescent="0.25">
      <c r="A70" s="193"/>
      <c r="C70" s="223"/>
      <c r="I70" s="223"/>
      <c r="J70" s="223"/>
      <c r="K70" s="223"/>
      <c r="L70" s="223"/>
      <c r="M70" s="223"/>
      <c r="N70" s="223"/>
      <c r="O70" s="223"/>
      <c r="P70" s="223"/>
      <c r="Q70" s="223"/>
      <c r="R70" s="223"/>
      <c r="AQ70" s="223"/>
      <c r="AT70" s="195"/>
      <c r="BA70" s="223"/>
      <c r="BB70" s="223"/>
      <c r="BC70" s="223"/>
      <c r="BD70" s="223"/>
      <c r="BE70" s="223"/>
      <c r="BM70" s="193"/>
      <c r="CW70" s="235"/>
      <c r="CX70" s="235"/>
      <c r="CY70" s="235"/>
      <c r="CZ70" s="212"/>
      <c r="DA70" s="236"/>
      <c r="DB70" s="236"/>
      <c r="DC70" s="236"/>
      <c r="DD70" s="236"/>
      <c r="DE70" s="236"/>
      <c r="DF70" s="236"/>
      <c r="DG70" s="236"/>
      <c r="DH70" s="236"/>
      <c r="DI70" s="236"/>
      <c r="DJ70" s="236"/>
      <c r="DK70" s="236"/>
      <c r="DL70" s="236"/>
      <c r="DM70" s="236"/>
      <c r="DN70" s="236"/>
      <c r="DO70" s="236"/>
      <c r="DP70" s="236"/>
      <c r="DQ70" s="236"/>
      <c r="DR70" s="236"/>
      <c r="DS70" s="236"/>
      <c r="DT70" s="236"/>
      <c r="DU70" s="236"/>
      <c r="DV70" s="236"/>
      <c r="DW70" s="236"/>
      <c r="DX70" s="236"/>
      <c r="DY70" s="236"/>
      <c r="DZ70" s="196"/>
      <c r="EA70" s="196"/>
      <c r="HB70" s="193"/>
      <c r="HC70" s="193"/>
      <c r="HD70" s="193"/>
    </row>
    <row r="71" spans="1:212" ht="8.25" customHeight="1" x14ac:dyDescent="0.25">
      <c r="A71" s="193"/>
      <c r="B71" s="223"/>
      <c r="C71" s="223"/>
      <c r="I71" s="223"/>
      <c r="J71" s="223"/>
      <c r="K71" s="223"/>
      <c r="L71" s="223"/>
      <c r="M71" s="223"/>
      <c r="N71" s="223"/>
      <c r="O71" s="223"/>
      <c r="P71" s="223"/>
      <c r="Q71" s="223"/>
      <c r="R71" s="223"/>
      <c r="AP71" s="223"/>
      <c r="AQ71" s="223"/>
      <c r="AT71" s="195"/>
      <c r="BA71" s="223"/>
      <c r="BB71" s="223"/>
      <c r="BC71" s="223"/>
      <c r="BD71" s="223"/>
      <c r="BE71" s="223"/>
      <c r="BM71" s="193"/>
      <c r="CW71" s="235"/>
      <c r="CX71" s="235"/>
      <c r="CY71" s="235"/>
      <c r="CZ71" s="212"/>
      <c r="DA71" s="236"/>
      <c r="DB71" s="236"/>
      <c r="DC71" s="236"/>
      <c r="DD71" s="236"/>
      <c r="DE71" s="236"/>
      <c r="DF71" s="236"/>
      <c r="DG71" s="236"/>
      <c r="DH71" s="236"/>
      <c r="DI71" s="236"/>
      <c r="DJ71" s="236"/>
      <c r="DK71" s="236"/>
      <c r="DL71" s="236"/>
      <c r="DM71" s="236"/>
      <c r="DN71" s="236"/>
      <c r="DO71" s="236"/>
      <c r="DP71" s="236"/>
      <c r="DQ71" s="236"/>
      <c r="DR71" s="236"/>
      <c r="DS71" s="236"/>
      <c r="DT71" s="236"/>
      <c r="DU71" s="236"/>
      <c r="DV71" s="236"/>
      <c r="DW71" s="236"/>
      <c r="DX71" s="236"/>
      <c r="DY71" s="236"/>
      <c r="DZ71" s="196"/>
      <c r="EA71" s="196"/>
      <c r="HB71" s="193"/>
      <c r="HC71" s="193"/>
      <c r="HD71" s="193"/>
    </row>
    <row r="72" spans="1:212" ht="8.25" customHeight="1" x14ac:dyDescent="0.25">
      <c r="A72" s="193"/>
      <c r="B72" s="223"/>
      <c r="C72" s="223"/>
      <c r="L72" s="223"/>
      <c r="M72" s="223"/>
      <c r="N72" s="223"/>
      <c r="O72" s="223"/>
      <c r="P72" s="223"/>
      <c r="Q72" s="223"/>
      <c r="R72" s="223"/>
      <c r="AP72" s="223"/>
      <c r="AQ72" s="223"/>
      <c r="AT72" s="195"/>
      <c r="BA72" s="223"/>
      <c r="BB72" s="223"/>
      <c r="BC72" s="223"/>
      <c r="BD72" s="223"/>
      <c r="BE72" s="223"/>
      <c r="BF72" s="196"/>
      <c r="BG72" s="196"/>
      <c r="BH72" s="193"/>
      <c r="BI72" s="193"/>
      <c r="BJ72" s="193"/>
      <c r="BK72" s="193"/>
      <c r="BM72" s="193"/>
      <c r="CR72" s="193"/>
      <c r="CS72" s="193"/>
      <c r="CT72" s="193"/>
      <c r="CU72" s="193"/>
      <c r="CV72" s="194"/>
      <c r="CW72" s="193"/>
      <c r="CX72" s="193"/>
      <c r="CY72" s="196"/>
      <c r="CZ72" s="196"/>
      <c r="DA72" s="196"/>
      <c r="DB72" s="196"/>
      <c r="DC72" s="193"/>
      <c r="DD72" s="193"/>
      <c r="DE72" s="193"/>
      <c r="DF72" s="193"/>
      <c r="DG72" s="193"/>
      <c r="DH72" s="193"/>
      <c r="DI72" s="193"/>
      <c r="DJ72" s="193"/>
      <c r="DK72" s="193"/>
      <c r="DL72" s="193"/>
      <c r="DM72" s="193"/>
      <c r="DN72" s="193"/>
      <c r="DO72" s="193"/>
      <c r="DP72" s="194"/>
      <c r="DQ72" s="193"/>
      <c r="DR72" s="193"/>
      <c r="DS72" s="193"/>
      <c r="DT72" s="193"/>
      <c r="DU72" s="193"/>
      <c r="DV72" s="193"/>
      <c r="DW72" s="193"/>
      <c r="DX72" s="193"/>
      <c r="DY72" s="193"/>
      <c r="DZ72" s="196"/>
      <c r="EA72" s="196"/>
      <c r="HB72" s="193"/>
      <c r="HC72" s="193"/>
      <c r="HD72" s="193"/>
    </row>
    <row r="73" spans="1:212" ht="8.25" customHeight="1" x14ac:dyDescent="0.25">
      <c r="A73" s="193"/>
      <c r="H73" s="350" t="s">
        <v>323</v>
      </c>
      <c r="I73" s="350"/>
      <c r="J73" s="223"/>
      <c r="L73" s="193"/>
      <c r="M73" s="193"/>
      <c r="N73" s="193"/>
      <c r="O73" s="193"/>
      <c r="P73" s="194"/>
      <c r="Q73" s="193"/>
      <c r="R73" s="193"/>
      <c r="AT73" s="195"/>
      <c r="BA73" s="196"/>
      <c r="BB73" s="196"/>
      <c r="BC73" s="196"/>
      <c r="BD73" s="196"/>
      <c r="BE73" s="210"/>
      <c r="BF73" s="196"/>
      <c r="BG73" s="196"/>
      <c r="BH73" s="193"/>
      <c r="BI73" s="193"/>
      <c r="BJ73" s="193"/>
      <c r="BK73" s="193"/>
      <c r="BM73" s="193"/>
      <c r="CS73" s="193"/>
      <c r="CT73" s="193"/>
      <c r="CU73" s="193"/>
      <c r="CV73" s="194"/>
      <c r="CW73" s="193"/>
      <c r="CX73" s="193"/>
      <c r="CY73" s="217"/>
      <c r="CZ73" s="217"/>
      <c r="DA73" s="217"/>
      <c r="DB73" s="214"/>
      <c r="DC73" s="216"/>
      <c r="DD73" s="216"/>
      <c r="DE73" s="216"/>
      <c r="DF73" s="216"/>
      <c r="DG73" s="216"/>
      <c r="DH73" s="216"/>
      <c r="DI73" s="216"/>
      <c r="DJ73" s="216"/>
      <c r="DK73" s="216"/>
      <c r="DL73" s="216"/>
      <c r="DM73" s="216"/>
      <c r="DN73" s="216"/>
      <c r="DO73" s="216"/>
      <c r="DP73" s="216"/>
      <c r="DQ73" s="216"/>
      <c r="DR73" s="216"/>
      <c r="DS73" s="216"/>
      <c r="DT73" s="216"/>
      <c r="DU73" s="216"/>
      <c r="DV73" s="216"/>
      <c r="DW73" s="216"/>
      <c r="DX73" s="216"/>
      <c r="DY73" s="216"/>
      <c r="DZ73" s="216"/>
      <c r="EA73" s="216"/>
      <c r="HB73" s="193"/>
      <c r="HC73" s="193"/>
      <c r="HD73" s="193"/>
    </row>
    <row r="74" spans="1:212" ht="8.25" customHeight="1" x14ac:dyDescent="0.15">
      <c r="A74" s="193"/>
      <c r="B74" s="228"/>
      <c r="C74" s="228"/>
      <c r="H74" s="350"/>
      <c r="I74" s="350"/>
      <c r="J74" s="223"/>
      <c r="L74" s="223"/>
      <c r="M74" s="223"/>
      <c r="N74" s="349">
        <v>4</v>
      </c>
      <c r="O74" s="357" t="str">
        <f>IF(I45+I46=0,"",IF(I45&lt;I46,H44,H46))</f>
        <v>Begert Nicolas</v>
      </c>
      <c r="P74" s="357"/>
      <c r="Q74" s="357"/>
      <c r="R74" s="357"/>
      <c r="S74" s="349">
        <v>8</v>
      </c>
      <c r="T74" s="357" t="str">
        <f>IF(I78+I79=0,"",IF(I78&lt;I79,H77,H79))</f>
        <v>Clerc Manon</v>
      </c>
      <c r="U74" s="357"/>
      <c r="V74" s="357"/>
      <c r="W74" s="357"/>
      <c r="X74" s="193"/>
      <c r="Y74" s="193"/>
      <c r="Z74" s="193"/>
      <c r="AA74" s="194"/>
      <c r="AB74" s="193"/>
      <c r="AC74" s="193"/>
      <c r="AD74" s="193"/>
      <c r="AE74" s="193"/>
      <c r="AF74" s="193"/>
      <c r="AG74" s="193"/>
      <c r="AH74" s="193"/>
      <c r="AI74" s="193"/>
      <c r="AJ74" s="193"/>
      <c r="AP74" s="173"/>
      <c r="AQ74" s="173"/>
      <c r="AT74" s="195"/>
      <c r="BA74" s="229"/>
      <c r="BB74" s="194"/>
      <c r="BC74" s="193"/>
      <c r="BD74" s="193"/>
      <c r="BE74" s="193"/>
      <c r="BF74" s="193"/>
      <c r="BG74" s="193"/>
      <c r="BH74" s="193"/>
      <c r="BI74" s="193"/>
      <c r="BJ74" s="193"/>
      <c r="BK74" s="193"/>
      <c r="BL74" s="193"/>
      <c r="BM74" s="193"/>
      <c r="CS74" s="193"/>
      <c r="CT74" s="193"/>
      <c r="CU74" s="193"/>
      <c r="CV74" s="194"/>
      <c r="CW74" s="193"/>
      <c r="CX74" s="193"/>
      <c r="CY74" s="217"/>
      <c r="CZ74" s="217"/>
      <c r="DA74" s="217"/>
      <c r="DB74" s="214"/>
      <c r="DC74" s="216"/>
      <c r="DD74" s="216"/>
      <c r="DE74" s="216"/>
      <c r="DF74" s="216"/>
      <c r="DG74" s="216"/>
      <c r="DH74" s="216"/>
      <c r="DI74" s="216"/>
      <c r="DJ74" s="216"/>
      <c r="DK74" s="216"/>
      <c r="DL74" s="216"/>
      <c r="DM74" s="216"/>
      <c r="DN74" s="216"/>
      <c r="DO74" s="216"/>
      <c r="DP74" s="216"/>
      <c r="DQ74" s="216"/>
      <c r="DR74" s="216"/>
      <c r="DS74" s="216"/>
      <c r="DT74" s="216"/>
      <c r="DU74" s="216"/>
      <c r="DV74" s="216"/>
      <c r="DW74" s="216"/>
      <c r="DX74" s="216"/>
      <c r="DY74" s="216"/>
      <c r="DZ74" s="216"/>
      <c r="EA74" s="216"/>
      <c r="HB74" s="193"/>
      <c r="HC74" s="193"/>
      <c r="HD74" s="193"/>
    </row>
    <row r="75" spans="1:212" ht="8.25" customHeight="1" x14ac:dyDescent="0.15">
      <c r="A75" s="193"/>
      <c r="H75" s="223"/>
      <c r="I75" s="223"/>
      <c r="J75" s="223"/>
      <c r="L75" s="223"/>
      <c r="M75" s="223"/>
      <c r="N75" s="349"/>
      <c r="O75" s="358"/>
      <c r="P75" s="358"/>
      <c r="Q75" s="358"/>
      <c r="R75" s="358"/>
      <c r="S75" s="349"/>
      <c r="T75" s="358"/>
      <c r="U75" s="358"/>
      <c r="V75" s="358"/>
      <c r="W75" s="358"/>
      <c r="X75" s="229"/>
      <c r="Y75" s="229"/>
      <c r="Z75" s="229"/>
      <c r="AA75" s="194"/>
      <c r="AB75" s="193"/>
      <c r="AC75" s="193"/>
      <c r="AD75" s="193"/>
      <c r="AE75" s="193"/>
      <c r="AF75" s="193"/>
      <c r="AG75" s="193"/>
      <c r="AH75" s="193"/>
      <c r="AI75" s="193"/>
      <c r="AJ75" s="193"/>
      <c r="AK75" s="193"/>
      <c r="AT75" s="195"/>
      <c r="BA75" s="160"/>
      <c r="BB75" s="193"/>
      <c r="BC75" s="193"/>
      <c r="BD75" s="229"/>
      <c r="BE75" s="229"/>
      <c r="BF75" s="229"/>
      <c r="BG75" s="229"/>
      <c r="BH75" s="229"/>
      <c r="BI75" s="229"/>
      <c r="BJ75" s="229"/>
      <c r="BK75" s="229"/>
      <c r="BL75" s="193"/>
      <c r="BM75" s="193"/>
      <c r="CS75" s="193"/>
      <c r="CT75" s="193"/>
      <c r="CU75" s="193"/>
      <c r="CV75" s="194"/>
      <c r="CW75" s="193"/>
      <c r="CX75" s="193"/>
      <c r="CY75" s="196"/>
      <c r="CZ75" s="196"/>
      <c r="DA75" s="196"/>
      <c r="DB75" s="196"/>
      <c r="DC75" s="196"/>
      <c r="DD75" s="196"/>
      <c r="DE75" s="196"/>
      <c r="DF75" s="196"/>
      <c r="DG75" s="196"/>
      <c r="DH75" s="196"/>
      <c r="DI75" s="196"/>
      <c r="DJ75" s="196"/>
      <c r="DK75" s="196"/>
      <c r="DL75" s="196"/>
      <c r="DM75" s="196"/>
      <c r="DN75" s="196"/>
      <c r="DO75" s="196"/>
      <c r="DP75" s="210"/>
      <c r="DQ75" s="196"/>
      <c r="DR75" s="196"/>
      <c r="DS75" s="196"/>
      <c r="DT75" s="196"/>
      <c r="DU75" s="196"/>
      <c r="DV75" s="196"/>
      <c r="DW75" s="196"/>
      <c r="DX75" s="196"/>
      <c r="DY75" s="196"/>
      <c r="DZ75" s="196"/>
      <c r="EA75" s="196"/>
      <c r="HB75" s="193"/>
      <c r="HC75" s="193"/>
      <c r="HD75" s="193"/>
    </row>
    <row r="76" spans="1:212" ht="8.25" customHeight="1" x14ac:dyDescent="0.15">
      <c r="A76" s="193"/>
      <c r="B76" s="228"/>
      <c r="C76" s="228"/>
      <c r="J76" s="198"/>
      <c r="L76" s="223"/>
      <c r="M76" s="223"/>
      <c r="N76" s="229"/>
      <c r="O76" s="160"/>
      <c r="P76" s="160"/>
      <c r="Q76" s="193"/>
      <c r="U76" s="193"/>
      <c r="V76" s="193"/>
      <c r="W76" s="193"/>
      <c r="X76" s="193"/>
      <c r="Y76" s="193"/>
      <c r="Z76" s="193"/>
      <c r="AA76" s="193"/>
      <c r="AB76" s="193"/>
      <c r="AC76" s="193"/>
      <c r="AD76" s="193"/>
      <c r="AE76" s="193"/>
      <c r="AF76" s="193"/>
      <c r="AG76" s="193"/>
      <c r="AH76" s="193"/>
      <c r="AI76" s="193"/>
      <c r="AJ76" s="193"/>
      <c r="AK76" s="193"/>
      <c r="AP76" s="173"/>
      <c r="AQ76" s="173"/>
      <c r="AT76" s="195"/>
      <c r="BA76" s="160"/>
      <c r="BB76" s="193"/>
      <c r="BC76" s="193"/>
      <c r="BD76" s="193"/>
      <c r="BE76" s="193"/>
      <c r="BF76" s="193"/>
      <c r="BG76" s="193"/>
      <c r="BH76" s="193"/>
      <c r="BI76" s="193"/>
      <c r="BJ76" s="193"/>
      <c r="BK76" s="193"/>
      <c r="BL76" s="193"/>
      <c r="BM76" s="193"/>
      <c r="CS76" s="193"/>
      <c r="CT76" s="193"/>
      <c r="CU76" s="193"/>
      <c r="CV76" s="194"/>
      <c r="CW76" s="193"/>
      <c r="CX76" s="193"/>
      <c r="CY76" s="196"/>
      <c r="CZ76" s="196"/>
      <c r="DA76" s="196"/>
      <c r="DB76" s="196"/>
      <c r="DC76" s="196"/>
      <c r="DD76" s="196"/>
      <c r="DE76" s="196"/>
      <c r="DF76" s="196"/>
      <c r="DG76" s="196"/>
      <c r="DH76" s="196"/>
      <c r="DI76" s="196"/>
      <c r="DJ76" s="196"/>
      <c r="DK76" s="196"/>
      <c r="DL76" s="196"/>
      <c r="DM76" s="196"/>
      <c r="DN76" s="196"/>
      <c r="DO76" s="196"/>
      <c r="DP76" s="210"/>
      <c r="DQ76" s="196"/>
      <c r="DR76" s="196"/>
      <c r="DS76" s="196"/>
      <c r="DT76" s="196"/>
      <c r="DU76" s="196"/>
      <c r="DV76" s="196"/>
      <c r="DW76" s="196"/>
      <c r="DX76" s="196"/>
      <c r="DY76" s="196"/>
      <c r="DZ76" s="196"/>
      <c r="EA76" s="196"/>
      <c r="HB76" s="193"/>
      <c r="HC76" s="193"/>
      <c r="HD76" s="193"/>
    </row>
    <row r="77" spans="1:212" ht="8.25" customHeight="1" x14ac:dyDescent="0.15">
      <c r="A77" s="193"/>
      <c r="H77" s="224" t="str">
        <f>IF(E60+E61=0,"",IF(E60&lt;E61,D59,D61))</f>
        <v>Derivaz Valentin</v>
      </c>
      <c r="I77" s="224"/>
      <c r="J77" s="229"/>
      <c r="L77" s="196"/>
      <c r="M77" s="196"/>
      <c r="N77" s="193"/>
      <c r="O77" s="193"/>
      <c r="P77" s="193"/>
      <c r="Q77" s="193"/>
      <c r="U77" s="193"/>
      <c r="V77" s="193"/>
      <c r="W77" s="193"/>
      <c r="X77" s="193"/>
      <c r="Y77" s="160"/>
      <c r="Z77" s="160"/>
      <c r="AA77" s="193"/>
      <c r="AB77" s="193"/>
      <c r="AC77" s="212"/>
      <c r="AD77" s="212"/>
      <c r="AE77" s="212"/>
      <c r="AF77" s="212"/>
      <c r="AG77" s="212"/>
      <c r="AH77" s="212"/>
      <c r="AI77" s="212"/>
      <c r="AJ77" s="212"/>
      <c r="AK77" s="193"/>
      <c r="AP77" s="193"/>
      <c r="AQ77" s="193"/>
      <c r="AT77" s="195"/>
      <c r="BM77" s="193"/>
      <c r="CS77" s="193"/>
      <c r="CT77" s="193"/>
      <c r="CU77" s="193"/>
      <c r="CV77" s="194"/>
      <c r="CW77" s="193"/>
      <c r="CX77" s="193"/>
      <c r="CY77" s="196"/>
      <c r="CZ77" s="196"/>
      <c r="DA77" s="196"/>
      <c r="DB77" s="196"/>
      <c r="DC77" s="196"/>
      <c r="DD77" s="196"/>
      <c r="DE77" s="196"/>
      <c r="DF77" s="196"/>
      <c r="DG77" s="196"/>
      <c r="DH77" s="196"/>
      <c r="DI77" s="196"/>
      <c r="DJ77" s="196"/>
      <c r="DK77" s="196"/>
      <c r="DL77" s="196"/>
      <c r="DM77" s="196"/>
      <c r="DN77" s="196"/>
      <c r="DO77" s="196"/>
      <c r="DP77" s="210"/>
      <c r="DQ77" s="196"/>
      <c r="DR77" s="196"/>
      <c r="DS77" s="196"/>
      <c r="DT77" s="196"/>
      <c r="DU77" s="196"/>
      <c r="DV77" s="196"/>
      <c r="DW77" s="196"/>
      <c r="DX77" s="196"/>
      <c r="DY77" s="196"/>
      <c r="DZ77" s="196"/>
      <c r="EA77" s="196"/>
      <c r="HB77" s="193"/>
      <c r="HC77" s="193"/>
      <c r="HD77" s="193"/>
    </row>
    <row r="78" spans="1:212" ht="8.25" customHeight="1" x14ac:dyDescent="0.15">
      <c r="A78" s="193"/>
      <c r="B78" s="228"/>
      <c r="C78" s="228"/>
      <c r="H78" s="203"/>
      <c r="I78" s="204">
        <v>1</v>
      </c>
      <c r="J78" s="224" t="str">
        <f>IF(I78+I79=0,"",IF(I78&gt;I79,H77,H79))</f>
        <v>Derivaz Valentin</v>
      </c>
      <c r="L78" s="229"/>
      <c r="M78" s="229"/>
      <c r="N78" s="229"/>
      <c r="O78" s="231"/>
      <c r="P78" s="231"/>
      <c r="Q78" s="193"/>
      <c r="U78" s="193"/>
      <c r="V78" s="193"/>
      <c r="W78" s="193"/>
      <c r="X78" s="193"/>
      <c r="Y78" s="160"/>
      <c r="Z78" s="160"/>
      <c r="AA78" s="193"/>
      <c r="AB78" s="193"/>
      <c r="AC78" s="193"/>
      <c r="AD78" s="193"/>
      <c r="AE78" s="193"/>
      <c r="AF78" s="193"/>
      <c r="AG78" s="193"/>
      <c r="AH78" s="193"/>
      <c r="AI78" s="193"/>
      <c r="AJ78" s="193"/>
      <c r="AK78" s="193"/>
      <c r="AP78" s="193"/>
      <c r="AQ78" s="193"/>
      <c r="AR78" s="193"/>
      <c r="AS78" s="193"/>
      <c r="AT78" s="193"/>
      <c r="AU78" s="196"/>
      <c r="BM78" s="193"/>
      <c r="CS78" s="193"/>
      <c r="CT78" s="193"/>
      <c r="CU78" s="193"/>
      <c r="CV78" s="194"/>
      <c r="CW78" s="193"/>
      <c r="CX78" s="193"/>
      <c r="CY78" s="217"/>
      <c r="CZ78" s="217"/>
      <c r="DA78" s="217"/>
      <c r="DB78" s="214"/>
      <c r="DC78" s="216"/>
      <c r="DD78" s="216"/>
      <c r="DE78" s="216"/>
      <c r="DF78" s="216"/>
      <c r="DG78" s="216"/>
      <c r="DH78" s="216"/>
      <c r="DI78" s="216"/>
      <c r="DJ78" s="216"/>
      <c r="DK78" s="216"/>
      <c r="DL78" s="216"/>
      <c r="DM78" s="216"/>
      <c r="DN78" s="216"/>
      <c r="DO78" s="216"/>
      <c r="DP78" s="216"/>
      <c r="DQ78" s="216"/>
      <c r="DR78" s="216"/>
      <c r="DS78" s="216"/>
      <c r="DT78" s="216"/>
      <c r="DU78" s="216"/>
      <c r="DV78" s="216"/>
      <c r="DW78" s="216"/>
      <c r="DX78" s="216"/>
      <c r="DY78" s="216"/>
      <c r="DZ78" s="216"/>
      <c r="EA78" s="216"/>
      <c r="EB78" s="196"/>
      <c r="HB78" s="193"/>
      <c r="HC78" s="193"/>
      <c r="HD78" s="193"/>
    </row>
    <row r="79" spans="1:212" ht="8.25" customHeight="1" x14ac:dyDescent="0.15">
      <c r="A79" s="193"/>
      <c r="H79" s="224" t="str">
        <f>IF(E64+E65=0,"",IF(E64&lt;E65,D63,D65))</f>
        <v>Clerc Manon</v>
      </c>
      <c r="I79" s="204"/>
      <c r="J79" s="193"/>
      <c r="L79" s="160"/>
      <c r="M79" s="160"/>
      <c r="N79" s="193"/>
      <c r="O79" s="160"/>
      <c r="P79" s="160"/>
      <c r="Q79" s="193"/>
      <c r="U79" s="229"/>
      <c r="V79" s="229"/>
      <c r="W79" s="229"/>
      <c r="X79" s="229"/>
      <c r="Y79" s="229"/>
      <c r="Z79" s="229"/>
      <c r="AA79" s="193"/>
      <c r="AB79" s="193"/>
      <c r="AC79" s="193"/>
      <c r="AD79" s="193"/>
      <c r="AE79" s="193"/>
      <c r="AF79" s="193"/>
      <c r="AG79" s="193"/>
      <c r="AH79" s="193"/>
      <c r="AI79" s="193"/>
      <c r="AJ79" s="193"/>
      <c r="AK79" s="193"/>
      <c r="BM79" s="193"/>
      <c r="CS79" s="193"/>
      <c r="CT79" s="193"/>
      <c r="CU79" s="193"/>
      <c r="CV79" s="194"/>
      <c r="CW79" s="193"/>
      <c r="CX79" s="193"/>
      <c r="CY79" s="217"/>
      <c r="CZ79" s="217"/>
      <c r="DA79" s="217"/>
      <c r="DB79" s="214"/>
      <c r="DC79" s="216"/>
      <c r="DD79" s="216"/>
      <c r="DE79" s="216"/>
      <c r="DF79" s="216"/>
      <c r="DG79" s="216"/>
      <c r="DH79" s="216"/>
      <c r="DI79" s="216"/>
      <c r="DJ79" s="216"/>
      <c r="DK79" s="216"/>
      <c r="DL79" s="216"/>
      <c r="DM79" s="216"/>
      <c r="DN79" s="216"/>
      <c r="DO79" s="216"/>
      <c r="DP79" s="216"/>
      <c r="DQ79" s="216"/>
      <c r="DR79" s="216"/>
      <c r="DS79" s="216"/>
      <c r="DT79" s="216"/>
      <c r="DU79" s="216"/>
      <c r="DV79" s="216"/>
      <c r="DW79" s="216"/>
      <c r="DX79" s="216"/>
      <c r="DY79" s="216"/>
      <c r="DZ79" s="216"/>
      <c r="EA79" s="216"/>
      <c r="EB79" s="196"/>
      <c r="HB79" s="193"/>
      <c r="HC79" s="193"/>
      <c r="HD79" s="193"/>
    </row>
    <row r="80" spans="1:212" ht="8.25" customHeight="1" x14ac:dyDescent="0.15">
      <c r="A80" s="193"/>
      <c r="B80" s="228"/>
      <c r="C80" s="228"/>
      <c r="H80" s="193"/>
      <c r="I80" s="193"/>
      <c r="J80" s="193"/>
      <c r="K80" s="229"/>
      <c r="L80" s="160"/>
      <c r="M80" s="160"/>
      <c r="N80" s="229"/>
      <c r="O80" s="160"/>
      <c r="P80" s="160"/>
      <c r="Q80" s="193"/>
      <c r="U80" s="193"/>
      <c r="V80" s="193"/>
      <c r="W80" s="193"/>
      <c r="X80" s="193"/>
      <c r="Y80" s="193"/>
      <c r="Z80" s="193"/>
      <c r="AA80" s="194"/>
      <c r="AB80" s="193"/>
      <c r="AC80" s="193"/>
      <c r="AD80" s="193"/>
      <c r="AE80" s="193"/>
      <c r="AF80" s="193"/>
      <c r="AG80" s="193"/>
      <c r="AH80" s="193"/>
      <c r="AI80" s="193"/>
      <c r="AJ80" s="193"/>
      <c r="AK80" s="193"/>
      <c r="BM80" s="193"/>
      <c r="CS80" s="193"/>
      <c r="CT80" s="193"/>
      <c r="CU80" s="193"/>
      <c r="CV80" s="194"/>
      <c r="CW80" s="193"/>
      <c r="CX80" s="193"/>
      <c r="CY80" s="196"/>
      <c r="CZ80" s="196"/>
      <c r="DA80" s="196"/>
      <c r="DB80" s="196"/>
      <c r="DC80" s="196"/>
      <c r="DD80" s="196"/>
      <c r="DE80" s="196"/>
      <c r="DF80" s="196"/>
      <c r="DG80" s="196"/>
      <c r="DH80" s="196"/>
      <c r="DI80" s="196"/>
      <c r="DJ80" s="196"/>
      <c r="DK80" s="196"/>
      <c r="DL80" s="196"/>
      <c r="DM80" s="196"/>
      <c r="DN80" s="196"/>
      <c r="DO80" s="196"/>
      <c r="DP80" s="210"/>
      <c r="DQ80" s="196"/>
      <c r="DR80" s="196"/>
      <c r="DS80" s="196"/>
      <c r="DT80" s="196"/>
      <c r="DU80" s="196"/>
      <c r="DV80" s="196"/>
      <c r="DW80" s="196"/>
      <c r="DX80" s="196"/>
      <c r="DY80" s="196"/>
      <c r="DZ80" s="196"/>
      <c r="EA80" s="196"/>
      <c r="EB80" s="196"/>
      <c r="HB80" s="193"/>
      <c r="HC80" s="193"/>
      <c r="HD80" s="193"/>
    </row>
    <row r="81" spans="1:212" ht="8.25" customHeight="1" x14ac:dyDescent="0.25">
      <c r="A81" s="193"/>
      <c r="G81" s="196"/>
      <c r="N81" s="193"/>
      <c r="O81" s="193"/>
      <c r="P81" s="193"/>
      <c r="Q81" s="194"/>
      <c r="R81" s="193"/>
      <c r="S81" s="193"/>
      <c r="T81" s="193"/>
      <c r="U81" s="193"/>
      <c r="V81" s="193"/>
      <c r="W81" s="193"/>
      <c r="X81" s="196"/>
      <c r="Y81" s="196"/>
      <c r="Z81" s="196"/>
      <c r="AA81" s="210"/>
      <c r="AB81" s="196"/>
      <c r="AC81" s="196"/>
      <c r="AD81" s="196"/>
      <c r="AE81" s="196"/>
      <c r="AF81" s="196"/>
      <c r="AG81" s="196"/>
      <c r="AH81" s="196"/>
      <c r="AI81" s="160"/>
      <c r="AJ81" s="160"/>
      <c r="AK81" s="193"/>
      <c r="BM81" s="193"/>
      <c r="CS81" s="193"/>
      <c r="CT81" s="193"/>
      <c r="CU81" s="193"/>
      <c r="CV81" s="194"/>
      <c r="CW81" s="193"/>
      <c r="CX81" s="193"/>
      <c r="CY81" s="196"/>
      <c r="CZ81" s="196"/>
      <c r="DA81" s="196"/>
      <c r="DB81" s="196"/>
      <c r="DC81" s="196"/>
      <c r="DD81" s="196"/>
      <c r="DE81" s="196"/>
      <c r="DF81" s="196"/>
      <c r="DG81" s="196"/>
      <c r="DH81" s="196"/>
      <c r="DI81" s="196"/>
      <c r="DJ81" s="196"/>
      <c r="DK81" s="196"/>
      <c r="DL81" s="196"/>
      <c r="DM81" s="196"/>
      <c r="DN81" s="196"/>
      <c r="DO81" s="196"/>
      <c r="DP81" s="210"/>
      <c r="DQ81" s="196"/>
      <c r="DR81" s="196"/>
      <c r="DS81" s="196"/>
      <c r="DT81" s="196"/>
      <c r="DU81" s="196"/>
      <c r="DV81" s="196"/>
      <c r="DW81" s="196"/>
      <c r="DX81" s="196"/>
      <c r="DY81" s="196"/>
      <c r="DZ81" s="196"/>
      <c r="EA81" s="196"/>
      <c r="EB81" s="196"/>
      <c r="HB81" s="193"/>
      <c r="HC81" s="193"/>
      <c r="HD81" s="193"/>
    </row>
    <row r="82" spans="1:212" ht="8.25" customHeight="1" x14ac:dyDescent="0.25">
      <c r="A82" s="193"/>
      <c r="BM82" s="193"/>
      <c r="CS82" s="193"/>
      <c r="CT82" s="193"/>
      <c r="CU82" s="193"/>
      <c r="CV82" s="194"/>
      <c r="CW82" s="193"/>
      <c r="CX82" s="193"/>
      <c r="CY82" s="196"/>
      <c r="CZ82" s="196"/>
      <c r="DA82" s="196"/>
      <c r="DB82" s="196"/>
      <c r="DC82" s="196"/>
      <c r="DD82" s="196"/>
      <c r="DE82" s="196"/>
      <c r="DF82" s="196"/>
      <c r="DG82" s="196"/>
      <c r="DH82" s="196"/>
      <c r="DI82" s="196"/>
      <c r="DJ82" s="196"/>
      <c r="DK82" s="196"/>
      <c r="DL82" s="196"/>
      <c r="DM82" s="196"/>
      <c r="DN82" s="196"/>
      <c r="DO82" s="196"/>
      <c r="DP82" s="210"/>
      <c r="DQ82" s="196"/>
      <c r="DR82" s="196"/>
      <c r="DS82" s="196"/>
      <c r="DT82" s="196"/>
      <c r="DU82" s="196"/>
      <c r="DV82" s="196"/>
      <c r="DW82" s="196"/>
      <c r="DX82" s="196"/>
      <c r="DY82" s="196"/>
      <c r="DZ82" s="196"/>
      <c r="EA82" s="196"/>
      <c r="EB82" s="196"/>
      <c r="HB82" s="193"/>
      <c r="HC82" s="193"/>
      <c r="HD82" s="193"/>
    </row>
    <row r="83" spans="1:212" ht="8.25" customHeight="1" x14ac:dyDescent="0.25">
      <c r="A83" s="193"/>
      <c r="BM83" s="193"/>
      <c r="CS83" s="193"/>
      <c r="CT83" s="193"/>
      <c r="CU83" s="193"/>
      <c r="CV83" s="194"/>
      <c r="CW83" s="193"/>
      <c r="CX83" s="193"/>
      <c r="CY83" s="217"/>
      <c r="CZ83" s="217"/>
      <c r="DA83" s="217"/>
      <c r="DB83" s="214"/>
      <c r="DC83" s="216"/>
      <c r="DD83" s="216"/>
      <c r="DE83" s="216"/>
      <c r="DF83" s="216"/>
      <c r="DG83" s="216"/>
      <c r="DH83" s="216"/>
      <c r="DI83" s="216"/>
      <c r="DJ83" s="216"/>
      <c r="DK83" s="216"/>
      <c r="DL83" s="216"/>
      <c r="DM83" s="216"/>
      <c r="DN83" s="216"/>
      <c r="DO83" s="216"/>
      <c r="DP83" s="216"/>
      <c r="DQ83" s="216"/>
      <c r="DR83" s="216"/>
      <c r="DS83" s="216"/>
      <c r="DT83" s="216"/>
      <c r="DU83" s="216"/>
      <c r="DV83" s="216"/>
      <c r="DW83" s="216"/>
      <c r="DX83" s="216"/>
      <c r="DY83" s="216"/>
      <c r="DZ83" s="216"/>
      <c r="EA83" s="216"/>
      <c r="EB83" s="196"/>
      <c r="HB83" s="193"/>
      <c r="HC83" s="193"/>
      <c r="HD83" s="193"/>
    </row>
    <row r="84" spans="1:212" ht="8.25" customHeight="1" x14ac:dyDescent="0.25">
      <c r="A84" s="193"/>
      <c r="BM84" s="193"/>
      <c r="DY84" s="216"/>
      <c r="DZ84" s="216"/>
      <c r="EA84" s="216"/>
      <c r="EB84" s="196"/>
      <c r="HB84" s="193"/>
      <c r="HC84" s="193"/>
      <c r="HD84" s="193"/>
    </row>
    <row r="85" spans="1:212" ht="8.25" customHeight="1" x14ac:dyDescent="0.25">
      <c r="A85" s="193"/>
      <c r="BM85" s="193"/>
      <c r="DY85" s="196"/>
      <c r="DZ85" s="196"/>
      <c r="EA85" s="196"/>
      <c r="EB85" s="196"/>
      <c r="HB85" s="193"/>
      <c r="HC85" s="193"/>
      <c r="HD85" s="193"/>
    </row>
    <row r="86" spans="1:212" ht="8.25" customHeight="1" x14ac:dyDescent="0.25">
      <c r="A86" s="193"/>
      <c r="B86" s="193"/>
      <c r="C86" s="193"/>
      <c r="D86" s="193"/>
      <c r="E86" s="193"/>
      <c r="F86" s="193"/>
      <c r="G86" s="193"/>
      <c r="H86" s="193"/>
      <c r="I86" s="193"/>
      <c r="J86" s="193"/>
      <c r="K86" s="193"/>
      <c r="L86" s="193"/>
      <c r="M86" s="193"/>
      <c r="N86" s="193"/>
      <c r="O86" s="193"/>
      <c r="P86" s="194"/>
      <c r="Q86" s="193"/>
      <c r="R86" s="193"/>
      <c r="S86" s="193"/>
      <c r="T86" s="193"/>
      <c r="U86" s="193"/>
      <c r="V86" s="193"/>
      <c r="W86" s="193"/>
      <c r="X86" s="193"/>
      <c r="Y86" s="193"/>
      <c r="Z86" s="194"/>
      <c r="AA86" s="193"/>
      <c r="AB86" s="193"/>
      <c r="AC86" s="193"/>
      <c r="AD86" s="193"/>
      <c r="AE86" s="193"/>
      <c r="AF86" s="193"/>
      <c r="AG86" s="193"/>
      <c r="AH86" s="193"/>
      <c r="AI86" s="193"/>
      <c r="AJ86" s="194"/>
      <c r="AK86" s="193"/>
      <c r="AL86" s="193"/>
      <c r="AM86" s="193"/>
      <c r="AN86" s="193"/>
      <c r="AO86" s="193"/>
      <c r="AP86" s="193"/>
      <c r="AQ86" s="193"/>
      <c r="AR86" s="193"/>
      <c r="AS86" s="193"/>
      <c r="AT86" s="194"/>
      <c r="AU86" s="193"/>
      <c r="AV86" s="193"/>
      <c r="AW86" s="193"/>
      <c r="AX86" s="193"/>
      <c r="AY86" s="193"/>
      <c r="AZ86" s="193"/>
      <c r="BA86" s="193"/>
      <c r="BB86" s="193"/>
      <c r="BC86" s="193"/>
      <c r="BD86" s="194"/>
      <c r="BE86" s="193"/>
      <c r="BF86" s="193"/>
      <c r="BG86" s="193"/>
      <c r="BH86" s="193"/>
      <c r="BI86" s="193"/>
      <c r="BJ86" s="193"/>
      <c r="BK86" s="193"/>
      <c r="BL86" s="193"/>
      <c r="BM86" s="193"/>
      <c r="BO86" s="196"/>
      <c r="BP86" s="196"/>
      <c r="BQ86" s="196"/>
      <c r="BR86" s="196"/>
      <c r="BS86" s="196"/>
      <c r="BT86" s="196"/>
      <c r="BU86" s="196"/>
      <c r="BV86" s="196"/>
      <c r="BW86" s="196"/>
      <c r="BX86" s="196"/>
      <c r="BY86" s="196"/>
      <c r="BZ86" s="196"/>
      <c r="CA86" s="196"/>
      <c r="CB86" s="196"/>
      <c r="CC86" s="196"/>
      <c r="CD86" s="196"/>
      <c r="CE86" s="196"/>
      <c r="CF86" s="196"/>
      <c r="CG86" s="196"/>
      <c r="CH86" s="196"/>
      <c r="CI86" s="196"/>
      <c r="CJ86" s="196"/>
      <c r="CK86" s="196"/>
      <c r="CL86" s="196"/>
      <c r="CM86" s="196"/>
      <c r="CN86" s="196"/>
      <c r="CO86" s="196"/>
      <c r="CP86" s="196"/>
      <c r="CQ86" s="196"/>
      <c r="CR86" s="196"/>
      <c r="CS86" s="196"/>
      <c r="CT86" s="196"/>
      <c r="CU86" s="196"/>
      <c r="CV86" s="196"/>
      <c r="CW86" s="196"/>
      <c r="CX86" s="196"/>
      <c r="CY86" s="196"/>
      <c r="CZ86" s="196"/>
      <c r="DA86" s="196"/>
      <c r="DB86" s="196"/>
      <c r="DC86" s="196"/>
      <c r="DD86" s="196"/>
      <c r="DE86" s="196"/>
      <c r="DF86" s="196"/>
      <c r="DG86" s="196"/>
      <c r="DH86" s="196"/>
      <c r="DI86" s="196"/>
      <c r="DJ86" s="196"/>
    </row>
    <row r="87" spans="1:212" ht="8.25" customHeight="1" x14ac:dyDescent="0.25">
      <c r="A87" s="193"/>
      <c r="B87" s="193"/>
      <c r="C87" s="193"/>
      <c r="D87" s="193"/>
      <c r="E87" s="193"/>
      <c r="F87" s="193"/>
      <c r="G87" s="193"/>
      <c r="H87" s="193"/>
      <c r="I87" s="193"/>
      <c r="J87" s="193"/>
      <c r="K87" s="193"/>
      <c r="L87" s="193"/>
      <c r="M87" s="193"/>
      <c r="N87" s="193"/>
      <c r="O87" s="193"/>
      <c r="P87" s="194"/>
      <c r="Q87" s="193"/>
      <c r="R87" s="193"/>
      <c r="S87" s="193"/>
      <c r="V87" s="193"/>
      <c r="W87" s="193"/>
      <c r="X87" s="193"/>
      <c r="Y87" s="193"/>
      <c r="Z87" s="194"/>
      <c r="AA87" s="193"/>
      <c r="AB87" s="193"/>
      <c r="AC87" s="193"/>
      <c r="AD87" s="193"/>
      <c r="AE87" s="193"/>
      <c r="AF87" s="193"/>
      <c r="AG87" s="193"/>
      <c r="AH87" s="193"/>
      <c r="AI87" s="193"/>
      <c r="AJ87" s="194"/>
      <c r="AK87" s="193"/>
      <c r="AL87" s="193"/>
      <c r="AM87" s="193"/>
      <c r="AN87" s="193"/>
      <c r="AO87" s="193"/>
      <c r="AP87" s="193"/>
      <c r="AQ87" s="193"/>
      <c r="AR87" s="193"/>
      <c r="AS87" s="193"/>
      <c r="AT87" s="194"/>
      <c r="AU87" s="193"/>
      <c r="AV87" s="193"/>
      <c r="AW87" s="193"/>
      <c r="AX87" s="193"/>
      <c r="AY87" s="193"/>
      <c r="AZ87" s="193"/>
      <c r="BA87" s="193"/>
      <c r="BB87" s="193"/>
      <c r="BC87" s="193"/>
      <c r="BD87" s="194"/>
      <c r="BE87" s="193"/>
      <c r="BF87" s="193"/>
      <c r="BG87" s="193"/>
      <c r="BH87" s="193"/>
      <c r="BI87" s="193"/>
      <c r="BJ87" s="193"/>
      <c r="BK87" s="193"/>
      <c r="BL87" s="193"/>
      <c r="BM87" s="193"/>
    </row>
    <row r="88" spans="1:212" ht="8.25" customHeight="1" x14ac:dyDescent="0.25">
      <c r="A88" s="193"/>
      <c r="B88" s="193"/>
      <c r="C88" s="193"/>
      <c r="D88" s="193"/>
      <c r="E88" s="193"/>
      <c r="F88" s="193"/>
      <c r="G88" s="193"/>
      <c r="H88" s="193"/>
      <c r="I88" s="193"/>
      <c r="J88" s="193"/>
      <c r="K88" s="193"/>
      <c r="L88" s="193"/>
      <c r="M88" s="193"/>
      <c r="N88" s="193"/>
      <c r="O88" s="193"/>
      <c r="P88" s="194"/>
      <c r="Q88" s="193"/>
      <c r="R88" s="193"/>
      <c r="S88" s="193"/>
      <c r="V88" s="193"/>
      <c r="W88" s="193"/>
      <c r="X88" s="193"/>
      <c r="Y88" s="193"/>
      <c r="Z88" s="194"/>
      <c r="AA88" s="193"/>
      <c r="AB88" s="193"/>
      <c r="AC88" s="193"/>
      <c r="AD88" s="193"/>
      <c r="AE88" s="193"/>
      <c r="AF88" s="193"/>
      <c r="AG88" s="193"/>
      <c r="AH88" s="193"/>
      <c r="AI88" s="193"/>
      <c r="AJ88" s="194"/>
      <c r="AK88" s="193"/>
      <c r="AL88" s="193"/>
      <c r="AM88" s="193"/>
      <c r="AN88" s="193"/>
      <c r="AO88" s="193"/>
      <c r="AP88" s="193"/>
      <c r="AQ88" s="193"/>
      <c r="AR88" s="193"/>
      <c r="AS88" s="193"/>
      <c r="AT88" s="194"/>
      <c r="AU88" s="193"/>
      <c r="AV88" s="193"/>
      <c r="AW88" s="193"/>
      <c r="AX88" s="193"/>
      <c r="AY88" s="193"/>
      <c r="AZ88" s="193"/>
      <c r="BA88" s="193"/>
      <c r="BB88" s="193"/>
      <c r="BC88" s="193"/>
      <c r="BD88" s="194"/>
      <c r="BE88" s="193"/>
      <c r="BF88" s="193"/>
      <c r="BG88" s="193"/>
      <c r="BH88" s="193"/>
      <c r="BI88" s="193"/>
      <c r="BJ88" s="193"/>
      <c r="BK88" s="193"/>
      <c r="BL88" s="193"/>
      <c r="BM88" s="193"/>
      <c r="EF88" s="193"/>
    </row>
    <row r="89" spans="1:212" ht="8.25" customHeight="1" x14ac:dyDescent="0.25">
      <c r="B89" s="219"/>
      <c r="C89" s="219"/>
      <c r="D89" s="354">
        <f>'Infos générales'!$B$5</f>
        <v>0.54166666666666663</v>
      </c>
      <c r="E89" s="237"/>
      <c r="F89" s="355">
        <f>'Infos générales'!$B$6</f>
        <v>0.75</v>
      </c>
      <c r="G89" s="238"/>
      <c r="H89" s="356" t="str">
        <f>"Participants : "&amp;'Infos générales'!$B$8</f>
        <v>Participants : 32</v>
      </c>
      <c r="I89" s="356"/>
      <c r="J89" s="219"/>
      <c r="K89" s="219"/>
      <c r="L89" s="193"/>
      <c r="M89" s="193"/>
      <c r="N89" s="219"/>
      <c r="O89" s="359">
        <f>'Infos générales'!$B$5</f>
        <v>0.54166666666666663</v>
      </c>
      <c r="P89" s="359"/>
      <c r="R89" s="355">
        <f>'Infos générales'!$B$6</f>
        <v>0.75</v>
      </c>
      <c r="T89" s="356" t="str">
        <f>"Participants : "&amp;'Infos générales'!$B$8</f>
        <v>Participants : 32</v>
      </c>
      <c r="U89" s="356"/>
      <c r="V89" s="193"/>
      <c r="W89" s="193"/>
      <c r="X89" s="193"/>
      <c r="Y89" s="193"/>
      <c r="Z89" s="194"/>
      <c r="AA89" s="193"/>
      <c r="AB89" s="193"/>
      <c r="AC89" s="193"/>
      <c r="AD89" s="193"/>
      <c r="AE89" s="193"/>
      <c r="AF89" s="193"/>
      <c r="AG89" s="193"/>
      <c r="AH89" s="219"/>
      <c r="AI89" s="219"/>
      <c r="AJ89" s="219"/>
      <c r="AK89" s="219"/>
      <c r="AL89" s="219"/>
      <c r="AM89" s="219"/>
      <c r="AN89" s="219"/>
      <c r="AO89" s="234"/>
      <c r="AP89" s="234"/>
      <c r="AQ89" s="234"/>
      <c r="AR89" s="234"/>
      <c r="AS89" s="234"/>
      <c r="AT89" s="234"/>
      <c r="AU89" s="193"/>
      <c r="AV89" s="193"/>
      <c r="AW89" s="193"/>
      <c r="AX89" s="193"/>
      <c r="AY89" s="193"/>
      <c r="AZ89" s="219"/>
      <c r="BA89" s="219"/>
      <c r="BB89" s="219"/>
      <c r="BC89" s="219"/>
      <c r="BD89" s="219"/>
      <c r="BE89" s="219"/>
      <c r="BF89" s="219"/>
      <c r="BG89" s="234"/>
      <c r="BH89" s="234"/>
      <c r="BI89" s="234"/>
      <c r="BJ89" s="234"/>
      <c r="BK89" s="234"/>
      <c r="BL89" s="234"/>
      <c r="BO89" s="219"/>
      <c r="BP89" s="219"/>
      <c r="BQ89" s="219"/>
      <c r="BR89" s="219"/>
      <c r="BS89" s="219"/>
      <c r="BT89" s="219"/>
      <c r="BU89" s="219"/>
      <c r="BV89" s="219"/>
      <c r="BW89" s="219"/>
      <c r="BX89" s="219"/>
      <c r="BY89" s="193"/>
      <c r="BZ89" s="219"/>
      <c r="CA89" s="219"/>
      <c r="CB89" s="219"/>
      <c r="CC89" s="193"/>
      <c r="CD89" s="193"/>
      <c r="CE89" s="193"/>
      <c r="CF89" s="193"/>
      <c r="CG89" s="193"/>
      <c r="CH89" s="193"/>
      <c r="CI89" s="193"/>
      <c r="CJ89" s="193"/>
      <c r="CK89" s="193"/>
      <c r="CL89" s="194"/>
      <c r="CM89" s="193"/>
      <c r="CN89" s="193"/>
      <c r="CO89" s="193"/>
      <c r="CP89" s="193"/>
      <c r="CQ89" s="193"/>
      <c r="CR89" s="193"/>
      <c r="CS89" s="193"/>
      <c r="CT89" s="219"/>
      <c r="CU89" s="219"/>
      <c r="CV89" s="219"/>
      <c r="CW89" s="219"/>
      <c r="CX89" s="219"/>
      <c r="CY89" s="219"/>
      <c r="CZ89" s="219"/>
      <c r="DA89" s="234"/>
      <c r="DB89" s="234"/>
      <c r="DC89" s="234"/>
      <c r="DD89" s="234"/>
      <c r="DE89" s="234"/>
      <c r="DF89" s="234"/>
      <c r="DG89" s="193"/>
      <c r="DH89" s="193"/>
      <c r="DI89" s="193"/>
      <c r="DJ89" s="193"/>
      <c r="DK89" s="193"/>
      <c r="DL89" s="219"/>
      <c r="DM89" s="219"/>
      <c r="DN89" s="219"/>
      <c r="DO89" s="219"/>
      <c r="DP89" s="219"/>
      <c r="DQ89" s="219"/>
      <c r="DR89" s="219"/>
      <c r="DS89" s="234"/>
      <c r="DT89" s="234"/>
      <c r="DU89" s="234"/>
      <c r="DV89" s="234"/>
      <c r="DW89" s="234"/>
      <c r="DX89" s="234"/>
      <c r="EF89" s="193"/>
    </row>
    <row r="90" spans="1:212" ht="8.25" customHeight="1" x14ac:dyDescent="0.25">
      <c r="B90" s="219"/>
      <c r="C90" s="219"/>
      <c r="D90" s="354"/>
      <c r="E90" s="237"/>
      <c r="F90" s="355"/>
      <c r="G90" s="238"/>
      <c r="H90" s="356"/>
      <c r="I90" s="356"/>
      <c r="J90" s="219"/>
      <c r="K90" s="219"/>
      <c r="L90" s="193"/>
      <c r="M90" s="193"/>
      <c r="N90" s="219"/>
      <c r="O90" s="359"/>
      <c r="P90" s="359"/>
      <c r="R90" s="355"/>
      <c r="T90" s="356"/>
      <c r="U90" s="356"/>
      <c r="V90" s="193"/>
      <c r="W90" s="193"/>
      <c r="X90" s="193"/>
      <c r="Y90" s="193"/>
      <c r="Z90" s="194"/>
      <c r="AA90" s="193"/>
      <c r="AB90" s="193"/>
      <c r="AC90" s="193"/>
      <c r="AD90" s="193"/>
      <c r="AE90" s="193"/>
      <c r="AF90" s="193"/>
      <c r="AG90" s="193"/>
      <c r="AH90" s="219"/>
      <c r="AI90" s="219"/>
      <c r="AJ90" s="219"/>
      <c r="AK90" s="219"/>
      <c r="AL90" s="219"/>
      <c r="AM90" s="219"/>
      <c r="AN90" s="219"/>
      <c r="AO90" s="234"/>
      <c r="AP90" s="234"/>
      <c r="AQ90" s="234"/>
      <c r="AR90" s="234"/>
      <c r="AS90" s="234"/>
      <c r="AT90" s="234"/>
      <c r="AU90" s="193"/>
      <c r="AV90" s="193"/>
      <c r="AW90" s="193"/>
      <c r="AX90" s="193"/>
      <c r="AY90" s="193"/>
      <c r="AZ90" s="219"/>
      <c r="BA90" s="219"/>
      <c r="BB90" s="219"/>
      <c r="BC90" s="219"/>
      <c r="BD90" s="219"/>
      <c r="BE90" s="219"/>
      <c r="BF90" s="219"/>
      <c r="BG90" s="234"/>
      <c r="BH90" s="234"/>
      <c r="BI90" s="234"/>
      <c r="BJ90" s="234"/>
      <c r="BK90" s="234"/>
      <c r="BL90" s="234"/>
      <c r="BO90" s="219"/>
      <c r="BP90" s="219"/>
      <c r="BQ90" s="219"/>
      <c r="BR90" s="219"/>
      <c r="BS90" s="219"/>
      <c r="BT90" s="219"/>
      <c r="BU90" s="219"/>
      <c r="BV90" s="219"/>
      <c r="BW90" s="219"/>
      <c r="BX90" s="219"/>
      <c r="BY90" s="193"/>
      <c r="BZ90" s="219"/>
      <c r="CA90" s="219"/>
      <c r="CB90" s="219"/>
      <c r="CC90" s="193"/>
      <c r="CD90" s="193"/>
      <c r="CE90" s="193"/>
      <c r="CF90" s="193"/>
      <c r="CG90" s="193"/>
      <c r="CH90" s="193"/>
      <c r="CI90" s="193"/>
      <c r="CJ90" s="193"/>
      <c r="CK90" s="193"/>
      <c r="CL90" s="194"/>
      <c r="CM90" s="193"/>
      <c r="CN90" s="193"/>
      <c r="CO90" s="193"/>
      <c r="CP90" s="193"/>
      <c r="CQ90" s="193"/>
      <c r="CR90" s="193"/>
      <c r="CS90" s="193"/>
      <c r="CT90" s="219"/>
      <c r="CU90" s="219"/>
      <c r="CV90" s="219"/>
      <c r="CW90" s="219"/>
      <c r="CX90" s="219"/>
      <c r="CY90" s="219"/>
      <c r="CZ90" s="219"/>
      <c r="DA90" s="234"/>
      <c r="DB90" s="234"/>
      <c r="DC90" s="234"/>
      <c r="DD90" s="234"/>
      <c r="DE90" s="234"/>
      <c r="DF90" s="234"/>
      <c r="DG90" s="193"/>
      <c r="DH90" s="193"/>
      <c r="DI90" s="193"/>
      <c r="DJ90" s="193"/>
      <c r="DK90" s="193"/>
      <c r="DL90" s="219"/>
      <c r="DM90" s="219"/>
      <c r="DN90" s="219"/>
      <c r="DO90" s="219"/>
      <c r="DP90" s="219"/>
      <c r="DQ90" s="219"/>
      <c r="DR90" s="219"/>
      <c r="DS90" s="234"/>
      <c r="DT90" s="234"/>
      <c r="DU90" s="234"/>
      <c r="DV90" s="234"/>
      <c r="DW90" s="234"/>
      <c r="DX90" s="234"/>
      <c r="EF90" s="193"/>
    </row>
    <row r="91" spans="1:212" ht="8.25" customHeight="1" x14ac:dyDescent="0.25">
      <c r="EF91" s="193"/>
    </row>
    <row r="92" spans="1:212" ht="8.25" customHeight="1" x14ac:dyDescent="0.25">
      <c r="EF92" s="193"/>
    </row>
    <row r="93" spans="1:212" ht="8.25" customHeight="1" x14ac:dyDescent="0.25">
      <c r="EF93" s="193"/>
    </row>
    <row r="94" spans="1:212" ht="8.25" customHeight="1" x14ac:dyDescent="0.25">
      <c r="EF94" s="193"/>
    </row>
    <row r="95" spans="1:212" ht="8.25" customHeight="1" x14ac:dyDescent="0.25">
      <c r="EF95" s="193"/>
    </row>
    <row r="96" spans="1:212" ht="8.25" customHeight="1" x14ac:dyDescent="0.25">
      <c r="AW96" s="196"/>
      <c r="EF96" s="193"/>
    </row>
    <row r="97" spans="16:136" ht="8.25" customHeight="1" x14ac:dyDescent="0.25">
      <c r="AW97" s="196"/>
      <c r="EF97" s="193"/>
    </row>
    <row r="98" spans="16:136" ht="8.25" customHeight="1" x14ac:dyDescent="0.25">
      <c r="EF98" s="193"/>
    </row>
    <row r="99" spans="16:136" ht="8.25" customHeight="1" x14ac:dyDescent="0.25">
      <c r="EF99" s="193"/>
    </row>
    <row r="100" spans="16:136" ht="8.25" customHeight="1" x14ac:dyDescent="0.25">
      <c r="EF100" s="193"/>
    </row>
    <row r="101" spans="16:136" ht="8.25" customHeight="1" x14ac:dyDescent="0.25">
      <c r="EF101" s="193"/>
    </row>
    <row r="102" spans="16:136" ht="8.25" customHeight="1" x14ac:dyDescent="0.25">
      <c r="EF102" s="193"/>
    </row>
    <row r="103" spans="16:136" ht="8.25" customHeight="1" x14ac:dyDescent="0.25">
      <c r="EF103" s="193"/>
    </row>
    <row r="104" spans="16:136" ht="8.25" customHeight="1" x14ac:dyDescent="0.25">
      <c r="EF104" s="193"/>
    </row>
    <row r="105" spans="16:136" ht="8.25" customHeight="1" x14ac:dyDescent="0.25">
      <c r="EF105" s="193"/>
    </row>
    <row r="106" spans="16:136" ht="8.25" customHeight="1" x14ac:dyDescent="0.25">
      <c r="EF106" s="193"/>
    </row>
    <row r="107" spans="16:136" ht="8.25" customHeight="1" x14ac:dyDescent="0.25">
      <c r="EF107" s="193"/>
    </row>
    <row r="108" spans="16:136" ht="8.25" customHeight="1" x14ac:dyDescent="0.25">
      <c r="EF108" s="193"/>
    </row>
    <row r="109" spans="16:136" ht="8.25" customHeight="1" x14ac:dyDescent="0.25">
      <c r="EF109" s="193"/>
    </row>
    <row r="110" spans="16:136" ht="8.25" customHeight="1" x14ac:dyDescent="0.25">
      <c r="EF110" s="193"/>
    </row>
    <row r="111" spans="16:136" ht="8.25" customHeight="1" x14ac:dyDescent="0.25">
      <c r="P111" s="195"/>
      <c r="Q111" s="198"/>
      <c r="Z111" s="195"/>
      <c r="AA111" s="198"/>
      <c r="AJ111" s="195"/>
      <c r="AK111" s="198"/>
      <c r="AT111" s="195"/>
      <c r="AU111" s="198"/>
      <c r="EF111" s="193"/>
    </row>
    <row r="112" spans="16:136" ht="8.25" customHeight="1" x14ac:dyDescent="0.25">
      <c r="P112" s="195"/>
      <c r="Q112" s="198"/>
      <c r="Z112" s="195"/>
      <c r="AA112" s="198"/>
      <c r="AJ112" s="195"/>
      <c r="AK112" s="198"/>
      <c r="AT112" s="195"/>
      <c r="AU112" s="198"/>
      <c r="EF112" s="193"/>
    </row>
    <row r="113" spans="1:136" ht="8.25" customHeight="1" x14ac:dyDescent="0.25">
      <c r="P113" s="195"/>
      <c r="Q113" s="198"/>
      <c r="Z113" s="195"/>
      <c r="AA113" s="198"/>
      <c r="AJ113" s="195"/>
      <c r="AK113" s="198"/>
      <c r="AT113" s="195"/>
      <c r="AU113" s="198"/>
      <c r="EF113" s="193"/>
    </row>
    <row r="114" spans="1:136" ht="8.25" customHeight="1" x14ac:dyDescent="0.25">
      <c r="EF114" s="193"/>
    </row>
    <row r="115" spans="1:136" ht="8.25" customHeight="1" x14ac:dyDescent="0.25">
      <c r="EF115" s="193"/>
    </row>
    <row r="116" spans="1:136" ht="8.25" customHeight="1" x14ac:dyDescent="0.25">
      <c r="EF116" s="193"/>
    </row>
    <row r="117" spans="1:136" ht="8.25" customHeight="1" x14ac:dyDescent="0.25">
      <c r="EF117" s="193"/>
    </row>
    <row r="118" spans="1:136" ht="8.25" customHeight="1" x14ac:dyDescent="0.25">
      <c r="EF118" s="193"/>
    </row>
    <row r="119" spans="1:136" ht="8.25" customHeight="1" x14ac:dyDescent="0.25">
      <c r="EF119" s="193"/>
    </row>
    <row r="120" spans="1:136" ht="8.25" customHeight="1" x14ac:dyDescent="0.25">
      <c r="EF120" s="193"/>
    </row>
    <row r="121" spans="1:136" ht="8.25" customHeight="1" x14ac:dyDescent="0.25">
      <c r="A121" s="193"/>
      <c r="EF121" s="193"/>
    </row>
    <row r="122" spans="1:136" ht="8.25" customHeight="1" x14ac:dyDescent="0.25">
      <c r="A122" s="193"/>
      <c r="EF122" s="193"/>
    </row>
    <row r="123" spans="1:136" ht="8.25" customHeight="1" x14ac:dyDescent="0.25">
      <c r="A123" s="193"/>
      <c r="EF123" s="193"/>
    </row>
    <row r="124" spans="1:136" ht="8.25" customHeight="1" x14ac:dyDescent="0.25">
      <c r="A124" s="193"/>
      <c r="EF124" s="193"/>
    </row>
    <row r="125" spans="1:136" ht="8.25" customHeight="1" x14ac:dyDescent="0.25">
      <c r="A125" s="193"/>
      <c r="EF125" s="193"/>
    </row>
    <row r="126" spans="1:136" ht="8.25" customHeight="1" x14ac:dyDescent="0.25">
      <c r="A126" s="193"/>
      <c r="BG126" s="196"/>
      <c r="BH126" s="196"/>
      <c r="BI126" s="196"/>
      <c r="BJ126" s="196"/>
      <c r="BK126" s="196"/>
      <c r="BL126" s="196"/>
      <c r="BM126" s="196"/>
    </row>
    <row r="127" spans="1:136" ht="8.25" customHeight="1" x14ac:dyDescent="0.25">
      <c r="A127" s="193"/>
      <c r="BG127" s="196"/>
      <c r="BH127" s="196"/>
      <c r="BI127" s="196"/>
      <c r="BJ127" s="196"/>
      <c r="BK127" s="196"/>
      <c r="BL127" s="196"/>
      <c r="BM127" s="196"/>
    </row>
    <row r="128" spans="1:136" ht="8.25" customHeight="1" x14ac:dyDescent="0.25">
      <c r="A128" s="193"/>
      <c r="BG128" s="196"/>
      <c r="BH128" s="196"/>
      <c r="BI128" s="196"/>
      <c r="BJ128" s="196"/>
      <c r="BK128" s="196"/>
      <c r="BL128" s="196"/>
      <c r="BM128" s="196"/>
    </row>
    <row r="129" spans="1:65" ht="8.25" customHeight="1" x14ac:dyDescent="0.25">
      <c r="A129" s="193"/>
      <c r="BG129" s="196"/>
      <c r="BH129" s="196"/>
      <c r="BI129" s="196"/>
      <c r="BJ129" s="196"/>
      <c r="BK129" s="196"/>
      <c r="BL129" s="196"/>
      <c r="BM129" s="196"/>
    </row>
    <row r="130" spans="1:65" ht="8.25" customHeight="1" x14ac:dyDescent="0.25">
      <c r="A130" s="193"/>
    </row>
    <row r="131" spans="1:65" ht="8.25" customHeight="1" x14ac:dyDescent="0.25">
      <c r="A131" s="193"/>
    </row>
    <row r="132" spans="1:65" ht="8.25" customHeight="1" x14ac:dyDescent="0.25">
      <c r="A132" s="193"/>
      <c r="AV132" s="193"/>
      <c r="AW132" s="193"/>
      <c r="AX132" s="193"/>
    </row>
    <row r="133" spans="1:65" ht="8.25" customHeight="1" x14ac:dyDescent="0.25">
      <c r="A133" s="193"/>
      <c r="AV133" s="193"/>
      <c r="AW133" s="193"/>
      <c r="AX133" s="193"/>
      <c r="AY133" s="193"/>
      <c r="AZ133" s="193"/>
      <c r="BA133" s="193"/>
      <c r="BB133" s="193"/>
      <c r="BC133" s="211"/>
      <c r="BD133" s="211"/>
      <c r="BE133" s="215"/>
      <c r="BF133" s="196"/>
      <c r="BG133" s="196"/>
      <c r="BH133" s="196"/>
      <c r="BI133" s="196"/>
      <c r="BJ133" s="196"/>
      <c r="BK133" s="196"/>
      <c r="BL133" s="196"/>
      <c r="BM133" s="196"/>
    </row>
    <row r="134" spans="1:65" ht="8.25" customHeight="1" x14ac:dyDescent="0.25">
      <c r="A134" s="193"/>
      <c r="AV134" s="193"/>
      <c r="AW134" s="193"/>
      <c r="AX134" s="193"/>
      <c r="AY134" s="193"/>
      <c r="AZ134" s="193"/>
      <c r="BA134" s="193"/>
      <c r="BB134" s="193"/>
      <c r="BC134" s="196"/>
      <c r="BD134" s="196"/>
      <c r="BE134" s="210"/>
      <c r="BF134" s="196"/>
      <c r="BG134" s="196"/>
      <c r="BH134" s="196"/>
      <c r="BI134" s="196"/>
      <c r="BJ134" s="196"/>
      <c r="BK134" s="196"/>
      <c r="BL134" s="196"/>
      <c r="BM134" s="196"/>
    </row>
    <row r="135" spans="1:65" ht="8.25" customHeight="1" x14ac:dyDescent="0.25">
      <c r="A135" s="193"/>
      <c r="AV135" s="193"/>
      <c r="AW135" s="193"/>
      <c r="AX135" s="193"/>
      <c r="AY135" s="193"/>
      <c r="AZ135" s="193"/>
      <c r="BA135" s="193"/>
      <c r="BB135" s="193"/>
      <c r="BC135" s="196"/>
      <c r="BD135" s="196"/>
      <c r="BE135" s="210"/>
      <c r="BF135" s="196"/>
      <c r="BG135" s="196"/>
      <c r="BH135" s="196"/>
      <c r="BI135" s="196"/>
      <c r="BJ135" s="196"/>
      <c r="BK135" s="196"/>
      <c r="BL135" s="196"/>
      <c r="BM135" s="196"/>
    </row>
    <row r="136" spans="1:65" ht="8.25" customHeight="1" x14ac:dyDescent="0.25">
      <c r="A136" s="193"/>
      <c r="AV136" s="193"/>
      <c r="AW136" s="193"/>
      <c r="AX136" s="193"/>
      <c r="AY136" s="193"/>
      <c r="AZ136" s="193"/>
      <c r="BA136" s="193"/>
      <c r="BB136" s="193"/>
      <c r="BC136" s="196"/>
      <c r="BD136" s="196"/>
      <c r="BE136" s="210"/>
      <c r="BF136" s="196"/>
      <c r="BG136" s="196"/>
      <c r="BH136" s="196"/>
      <c r="BI136" s="196"/>
      <c r="BJ136" s="196"/>
      <c r="BK136" s="196"/>
      <c r="BL136" s="196"/>
      <c r="BM136" s="196"/>
    </row>
    <row r="137" spans="1:65" ht="8.25" customHeight="1" x14ac:dyDescent="0.25">
      <c r="A137" s="193"/>
      <c r="AV137" s="193"/>
      <c r="AW137" s="193"/>
      <c r="AX137" s="193"/>
      <c r="AY137" s="193"/>
      <c r="AZ137" s="193"/>
      <c r="BA137" s="193"/>
      <c r="BB137" s="193"/>
      <c r="BC137" s="196"/>
      <c r="BD137" s="196"/>
      <c r="BE137" s="210"/>
      <c r="BF137" s="196"/>
      <c r="BG137" s="196"/>
      <c r="BH137" s="196"/>
      <c r="BI137" s="196"/>
      <c r="BJ137" s="196"/>
      <c r="BK137" s="196"/>
      <c r="BL137" s="196"/>
      <c r="BM137" s="196"/>
    </row>
    <row r="138" spans="1:65" ht="8.25" customHeight="1" x14ac:dyDescent="0.25">
      <c r="A138" s="193"/>
      <c r="AV138" s="196"/>
      <c r="AW138" s="196"/>
      <c r="AX138" s="196"/>
      <c r="AY138" s="196"/>
      <c r="AZ138" s="196"/>
      <c r="BA138" s="196"/>
      <c r="BB138" s="196"/>
      <c r="BC138" s="196"/>
      <c r="BD138" s="196"/>
      <c r="BE138" s="210"/>
      <c r="BF138" s="196"/>
      <c r="BG138" s="196"/>
      <c r="BH138" s="196"/>
      <c r="BI138" s="196"/>
      <c r="BJ138" s="196"/>
      <c r="BK138" s="196"/>
      <c r="BL138" s="196"/>
      <c r="BM138" s="196"/>
    </row>
    <row r="139" spans="1:65" ht="8.25" customHeight="1" x14ac:dyDescent="0.25">
      <c r="A139" s="193"/>
      <c r="AV139" s="196"/>
      <c r="AW139" s="196"/>
      <c r="AX139" s="196"/>
      <c r="AY139" s="196"/>
      <c r="AZ139" s="196"/>
      <c r="BA139" s="196"/>
      <c r="BB139" s="196"/>
      <c r="BC139" s="196"/>
      <c r="BD139" s="196"/>
      <c r="BE139" s="210"/>
      <c r="BF139" s="196"/>
      <c r="BG139" s="196"/>
      <c r="BH139" s="196"/>
      <c r="BI139" s="196"/>
      <c r="BJ139" s="196"/>
      <c r="BK139" s="196"/>
      <c r="BL139" s="196"/>
      <c r="BM139" s="196"/>
    </row>
    <row r="140" spans="1:65" ht="8.25" customHeight="1" x14ac:dyDescent="0.25">
      <c r="A140" s="193"/>
      <c r="AV140" s="196"/>
      <c r="AW140" s="196"/>
      <c r="AX140" s="196"/>
      <c r="AY140" s="196"/>
      <c r="AZ140" s="196"/>
      <c r="BA140" s="196"/>
      <c r="BB140" s="196"/>
      <c r="BC140" s="196"/>
      <c r="BD140" s="196"/>
      <c r="BE140" s="210"/>
      <c r="BF140" s="196"/>
      <c r="BG140" s="196"/>
      <c r="BH140" s="193"/>
      <c r="BI140" s="193"/>
      <c r="BJ140" s="193"/>
      <c r="BK140" s="193"/>
      <c r="BL140" s="193"/>
      <c r="BM140" s="193"/>
    </row>
    <row r="141" spans="1:65" ht="8.25" customHeight="1" x14ac:dyDescent="0.25">
      <c r="A141" s="193"/>
      <c r="AV141" s="196"/>
      <c r="AW141" s="196"/>
      <c r="AX141" s="196"/>
      <c r="AY141" s="196"/>
      <c r="AZ141" s="196"/>
      <c r="BA141" s="196"/>
      <c r="BB141" s="196"/>
      <c r="BC141" s="196"/>
      <c r="BD141" s="196"/>
      <c r="BE141" s="210"/>
      <c r="BF141" s="196"/>
      <c r="BG141" s="196"/>
      <c r="BH141" s="193"/>
      <c r="BI141" s="193"/>
      <c r="BJ141" s="193"/>
      <c r="BK141" s="193"/>
      <c r="BL141" s="193"/>
      <c r="BM141" s="193"/>
    </row>
    <row r="142" spans="1:65" ht="8.25" customHeight="1" x14ac:dyDescent="0.25">
      <c r="A142" s="193"/>
      <c r="AV142" s="196"/>
      <c r="AW142" s="196"/>
      <c r="AX142" s="196"/>
      <c r="AY142" s="196"/>
      <c r="AZ142" s="196"/>
      <c r="BA142" s="196"/>
      <c r="BB142" s="196"/>
      <c r="BC142" s="196"/>
      <c r="BD142" s="196"/>
      <c r="BE142" s="210"/>
      <c r="BF142" s="196"/>
      <c r="BG142" s="196"/>
      <c r="BH142" s="193"/>
      <c r="BI142" s="193"/>
      <c r="BJ142" s="193"/>
      <c r="BK142" s="193"/>
      <c r="BL142" s="193"/>
      <c r="BM142" s="193"/>
    </row>
    <row r="143" spans="1:65" ht="8.25" customHeight="1" x14ac:dyDescent="0.25">
      <c r="A143" s="193"/>
      <c r="B143" s="193"/>
      <c r="C143" s="193"/>
      <c r="D143" s="193"/>
      <c r="E143" s="193"/>
      <c r="F143" s="193"/>
      <c r="G143" s="193"/>
      <c r="H143" s="193"/>
      <c r="I143" s="193"/>
      <c r="J143" s="193"/>
      <c r="K143" s="193"/>
      <c r="L143" s="193"/>
      <c r="M143" s="193"/>
      <c r="N143" s="193"/>
      <c r="O143" s="193"/>
      <c r="P143" s="194"/>
      <c r="Q143" s="193"/>
      <c r="R143" s="193"/>
      <c r="S143" s="193"/>
      <c r="T143" s="193"/>
      <c r="U143" s="193"/>
      <c r="V143" s="193"/>
      <c r="W143" s="193"/>
      <c r="X143" s="193"/>
      <c r="Y143" s="193"/>
      <c r="Z143" s="194"/>
      <c r="AA143" s="193"/>
      <c r="AB143" s="193"/>
      <c r="AC143" s="193"/>
      <c r="AD143" s="193"/>
      <c r="AE143" s="193"/>
      <c r="AF143" s="193"/>
      <c r="AG143" s="193"/>
      <c r="AH143" s="193"/>
      <c r="AI143" s="193"/>
      <c r="AJ143" s="194"/>
      <c r="AK143" s="193"/>
      <c r="AL143" s="193"/>
      <c r="AM143" s="193"/>
      <c r="AN143" s="193"/>
      <c r="AO143" s="193"/>
      <c r="AP143" s="193"/>
      <c r="AQ143" s="193"/>
      <c r="AR143" s="193"/>
      <c r="AS143" s="193"/>
      <c r="AT143" s="194"/>
      <c r="AU143" s="193"/>
      <c r="AV143" s="193"/>
      <c r="AW143" s="193"/>
      <c r="AX143" s="193"/>
      <c r="AY143" s="193"/>
      <c r="AZ143" s="193"/>
      <c r="BA143" s="193"/>
      <c r="BB143" s="193"/>
      <c r="BC143" s="193"/>
      <c r="BD143" s="194"/>
      <c r="BE143" s="193"/>
      <c r="BF143" s="193"/>
      <c r="BG143" s="193"/>
      <c r="BH143" s="193"/>
      <c r="BI143" s="193"/>
      <c r="BJ143" s="193"/>
      <c r="BK143" s="193"/>
      <c r="BL143" s="193"/>
      <c r="BM143" s="193"/>
    </row>
    <row r="144" spans="1:65" ht="8.25" customHeight="1" x14ac:dyDescent="0.25">
      <c r="A144" s="193"/>
      <c r="B144" s="193"/>
      <c r="C144" s="193"/>
      <c r="D144" s="193"/>
      <c r="E144" s="193"/>
      <c r="F144" s="193"/>
      <c r="G144" s="193"/>
      <c r="H144" s="193"/>
      <c r="I144" s="193"/>
      <c r="J144" s="193"/>
      <c r="K144" s="193"/>
      <c r="L144" s="193"/>
      <c r="M144" s="193"/>
      <c r="N144" s="193"/>
      <c r="O144" s="193"/>
      <c r="P144" s="194"/>
      <c r="Q144" s="193"/>
      <c r="R144" s="193"/>
      <c r="S144" s="193"/>
      <c r="T144" s="193"/>
      <c r="U144" s="193"/>
      <c r="V144" s="193"/>
      <c r="W144" s="193"/>
      <c r="X144" s="193"/>
      <c r="Y144" s="193"/>
      <c r="Z144" s="194"/>
      <c r="AA144" s="193"/>
      <c r="AB144" s="193"/>
      <c r="AC144" s="193"/>
      <c r="AD144" s="193"/>
      <c r="AE144" s="193"/>
      <c r="AF144" s="193"/>
      <c r="AG144" s="193"/>
      <c r="AH144" s="193"/>
      <c r="AI144" s="193"/>
      <c r="AJ144" s="194"/>
      <c r="AK144" s="193"/>
      <c r="AL144" s="193"/>
      <c r="AM144" s="193"/>
      <c r="AN144" s="193"/>
      <c r="AO144" s="193"/>
      <c r="AP144" s="193"/>
      <c r="AQ144" s="193"/>
      <c r="AR144" s="193"/>
      <c r="AS144" s="193"/>
      <c r="AT144" s="194"/>
      <c r="AU144" s="193"/>
      <c r="AV144" s="193"/>
      <c r="AW144" s="193"/>
      <c r="AX144" s="193"/>
      <c r="AY144" s="193"/>
      <c r="AZ144" s="193"/>
      <c r="BA144" s="193"/>
      <c r="BB144" s="193"/>
      <c r="BC144" s="193"/>
      <c r="BD144" s="194"/>
      <c r="BE144" s="193"/>
      <c r="BF144" s="193"/>
      <c r="BG144" s="193"/>
      <c r="BH144" s="193"/>
      <c r="BI144" s="193"/>
      <c r="BJ144" s="193"/>
      <c r="BK144" s="193"/>
      <c r="BL144" s="193"/>
      <c r="BM144" s="193"/>
    </row>
    <row r="145" spans="1:65" ht="8.25" customHeight="1" x14ac:dyDescent="0.25">
      <c r="A145" s="193"/>
      <c r="B145" s="193"/>
      <c r="C145" s="193"/>
      <c r="D145" s="193"/>
      <c r="E145" s="193"/>
      <c r="F145" s="193"/>
      <c r="G145" s="193"/>
      <c r="H145" s="193"/>
      <c r="I145" s="193"/>
      <c r="J145" s="193"/>
      <c r="K145" s="193"/>
      <c r="L145" s="193"/>
      <c r="M145" s="193"/>
      <c r="N145" s="193"/>
      <c r="O145" s="193"/>
      <c r="P145" s="194"/>
      <c r="Q145" s="193"/>
      <c r="R145" s="193"/>
      <c r="S145" s="193"/>
      <c r="T145" s="193"/>
      <c r="U145" s="193"/>
      <c r="V145" s="193"/>
      <c r="W145" s="193"/>
      <c r="X145" s="193"/>
      <c r="Y145" s="193"/>
      <c r="Z145" s="194"/>
      <c r="AA145" s="193"/>
      <c r="AB145" s="193"/>
      <c r="AC145" s="193"/>
      <c r="AD145" s="193"/>
      <c r="AE145" s="193"/>
      <c r="AF145" s="193"/>
      <c r="AG145" s="193"/>
      <c r="AH145" s="193"/>
      <c r="AI145" s="193"/>
      <c r="AJ145" s="194"/>
      <c r="AK145" s="193"/>
      <c r="AL145" s="193"/>
      <c r="AM145" s="193"/>
      <c r="AN145" s="193"/>
      <c r="AO145" s="193"/>
      <c r="AP145" s="193"/>
      <c r="AQ145" s="193"/>
      <c r="AR145" s="193"/>
      <c r="AS145" s="193"/>
      <c r="AT145" s="194"/>
      <c r="AU145" s="193"/>
      <c r="AV145" s="193"/>
      <c r="AW145" s="193"/>
      <c r="AX145" s="193"/>
      <c r="AY145" s="193"/>
      <c r="AZ145" s="193"/>
      <c r="BA145" s="193"/>
      <c r="BB145" s="193"/>
      <c r="BC145" s="193"/>
      <c r="BD145" s="194"/>
      <c r="BE145" s="193"/>
      <c r="BF145" s="193"/>
      <c r="BG145" s="193"/>
      <c r="BH145" s="193"/>
      <c r="BI145" s="193"/>
      <c r="BJ145" s="193"/>
      <c r="BK145" s="193"/>
      <c r="BL145" s="193"/>
      <c r="BM145" s="193"/>
    </row>
    <row r="146" spans="1:65" ht="8.25" customHeight="1" x14ac:dyDescent="0.25">
      <c r="A146" s="193"/>
      <c r="B146" s="193"/>
      <c r="C146" s="193"/>
      <c r="D146" s="193"/>
      <c r="E146" s="193"/>
      <c r="F146" s="193"/>
      <c r="G146" s="193"/>
      <c r="H146" s="193"/>
      <c r="I146" s="193"/>
      <c r="J146" s="193"/>
      <c r="K146" s="193"/>
      <c r="L146" s="193"/>
      <c r="M146" s="193"/>
      <c r="N146" s="193"/>
      <c r="O146" s="193"/>
      <c r="P146" s="194"/>
      <c r="Q146" s="193"/>
      <c r="R146" s="193"/>
      <c r="S146" s="193"/>
      <c r="T146" s="193"/>
      <c r="U146" s="193"/>
      <c r="V146" s="193"/>
      <c r="W146" s="193"/>
      <c r="X146" s="193"/>
      <c r="Y146" s="193"/>
      <c r="Z146" s="194"/>
      <c r="AA146" s="193"/>
      <c r="AB146" s="193"/>
      <c r="AC146" s="193"/>
      <c r="AD146" s="193"/>
      <c r="AE146" s="193"/>
      <c r="AF146" s="193"/>
      <c r="AG146" s="193"/>
      <c r="AH146" s="193"/>
      <c r="AI146" s="193"/>
      <c r="AJ146" s="194"/>
      <c r="AK146" s="193"/>
      <c r="AL146" s="193"/>
      <c r="AM146" s="193"/>
      <c r="AN146" s="193"/>
      <c r="AO146" s="193"/>
      <c r="AP146" s="193"/>
      <c r="AQ146" s="193"/>
      <c r="AR146" s="193"/>
      <c r="AS146" s="193"/>
      <c r="AT146" s="194"/>
      <c r="AU146" s="193"/>
      <c r="AV146" s="193"/>
      <c r="AW146" s="193"/>
      <c r="AX146" s="193"/>
      <c r="AY146" s="193"/>
      <c r="AZ146" s="193"/>
      <c r="BA146" s="193"/>
      <c r="BB146" s="193"/>
      <c r="BC146" s="193"/>
      <c r="BD146" s="194"/>
      <c r="BE146" s="193"/>
      <c r="BF146" s="193"/>
      <c r="BG146" s="193"/>
      <c r="BH146" s="193"/>
      <c r="BI146" s="193"/>
      <c r="BJ146" s="193"/>
      <c r="BK146" s="193"/>
      <c r="BL146" s="193"/>
      <c r="BM146" s="193"/>
    </row>
    <row r="147" spans="1:65" ht="8.25" customHeight="1" x14ac:dyDescent="0.25">
      <c r="A147" s="193"/>
      <c r="B147" s="193"/>
      <c r="C147" s="193"/>
      <c r="D147" s="193"/>
      <c r="E147" s="193"/>
      <c r="F147" s="193"/>
      <c r="G147" s="193"/>
      <c r="H147" s="193"/>
      <c r="I147" s="193"/>
      <c r="J147" s="193"/>
      <c r="K147" s="193"/>
      <c r="L147" s="193"/>
      <c r="M147" s="193"/>
      <c r="N147" s="193"/>
      <c r="O147" s="193"/>
      <c r="P147" s="194"/>
      <c r="Q147" s="193"/>
      <c r="R147" s="193"/>
      <c r="S147" s="193"/>
      <c r="T147" s="193"/>
      <c r="U147" s="193"/>
      <c r="V147" s="193"/>
      <c r="W147" s="193"/>
      <c r="X147" s="193"/>
      <c r="Y147" s="193"/>
      <c r="Z147" s="194"/>
      <c r="AA147" s="193"/>
      <c r="AB147" s="193"/>
      <c r="AC147" s="193"/>
      <c r="AD147" s="193"/>
      <c r="AE147" s="193"/>
      <c r="AF147" s="193"/>
      <c r="AG147" s="193"/>
      <c r="AH147" s="193"/>
      <c r="AI147" s="193"/>
      <c r="AJ147" s="194"/>
      <c r="AK147" s="193"/>
      <c r="AL147" s="193"/>
      <c r="AM147" s="193"/>
      <c r="AN147" s="193"/>
      <c r="AO147" s="193"/>
      <c r="AP147" s="193"/>
      <c r="AQ147" s="193"/>
      <c r="AR147" s="193"/>
      <c r="AS147" s="193"/>
      <c r="AT147" s="194"/>
      <c r="AU147" s="193"/>
      <c r="AV147" s="193"/>
      <c r="AW147" s="193"/>
      <c r="AX147" s="193"/>
      <c r="AY147" s="193"/>
      <c r="AZ147" s="193"/>
      <c r="BA147" s="193"/>
      <c r="BB147" s="193"/>
      <c r="BC147" s="193"/>
      <c r="BD147" s="194"/>
      <c r="BE147" s="193"/>
      <c r="BF147" s="193"/>
      <c r="BG147" s="193"/>
      <c r="BH147" s="193"/>
      <c r="BI147" s="193"/>
      <c r="BJ147" s="193"/>
      <c r="BK147" s="193"/>
      <c r="BL147" s="193"/>
      <c r="BM147" s="193"/>
    </row>
    <row r="148" spans="1:65" ht="8.25" customHeight="1" x14ac:dyDescent="0.25">
      <c r="A148" s="193"/>
      <c r="B148" s="193"/>
      <c r="C148" s="193"/>
      <c r="D148" s="193"/>
      <c r="E148" s="193"/>
      <c r="F148" s="193"/>
      <c r="G148" s="193"/>
      <c r="H148" s="193"/>
      <c r="I148" s="193"/>
      <c r="J148" s="193"/>
      <c r="K148" s="193"/>
      <c r="L148" s="193"/>
      <c r="M148" s="193"/>
      <c r="N148" s="193"/>
      <c r="O148" s="193"/>
      <c r="P148" s="194"/>
      <c r="Q148" s="193"/>
      <c r="R148" s="193"/>
      <c r="S148" s="193"/>
      <c r="T148" s="193"/>
      <c r="U148" s="193"/>
      <c r="V148" s="193"/>
      <c r="W148" s="193"/>
      <c r="X148" s="193"/>
      <c r="Y148" s="193"/>
      <c r="Z148" s="194"/>
      <c r="AA148" s="193"/>
      <c r="AB148" s="193"/>
      <c r="AC148" s="193"/>
      <c r="AD148" s="193"/>
      <c r="AE148" s="193"/>
      <c r="AF148" s="193"/>
      <c r="AG148" s="193"/>
      <c r="AH148" s="193"/>
      <c r="AI148" s="193"/>
      <c r="AJ148" s="194"/>
      <c r="AK148" s="193"/>
      <c r="AL148" s="193"/>
      <c r="AM148" s="193"/>
      <c r="AN148" s="193"/>
      <c r="AO148" s="193"/>
      <c r="AP148" s="193"/>
      <c r="AQ148" s="193"/>
      <c r="AR148" s="193"/>
      <c r="AS148" s="193"/>
      <c r="AT148" s="194"/>
      <c r="AU148" s="193"/>
      <c r="AV148" s="193"/>
      <c r="AW148" s="193"/>
      <c r="AX148" s="193"/>
      <c r="AY148" s="193"/>
      <c r="AZ148" s="193"/>
      <c r="BA148" s="193"/>
      <c r="BB148" s="193"/>
      <c r="BC148" s="193"/>
      <c r="BD148" s="194"/>
      <c r="BE148" s="193"/>
      <c r="BF148" s="193"/>
      <c r="BG148" s="193"/>
      <c r="BH148" s="193"/>
      <c r="BI148" s="193"/>
      <c r="BJ148" s="193"/>
      <c r="BK148" s="193"/>
      <c r="BL148" s="193"/>
      <c r="BM148" s="193"/>
    </row>
    <row r="149" spans="1:65" ht="8.25" customHeight="1" x14ac:dyDescent="0.25">
      <c r="A149" s="193"/>
      <c r="B149" s="193"/>
      <c r="C149" s="193"/>
      <c r="D149" s="193"/>
      <c r="E149" s="193"/>
      <c r="F149" s="193"/>
      <c r="G149" s="193"/>
      <c r="H149" s="193"/>
      <c r="I149" s="193"/>
      <c r="J149" s="193"/>
      <c r="K149" s="193"/>
      <c r="L149" s="193"/>
      <c r="M149" s="193"/>
      <c r="N149" s="193"/>
      <c r="O149" s="193"/>
      <c r="P149" s="194"/>
      <c r="Q149" s="193"/>
      <c r="R149" s="193"/>
      <c r="S149" s="193"/>
      <c r="T149" s="193"/>
      <c r="U149" s="193"/>
      <c r="V149" s="193"/>
      <c r="W149" s="193"/>
      <c r="X149" s="193"/>
      <c r="Y149" s="193"/>
      <c r="Z149" s="194"/>
      <c r="AA149" s="193"/>
      <c r="AB149" s="193"/>
      <c r="AC149" s="193"/>
      <c r="AD149" s="193"/>
      <c r="AE149" s="193"/>
      <c r="AF149" s="193"/>
      <c r="AG149" s="193"/>
      <c r="AH149" s="193"/>
      <c r="AI149" s="193"/>
      <c r="AJ149" s="194"/>
      <c r="AK149" s="193"/>
      <c r="AL149" s="193"/>
      <c r="AM149" s="193"/>
      <c r="AN149" s="193"/>
      <c r="AO149" s="193"/>
      <c r="AP149" s="193"/>
      <c r="AQ149" s="193"/>
      <c r="AR149" s="193"/>
      <c r="AS149" s="193"/>
      <c r="AT149" s="194"/>
      <c r="AU149" s="193"/>
      <c r="AV149" s="193"/>
      <c r="AW149" s="193"/>
      <c r="AX149" s="193"/>
      <c r="AY149" s="193"/>
      <c r="AZ149" s="193"/>
      <c r="BA149" s="193"/>
      <c r="BB149" s="193"/>
      <c r="BC149" s="193"/>
      <c r="BD149" s="194"/>
      <c r="BE149" s="193"/>
      <c r="BF149" s="193"/>
      <c r="BG149" s="193"/>
      <c r="BH149" s="193"/>
      <c r="BI149" s="193"/>
      <c r="BJ149" s="193"/>
      <c r="BK149" s="193"/>
      <c r="BL149" s="193"/>
      <c r="BM149" s="193"/>
    </row>
    <row r="150" spans="1:65" ht="8.25" customHeight="1" x14ac:dyDescent="0.25">
      <c r="A150" s="193"/>
      <c r="B150" s="193"/>
      <c r="C150" s="193"/>
      <c r="D150" s="193"/>
      <c r="E150" s="193"/>
      <c r="F150" s="193"/>
      <c r="G150" s="193"/>
      <c r="H150" s="193"/>
      <c r="I150" s="193"/>
      <c r="J150" s="193"/>
      <c r="K150" s="193"/>
      <c r="L150" s="193"/>
      <c r="M150" s="193"/>
      <c r="N150" s="193"/>
      <c r="O150" s="193"/>
      <c r="P150" s="194"/>
      <c r="Q150" s="193"/>
      <c r="R150" s="193"/>
      <c r="S150" s="193"/>
      <c r="T150" s="193"/>
      <c r="U150" s="193"/>
      <c r="V150" s="193"/>
      <c r="W150" s="193"/>
      <c r="X150" s="193"/>
      <c r="Y150" s="193"/>
      <c r="Z150" s="194"/>
      <c r="AA150" s="193"/>
      <c r="AB150" s="193"/>
      <c r="AC150" s="193"/>
      <c r="AD150" s="193"/>
      <c r="AE150" s="193"/>
      <c r="AF150" s="193"/>
      <c r="AG150" s="193"/>
      <c r="AH150" s="193"/>
      <c r="AI150" s="193"/>
      <c r="AJ150" s="194"/>
      <c r="AK150" s="193"/>
      <c r="AL150" s="193"/>
      <c r="AM150" s="193"/>
      <c r="AN150" s="193"/>
      <c r="AO150" s="193"/>
      <c r="AP150" s="193"/>
      <c r="AQ150" s="193"/>
      <c r="AR150" s="193"/>
      <c r="AS150" s="193"/>
      <c r="AT150" s="194"/>
      <c r="AU150" s="193"/>
      <c r="AV150" s="193"/>
      <c r="AW150" s="193"/>
      <c r="AX150" s="193"/>
      <c r="AY150" s="193"/>
      <c r="AZ150" s="193"/>
      <c r="BA150" s="193"/>
      <c r="BB150" s="193"/>
      <c r="BC150" s="193"/>
      <c r="BD150" s="194"/>
      <c r="BE150" s="193"/>
      <c r="BF150" s="193"/>
      <c r="BG150" s="193"/>
      <c r="BH150" s="193"/>
      <c r="BI150" s="193"/>
      <c r="BJ150" s="193"/>
      <c r="BK150" s="193"/>
      <c r="BL150" s="193"/>
      <c r="BM150" s="193"/>
    </row>
    <row r="151" spans="1:65" ht="8.25" customHeight="1" x14ac:dyDescent="0.25">
      <c r="A151" s="193"/>
      <c r="B151" s="193"/>
      <c r="C151" s="193"/>
      <c r="D151" s="193"/>
      <c r="E151" s="193"/>
      <c r="F151" s="193"/>
      <c r="G151" s="193"/>
      <c r="H151" s="193"/>
      <c r="I151" s="193"/>
      <c r="J151" s="193"/>
      <c r="K151" s="193"/>
      <c r="L151" s="193"/>
      <c r="M151" s="193"/>
      <c r="N151" s="193"/>
      <c r="O151" s="193"/>
      <c r="P151" s="194"/>
      <c r="Q151" s="193"/>
      <c r="R151" s="193"/>
      <c r="S151" s="193"/>
      <c r="T151" s="193"/>
      <c r="U151" s="193"/>
      <c r="V151" s="193"/>
      <c r="W151" s="193"/>
      <c r="X151" s="193"/>
      <c r="Y151" s="193"/>
      <c r="Z151" s="194"/>
      <c r="AA151" s="193"/>
      <c r="AB151" s="193"/>
      <c r="AC151" s="193"/>
      <c r="AD151" s="193"/>
      <c r="AE151" s="193"/>
      <c r="AF151" s="193"/>
      <c r="AG151" s="193"/>
      <c r="AH151" s="193"/>
      <c r="AI151" s="193"/>
      <c r="AJ151" s="194"/>
      <c r="AK151" s="193"/>
      <c r="AL151" s="193"/>
      <c r="AM151" s="193"/>
      <c r="AN151" s="193"/>
      <c r="AO151" s="193"/>
      <c r="AP151" s="193"/>
      <c r="AQ151" s="193"/>
      <c r="AR151" s="193"/>
      <c r="AS151" s="193"/>
      <c r="AT151" s="194"/>
      <c r="AU151" s="193"/>
      <c r="AV151" s="193"/>
      <c r="AW151" s="193"/>
      <c r="AX151" s="193"/>
      <c r="AY151" s="193"/>
      <c r="AZ151" s="193"/>
      <c r="BA151" s="193"/>
      <c r="BB151" s="193"/>
      <c r="BC151" s="193"/>
      <c r="BD151" s="194"/>
      <c r="BE151" s="193"/>
      <c r="BF151" s="193"/>
      <c r="BG151" s="193"/>
      <c r="BH151" s="193"/>
      <c r="BI151" s="193"/>
      <c r="BJ151" s="193"/>
      <c r="BK151" s="193"/>
      <c r="BL151" s="193"/>
      <c r="BM151" s="193"/>
    </row>
    <row r="152" spans="1:65" ht="8.25" customHeight="1" x14ac:dyDescent="0.25">
      <c r="A152" s="193"/>
      <c r="B152" s="193"/>
      <c r="C152" s="193"/>
      <c r="D152" s="193"/>
      <c r="E152" s="193"/>
      <c r="F152" s="193"/>
      <c r="G152" s="193"/>
      <c r="H152" s="193"/>
      <c r="I152" s="193"/>
      <c r="J152" s="193"/>
      <c r="K152" s="193"/>
      <c r="L152" s="193"/>
      <c r="M152" s="193"/>
      <c r="N152" s="193"/>
      <c r="O152" s="193"/>
      <c r="P152" s="194"/>
      <c r="Q152" s="193"/>
      <c r="R152" s="193"/>
      <c r="S152" s="193"/>
      <c r="T152" s="193"/>
      <c r="U152" s="193"/>
      <c r="V152" s="193"/>
      <c r="W152" s="193"/>
      <c r="X152" s="193"/>
      <c r="Y152" s="193"/>
      <c r="Z152" s="194"/>
      <c r="AA152" s="193"/>
      <c r="AB152" s="193"/>
      <c r="AC152" s="193"/>
      <c r="AD152" s="193"/>
      <c r="AE152" s="193"/>
      <c r="AF152" s="193"/>
      <c r="AG152" s="193"/>
      <c r="AH152" s="193"/>
      <c r="AI152" s="193"/>
      <c r="AJ152" s="194"/>
      <c r="AK152" s="193"/>
      <c r="AL152" s="193"/>
      <c r="AM152" s="193"/>
      <c r="AN152" s="193"/>
      <c r="AO152" s="193"/>
      <c r="AP152" s="193"/>
      <c r="AQ152" s="193"/>
      <c r="AR152" s="193"/>
      <c r="AS152" s="193"/>
      <c r="AT152" s="194"/>
      <c r="AU152" s="193"/>
      <c r="AV152" s="193"/>
      <c r="AW152" s="193"/>
      <c r="AX152" s="193"/>
      <c r="AY152" s="193"/>
      <c r="AZ152" s="193"/>
      <c r="BA152" s="193"/>
      <c r="BB152" s="193"/>
      <c r="BC152" s="193"/>
      <c r="BD152" s="194"/>
      <c r="BE152" s="193"/>
      <c r="BF152" s="193"/>
      <c r="BG152" s="193"/>
      <c r="BH152" s="193"/>
      <c r="BI152" s="193"/>
      <c r="BJ152" s="193"/>
      <c r="BK152" s="193"/>
      <c r="BL152" s="193"/>
      <c r="BM152" s="193"/>
    </row>
    <row r="153" spans="1:65" ht="8.25" customHeight="1" x14ac:dyDescent="0.25">
      <c r="A153" s="193"/>
      <c r="B153" s="193"/>
      <c r="C153" s="193"/>
      <c r="D153" s="193"/>
      <c r="E153" s="193"/>
      <c r="F153" s="193"/>
      <c r="G153" s="193"/>
      <c r="H153" s="193"/>
      <c r="I153" s="193"/>
      <c r="J153" s="193"/>
      <c r="K153" s="193"/>
      <c r="L153" s="193"/>
      <c r="M153" s="193"/>
      <c r="N153" s="193"/>
      <c r="O153" s="193"/>
      <c r="P153" s="194"/>
      <c r="Q153" s="193"/>
      <c r="R153" s="193"/>
      <c r="S153" s="193"/>
      <c r="T153" s="193"/>
      <c r="U153" s="193"/>
      <c r="V153" s="193"/>
      <c r="W153" s="193"/>
      <c r="X153" s="193"/>
      <c r="Y153" s="193"/>
      <c r="Z153" s="194"/>
      <c r="AA153" s="193"/>
      <c r="AB153" s="193"/>
      <c r="AC153" s="193"/>
      <c r="AD153" s="193"/>
      <c r="AE153" s="193"/>
      <c r="AF153" s="193"/>
      <c r="AG153" s="193"/>
      <c r="AH153" s="193"/>
      <c r="AI153" s="193"/>
      <c r="AJ153" s="194"/>
      <c r="AK153" s="193"/>
      <c r="AL153" s="193"/>
      <c r="AM153" s="193"/>
      <c r="AN153" s="193"/>
      <c r="AO153" s="193"/>
      <c r="AP153" s="193"/>
      <c r="AQ153" s="193"/>
      <c r="AR153" s="193"/>
      <c r="AS153" s="193"/>
      <c r="AT153" s="194"/>
      <c r="AU153" s="193"/>
      <c r="AV153" s="193"/>
      <c r="AW153" s="193"/>
      <c r="AX153" s="193"/>
      <c r="AY153" s="193"/>
      <c r="AZ153" s="193"/>
      <c r="BA153" s="193"/>
      <c r="BB153" s="193"/>
      <c r="BC153" s="193"/>
      <c r="BD153" s="194"/>
      <c r="BE153" s="193"/>
      <c r="BF153" s="193"/>
      <c r="BG153" s="193"/>
      <c r="BH153" s="193"/>
      <c r="BI153" s="193"/>
      <c r="BJ153" s="193"/>
      <c r="BK153" s="193"/>
      <c r="BL153" s="193"/>
      <c r="BM153" s="193"/>
    </row>
    <row r="154" spans="1:65" ht="8.25" customHeight="1" x14ac:dyDescent="0.25">
      <c r="A154" s="193"/>
      <c r="B154" s="193"/>
      <c r="C154" s="193"/>
      <c r="D154" s="193"/>
      <c r="E154" s="193"/>
      <c r="F154" s="193"/>
      <c r="G154" s="193"/>
      <c r="H154" s="193"/>
      <c r="I154" s="193"/>
      <c r="J154" s="193"/>
      <c r="K154" s="193"/>
      <c r="L154" s="193"/>
      <c r="M154" s="193"/>
      <c r="N154" s="193"/>
      <c r="O154" s="193"/>
      <c r="P154" s="194"/>
      <c r="Q154" s="193"/>
      <c r="R154" s="193"/>
      <c r="S154" s="193"/>
      <c r="T154" s="193"/>
      <c r="U154" s="193"/>
      <c r="V154" s="193"/>
      <c r="W154" s="193"/>
      <c r="X154" s="193"/>
      <c r="Y154" s="193"/>
      <c r="Z154" s="194"/>
      <c r="AA154" s="193"/>
      <c r="AB154" s="193"/>
      <c r="AC154" s="193"/>
      <c r="AD154" s="193"/>
      <c r="AE154" s="193"/>
      <c r="AF154" s="193"/>
      <c r="AG154" s="193"/>
      <c r="AH154" s="193"/>
      <c r="AI154" s="193"/>
      <c r="AJ154" s="194"/>
      <c r="AK154" s="193"/>
      <c r="AL154" s="193"/>
      <c r="AM154" s="193"/>
      <c r="AN154" s="193"/>
      <c r="AO154" s="193"/>
      <c r="AP154" s="193"/>
      <c r="AQ154" s="193"/>
      <c r="AR154" s="193"/>
      <c r="AS154" s="193"/>
      <c r="AT154" s="194"/>
      <c r="AU154" s="193"/>
      <c r="AV154" s="193"/>
      <c r="AW154" s="193"/>
      <c r="AX154" s="193"/>
      <c r="AY154" s="193"/>
      <c r="AZ154" s="193"/>
      <c r="BA154" s="193"/>
      <c r="BB154" s="193"/>
      <c r="BC154" s="193"/>
      <c r="BD154" s="194"/>
      <c r="BE154" s="193"/>
      <c r="BF154" s="193"/>
      <c r="BG154" s="193"/>
      <c r="BH154" s="193"/>
      <c r="BI154" s="193"/>
      <c r="BJ154" s="193"/>
      <c r="BK154" s="193"/>
      <c r="BL154" s="193"/>
      <c r="BM154" s="193"/>
    </row>
    <row r="155" spans="1:65" ht="8.25" customHeight="1" x14ac:dyDescent="0.25">
      <c r="A155" s="193"/>
      <c r="B155" s="193"/>
      <c r="C155" s="193"/>
      <c r="D155" s="193"/>
      <c r="E155" s="193"/>
      <c r="F155" s="193"/>
      <c r="G155" s="193"/>
      <c r="H155" s="193"/>
      <c r="I155" s="193"/>
      <c r="J155" s="193"/>
      <c r="K155" s="193"/>
      <c r="L155" s="193"/>
      <c r="M155" s="193"/>
      <c r="N155" s="193"/>
      <c r="O155" s="193"/>
      <c r="P155" s="194"/>
      <c r="Q155" s="193"/>
      <c r="R155" s="193"/>
      <c r="S155" s="193"/>
      <c r="T155" s="193"/>
      <c r="U155" s="193"/>
      <c r="V155" s="193"/>
      <c r="W155" s="193"/>
      <c r="X155" s="193"/>
      <c r="Y155" s="193"/>
      <c r="Z155" s="194"/>
      <c r="AA155" s="193"/>
      <c r="AB155" s="193"/>
      <c r="AC155" s="193"/>
      <c r="AD155" s="193"/>
      <c r="AE155" s="193"/>
      <c r="AF155" s="193"/>
      <c r="AG155" s="193"/>
      <c r="AH155" s="193"/>
      <c r="AI155" s="193"/>
      <c r="AJ155" s="194"/>
      <c r="AK155" s="193"/>
      <c r="AL155" s="193"/>
      <c r="AM155" s="193"/>
      <c r="AN155" s="193"/>
      <c r="AO155" s="193"/>
      <c r="AP155" s="193"/>
      <c r="AQ155" s="193"/>
      <c r="AR155" s="193"/>
      <c r="AS155" s="193"/>
      <c r="AT155" s="194"/>
      <c r="AU155" s="193"/>
      <c r="AV155" s="193"/>
      <c r="AW155" s="193"/>
      <c r="AX155" s="193"/>
      <c r="AY155" s="193"/>
      <c r="AZ155" s="193"/>
      <c r="BA155" s="193"/>
      <c r="BB155" s="193"/>
      <c r="BC155" s="193"/>
      <c r="BD155" s="194"/>
      <c r="BE155" s="193"/>
      <c r="BF155" s="193"/>
      <c r="BG155" s="193"/>
      <c r="BH155" s="193"/>
      <c r="BI155" s="193"/>
      <c r="BJ155" s="193"/>
      <c r="BK155" s="193"/>
      <c r="BL155" s="193"/>
      <c r="BM155" s="193"/>
    </row>
    <row r="156" spans="1:65" ht="8.25" customHeight="1" x14ac:dyDescent="0.25">
      <c r="A156" s="193"/>
      <c r="B156" s="193"/>
      <c r="C156" s="193"/>
      <c r="D156" s="193"/>
      <c r="E156" s="193"/>
      <c r="F156" s="193"/>
      <c r="G156" s="193"/>
      <c r="H156" s="193"/>
      <c r="I156" s="193"/>
      <c r="J156" s="193"/>
      <c r="K156" s="193"/>
      <c r="L156" s="193"/>
      <c r="M156" s="193"/>
      <c r="N156" s="193"/>
      <c r="O156" s="193"/>
      <c r="P156" s="194"/>
      <c r="Q156" s="193"/>
      <c r="R156" s="193"/>
      <c r="S156" s="193"/>
      <c r="T156" s="193"/>
      <c r="U156" s="193"/>
      <c r="V156" s="193"/>
      <c r="W156" s="193"/>
      <c r="X156" s="193"/>
      <c r="Y156" s="193"/>
      <c r="Z156" s="194"/>
      <c r="AA156" s="193"/>
      <c r="AB156" s="193"/>
      <c r="AC156" s="193"/>
      <c r="AD156" s="193"/>
      <c r="AE156" s="193"/>
      <c r="AF156" s="193"/>
      <c r="AG156" s="193"/>
      <c r="AH156" s="193"/>
      <c r="AI156" s="193"/>
      <c r="AJ156" s="194"/>
      <c r="AK156" s="193"/>
      <c r="AL156" s="193"/>
      <c r="AM156" s="193"/>
      <c r="AN156" s="193"/>
      <c r="AO156" s="193"/>
      <c r="AP156" s="193"/>
      <c r="AQ156" s="193"/>
      <c r="AR156" s="193"/>
      <c r="AS156" s="193"/>
      <c r="AT156" s="194"/>
      <c r="AU156" s="193"/>
      <c r="AV156" s="193"/>
      <c r="AW156" s="193"/>
      <c r="AX156" s="193"/>
      <c r="AY156" s="193"/>
      <c r="AZ156" s="193"/>
      <c r="BA156" s="193"/>
      <c r="BB156" s="193"/>
      <c r="BC156" s="193"/>
      <c r="BD156" s="194"/>
      <c r="BE156" s="193"/>
      <c r="BF156" s="193"/>
      <c r="BG156" s="193"/>
      <c r="BH156" s="193"/>
      <c r="BI156" s="193"/>
      <c r="BJ156" s="193"/>
      <c r="BK156" s="193"/>
      <c r="BL156" s="193"/>
      <c r="BM156" s="193"/>
    </row>
    <row r="157" spans="1:65" ht="8.25" customHeight="1" x14ac:dyDescent="0.25">
      <c r="A157" s="193"/>
      <c r="B157" s="193"/>
      <c r="C157" s="193"/>
      <c r="D157" s="193"/>
      <c r="E157" s="193"/>
      <c r="F157" s="193"/>
      <c r="G157" s="193"/>
      <c r="H157" s="193"/>
      <c r="I157" s="193"/>
      <c r="J157" s="193"/>
      <c r="K157" s="193"/>
      <c r="L157" s="193"/>
      <c r="M157" s="193"/>
      <c r="N157" s="193"/>
      <c r="O157" s="193"/>
      <c r="P157" s="194"/>
      <c r="Q157" s="193"/>
      <c r="R157" s="193"/>
      <c r="S157" s="193"/>
      <c r="T157" s="193"/>
      <c r="U157" s="193"/>
      <c r="V157" s="193"/>
      <c r="W157" s="193"/>
      <c r="X157" s="193"/>
      <c r="Y157" s="193"/>
      <c r="Z157" s="194"/>
      <c r="AA157" s="193"/>
      <c r="AB157" s="193"/>
      <c r="AC157" s="193"/>
      <c r="AD157" s="193"/>
      <c r="AE157" s="193"/>
      <c r="AF157" s="193"/>
      <c r="AG157" s="193"/>
      <c r="AH157" s="193"/>
      <c r="AI157" s="193"/>
      <c r="AJ157" s="194"/>
      <c r="AK157" s="193"/>
      <c r="AL157" s="193"/>
      <c r="AM157" s="193"/>
      <c r="AN157" s="193"/>
      <c r="AO157" s="193"/>
      <c r="AP157" s="193"/>
      <c r="AQ157" s="193"/>
      <c r="AR157" s="193"/>
      <c r="AS157" s="193"/>
      <c r="AT157" s="194"/>
      <c r="AU157" s="193"/>
      <c r="AV157" s="193"/>
      <c r="AW157" s="193"/>
      <c r="AX157" s="193"/>
      <c r="AY157" s="193"/>
      <c r="AZ157" s="193"/>
      <c r="BA157" s="193"/>
      <c r="BB157" s="193"/>
      <c r="BC157" s="193"/>
      <c r="BD157" s="194"/>
      <c r="BE157" s="193"/>
      <c r="BF157" s="193"/>
      <c r="BG157" s="193"/>
      <c r="BH157" s="193"/>
      <c r="BI157" s="193"/>
      <c r="BJ157" s="193"/>
      <c r="BK157" s="193"/>
      <c r="BL157" s="193"/>
      <c r="BM157" s="193"/>
    </row>
    <row r="158" spans="1:65" ht="8.25" customHeight="1" x14ac:dyDescent="0.25">
      <c r="A158" s="193"/>
      <c r="B158" s="193"/>
      <c r="C158" s="193"/>
      <c r="D158" s="193"/>
      <c r="E158" s="193"/>
      <c r="F158" s="193"/>
      <c r="G158" s="193"/>
      <c r="H158" s="193"/>
      <c r="I158" s="193"/>
      <c r="J158" s="193"/>
      <c r="K158" s="193"/>
      <c r="L158" s="193"/>
      <c r="M158" s="193"/>
      <c r="N158" s="193"/>
      <c r="O158" s="193"/>
      <c r="P158" s="194"/>
      <c r="Q158" s="193"/>
      <c r="R158" s="193"/>
      <c r="S158" s="193"/>
      <c r="T158" s="193"/>
      <c r="U158" s="193"/>
      <c r="V158" s="193"/>
      <c r="W158" s="193"/>
      <c r="X158" s="193"/>
      <c r="Y158" s="193"/>
      <c r="Z158" s="194"/>
      <c r="AA158" s="193"/>
      <c r="AB158" s="193"/>
      <c r="AC158" s="193"/>
      <c r="AD158" s="193"/>
      <c r="AE158" s="193"/>
      <c r="AF158" s="193"/>
      <c r="AG158" s="193"/>
      <c r="AH158" s="193"/>
      <c r="AI158" s="193"/>
      <c r="AJ158" s="194"/>
      <c r="AK158" s="193"/>
      <c r="AL158" s="193"/>
      <c r="AM158" s="193"/>
      <c r="AN158" s="193"/>
      <c r="AO158" s="193"/>
      <c r="AP158" s="193"/>
      <c r="AQ158" s="193"/>
      <c r="AR158" s="193"/>
      <c r="AS158" s="193"/>
      <c r="AT158" s="194"/>
      <c r="AU158" s="193"/>
      <c r="AV158" s="193"/>
      <c r="AW158" s="193"/>
      <c r="AX158" s="193"/>
      <c r="AY158" s="193"/>
      <c r="AZ158" s="193"/>
      <c r="BA158" s="193"/>
      <c r="BB158" s="193"/>
      <c r="BC158" s="193"/>
      <c r="BD158" s="194"/>
      <c r="BE158" s="193"/>
      <c r="BF158" s="193"/>
      <c r="BG158" s="193"/>
      <c r="BH158" s="193"/>
      <c r="BI158" s="193"/>
      <c r="BJ158" s="193"/>
      <c r="BK158" s="193"/>
      <c r="BL158" s="193"/>
      <c r="BM158" s="193"/>
    </row>
    <row r="159" spans="1:65" ht="8.25" customHeight="1" x14ac:dyDescent="0.25">
      <c r="A159" s="193"/>
      <c r="B159" s="193"/>
      <c r="C159" s="193"/>
      <c r="D159" s="193"/>
      <c r="E159" s="193"/>
      <c r="F159" s="193"/>
      <c r="G159" s="193"/>
      <c r="H159" s="193"/>
      <c r="I159" s="193"/>
      <c r="J159" s="193"/>
      <c r="K159" s="193"/>
      <c r="L159" s="193"/>
      <c r="M159" s="193"/>
      <c r="N159" s="193"/>
      <c r="O159" s="193"/>
      <c r="P159" s="194"/>
      <c r="Q159" s="193"/>
      <c r="R159" s="193"/>
      <c r="S159" s="193"/>
      <c r="T159" s="193"/>
      <c r="U159" s="193"/>
      <c r="V159" s="193"/>
      <c r="W159" s="193"/>
      <c r="X159" s="193"/>
      <c r="Y159" s="193"/>
      <c r="Z159" s="194"/>
      <c r="AA159" s="193"/>
      <c r="AB159" s="193"/>
      <c r="AC159" s="193"/>
      <c r="AD159" s="193"/>
      <c r="AE159" s="193"/>
      <c r="AF159" s="193"/>
      <c r="AG159" s="193"/>
      <c r="AH159" s="193"/>
      <c r="AI159" s="193"/>
      <c r="AJ159" s="194"/>
      <c r="AK159" s="193"/>
      <c r="AL159" s="193"/>
      <c r="AM159" s="193"/>
      <c r="AN159" s="193"/>
      <c r="AO159" s="193"/>
      <c r="AP159" s="193"/>
      <c r="AQ159" s="193"/>
      <c r="AR159" s="193"/>
      <c r="AS159" s="193"/>
      <c r="AT159" s="194"/>
      <c r="AU159" s="193"/>
      <c r="AV159" s="193"/>
      <c r="AW159" s="193"/>
      <c r="AX159" s="193"/>
      <c r="AY159" s="193"/>
      <c r="AZ159" s="193"/>
      <c r="BA159" s="193"/>
      <c r="BB159" s="193"/>
      <c r="BC159" s="193"/>
      <c r="BD159" s="194"/>
      <c r="BE159" s="193"/>
      <c r="BF159" s="193"/>
      <c r="BG159" s="193"/>
      <c r="BH159" s="193"/>
      <c r="BI159" s="193"/>
      <c r="BJ159" s="193"/>
      <c r="BK159" s="193"/>
      <c r="BL159" s="193"/>
      <c r="BM159" s="193"/>
    </row>
    <row r="160" spans="1:65" ht="8.25" customHeight="1" x14ac:dyDescent="0.25">
      <c r="A160" s="193"/>
      <c r="B160" s="193"/>
      <c r="C160" s="193"/>
      <c r="D160" s="193"/>
      <c r="E160" s="193"/>
      <c r="F160" s="193"/>
      <c r="G160" s="193"/>
      <c r="H160" s="193"/>
      <c r="I160" s="193"/>
      <c r="J160" s="193"/>
      <c r="K160" s="193"/>
      <c r="L160" s="193"/>
      <c r="M160" s="193"/>
      <c r="N160" s="193"/>
      <c r="O160" s="193"/>
      <c r="P160" s="194"/>
      <c r="Q160" s="193"/>
      <c r="R160" s="193"/>
      <c r="S160" s="193"/>
      <c r="T160" s="193"/>
      <c r="U160" s="193"/>
      <c r="V160" s="193"/>
      <c r="W160" s="193"/>
      <c r="X160" s="193"/>
      <c r="Y160" s="193"/>
      <c r="Z160" s="194"/>
      <c r="AA160" s="193"/>
      <c r="AB160" s="193"/>
      <c r="AC160" s="193"/>
      <c r="AD160" s="193"/>
      <c r="AE160" s="193"/>
      <c r="AF160" s="193"/>
      <c r="AG160" s="193"/>
      <c r="AH160" s="193"/>
      <c r="AI160" s="193"/>
      <c r="AJ160" s="194"/>
      <c r="AK160" s="193"/>
      <c r="AL160" s="193"/>
      <c r="AM160" s="193"/>
      <c r="AN160" s="193"/>
      <c r="AO160" s="193"/>
      <c r="AP160" s="193"/>
      <c r="AQ160" s="193"/>
      <c r="AR160" s="193"/>
      <c r="AS160" s="193"/>
      <c r="AT160" s="194"/>
      <c r="AU160" s="193"/>
      <c r="AV160" s="193"/>
      <c r="AW160" s="193"/>
      <c r="AX160" s="193"/>
      <c r="AY160" s="193"/>
      <c r="AZ160" s="193"/>
      <c r="BA160" s="193"/>
      <c r="BB160" s="193"/>
      <c r="BC160" s="193"/>
      <c r="BD160" s="194"/>
      <c r="BE160" s="193"/>
      <c r="BF160" s="193"/>
      <c r="BG160" s="193"/>
      <c r="BH160" s="193"/>
      <c r="BI160" s="193"/>
      <c r="BJ160" s="193"/>
      <c r="BK160" s="193"/>
      <c r="BL160" s="193"/>
      <c r="BM160" s="193"/>
    </row>
    <row r="161" spans="1:65" ht="8.25" customHeight="1" x14ac:dyDescent="0.25">
      <c r="A161" s="193"/>
      <c r="B161" s="193"/>
      <c r="C161" s="193"/>
      <c r="D161" s="193"/>
      <c r="E161" s="193"/>
      <c r="F161" s="193"/>
      <c r="G161" s="193"/>
      <c r="H161" s="193"/>
      <c r="I161" s="193"/>
      <c r="J161" s="193"/>
      <c r="K161" s="193"/>
      <c r="L161" s="193"/>
      <c r="M161" s="193"/>
      <c r="N161" s="193"/>
      <c r="O161" s="193"/>
      <c r="P161" s="194"/>
      <c r="Q161" s="193"/>
      <c r="R161" s="193"/>
      <c r="S161" s="193"/>
      <c r="T161" s="193"/>
      <c r="U161" s="193"/>
      <c r="V161" s="193"/>
      <c r="W161" s="193"/>
      <c r="X161" s="193"/>
      <c r="Y161" s="193"/>
      <c r="Z161" s="194"/>
      <c r="AA161" s="193"/>
      <c r="AB161" s="193"/>
      <c r="AC161" s="193"/>
      <c r="AD161" s="193"/>
      <c r="AE161" s="193"/>
      <c r="AF161" s="193"/>
      <c r="AG161" s="193"/>
      <c r="AH161" s="193"/>
      <c r="AI161" s="193"/>
      <c r="AJ161" s="194"/>
      <c r="AK161" s="193"/>
      <c r="AL161" s="193"/>
      <c r="AM161" s="193"/>
      <c r="AN161" s="193"/>
      <c r="AO161" s="193"/>
      <c r="AP161" s="193"/>
      <c r="AQ161" s="193"/>
      <c r="AR161" s="193"/>
      <c r="AS161" s="193"/>
      <c r="AT161" s="194"/>
      <c r="AU161" s="193"/>
      <c r="AV161" s="193"/>
      <c r="AW161" s="193"/>
      <c r="AX161" s="193"/>
      <c r="AY161" s="193"/>
      <c r="AZ161" s="193"/>
      <c r="BA161" s="193"/>
      <c r="BB161" s="193"/>
      <c r="BC161" s="193"/>
      <c r="BD161" s="194"/>
      <c r="BE161" s="193"/>
      <c r="BF161" s="193"/>
      <c r="BG161" s="193"/>
      <c r="BH161" s="193"/>
      <c r="BI161" s="193"/>
      <c r="BJ161" s="193"/>
      <c r="BK161" s="193"/>
      <c r="BL161" s="193"/>
      <c r="BM161" s="193"/>
    </row>
    <row r="162" spans="1:65" ht="8.25" customHeight="1" x14ac:dyDescent="0.25">
      <c r="A162" s="193"/>
      <c r="B162" s="193"/>
      <c r="C162" s="193"/>
      <c r="D162" s="193"/>
      <c r="E162" s="193"/>
      <c r="F162" s="193"/>
      <c r="G162" s="193"/>
      <c r="H162" s="193"/>
      <c r="I162" s="193"/>
      <c r="J162" s="193"/>
      <c r="K162" s="193"/>
      <c r="L162" s="193"/>
      <c r="M162" s="193"/>
      <c r="N162" s="193"/>
      <c r="O162" s="193"/>
      <c r="P162" s="194"/>
      <c r="Q162" s="193"/>
      <c r="R162" s="193"/>
      <c r="S162" s="193"/>
      <c r="T162" s="193"/>
      <c r="U162" s="193"/>
      <c r="V162" s="193"/>
      <c r="W162" s="193"/>
      <c r="X162" s="193"/>
      <c r="Y162" s="193"/>
      <c r="Z162" s="194"/>
      <c r="AA162" s="193"/>
      <c r="AB162" s="193"/>
      <c r="AC162" s="193"/>
      <c r="AD162" s="193"/>
      <c r="AE162" s="193"/>
      <c r="AF162" s="193"/>
      <c r="AG162" s="193"/>
      <c r="AH162" s="193"/>
      <c r="AI162" s="193"/>
      <c r="AJ162" s="194"/>
      <c r="AK162" s="193"/>
      <c r="AL162" s="193"/>
      <c r="AM162" s="193"/>
      <c r="AN162" s="193"/>
      <c r="AO162" s="193"/>
      <c r="AP162" s="193"/>
      <c r="AQ162" s="193"/>
      <c r="AR162" s="193"/>
      <c r="AS162" s="193"/>
      <c r="AT162" s="194"/>
      <c r="AU162" s="193"/>
      <c r="AV162" s="193"/>
      <c r="AW162" s="193"/>
      <c r="AX162" s="193"/>
      <c r="AY162" s="193"/>
      <c r="AZ162" s="193"/>
      <c r="BA162" s="193"/>
      <c r="BB162" s="193"/>
      <c r="BC162" s="193"/>
      <c r="BD162" s="194"/>
      <c r="BE162" s="193"/>
      <c r="BF162" s="193"/>
      <c r="BG162" s="193"/>
      <c r="BH162" s="193"/>
      <c r="BI162" s="193"/>
      <c r="BJ162" s="193"/>
      <c r="BK162" s="193"/>
      <c r="BL162" s="193"/>
      <c r="BM162" s="193"/>
    </row>
    <row r="163" spans="1:65" ht="8.25" customHeight="1" x14ac:dyDescent="0.25">
      <c r="A163" s="193"/>
      <c r="B163" s="193"/>
      <c r="C163" s="193"/>
      <c r="D163" s="193"/>
      <c r="E163" s="193"/>
      <c r="F163" s="193"/>
      <c r="G163" s="193"/>
      <c r="H163" s="193"/>
      <c r="I163" s="193"/>
      <c r="J163" s="193"/>
      <c r="K163" s="193"/>
      <c r="L163" s="193"/>
      <c r="M163" s="193"/>
      <c r="N163" s="193"/>
      <c r="O163" s="193"/>
      <c r="P163" s="194"/>
      <c r="Q163" s="193"/>
      <c r="R163" s="193"/>
      <c r="S163" s="193"/>
      <c r="T163" s="193"/>
      <c r="U163" s="193"/>
      <c r="V163" s="193"/>
      <c r="W163" s="193"/>
      <c r="X163" s="193"/>
      <c r="Y163" s="193"/>
      <c r="Z163" s="194"/>
      <c r="AA163" s="193"/>
      <c r="AB163" s="193"/>
      <c r="AC163" s="193"/>
      <c r="AD163" s="193"/>
      <c r="AE163" s="193"/>
      <c r="AF163" s="193"/>
      <c r="AG163" s="193"/>
      <c r="AH163" s="193"/>
      <c r="AI163" s="193"/>
      <c r="AJ163" s="194"/>
      <c r="AK163" s="193"/>
      <c r="AL163" s="193"/>
      <c r="AM163" s="193"/>
      <c r="AN163" s="193"/>
      <c r="AO163" s="193"/>
      <c r="AP163" s="193"/>
      <c r="AQ163" s="193"/>
      <c r="AR163" s="193"/>
      <c r="AS163" s="193"/>
      <c r="AT163" s="194"/>
      <c r="AU163" s="193"/>
      <c r="AV163" s="193"/>
      <c r="AW163" s="193"/>
      <c r="AX163" s="193"/>
      <c r="AY163" s="193"/>
      <c r="AZ163" s="193"/>
      <c r="BA163" s="193"/>
      <c r="BB163" s="193"/>
      <c r="BC163" s="193"/>
      <c r="BD163" s="194"/>
      <c r="BE163" s="193"/>
      <c r="BF163" s="193"/>
      <c r="BG163" s="193"/>
      <c r="BH163" s="193"/>
      <c r="BI163" s="193"/>
      <c r="BJ163" s="193"/>
      <c r="BK163" s="193"/>
      <c r="BL163" s="193"/>
      <c r="BM163" s="193"/>
    </row>
    <row r="164" spans="1:65" ht="8.25" customHeight="1" x14ac:dyDescent="0.25">
      <c r="A164" s="193"/>
      <c r="B164" s="193"/>
      <c r="C164" s="193"/>
      <c r="D164" s="193"/>
      <c r="E164" s="193"/>
      <c r="F164" s="193"/>
      <c r="G164" s="193"/>
      <c r="H164" s="193"/>
      <c r="I164" s="193"/>
      <c r="J164" s="193"/>
      <c r="K164" s="193"/>
      <c r="L164" s="193"/>
      <c r="M164" s="193"/>
      <c r="N164" s="193"/>
      <c r="O164" s="193"/>
      <c r="P164" s="194"/>
      <c r="Q164" s="193"/>
      <c r="R164" s="193"/>
      <c r="S164" s="193"/>
      <c r="T164" s="193"/>
      <c r="U164" s="193"/>
      <c r="V164" s="193"/>
      <c r="W164" s="193"/>
      <c r="X164" s="193"/>
      <c r="Y164" s="193"/>
      <c r="Z164" s="194"/>
      <c r="AA164" s="193"/>
      <c r="AB164" s="193"/>
      <c r="AC164" s="193"/>
      <c r="AD164" s="193"/>
      <c r="AE164" s="193"/>
      <c r="AF164" s="193"/>
      <c r="AG164" s="193"/>
      <c r="AH164" s="193"/>
      <c r="AI164" s="193"/>
      <c r="AJ164" s="194"/>
      <c r="AK164" s="193"/>
      <c r="AL164" s="193"/>
      <c r="AM164" s="193"/>
      <c r="AN164" s="193"/>
      <c r="AO164" s="193"/>
      <c r="AP164" s="193"/>
      <c r="AQ164" s="193"/>
      <c r="AR164" s="193"/>
      <c r="AS164" s="193"/>
      <c r="AT164" s="194"/>
      <c r="AU164" s="193"/>
      <c r="AV164" s="193"/>
      <c r="AW164" s="193"/>
      <c r="AX164" s="193"/>
      <c r="AY164" s="193"/>
      <c r="AZ164" s="193"/>
      <c r="BA164" s="193"/>
      <c r="BB164" s="193"/>
      <c r="BC164" s="193"/>
      <c r="BD164" s="194"/>
      <c r="BE164" s="193"/>
      <c r="BF164" s="193"/>
      <c r="BG164" s="193"/>
      <c r="BH164" s="193"/>
      <c r="BI164" s="193"/>
      <c r="BJ164" s="193"/>
      <c r="BK164" s="193"/>
      <c r="BL164" s="193"/>
      <c r="BM164" s="193"/>
    </row>
    <row r="165" spans="1:65" ht="8.25" customHeight="1" x14ac:dyDescent="0.25">
      <c r="A165" s="193"/>
      <c r="B165" s="193"/>
      <c r="C165" s="193"/>
      <c r="D165" s="193"/>
      <c r="E165" s="193"/>
      <c r="F165" s="193"/>
      <c r="G165" s="193"/>
      <c r="H165" s="193"/>
      <c r="I165" s="193"/>
      <c r="J165" s="193"/>
      <c r="K165" s="193"/>
      <c r="L165" s="193"/>
      <c r="M165" s="193"/>
      <c r="N165" s="193"/>
      <c r="O165" s="193"/>
      <c r="P165" s="194"/>
      <c r="Q165" s="193"/>
      <c r="R165" s="193"/>
      <c r="S165" s="193"/>
      <c r="T165" s="193"/>
      <c r="U165" s="193"/>
      <c r="V165" s="193"/>
      <c r="W165" s="193"/>
      <c r="X165" s="193"/>
      <c r="Y165" s="193"/>
      <c r="Z165" s="194"/>
      <c r="AA165" s="193"/>
      <c r="AB165" s="193"/>
      <c r="AC165" s="193"/>
      <c r="AD165" s="193"/>
      <c r="AE165" s="193"/>
      <c r="AF165" s="193"/>
      <c r="AG165" s="193"/>
      <c r="AH165" s="193"/>
      <c r="AI165" s="193"/>
      <c r="AJ165" s="194"/>
      <c r="AK165" s="193"/>
      <c r="AL165" s="193"/>
      <c r="AM165" s="193"/>
      <c r="AN165" s="193"/>
      <c r="AO165" s="193"/>
      <c r="AP165" s="193"/>
      <c r="AQ165" s="193"/>
      <c r="AR165" s="193"/>
      <c r="AS165" s="193"/>
      <c r="AT165" s="194"/>
      <c r="AU165" s="193"/>
      <c r="AV165" s="193"/>
      <c r="AW165" s="193"/>
      <c r="AX165" s="193"/>
      <c r="AY165" s="193"/>
      <c r="AZ165" s="193"/>
      <c r="BA165" s="193"/>
      <c r="BB165" s="193"/>
      <c r="BC165" s="193"/>
      <c r="BD165" s="194"/>
      <c r="BE165" s="193"/>
      <c r="BF165" s="193"/>
      <c r="BG165" s="193"/>
      <c r="BH165" s="193"/>
      <c r="BI165" s="193"/>
      <c r="BJ165" s="193"/>
      <c r="BK165" s="193"/>
      <c r="BL165" s="193"/>
      <c r="BM165" s="193"/>
    </row>
    <row r="166" spans="1:65" ht="8.25" customHeight="1" x14ac:dyDescent="0.25">
      <c r="A166" s="193"/>
      <c r="B166" s="193"/>
      <c r="C166" s="193"/>
      <c r="D166" s="193"/>
      <c r="E166" s="193"/>
      <c r="F166" s="193"/>
      <c r="G166" s="193"/>
      <c r="H166" s="193"/>
      <c r="I166" s="193"/>
      <c r="J166" s="193"/>
      <c r="K166" s="193"/>
      <c r="L166" s="193"/>
      <c r="M166" s="193"/>
      <c r="N166" s="193"/>
      <c r="O166" s="193"/>
      <c r="P166" s="194"/>
      <c r="Q166" s="193"/>
      <c r="R166" s="193"/>
      <c r="S166" s="193"/>
      <c r="T166" s="193"/>
      <c r="U166" s="193"/>
      <c r="V166" s="193"/>
      <c r="W166" s="193"/>
      <c r="X166" s="193"/>
      <c r="Y166" s="193"/>
      <c r="Z166" s="194"/>
      <c r="AA166" s="193"/>
      <c r="AB166" s="193"/>
      <c r="AC166" s="193"/>
      <c r="AD166" s="193"/>
      <c r="AE166" s="193"/>
      <c r="AF166" s="193"/>
      <c r="AG166" s="193"/>
      <c r="AH166" s="193"/>
      <c r="AI166" s="193"/>
      <c r="AJ166" s="194"/>
      <c r="AK166" s="193"/>
      <c r="AL166" s="193"/>
      <c r="AM166" s="193"/>
      <c r="AN166" s="193"/>
      <c r="AO166" s="193"/>
      <c r="AP166" s="193"/>
      <c r="AQ166" s="193"/>
      <c r="AR166" s="193"/>
      <c r="AS166" s="193"/>
      <c r="AT166" s="194"/>
      <c r="AU166" s="193"/>
      <c r="AV166" s="193"/>
      <c r="AW166" s="193"/>
      <c r="AX166" s="193"/>
      <c r="AY166" s="193"/>
      <c r="AZ166" s="193"/>
      <c r="BA166" s="193"/>
      <c r="BB166" s="193"/>
      <c r="BC166" s="193"/>
      <c r="BD166" s="194"/>
      <c r="BE166" s="193"/>
      <c r="BF166" s="193"/>
      <c r="BG166" s="193"/>
      <c r="BH166" s="193"/>
      <c r="BI166" s="193"/>
      <c r="BJ166" s="193"/>
      <c r="BK166" s="193"/>
      <c r="BL166" s="193"/>
      <c r="BM166" s="193"/>
    </row>
    <row r="167" spans="1:65" ht="8.25" customHeight="1" x14ac:dyDescent="0.25">
      <c r="A167" s="193"/>
      <c r="B167" s="193"/>
      <c r="C167" s="193"/>
      <c r="D167" s="193"/>
      <c r="E167" s="193"/>
      <c r="F167" s="193"/>
      <c r="G167" s="193"/>
      <c r="H167" s="193"/>
      <c r="I167" s="193"/>
      <c r="J167" s="193"/>
      <c r="K167" s="193"/>
      <c r="L167" s="193"/>
      <c r="M167" s="193"/>
      <c r="N167" s="193"/>
      <c r="O167" s="193"/>
      <c r="P167" s="194"/>
      <c r="Q167" s="193"/>
      <c r="R167" s="193"/>
      <c r="S167" s="193"/>
      <c r="T167" s="193"/>
      <c r="U167" s="193"/>
      <c r="V167" s="193"/>
      <c r="W167" s="193"/>
      <c r="X167" s="193"/>
      <c r="Y167" s="193"/>
      <c r="Z167" s="194"/>
      <c r="AA167" s="193"/>
      <c r="AB167" s="193"/>
      <c r="AC167" s="193"/>
      <c r="AD167" s="193"/>
      <c r="AE167" s="193"/>
      <c r="AF167" s="193"/>
      <c r="AG167" s="193"/>
      <c r="AH167" s="193"/>
      <c r="AI167" s="193"/>
      <c r="AJ167" s="194"/>
      <c r="AK167" s="193"/>
      <c r="AL167" s="193"/>
      <c r="AM167" s="193"/>
      <c r="AN167" s="193"/>
      <c r="AO167" s="193"/>
      <c r="AP167" s="193"/>
      <c r="AQ167" s="193"/>
      <c r="AR167" s="193"/>
      <c r="AS167" s="193"/>
      <c r="AT167" s="194"/>
      <c r="AU167" s="193"/>
      <c r="AV167" s="193"/>
      <c r="AW167" s="193"/>
      <c r="AX167" s="193"/>
      <c r="AY167" s="193"/>
      <c r="AZ167" s="193"/>
      <c r="BA167" s="193"/>
      <c r="BB167" s="193"/>
      <c r="BC167" s="193"/>
      <c r="BD167" s="194"/>
      <c r="BE167" s="193"/>
      <c r="BF167" s="193"/>
      <c r="BG167" s="193"/>
      <c r="BH167" s="193"/>
      <c r="BI167" s="193"/>
      <c r="BJ167" s="193"/>
      <c r="BK167" s="193"/>
      <c r="BL167" s="193"/>
      <c r="BM167" s="193"/>
    </row>
    <row r="168" spans="1:65" ht="8.25" customHeight="1" x14ac:dyDescent="0.25">
      <c r="A168" s="193"/>
      <c r="B168" s="193"/>
      <c r="C168" s="193"/>
      <c r="D168" s="193"/>
      <c r="E168" s="193"/>
      <c r="F168" s="193"/>
      <c r="G168" s="193"/>
      <c r="H168" s="193"/>
      <c r="I168" s="193"/>
      <c r="J168" s="193"/>
      <c r="K168" s="193"/>
      <c r="L168" s="193"/>
      <c r="M168" s="193"/>
      <c r="N168" s="193"/>
      <c r="O168" s="193"/>
      <c r="P168" s="194"/>
      <c r="Q168" s="193"/>
      <c r="R168" s="193"/>
      <c r="S168" s="193"/>
      <c r="T168" s="193"/>
      <c r="U168" s="193"/>
      <c r="V168" s="193"/>
      <c r="W168" s="193"/>
      <c r="X168" s="193"/>
      <c r="Y168" s="193"/>
      <c r="Z168" s="194"/>
      <c r="AA168" s="193"/>
      <c r="AB168" s="193"/>
      <c r="AC168" s="193"/>
      <c r="AD168" s="193"/>
      <c r="AE168" s="193"/>
      <c r="AF168" s="193"/>
      <c r="AG168" s="193"/>
      <c r="AH168" s="193"/>
      <c r="AI168" s="193"/>
      <c r="AJ168" s="194"/>
      <c r="AK168" s="193"/>
      <c r="AL168" s="193"/>
      <c r="AM168" s="193"/>
      <c r="AN168" s="193"/>
      <c r="AO168" s="193"/>
      <c r="AP168" s="193"/>
      <c r="AQ168" s="193"/>
      <c r="AR168" s="193"/>
      <c r="AS168" s="193"/>
      <c r="AT168" s="194"/>
      <c r="AU168" s="193"/>
      <c r="AV168" s="193"/>
      <c r="AW168" s="193"/>
      <c r="AX168" s="193"/>
      <c r="AY168" s="193"/>
      <c r="AZ168" s="193"/>
      <c r="BA168" s="193"/>
      <c r="BB168" s="193"/>
      <c r="BC168" s="193"/>
      <c r="BD168" s="194"/>
      <c r="BE168" s="193"/>
      <c r="BF168" s="193"/>
      <c r="BG168" s="193"/>
      <c r="BH168" s="193"/>
      <c r="BI168" s="193"/>
      <c r="BJ168" s="193"/>
      <c r="BK168" s="193"/>
      <c r="BL168" s="193"/>
      <c r="BM168" s="193"/>
    </row>
    <row r="169" spans="1:65" ht="8.25" customHeight="1" x14ac:dyDescent="0.25">
      <c r="A169" s="193"/>
      <c r="B169" s="193"/>
      <c r="C169" s="193"/>
      <c r="D169" s="193"/>
      <c r="E169" s="193"/>
      <c r="F169" s="193"/>
      <c r="G169" s="193"/>
      <c r="H169" s="193"/>
      <c r="I169" s="193"/>
      <c r="J169" s="193"/>
      <c r="K169" s="193"/>
      <c r="L169" s="193"/>
      <c r="M169" s="193"/>
      <c r="N169" s="193"/>
      <c r="O169" s="193"/>
      <c r="P169" s="194"/>
      <c r="Q169" s="193"/>
      <c r="R169" s="193"/>
      <c r="S169" s="193"/>
      <c r="T169" s="193"/>
      <c r="U169" s="193"/>
      <c r="V169" s="193"/>
      <c r="W169" s="193"/>
      <c r="X169" s="193"/>
      <c r="Y169" s="193"/>
      <c r="Z169" s="194"/>
      <c r="AA169" s="193"/>
      <c r="AB169" s="193"/>
      <c r="AC169" s="193"/>
      <c r="AD169" s="193"/>
      <c r="AE169" s="193"/>
      <c r="AF169" s="193"/>
      <c r="AG169" s="193"/>
      <c r="AH169" s="193"/>
      <c r="AI169" s="193"/>
      <c r="AJ169" s="194"/>
      <c r="AK169" s="193"/>
      <c r="AL169" s="193"/>
      <c r="AM169" s="193"/>
      <c r="AN169" s="193"/>
      <c r="AO169" s="193"/>
      <c r="AP169" s="193"/>
      <c r="AQ169" s="193"/>
      <c r="AR169" s="193"/>
      <c r="AS169" s="193"/>
      <c r="AT169" s="194"/>
      <c r="AU169" s="193"/>
      <c r="AV169" s="193"/>
      <c r="AW169" s="193"/>
      <c r="AX169" s="193"/>
      <c r="AY169" s="193"/>
      <c r="AZ169" s="193"/>
      <c r="BA169" s="193"/>
      <c r="BB169" s="193"/>
      <c r="BC169" s="193"/>
      <c r="BD169" s="194"/>
      <c r="BE169" s="193"/>
      <c r="BF169" s="193"/>
      <c r="BG169" s="193"/>
      <c r="BH169" s="193"/>
      <c r="BI169" s="193"/>
      <c r="BJ169" s="193"/>
      <c r="BK169" s="193"/>
      <c r="BL169" s="193"/>
      <c r="BM169" s="193"/>
    </row>
    <row r="170" spans="1:65" ht="8.25" customHeight="1" x14ac:dyDescent="0.25">
      <c r="A170" s="193"/>
      <c r="B170" s="193"/>
      <c r="C170" s="193"/>
      <c r="D170" s="193"/>
      <c r="E170" s="193"/>
      <c r="F170" s="193"/>
      <c r="G170" s="193"/>
      <c r="H170" s="193"/>
      <c r="I170" s="193"/>
      <c r="J170" s="193"/>
      <c r="K170" s="193"/>
      <c r="L170" s="193"/>
      <c r="M170" s="193"/>
      <c r="N170" s="193"/>
      <c r="O170" s="193"/>
      <c r="P170" s="194"/>
      <c r="Q170" s="193"/>
      <c r="R170" s="193"/>
      <c r="S170" s="193"/>
      <c r="T170" s="193"/>
      <c r="U170" s="193"/>
      <c r="V170" s="193"/>
      <c r="W170" s="193"/>
      <c r="X170" s="193"/>
      <c r="Y170" s="193"/>
      <c r="Z170" s="194"/>
      <c r="AA170" s="193"/>
      <c r="AB170" s="193"/>
      <c r="AC170" s="193"/>
      <c r="AD170" s="193"/>
      <c r="AE170" s="193"/>
      <c r="AF170" s="193"/>
      <c r="AG170" s="193"/>
      <c r="AH170" s="193"/>
      <c r="AI170" s="193"/>
      <c r="AJ170" s="194"/>
      <c r="AK170" s="193"/>
      <c r="AL170" s="193"/>
      <c r="AM170" s="193"/>
      <c r="AN170" s="193"/>
      <c r="AO170" s="193"/>
      <c r="AP170" s="193"/>
      <c r="AQ170" s="193"/>
      <c r="AR170" s="193"/>
      <c r="AS170" s="193"/>
      <c r="AT170" s="194"/>
      <c r="AU170" s="193"/>
      <c r="AV170" s="193"/>
      <c r="AW170" s="193"/>
      <c r="AX170" s="193"/>
      <c r="AY170" s="193"/>
      <c r="AZ170" s="193"/>
      <c r="BA170" s="193"/>
      <c r="BB170" s="193"/>
      <c r="BC170" s="193"/>
      <c r="BD170" s="194"/>
      <c r="BE170" s="193"/>
      <c r="BF170" s="193"/>
      <c r="BG170" s="193"/>
      <c r="BH170" s="193"/>
      <c r="BI170" s="193"/>
      <c r="BJ170" s="193"/>
      <c r="BK170" s="193"/>
      <c r="BL170" s="193"/>
      <c r="BM170" s="193"/>
    </row>
    <row r="171" spans="1:65" ht="8.25" customHeight="1" x14ac:dyDescent="0.25">
      <c r="A171" s="193"/>
      <c r="B171" s="193"/>
      <c r="C171" s="193"/>
      <c r="D171" s="193"/>
      <c r="E171" s="193"/>
      <c r="F171" s="193"/>
      <c r="G171" s="193"/>
      <c r="H171" s="193"/>
      <c r="I171" s="193"/>
      <c r="J171" s="193"/>
      <c r="K171" s="193"/>
      <c r="L171" s="193"/>
      <c r="M171" s="193"/>
      <c r="N171" s="193"/>
      <c r="O171" s="193"/>
      <c r="P171" s="194"/>
      <c r="Q171" s="193"/>
      <c r="R171" s="193"/>
      <c r="S171" s="193"/>
      <c r="T171" s="193"/>
      <c r="U171" s="193"/>
      <c r="V171" s="193"/>
      <c r="W171" s="193"/>
      <c r="X171" s="193"/>
      <c r="Y171" s="193"/>
      <c r="Z171" s="194"/>
      <c r="AA171" s="193"/>
      <c r="AB171" s="193"/>
      <c r="AC171" s="193"/>
      <c r="AD171" s="193"/>
      <c r="AE171" s="193"/>
      <c r="AF171" s="193"/>
      <c r="AG171" s="193"/>
      <c r="AH171" s="193"/>
      <c r="AI171" s="193"/>
      <c r="AJ171" s="194"/>
      <c r="AK171" s="193"/>
      <c r="AL171" s="193"/>
      <c r="AM171" s="193"/>
      <c r="AN171" s="193"/>
      <c r="AO171" s="193"/>
      <c r="AP171" s="193"/>
      <c r="AQ171" s="193"/>
      <c r="AR171" s="193"/>
      <c r="AS171" s="193"/>
      <c r="AT171" s="194"/>
      <c r="AU171" s="193"/>
      <c r="AV171" s="193"/>
      <c r="AW171" s="193"/>
      <c r="AX171" s="193"/>
      <c r="AY171" s="193"/>
      <c r="AZ171" s="193"/>
      <c r="BA171" s="193"/>
      <c r="BB171" s="193"/>
      <c r="BC171" s="193"/>
      <c r="BD171" s="194"/>
      <c r="BE171" s="193"/>
      <c r="BF171" s="193"/>
      <c r="BG171" s="193"/>
      <c r="BH171" s="193"/>
      <c r="BI171" s="193"/>
      <c r="BJ171" s="193"/>
      <c r="BK171" s="193"/>
      <c r="BL171" s="193"/>
      <c r="BM171" s="193"/>
    </row>
    <row r="172" spans="1:65" ht="8.25" customHeight="1" x14ac:dyDescent="0.25">
      <c r="A172" s="193"/>
      <c r="B172" s="193"/>
      <c r="C172" s="193"/>
      <c r="D172" s="193"/>
      <c r="E172" s="193"/>
      <c r="F172" s="193"/>
      <c r="G172" s="193"/>
      <c r="H172" s="193"/>
      <c r="I172" s="193"/>
      <c r="J172" s="193"/>
      <c r="K172" s="193"/>
      <c r="L172" s="193"/>
      <c r="M172" s="193"/>
      <c r="N172" s="193"/>
      <c r="O172" s="193"/>
      <c r="P172" s="194"/>
      <c r="Q172" s="193"/>
      <c r="R172" s="193"/>
      <c r="S172" s="193"/>
      <c r="T172" s="193"/>
      <c r="U172" s="193"/>
      <c r="V172" s="193"/>
      <c r="W172" s="193"/>
      <c r="X172" s="193"/>
      <c r="Y172" s="193"/>
      <c r="Z172" s="194"/>
      <c r="AA172" s="193"/>
      <c r="AB172" s="193"/>
      <c r="AC172" s="193"/>
      <c r="AD172" s="193"/>
      <c r="AE172" s="193"/>
      <c r="AF172" s="193"/>
      <c r="AG172" s="193"/>
      <c r="AH172" s="193"/>
      <c r="AI172" s="193"/>
      <c r="AJ172" s="194"/>
      <c r="AK172" s="193"/>
      <c r="AL172" s="193"/>
      <c r="AM172" s="193"/>
      <c r="AN172" s="193"/>
      <c r="AO172" s="193"/>
      <c r="AP172" s="193"/>
      <c r="AQ172" s="193"/>
      <c r="AR172" s="193"/>
      <c r="AS172" s="193"/>
      <c r="AT172" s="194"/>
      <c r="AU172" s="193"/>
      <c r="AV172" s="193"/>
      <c r="AW172" s="193"/>
      <c r="AX172" s="193"/>
      <c r="AY172" s="193"/>
      <c r="AZ172" s="193"/>
      <c r="BA172" s="193"/>
      <c r="BB172" s="193"/>
      <c r="BC172" s="193"/>
      <c r="BD172" s="194"/>
      <c r="BE172" s="193"/>
      <c r="BF172" s="193"/>
      <c r="BG172" s="193"/>
      <c r="BH172" s="193"/>
      <c r="BI172" s="193"/>
      <c r="BJ172" s="193"/>
      <c r="BK172" s="193"/>
      <c r="BL172" s="193"/>
      <c r="BM172" s="193"/>
    </row>
    <row r="173" spans="1:65" ht="8.25" customHeight="1" x14ac:dyDescent="0.25">
      <c r="A173" s="193"/>
      <c r="B173" s="193"/>
      <c r="C173" s="193"/>
      <c r="D173" s="193"/>
      <c r="E173" s="193"/>
      <c r="F173" s="193"/>
      <c r="G173" s="193"/>
      <c r="H173" s="193"/>
      <c r="I173" s="193"/>
      <c r="J173" s="193"/>
      <c r="K173" s="193"/>
      <c r="L173" s="193"/>
      <c r="M173" s="193"/>
      <c r="N173" s="193"/>
      <c r="O173" s="193"/>
      <c r="P173" s="194"/>
      <c r="Q173" s="193"/>
      <c r="R173" s="193"/>
      <c r="S173" s="193"/>
      <c r="T173" s="193"/>
      <c r="U173" s="193"/>
      <c r="V173" s="193"/>
      <c r="W173" s="193"/>
      <c r="X173" s="193"/>
      <c r="Y173" s="193"/>
      <c r="Z173" s="194"/>
      <c r="AA173" s="193"/>
      <c r="AB173" s="193"/>
      <c r="AC173" s="193"/>
      <c r="AD173" s="193"/>
      <c r="AE173" s="193"/>
      <c r="AF173" s="193"/>
      <c r="AG173" s="193"/>
      <c r="AH173" s="193"/>
      <c r="AI173" s="193"/>
      <c r="AJ173" s="194"/>
      <c r="AK173" s="193"/>
      <c r="AL173" s="193"/>
      <c r="AM173" s="193"/>
      <c r="AN173" s="193"/>
      <c r="AO173" s="193"/>
      <c r="AP173" s="193"/>
      <c r="AQ173" s="193"/>
      <c r="AR173" s="193"/>
      <c r="AS173" s="193"/>
      <c r="AT173" s="194"/>
      <c r="AU173" s="193"/>
      <c r="AV173" s="193"/>
      <c r="AW173" s="193"/>
      <c r="AX173" s="193"/>
      <c r="AY173" s="193"/>
      <c r="AZ173" s="193"/>
      <c r="BA173" s="193"/>
      <c r="BB173" s="193"/>
      <c r="BC173" s="193"/>
      <c r="BD173" s="194"/>
      <c r="BE173" s="193"/>
      <c r="BF173" s="193"/>
      <c r="BG173" s="193"/>
      <c r="BH173" s="193"/>
      <c r="BI173" s="193"/>
      <c r="BJ173" s="193"/>
      <c r="BK173" s="193"/>
      <c r="BL173" s="193"/>
      <c r="BM173" s="193"/>
    </row>
    <row r="174" spans="1:65" ht="8.25" customHeight="1" x14ac:dyDescent="0.25">
      <c r="A174" s="193"/>
      <c r="B174" s="193"/>
      <c r="C174" s="193"/>
      <c r="D174" s="193"/>
      <c r="E174" s="193"/>
      <c r="F174" s="193"/>
      <c r="G174" s="193"/>
      <c r="H174" s="193"/>
      <c r="I174" s="193"/>
      <c r="J174" s="193"/>
      <c r="K174" s="193"/>
      <c r="L174" s="193"/>
      <c r="M174" s="193"/>
      <c r="N174" s="193"/>
      <c r="O174" s="193"/>
      <c r="P174" s="194"/>
      <c r="Q174" s="193"/>
      <c r="R174" s="193"/>
      <c r="S174" s="193"/>
      <c r="T174" s="193"/>
      <c r="U174" s="193"/>
      <c r="V174" s="193"/>
      <c r="W174" s="193"/>
      <c r="X174" s="193"/>
      <c r="Y174" s="193"/>
      <c r="Z174" s="194"/>
      <c r="AA174" s="193"/>
      <c r="AB174" s="193"/>
      <c r="AC174" s="193"/>
      <c r="AD174" s="193"/>
      <c r="AE174" s="193"/>
      <c r="AF174" s="193"/>
      <c r="AG174" s="193"/>
      <c r="AH174" s="193"/>
      <c r="AI174" s="193"/>
      <c r="AJ174" s="194"/>
      <c r="AK174" s="193"/>
      <c r="AL174" s="193"/>
      <c r="AM174" s="193"/>
      <c r="AN174" s="193"/>
      <c r="AO174" s="193"/>
      <c r="AP174" s="193"/>
      <c r="AQ174" s="193"/>
      <c r="AR174" s="193"/>
      <c r="AS174" s="193"/>
      <c r="AT174" s="194"/>
      <c r="AU174" s="193"/>
      <c r="AV174" s="193"/>
      <c r="AW174" s="193"/>
      <c r="AX174" s="193"/>
      <c r="AY174" s="193"/>
      <c r="AZ174" s="193"/>
      <c r="BA174" s="193"/>
      <c r="BB174" s="193"/>
      <c r="BC174" s="193"/>
      <c r="BD174" s="194"/>
      <c r="BE174" s="193"/>
      <c r="BF174" s="193"/>
      <c r="BG174" s="193"/>
      <c r="BH174" s="193"/>
      <c r="BI174" s="193"/>
      <c r="BJ174" s="193"/>
      <c r="BK174" s="193"/>
      <c r="BL174" s="193"/>
      <c r="BM174" s="193"/>
    </row>
    <row r="175" spans="1:65" ht="8.25" customHeight="1" x14ac:dyDescent="0.25">
      <c r="A175" s="193"/>
      <c r="B175" s="193"/>
      <c r="C175" s="193"/>
      <c r="D175" s="193"/>
      <c r="E175" s="193"/>
      <c r="F175" s="193"/>
      <c r="G175" s="193"/>
      <c r="H175" s="193"/>
      <c r="I175" s="193"/>
      <c r="J175" s="193"/>
      <c r="K175" s="193"/>
      <c r="L175" s="193"/>
      <c r="M175" s="193"/>
      <c r="N175" s="193"/>
      <c r="O175" s="193"/>
      <c r="P175" s="194"/>
      <c r="Q175" s="193"/>
      <c r="R175" s="193"/>
      <c r="S175" s="193"/>
      <c r="T175" s="193"/>
      <c r="U175" s="193"/>
      <c r="V175" s="193"/>
      <c r="W175" s="193"/>
      <c r="X175" s="193"/>
      <c r="Y175" s="193"/>
      <c r="Z175" s="194"/>
      <c r="AA175" s="193"/>
      <c r="AB175" s="193"/>
      <c r="AC175" s="193"/>
      <c r="AD175" s="193"/>
      <c r="AE175" s="193"/>
      <c r="AF175" s="193"/>
      <c r="AG175" s="193"/>
      <c r="AH175" s="193"/>
      <c r="AI175" s="193"/>
      <c r="AJ175" s="194"/>
      <c r="AK175" s="193"/>
      <c r="AL175" s="193"/>
      <c r="AM175" s="193"/>
      <c r="AN175" s="193"/>
      <c r="AO175" s="193"/>
      <c r="AP175" s="193"/>
      <c r="AQ175" s="193"/>
      <c r="AR175" s="193"/>
      <c r="AS175" s="193"/>
      <c r="AT175" s="194"/>
      <c r="AU175" s="193"/>
      <c r="AV175" s="193"/>
      <c r="AW175" s="193"/>
      <c r="AX175" s="193"/>
      <c r="AY175" s="193"/>
      <c r="AZ175" s="193"/>
      <c r="BA175" s="193"/>
      <c r="BB175" s="193"/>
      <c r="BC175" s="193"/>
      <c r="BD175" s="194"/>
      <c r="BE175" s="193"/>
      <c r="BF175" s="193"/>
      <c r="BG175" s="193"/>
      <c r="BH175" s="193"/>
      <c r="BI175" s="193"/>
      <c r="BJ175" s="193"/>
      <c r="BK175" s="193"/>
      <c r="BL175" s="193"/>
      <c r="BM175" s="193"/>
    </row>
    <row r="176" spans="1:65" ht="8.25" customHeight="1" x14ac:dyDescent="0.25">
      <c r="A176" s="193"/>
      <c r="B176" s="193"/>
      <c r="C176" s="193"/>
      <c r="D176" s="193"/>
      <c r="E176" s="193"/>
      <c r="F176" s="193"/>
      <c r="G176" s="193"/>
      <c r="H176" s="193"/>
      <c r="I176" s="193"/>
      <c r="J176" s="193"/>
      <c r="K176" s="193"/>
      <c r="L176" s="193"/>
      <c r="M176" s="193"/>
      <c r="N176" s="193"/>
      <c r="O176" s="193"/>
      <c r="P176" s="194"/>
      <c r="Q176" s="193"/>
      <c r="R176" s="193"/>
      <c r="S176" s="193"/>
      <c r="T176" s="193"/>
      <c r="U176" s="193"/>
      <c r="V176" s="193"/>
      <c r="W176" s="193"/>
      <c r="X176" s="193"/>
      <c r="Y176" s="193"/>
      <c r="Z176" s="194"/>
      <c r="AA176" s="193"/>
      <c r="AB176" s="193"/>
      <c r="AC176" s="193"/>
      <c r="AD176" s="193"/>
      <c r="AE176" s="193"/>
      <c r="AF176" s="193"/>
      <c r="AG176" s="193"/>
      <c r="AH176" s="193"/>
      <c r="AI176" s="193"/>
      <c r="AJ176" s="194"/>
      <c r="AK176" s="193"/>
      <c r="AL176" s="193"/>
      <c r="AM176" s="193"/>
      <c r="AN176" s="193"/>
      <c r="AO176" s="193"/>
      <c r="AP176" s="193"/>
      <c r="AQ176" s="193"/>
      <c r="AR176" s="193"/>
      <c r="AS176" s="193"/>
      <c r="AT176" s="194"/>
      <c r="AU176" s="193"/>
      <c r="AV176" s="193"/>
      <c r="AW176" s="193"/>
      <c r="AX176" s="193"/>
      <c r="AY176" s="193"/>
      <c r="AZ176" s="193"/>
      <c r="BA176" s="193"/>
      <c r="BB176" s="193"/>
      <c r="BC176" s="193"/>
      <c r="BD176" s="194"/>
      <c r="BE176" s="193"/>
      <c r="BF176" s="193"/>
      <c r="BG176" s="193"/>
      <c r="BH176" s="193"/>
      <c r="BI176" s="193"/>
      <c r="BJ176" s="193"/>
      <c r="BK176" s="193"/>
      <c r="BL176" s="193"/>
      <c r="BM176" s="193"/>
    </row>
    <row r="177" spans="1:65" ht="8.25" customHeight="1" x14ac:dyDescent="0.25">
      <c r="A177" s="193"/>
      <c r="B177" s="193"/>
      <c r="C177" s="193"/>
      <c r="D177" s="193"/>
      <c r="E177" s="193"/>
      <c r="F177" s="193"/>
      <c r="G177" s="193"/>
      <c r="H177" s="193"/>
      <c r="I177" s="193"/>
      <c r="J177" s="193"/>
      <c r="K177" s="193"/>
      <c r="L177" s="193"/>
      <c r="M177" s="193"/>
      <c r="N177" s="193"/>
      <c r="O177" s="193"/>
      <c r="P177" s="194"/>
      <c r="Q177" s="193"/>
      <c r="R177" s="193"/>
      <c r="S177" s="193"/>
      <c r="T177" s="193"/>
      <c r="U177" s="193"/>
      <c r="V177" s="193"/>
      <c r="W177" s="193"/>
      <c r="X177" s="193"/>
      <c r="Y177" s="193"/>
      <c r="Z177" s="194"/>
      <c r="AA177" s="193"/>
      <c r="AB177" s="193"/>
      <c r="AC177" s="193"/>
      <c r="AD177" s="193"/>
      <c r="AE177" s="193"/>
      <c r="AF177" s="193"/>
      <c r="AG177" s="193"/>
      <c r="AH177" s="193"/>
      <c r="AI177" s="193"/>
      <c r="AJ177" s="194"/>
      <c r="AK177" s="193"/>
      <c r="AL177" s="193"/>
      <c r="AM177" s="193"/>
      <c r="AN177" s="193"/>
      <c r="AO177" s="193"/>
      <c r="AP177" s="193"/>
      <c r="AQ177" s="193"/>
      <c r="AR177" s="193"/>
      <c r="AS177" s="193"/>
      <c r="AT177" s="194"/>
      <c r="AU177" s="193"/>
      <c r="AV177" s="193"/>
      <c r="AW177" s="193"/>
      <c r="AX177" s="193"/>
      <c r="AY177" s="193"/>
      <c r="AZ177" s="193"/>
      <c r="BA177" s="193"/>
      <c r="BB177" s="193"/>
      <c r="BC177" s="193"/>
      <c r="BD177" s="194"/>
      <c r="BE177" s="193"/>
      <c r="BF177" s="193"/>
      <c r="BG177" s="193"/>
      <c r="BH177" s="193"/>
      <c r="BI177" s="193"/>
      <c r="BJ177" s="193"/>
      <c r="BK177" s="193"/>
      <c r="BL177" s="193"/>
      <c r="BM177" s="193"/>
    </row>
    <row r="178" spans="1:65" ht="8.25" customHeight="1" x14ac:dyDescent="0.25">
      <c r="A178" s="193"/>
      <c r="B178" s="193"/>
      <c r="C178" s="193"/>
      <c r="D178" s="193"/>
      <c r="E178" s="193"/>
      <c r="F178" s="193"/>
      <c r="G178" s="193"/>
      <c r="H178" s="193"/>
      <c r="I178" s="193"/>
      <c r="J178" s="193"/>
      <c r="K178" s="193"/>
      <c r="L178" s="193"/>
      <c r="M178" s="193"/>
      <c r="N178" s="193"/>
      <c r="O178" s="193"/>
      <c r="P178" s="194"/>
      <c r="Q178" s="193"/>
      <c r="R178" s="193"/>
      <c r="S178" s="193"/>
      <c r="T178" s="193"/>
      <c r="U178" s="193"/>
      <c r="V178" s="193"/>
      <c r="W178" s="193"/>
      <c r="X178" s="193"/>
      <c r="Y178" s="193"/>
      <c r="Z178" s="194"/>
      <c r="AA178" s="193"/>
      <c r="AB178" s="193"/>
      <c r="AC178" s="193"/>
      <c r="AD178" s="193"/>
      <c r="AE178" s="193"/>
      <c r="AF178" s="193"/>
      <c r="AG178" s="193"/>
      <c r="AH178" s="193"/>
      <c r="AI178" s="193"/>
      <c r="AJ178" s="194"/>
      <c r="AK178" s="193"/>
      <c r="AL178" s="193"/>
      <c r="AM178" s="193"/>
      <c r="AN178" s="193"/>
      <c r="AO178" s="193"/>
      <c r="AP178" s="193"/>
      <c r="AQ178" s="193"/>
      <c r="AR178" s="193"/>
      <c r="AS178" s="193"/>
      <c r="AT178" s="194"/>
      <c r="AU178" s="193"/>
      <c r="AV178" s="193"/>
      <c r="AW178" s="193"/>
      <c r="AX178" s="193"/>
      <c r="AY178" s="193"/>
      <c r="AZ178" s="193"/>
      <c r="BA178" s="193"/>
      <c r="BB178" s="193"/>
      <c r="BC178" s="193"/>
      <c r="BD178" s="194"/>
      <c r="BE178" s="193"/>
      <c r="BF178" s="193"/>
      <c r="BG178" s="193"/>
      <c r="BH178" s="193"/>
      <c r="BI178" s="193"/>
      <c r="BJ178" s="193"/>
      <c r="BK178" s="193"/>
      <c r="BL178" s="193"/>
      <c r="BM178" s="193"/>
    </row>
    <row r="179" spans="1:65" ht="8.25" customHeight="1" x14ac:dyDescent="0.25">
      <c r="A179" s="193"/>
      <c r="B179" s="193"/>
      <c r="C179" s="193"/>
      <c r="D179" s="193"/>
      <c r="E179" s="193"/>
      <c r="F179" s="193"/>
      <c r="G179" s="193"/>
      <c r="H179" s="193"/>
      <c r="I179" s="193"/>
      <c r="J179" s="193"/>
      <c r="K179" s="193"/>
      <c r="L179" s="193"/>
      <c r="M179" s="193"/>
      <c r="N179" s="193"/>
      <c r="O179" s="193"/>
      <c r="P179" s="194"/>
      <c r="Q179" s="193"/>
      <c r="R179" s="193"/>
      <c r="S179" s="193"/>
      <c r="T179" s="193"/>
      <c r="U179" s="193"/>
      <c r="V179" s="193"/>
      <c r="W179" s="193"/>
      <c r="X179" s="193"/>
      <c r="Y179" s="193"/>
      <c r="Z179" s="194"/>
      <c r="AA179" s="193"/>
      <c r="AB179" s="193"/>
      <c r="AC179" s="193"/>
      <c r="AD179" s="193"/>
      <c r="AE179" s="193"/>
      <c r="AF179" s="193"/>
      <c r="AG179" s="193"/>
      <c r="AH179" s="193"/>
      <c r="AI179" s="193"/>
      <c r="AJ179" s="194"/>
      <c r="AK179" s="193"/>
      <c r="AL179" s="193"/>
      <c r="AM179" s="193"/>
      <c r="AN179" s="193"/>
      <c r="AO179" s="193"/>
      <c r="AP179" s="193"/>
      <c r="AQ179" s="193"/>
      <c r="AR179" s="193"/>
      <c r="AS179" s="193"/>
      <c r="AT179" s="194"/>
      <c r="AU179" s="193"/>
      <c r="AV179" s="193"/>
      <c r="AW179" s="193"/>
      <c r="AX179" s="193"/>
      <c r="AY179" s="193"/>
      <c r="AZ179" s="193"/>
      <c r="BA179" s="193"/>
      <c r="BB179" s="193"/>
      <c r="BC179" s="193"/>
      <c r="BD179" s="194"/>
      <c r="BE179" s="193"/>
      <c r="BF179" s="193"/>
      <c r="BG179" s="193"/>
      <c r="BH179" s="193"/>
      <c r="BI179" s="193"/>
      <c r="BJ179" s="193"/>
      <c r="BK179" s="193"/>
      <c r="BL179" s="193"/>
      <c r="BM179" s="193"/>
    </row>
    <row r="180" spans="1:65" ht="8.25" customHeight="1" x14ac:dyDescent="0.25">
      <c r="A180" s="193"/>
      <c r="B180" s="193"/>
      <c r="C180" s="193"/>
      <c r="D180" s="193"/>
      <c r="E180" s="193"/>
      <c r="F180" s="193"/>
      <c r="G180" s="193"/>
      <c r="H180" s="193"/>
      <c r="I180" s="193"/>
      <c r="J180" s="193"/>
      <c r="K180" s="193"/>
      <c r="L180" s="193"/>
      <c r="M180" s="193"/>
      <c r="N180" s="193"/>
      <c r="O180" s="193"/>
      <c r="P180" s="194"/>
      <c r="Q180" s="193"/>
      <c r="R180" s="193"/>
      <c r="S180" s="193"/>
      <c r="T180" s="193"/>
      <c r="U180" s="193"/>
      <c r="V180" s="193"/>
      <c r="W180" s="193"/>
      <c r="X180" s="193"/>
      <c r="Y180" s="193"/>
      <c r="Z180" s="194"/>
      <c r="AA180" s="193"/>
      <c r="AB180" s="193"/>
      <c r="AC180" s="193"/>
      <c r="AD180" s="193"/>
      <c r="AE180" s="193"/>
      <c r="AF180" s="193"/>
      <c r="AG180" s="193"/>
      <c r="AH180" s="193"/>
      <c r="AI180" s="193"/>
      <c r="AJ180" s="194"/>
      <c r="AK180" s="193"/>
      <c r="AL180" s="193"/>
      <c r="AM180" s="193"/>
      <c r="AN180" s="193"/>
      <c r="AO180" s="193"/>
      <c r="AP180" s="193"/>
      <c r="AQ180" s="193"/>
      <c r="AR180" s="193"/>
      <c r="AS180" s="193"/>
      <c r="AT180" s="194"/>
      <c r="AU180" s="193"/>
      <c r="AV180" s="193"/>
      <c r="AW180" s="193"/>
      <c r="AX180" s="193"/>
      <c r="AY180" s="193"/>
      <c r="AZ180" s="193"/>
      <c r="BA180" s="193"/>
      <c r="BB180" s="193"/>
      <c r="BC180" s="193"/>
      <c r="BD180" s="194"/>
      <c r="BE180" s="193"/>
      <c r="BF180" s="193"/>
      <c r="BG180" s="193"/>
      <c r="BH180" s="193"/>
      <c r="BI180" s="193"/>
      <c r="BJ180" s="193"/>
      <c r="BK180" s="193"/>
      <c r="BL180" s="193"/>
      <c r="BM180" s="193"/>
    </row>
    <row r="181" spans="1:65" ht="8.25" customHeight="1" x14ac:dyDescent="0.25">
      <c r="A181" s="193"/>
      <c r="B181" s="193"/>
      <c r="C181" s="193"/>
      <c r="D181" s="193"/>
      <c r="E181" s="193"/>
      <c r="F181" s="193"/>
      <c r="G181" s="193"/>
      <c r="H181" s="193"/>
      <c r="I181" s="193"/>
      <c r="J181" s="193"/>
      <c r="K181" s="193"/>
      <c r="L181" s="193"/>
      <c r="M181" s="193"/>
      <c r="N181" s="193"/>
      <c r="O181" s="193"/>
      <c r="P181" s="194"/>
      <c r="Q181" s="193"/>
      <c r="R181" s="193"/>
      <c r="S181" s="193"/>
      <c r="T181" s="193"/>
      <c r="U181" s="193"/>
      <c r="V181" s="193"/>
      <c r="W181" s="193"/>
      <c r="X181" s="193"/>
      <c r="Y181" s="193"/>
      <c r="Z181" s="194"/>
      <c r="AA181" s="193"/>
      <c r="AB181" s="193"/>
      <c r="AC181" s="193"/>
      <c r="AD181" s="193"/>
      <c r="AE181" s="193"/>
      <c r="AF181" s="193"/>
      <c r="AG181" s="193"/>
      <c r="AH181" s="193"/>
      <c r="AI181" s="193"/>
      <c r="AJ181" s="194"/>
      <c r="AK181" s="193"/>
      <c r="AL181" s="193"/>
      <c r="AM181" s="193"/>
      <c r="AN181" s="193"/>
      <c r="AO181" s="193"/>
      <c r="AP181" s="193"/>
      <c r="AQ181" s="193"/>
      <c r="AR181" s="193"/>
      <c r="AS181" s="193"/>
      <c r="AT181" s="194"/>
      <c r="AU181" s="193"/>
      <c r="AV181" s="193"/>
      <c r="AW181" s="193"/>
      <c r="AX181" s="193"/>
      <c r="AY181" s="193"/>
      <c r="AZ181" s="193"/>
      <c r="BA181" s="193"/>
      <c r="BB181" s="193"/>
      <c r="BC181" s="193"/>
      <c r="BD181" s="194"/>
      <c r="BE181" s="193"/>
      <c r="BF181" s="193"/>
      <c r="BG181" s="193"/>
      <c r="BH181" s="193"/>
      <c r="BI181" s="193"/>
      <c r="BJ181" s="193"/>
      <c r="BK181" s="193"/>
      <c r="BL181" s="193"/>
      <c r="BM181" s="193"/>
    </row>
    <row r="182" spans="1:65" ht="8.25" customHeight="1" x14ac:dyDescent="0.25">
      <c r="A182" s="193"/>
      <c r="B182" s="193"/>
      <c r="C182" s="193"/>
      <c r="D182" s="193"/>
      <c r="E182" s="193"/>
      <c r="F182" s="193"/>
      <c r="G182" s="193"/>
      <c r="H182" s="193"/>
      <c r="I182" s="193"/>
      <c r="J182" s="193"/>
      <c r="K182" s="193"/>
      <c r="L182" s="193"/>
      <c r="M182" s="193"/>
      <c r="N182" s="193"/>
      <c r="O182" s="193"/>
      <c r="P182" s="194"/>
      <c r="Q182" s="193"/>
      <c r="R182" s="193"/>
      <c r="S182" s="193"/>
      <c r="T182" s="193"/>
      <c r="U182" s="193"/>
      <c r="V182" s="193"/>
      <c r="W182" s="193"/>
      <c r="X182" s="193"/>
      <c r="Y182" s="193"/>
      <c r="Z182" s="194"/>
      <c r="AA182" s="193"/>
      <c r="AB182" s="193"/>
      <c r="AC182" s="193"/>
      <c r="AD182" s="193"/>
      <c r="AE182" s="193"/>
      <c r="AF182" s="193"/>
      <c r="AG182" s="193"/>
      <c r="AH182" s="193"/>
      <c r="AI182" s="193"/>
      <c r="AJ182" s="194"/>
      <c r="AK182" s="193"/>
      <c r="AL182" s="193"/>
      <c r="AM182" s="193"/>
      <c r="AN182" s="193"/>
      <c r="AO182" s="193"/>
      <c r="AP182" s="193"/>
      <c r="AQ182" s="193"/>
      <c r="AR182" s="193"/>
      <c r="AS182" s="193"/>
      <c r="AT182" s="194"/>
      <c r="AU182" s="193"/>
      <c r="AV182" s="193"/>
      <c r="AW182" s="193"/>
      <c r="AX182" s="193"/>
      <c r="AY182" s="193"/>
      <c r="AZ182" s="193"/>
      <c r="BA182" s="193"/>
      <c r="BB182" s="193"/>
      <c r="BC182" s="193"/>
      <c r="BD182" s="194"/>
      <c r="BE182" s="193"/>
      <c r="BF182" s="193"/>
      <c r="BG182" s="193"/>
      <c r="BH182" s="193"/>
      <c r="BI182" s="193"/>
      <c r="BJ182" s="193"/>
      <c r="BK182" s="193"/>
      <c r="BL182" s="193"/>
      <c r="BM182" s="193"/>
    </row>
    <row r="183" spans="1:65" ht="8.25" customHeight="1" x14ac:dyDescent="0.25">
      <c r="A183" s="193"/>
      <c r="B183" s="193"/>
      <c r="C183" s="193"/>
      <c r="D183" s="193"/>
      <c r="E183" s="193"/>
      <c r="F183" s="193"/>
      <c r="G183" s="193"/>
      <c r="H183" s="193"/>
      <c r="I183" s="193"/>
      <c r="J183" s="193"/>
      <c r="K183" s="193"/>
      <c r="L183" s="193"/>
      <c r="M183" s="193"/>
      <c r="N183" s="193"/>
      <c r="O183" s="193"/>
      <c r="P183" s="194"/>
      <c r="Q183" s="193"/>
      <c r="R183" s="193"/>
      <c r="S183" s="193"/>
      <c r="T183" s="193"/>
      <c r="U183" s="193"/>
      <c r="V183" s="193"/>
      <c r="W183" s="193"/>
      <c r="X183" s="193"/>
      <c r="Y183" s="193"/>
      <c r="Z183" s="194"/>
      <c r="AA183" s="193"/>
      <c r="AB183" s="193"/>
      <c r="AC183" s="193"/>
      <c r="AD183" s="193"/>
      <c r="AE183" s="193"/>
      <c r="AF183" s="193"/>
      <c r="AG183" s="193"/>
      <c r="AH183" s="193"/>
      <c r="AI183" s="193"/>
      <c r="AJ183" s="194"/>
      <c r="AK183" s="193"/>
      <c r="AL183" s="193"/>
      <c r="AM183" s="193"/>
      <c r="AN183" s="193"/>
      <c r="AO183" s="193"/>
      <c r="AP183" s="193"/>
      <c r="AQ183" s="193"/>
      <c r="AR183" s="193"/>
      <c r="AS183" s="193"/>
      <c r="AT183" s="194"/>
      <c r="AU183" s="193"/>
      <c r="AV183" s="193"/>
      <c r="AW183" s="193"/>
      <c r="AX183" s="193"/>
      <c r="AY183" s="193"/>
      <c r="AZ183" s="193"/>
      <c r="BA183" s="193"/>
      <c r="BB183" s="193"/>
      <c r="BC183" s="193"/>
      <c r="BD183" s="194"/>
      <c r="BE183" s="193"/>
      <c r="BF183" s="193"/>
      <c r="BG183" s="193"/>
      <c r="BH183" s="193"/>
      <c r="BI183" s="193"/>
      <c r="BJ183" s="193"/>
      <c r="BK183" s="193"/>
      <c r="BL183" s="193"/>
      <c r="BM183" s="193"/>
    </row>
    <row r="184" spans="1:65" ht="8.25" customHeight="1" x14ac:dyDescent="0.25">
      <c r="A184" s="193"/>
      <c r="B184" s="193"/>
      <c r="C184" s="193"/>
      <c r="D184" s="193"/>
      <c r="E184" s="193"/>
      <c r="F184" s="193"/>
      <c r="G184" s="193"/>
      <c r="H184" s="193"/>
      <c r="I184" s="193"/>
      <c r="J184" s="193"/>
      <c r="K184" s="193"/>
      <c r="L184" s="193"/>
      <c r="M184" s="193"/>
      <c r="N184" s="193"/>
      <c r="O184" s="193"/>
      <c r="P184" s="194"/>
      <c r="Q184" s="193"/>
      <c r="R184" s="193"/>
      <c r="S184" s="193"/>
      <c r="T184" s="193"/>
      <c r="U184" s="193"/>
      <c r="V184" s="193"/>
      <c r="W184" s="193"/>
      <c r="X184" s="193"/>
      <c r="Y184" s="193"/>
      <c r="Z184" s="194"/>
      <c r="AA184" s="193"/>
      <c r="AB184" s="193"/>
      <c r="AC184" s="193"/>
      <c r="AD184" s="193"/>
      <c r="AE184" s="193"/>
      <c r="AF184" s="193"/>
      <c r="AG184" s="193"/>
      <c r="AH184" s="193"/>
      <c r="AI184" s="193"/>
      <c r="AJ184" s="194"/>
      <c r="AK184" s="193"/>
      <c r="AL184" s="193"/>
      <c r="AM184" s="193"/>
      <c r="AN184" s="193"/>
      <c r="AO184" s="193"/>
      <c r="AP184" s="193"/>
      <c r="AQ184" s="193"/>
      <c r="AR184" s="193"/>
      <c r="AS184" s="193"/>
      <c r="AT184" s="194"/>
      <c r="AU184" s="193"/>
      <c r="AV184" s="193"/>
      <c r="AW184" s="193"/>
      <c r="AX184" s="193"/>
      <c r="AY184" s="193"/>
      <c r="AZ184" s="193"/>
      <c r="BA184" s="193"/>
      <c r="BB184" s="193"/>
      <c r="BC184" s="193"/>
      <c r="BD184" s="194"/>
      <c r="BE184" s="193"/>
      <c r="BF184" s="193"/>
      <c r="BG184" s="193"/>
      <c r="BH184" s="193"/>
      <c r="BI184" s="193"/>
      <c r="BJ184" s="193"/>
      <c r="BK184" s="193"/>
      <c r="BL184" s="193"/>
      <c r="BM184" s="193"/>
    </row>
    <row r="185" spans="1:65" ht="8.25" customHeight="1" x14ac:dyDescent="0.25">
      <c r="A185" s="193"/>
      <c r="B185" s="193"/>
      <c r="C185" s="193"/>
      <c r="D185" s="193"/>
      <c r="E185" s="193"/>
      <c r="F185" s="193"/>
      <c r="G185" s="193"/>
      <c r="H185" s="193"/>
      <c r="I185" s="193"/>
      <c r="J185" s="193"/>
      <c r="K185" s="193"/>
      <c r="L185" s="193"/>
      <c r="M185" s="193"/>
      <c r="N185" s="193"/>
      <c r="O185" s="193"/>
      <c r="P185" s="194"/>
      <c r="Q185" s="193"/>
      <c r="R185" s="193"/>
      <c r="S185" s="193"/>
      <c r="T185" s="193"/>
      <c r="U185" s="193"/>
      <c r="V185" s="193"/>
      <c r="W185" s="193"/>
      <c r="X185" s="193"/>
      <c r="Y185" s="193"/>
      <c r="Z185" s="194"/>
      <c r="AA185" s="193"/>
      <c r="AB185" s="193"/>
      <c r="AC185" s="193"/>
      <c r="AD185" s="193"/>
      <c r="AE185" s="193"/>
      <c r="AF185" s="193"/>
      <c r="AG185" s="193"/>
      <c r="AH185" s="193"/>
      <c r="AI185" s="193"/>
      <c r="AJ185" s="194"/>
      <c r="AK185" s="193"/>
      <c r="AL185" s="193"/>
      <c r="AM185" s="193"/>
      <c r="AN185" s="193"/>
      <c r="AO185" s="193"/>
      <c r="AP185" s="193"/>
      <c r="AQ185" s="193"/>
      <c r="AR185" s="193"/>
      <c r="AS185" s="193"/>
      <c r="AT185" s="194"/>
      <c r="AU185" s="193"/>
      <c r="AV185" s="193"/>
      <c r="AW185" s="193"/>
      <c r="AX185" s="193"/>
      <c r="AY185" s="193"/>
      <c r="AZ185" s="193"/>
      <c r="BA185" s="193"/>
      <c r="BB185" s="193"/>
      <c r="BC185" s="193"/>
      <c r="BD185" s="194"/>
      <c r="BE185" s="193"/>
      <c r="BF185" s="193"/>
      <c r="BG185" s="193"/>
      <c r="BH185" s="193"/>
      <c r="BI185" s="193"/>
      <c r="BJ185" s="193"/>
      <c r="BK185" s="193"/>
      <c r="BL185" s="193"/>
      <c r="BM185" s="193"/>
    </row>
    <row r="186" spans="1:65" ht="8.25" customHeight="1" x14ac:dyDescent="0.25">
      <c r="A186" s="193"/>
      <c r="B186" s="193"/>
      <c r="C186" s="193"/>
      <c r="D186" s="193"/>
      <c r="E186" s="193"/>
      <c r="F186" s="193"/>
      <c r="G186" s="193"/>
      <c r="H186" s="193"/>
      <c r="I186" s="193"/>
      <c r="J186" s="193"/>
      <c r="K186" s="193"/>
      <c r="L186" s="193"/>
      <c r="M186" s="193"/>
      <c r="N186" s="193"/>
      <c r="O186" s="193"/>
      <c r="P186" s="194"/>
      <c r="Q186" s="193"/>
      <c r="R186" s="193"/>
      <c r="S186" s="193"/>
      <c r="T186" s="193"/>
      <c r="U186" s="193"/>
      <c r="V186" s="193"/>
      <c r="W186" s="193"/>
      <c r="X186" s="193"/>
      <c r="Y186" s="193"/>
      <c r="Z186" s="194"/>
      <c r="AA186" s="193"/>
      <c r="AB186" s="193"/>
      <c r="AC186" s="193"/>
      <c r="AD186" s="193"/>
      <c r="AE186" s="193"/>
      <c r="AF186" s="193"/>
      <c r="AG186" s="193"/>
      <c r="AH186" s="193"/>
      <c r="AI186" s="193"/>
      <c r="AJ186" s="194"/>
      <c r="AK186" s="193"/>
      <c r="AL186" s="193"/>
      <c r="AM186" s="193"/>
      <c r="AN186" s="193"/>
      <c r="AO186" s="193"/>
      <c r="AP186" s="193"/>
      <c r="AQ186" s="193"/>
      <c r="AR186" s="193"/>
      <c r="AS186" s="193"/>
      <c r="AT186" s="194"/>
      <c r="AU186" s="193"/>
      <c r="AV186" s="193"/>
      <c r="AW186" s="193"/>
      <c r="AX186" s="193"/>
      <c r="AY186" s="193"/>
      <c r="AZ186" s="193"/>
      <c r="BA186" s="193"/>
      <c r="BB186" s="193"/>
      <c r="BC186" s="193"/>
      <c r="BD186" s="194"/>
      <c r="BE186" s="193"/>
      <c r="BF186" s="193"/>
      <c r="BG186" s="193"/>
      <c r="BH186" s="193"/>
      <c r="BI186" s="193"/>
      <c r="BJ186" s="193"/>
      <c r="BK186" s="193"/>
      <c r="BL186" s="193"/>
      <c r="BM186" s="193"/>
    </row>
    <row r="187" spans="1:65" ht="8.25" customHeight="1" x14ac:dyDescent="0.25">
      <c r="A187" s="193"/>
      <c r="B187" s="193"/>
      <c r="C187" s="193"/>
      <c r="D187" s="193"/>
      <c r="E187" s="193"/>
      <c r="F187" s="193"/>
      <c r="G187" s="193"/>
      <c r="H187" s="193"/>
      <c r="I187" s="193"/>
      <c r="J187" s="193"/>
      <c r="K187" s="193"/>
      <c r="L187" s="193"/>
      <c r="M187" s="193"/>
      <c r="N187" s="193"/>
      <c r="O187" s="193"/>
      <c r="P187" s="194"/>
      <c r="Q187" s="193"/>
      <c r="R187" s="193"/>
      <c r="S187" s="193"/>
      <c r="T187" s="193"/>
      <c r="U187" s="193"/>
      <c r="V187" s="193"/>
      <c r="W187" s="193"/>
      <c r="X187" s="193"/>
      <c r="Y187" s="193"/>
      <c r="Z187" s="194"/>
      <c r="AA187" s="193"/>
      <c r="AB187" s="193"/>
      <c r="AC187" s="193"/>
      <c r="AD187" s="193"/>
      <c r="AE187" s="193"/>
      <c r="AF187" s="193"/>
      <c r="AG187" s="193"/>
      <c r="AH187" s="193"/>
      <c r="AI187" s="193"/>
      <c r="AJ187" s="194"/>
      <c r="AK187" s="193"/>
      <c r="AL187" s="193"/>
      <c r="AM187" s="193"/>
      <c r="AN187" s="193"/>
      <c r="AO187" s="193"/>
      <c r="AP187" s="193"/>
      <c r="AQ187" s="193"/>
      <c r="AR187" s="193"/>
      <c r="AS187" s="193"/>
      <c r="AT187" s="194"/>
      <c r="AU187" s="193"/>
      <c r="AV187" s="193"/>
      <c r="AW187" s="193"/>
      <c r="AX187" s="193"/>
      <c r="AY187" s="193"/>
      <c r="AZ187" s="193"/>
      <c r="BA187" s="193"/>
      <c r="BB187" s="193"/>
      <c r="BC187" s="193"/>
      <c r="BD187" s="194"/>
      <c r="BE187" s="193"/>
      <c r="BF187" s="193"/>
      <c r="BG187" s="193"/>
      <c r="BH187" s="193"/>
      <c r="BI187" s="193"/>
      <c r="BJ187" s="193"/>
      <c r="BK187" s="193"/>
      <c r="BL187" s="193"/>
      <c r="BM187" s="193"/>
    </row>
    <row r="188" spans="1:65" ht="8.25" customHeight="1" x14ac:dyDescent="0.25">
      <c r="A188" s="193"/>
      <c r="B188" s="193"/>
      <c r="C188" s="193"/>
      <c r="D188" s="193"/>
      <c r="E188" s="193"/>
      <c r="F188" s="193"/>
      <c r="G188" s="193"/>
      <c r="H188" s="193"/>
      <c r="I188" s="193"/>
      <c r="J188" s="193"/>
      <c r="K188" s="193"/>
      <c r="L188" s="193"/>
      <c r="M188" s="193"/>
      <c r="N188" s="193"/>
      <c r="O188" s="193"/>
      <c r="P188" s="194"/>
      <c r="Q188" s="193"/>
      <c r="R188" s="193"/>
      <c r="S188" s="193"/>
      <c r="T188" s="193"/>
      <c r="U188" s="193"/>
      <c r="V188" s="193"/>
      <c r="W188" s="193"/>
      <c r="X188" s="193"/>
      <c r="Y188" s="193"/>
      <c r="Z188" s="194"/>
      <c r="AA188" s="193"/>
      <c r="AB188" s="193"/>
      <c r="AC188" s="193"/>
      <c r="AD188" s="193"/>
      <c r="AE188" s="193"/>
      <c r="AF188" s="193"/>
      <c r="AG188" s="193"/>
      <c r="AH188" s="193"/>
      <c r="AI188" s="193"/>
      <c r="AJ188" s="194"/>
      <c r="AK188" s="193"/>
      <c r="AL188" s="193"/>
      <c r="AM188" s="193"/>
      <c r="AN188" s="193"/>
      <c r="AO188" s="193"/>
      <c r="AP188" s="193"/>
      <c r="AQ188" s="193"/>
      <c r="AR188" s="193"/>
      <c r="AS188" s="193"/>
      <c r="AT188" s="194"/>
      <c r="AU188" s="193"/>
      <c r="AV188" s="193"/>
      <c r="AW188" s="193"/>
      <c r="AX188" s="193"/>
      <c r="AY188" s="193"/>
      <c r="AZ188" s="193"/>
      <c r="BA188" s="193"/>
      <c r="BB188" s="193"/>
      <c r="BC188" s="193"/>
      <c r="BD188" s="194"/>
      <c r="BE188" s="193"/>
      <c r="BF188" s="193"/>
      <c r="BG188" s="193"/>
      <c r="BH188" s="193"/>
      <c r="BI188" s="193"/>
      <c r="BJ188" s="193"/>
      <c r="BK188" s="193"/>
      <c r="BL188" s="193"/>
      <c r="BM188" s="193"/>
    </row>
    <row r="189" spans="1:65" ht="8.25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  <c r="J189" s="193"/>
      <c r="K189" s="193"/>
      <c r="L189" s="193"/>
      <c r="M189" s="193"/>
      <c r="N189" s="193"/>
      <c r="O189" s="193"/>
      <c r="P189" s="194"/>
      <c r="Q189" s="193"/>
      <c r="R189" s="193"/>
      <c r="S189" s="193"/>
      <c r="T189" s="193"/>
      <c r="U189" s="193"/>
      <c r="V189" s="193"/>
      <c r="W189" s="193"/>
      <c r="X189" s="193"/>
      <c r="Y189" s="193"/>
      <c r="Z189" s="194"/>
      <c r="AA189" s="193"/>
      <c r="AB189" s="193"/>
      <c r="AC189" s="193"/>
      <c r="AD189" s="193"/>
      <c r="AE189" s="193"/>
      <c r="AF189" s="193"/>
      <c r="AG189" s="193"/>
      <c r="AH189" s="193"/>
      <c r="AI189" s="193"/>
      <c r="AJ189" s="194"/>
      <c r="AK189" s="193"/>
      <c r="AL189" s="193"/>
      <c r="AM189" s="193"/>
      <c r="AN189" s="193"/>
      <c r="AO189" s="193"/>
      <c r="AP189" s="193"/>
      <c r="AQ189" s="193"/>
      <c r="AR189" s="193"/>
      <c r="AS189" s="193"/>
      <c r="AT189" s="194"/>
      <c r="AU189" s="193"/>
      <c r="AV189" s="193"/>
      <c r="AW189" s="193"/>
      <c r="AX189" s="193"/>
      <c r="AY189" s="193"/>
      <c r="AZ189" s="193"/>
      <c r="BA189" s="193"/>
      <c r="BB189" s="193"/>
      <c r="BC189" s="193"/>
      <c r="BD189" s="194"/>
      <c r="BE189" s="193"/>
      <c r="BF189" s="193"/>
      <c r="BG189" s="193"/>
      <c r="BH189" s="193"/>
      <c r="BI189" s="193"/>
      <c r="BJ189" s="193"/>
      <c r="BK189" s="193"/>
      <c r="BL189" s="193"/>
      <c r="BM189" s="193"/>
    </row>
    <row r="190" spans="1:65" ht="8.25" customHeight="1" x14ac:dyDescent="0.25">
      <c r="A190" s="193"/>
      <c r="B190" s="193"/>
      <c r="C190" s="193"/>
      <c r="D190" s="193"/>
      <c r="E190" s="193"/>
      <c r="F190" s="193"/>
      <c r="G190" s="193"/>
      <c r="H190" s="193"/>
      <c r="I190" s="193"/>
      <c r="J190" s="193"/>
      <c r="K190" s="193"/>
      <c r="L190" s="193"/>
      <c r="M190" s="193"/>
      <c r="N190" s="193"/>
      <c r="O190" s="193"/>
      <c r="P190" s="194"/>
      <c r="Q190" s="193"/>
      <c r="R190" s="193"/>
      <c r="S190" s="193"/>
      <c r="T190" s="193"/>
      <c r="U190" s="193"/>
      <c r="V190" s="193"/>
      <c r="W190" s="193"/>
      <c r="X190" s="193"/>
      <c r="Y190" s="193"/>
      <c r="Z190" s="194"/>
      <c r="AA190" s="193"/>
      <c r="AB190" s="193"/>
      <c r="AC190" s="193"/>
      <c r="AD190" s="193"/>
      <c r="AE190" s="193"/>
      <c r="AF190" s="193"/>
      <c r="AG190" s="193"/>
      <c r="AH190" s="193"/>
      <c r="AI190" s="193"/>
      <c r="AJ190" s="194"/>
      <c r="AK190" s="193"/>
      <c r="AL190" s="193"/>
      <c r="AM190" s="193"/>
      <c r="AN190" s="193"/>
      <c r="AO190" s="193"/>
      <c r="AP190" s="193"/>
      <c r="AQ190" s="193"/>
      <c r="AR190" s="193"/>
      <c r="AS190" s="193"/>
      <c r="AT190" s="194"/>
      <c r="AU190" s="193"/>
      <c r="AV190" s="193"/>
      <c r="AW190" s="193"/>
      <c r="AX190" s="193"/>
      <c r="AY190" s="193"/>
      <c r="AZ190" s="193"/>
      <c r="BA190" s="193"/>
      <c r="BB190" s="193"/>
      <c r="BC190" s="193"/>
      <c r="BD190" s="194"/>
      <c r="BE190" s="193"/>
      <c r="BF190" s="193"/>
      <c r="BG190" s="193"/>
      <c r="BH190" s="193"/>
      <c r="BI190" s="193"/>
      <c r="BJ190" s="193"/>
      <c r="BK190" s="193"/>
      <c r="BL190" s="193"/>
      <c r="BM190" s="193"/>
    </row>
    <row r="191" spans="1:65" ht="8.25" customHeight="1" x14ac:dyDescent="0.25">
      <c r="A191" s="193"/>
      <c r="B191" s="193"/>
      <c r="C191" s="193"/>
      <c r="D191" s="193"/>
      <c r="E191" s="193"/>
      <c r="F191" s="193"/>
      <c r="G191" s="193"/>
      <c r="H191" s="193"/>
      <c r="I191" s="193"/>
      <c r="J191" s="193"/>
      <c r="K191" s="193"/>
      <c r="L191" s="193"/>
      <c r="M191" s="193"/>
      <c r="N191" s="193"/>
      <c r="O191" s="193"/>
      <c r="P191" s="194"/>
      <c r="Q191" s="193"/>
      <c r="R191" s="193"/>
      <c r="S191" s="193"/>
      <c r="T191" s="193"/>
      <c r="U191" s="193"/>
      <c r="V191" s="193"/>
      <c r="W191" s="193"/>
      <c r="X191" s="193"/>
      <c r="Y191" s="193"/>
      <c r="Z191" s="194"/>
      <c r="AA191" s="193"/>
      <c r="AB191" s="193"/>
      <c r="AC191" s="193"/>
      <c r="AD191" s="193"/>
      <c r="AE191" s="193"/>
      <c r="AF191" s="193"/>
      <c r="AG191" s="193"/>
      <c r="AH191" s="193"/>
      <c r="AI191" s="193"/>
      <c r="AJ191" s="194"/>
      <c r="AK191" s="193"/>
      <c r="AL191" s="193"/>
      <c r="AM191" s="193"/>
      <c r="AN191" s="193"/>
      <c r="AO191" s="193"/>
      <c r="AP191" s="193"/>
      <c r="AQ191" s="193"/>
      <c r="AR191" s="193"/>
      <c r="AS191" s="193"/>
      <c r="AT191" s="194"/>
      <c r="AU191" s="193"/>
      <c r="AV191" s="193"/>
      <c r="AW191" s="193"/>
      <c r="AX191" s="193"/>
      <c r="AY191" s="193"/>
      <c r="AZ191" s="193"/>
      <c r="BA191" s="193"/>
      <c r="BB191" s="193"/>
      <c r="BC191" s="193"/>
      <c r="BD191" s="194"/>
      <c r="BE191" s="193"/>
      <c r="BF191" s="193"/>
      <c r="BG191" s="193"/>
      <c r="BH191" s="193"/>
      <c r="BI191" s="193"/>
      <c r="BJ191" s="193"/>
      <c r="BK191" s="193"/>
      <c r="BL191" s="193"/>
      <c r="BM191" s="193"/>
    </row>
    <row r="192" spans="1:65" ht="8.25" customHeight="1" x14ac:dyDescent="0.25">
      <c r="A192" s="193"/>
      <c r="B192" s="193"/>
      <c r="C192" s="193"/>
      <c r="D192" s="193"/>
      <c r="E192" s="193"/>
      <c r="F192" s="193"/>
      <c r="G192" s="193"/>
      <c r="H192" s="193"/>
      <c r="I192" s="193"/>
      <c r="J192" s="193"/>
      <c r="K192" s="193"/>
      <c r="L192" s="193"/>
      <c r="M192" s="193"/>
      <c r="N192" s="193"/>
      <c r="O192" s="193"/>
      <c r="P192" s="194"/>
      <c r="Q192" s="193"/>
      <c r="R192" s="193"/>
      <c r="S192" s="193"/>
      <c r="T192" s="193"/>
      <c r="U192" s="193"/>
      <c r="V192" s="193"/>
      <c r="W192" s="193"/>
      <c r="X192" s="193"/>
      <c r="Y192" s="193"/>
      <c r="Z192" s="194"/>
      <c r="AA192" s="193"/>
      <c r="AB192" s="193"/>
      <c r="AC192" s="193"/>
      <c r="AD192" s="193"/>
      <c r="AE192" s="193"/>
      <c r="AF192" s="193"/>
      <c r="AG192" s="193"/>
      <c r="AH192" s="193"/>
      <c r="AI192" s="193"/>
      <c r="AJ192" s="194"/>
      <c r="AK192" s="193"/>
      <c r="AL192" s="193"/>
      <c r="AM192" s="193"/>
      <c r="AN192" s="193"/>
      <c r="AO192" s="193"/>
      <c r="AP192" s="193"/>
      <c r="AQ192" s="193"/>
      <c r="AR192" s="193"/>
      <c r="AS192" s="193"/>
      <c r="AT192" s="194"/>
      <c r="AU192" s="193"/>
      <c r="AV192" s="193"/>
      <c r="AW192" s="193"/>
      <c r="AX192" s="193"/>
      <c r="AY192" s="193"/>
      <c r="AZ192" s="193"/>
      <c r="BA192" s="193"/>
      <c r="BB192" s="193"/>
      <c r="BC192" s="193"/>
      <c r="BD192" s="194"/>
      <c r="BE192" s="193"/>
      <c r="BF192" s="193"/>
      <c r="BG192" s="193"/>
      <c r="BH192" s="193"/>
      <c r="BI192" s="193"/>
      <c r="BJ192" s="193"/>
      <c r="BK192" s="193"/>
      <c r="BL192" s="193"/>
      <c r="BM192" s="193"/>
    </row>
    <row r="193" spans="1:65" ht="8.25" customHeight="1" x14ac:dyDescent="0.25">
      <c r="A193" s="193"/>
      <c r="B193" s="193"/>
      <c r="C193" s="193"/>
      <c r="D193" s="193"/>
      <c r="E193" s="193"/>
      <c r="F193" s="193"/>
      <c r="G193" s="193"/>
      <c r="H193" s="193"/>
      <c r="I193" s="193"/>
      <c r="J193" s="193"/>
      <c r="K193" s="193"/>
      <c r="L193" s="193"/>
      <c r="M193" s="193"/>
      <c r="N193" s="193"/>
      <c r="O193" s="193"/>
      <c r="P193" s="194"/>
      <c r="Q193" s="193"/>
      <c r="R193" s="193"/>
      <c r="S193" s="193"/>
      <c r="T193" s="193"/>
      <c r="U193" s="193"/>
      <c r="V193" s="193"/>
      <c r="W193" s="193"/>
      <c r="X193" s="193"/>
      <c r="Y193" s="193"/>
      <c r="Z193" s="194"/>
      <c r="AA193" s="193"/>
      <c r="AB193" s="193"/>
      <c r="AC193" s="193"/>
      <c r="AD193" s="193"/>
      <c r="AE193" s="193"/>
      <c r="AF193" s="193"/>
      <c r="AG193" s="193"/>
      <c r="AH193" s="193"/>
      <c r="AI193" s="193"/>
      <c r="AJ193" s="194"/>
      <c r="AK193" s="193"/>
      <c r="AL193" s="193"/>
      <c r="AM193" s="193"/>
      <c r="AN193" s="193"/>
      <c r="AO193" s="193"/>
      <c r="AP193" s="193"/>
      <c r="AQ193" s="193"/>
      <c r="AR193" s="193"/>
      <c r="AS193" s="193"/>
      <c r="AT193" s="194"/>
      <c r="AU193" s="193"/>
      <c r="AV193" s="193"/>
      <c r="AW193" s="193"/>
      <c r="AX193" s="193"/>
      <c r="AY193" s="193"/>
      <c r="AZ193" s="193"/>
      <c r="BA193" s="193"/>
      <c r="BB193" s="193"/>
      <c r="BC193" s="193"/>
      <c r="BD193" s="194"/>
      <c r="BE193" s="193"/>
      <c r="BF193" s="193"/>
      <c r="BG193" s="193"/>
      <c r="BH193" s="193"/>
      <c r="BI193" s="193"/>
      <c r="BJ193" s="193"/>
      <c r="BK193" s="193"/>
      <c r="BL193" s="193"/>
      <c r="BM193" s="193"/>
    </row>
    <row r="194" spans="1:65" ht="8.25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  <c r="J194" s="193"/>
      <c r="K194" s="193"/>
      <c r="L194" s="193"/>
      <c r="M194" s="193"/>
      <c r="N194" s="193"/>
      <c r="O194" s="193"/>
      <c r="P194" s="194"/>
      <c r="Q194" s="193"/>
      <c r="R194" s="193"/>
      <c r="S194" s="193"/>
      <c r="T194" s="193"/>
      <c r="U194" s="193"/>
      <c r="V194" s="193"/>
      <c r="W194" s="193"/>
      <c r="X194" s="193"/>
      <c r="Y194" s="193"/>
      <c r="Z194" s="194"/>
      <c r="AA194" s="193"/>
      <c r="AB194" s="193"/>
      <c r="AC194" s="193"/>
      <c r="AD194" s="193"/>
      <c r="AE194" s="193"/>
      <c r="AF194" s="193"/>
      <c r="AG194" s="193"/>
      <c r="AH194" s="193"/>
      <c r="AI194" s="193"/>
      <c r="AJ194" s="194"/>
      <c r="AK194" s="193"/>
      <c r="AL194" s="193"/>
      <c r="AM194" s="193"/>
      <c r="AN194" s="193"/>
      <c r="AO194" s="193"/>
      <c r="AP194" s="193"/>
      <c r="AQ194" s="193"/>
      <c r="AR194" s="193"/>
      <c r="AS194" s="193"/>
      <c r="AT194" s="194"/>
      <c r="AU194" s="193"/>
      <c r="AV194" s="193"/>
      <c r="AW194" s="193"/>
      <c r="AX194" s="193"/>
      <c r="AY194" s="193"/>
      <c r="AZ194" s="193"/>
      <c r="BA194" s="193"/>
      <c r="BB194" s="193"/>
      <c r="BC194" s="193"/>
      <c r="BD194" s="194"/>
      <c r="BE194" s="193"/>
      <c r="BF194" s="193"/>
      <c r="BG194" s="193"/>
      <c r="BH194" s="193"/>
      <c r="BI194" s="193"/>
      <c r="BJ194" s="193"/>
      <c r="BK194" s="193"/>
      <c r="BL194" s="193"/>
      <c r="BM194" s="193"/>
    </row>
    <row r="195" spans="1:65" ht="8.25" customHeight="1" x14ac:dyDescent="0.25">
      <c r="A195" s="193"/>
      <c r="B195" s="193"/>
      <c r="C195" s="193"/>
      <c r="D195" s="193"/>
      <c r="E195" s="193"/>
      <c r="F195" s="193"/>
      <c r="G195" s="193"/>
      <c r="H195" s="193"/>
      <c r="I195" s="193"/>
      <c r="J195" s="193"/>
      <c r="K195" s="193"/>
      <c r="L195" s="193"/>
      <c r="M195" s="193"/>
      <c r="N195" s="193"/>
      <c r="O195" s="193"/>
      <c r="P195" s="194"/>
      <c r="Q195" s="193"/>
      <c r="R195" s="193"/>
      <c r="S195" s="193"/>
      <c r="T195" s="193"/>
      <c r="U195" s="193"/>
      <c r="V195" s="193"/>
      <c r="W195" s="193"/>
      <c r="X195" s="193"/>
      <c r="Y195" s="193"/>
      <c r="Z195" s="194"/>
      <c r="AA195" s="193"/>
      <c r="AB195" s="193"/>
      <c r="AC195" s="193"/>
      <c r="AD195" s="193"/>
      <c r="AE195" s="193"/>
      <c r="AF195" s="193"/>
      <c r="AG195" s="193"/>
      <c r="AH195" s="193"/>
      <c r="AI195" s="193"/>
      <c r="AJ195" s="194"/>
      <c r="AK195" s="193"/>
      <c r="AL195" s="193"/>
      <c r="AM195" s="193"/>
      <c r="AN195" s="193"/>
      <c r="AO195" s="193"/>
      <c r="AP195" s="193"/>
      <c r="AQ195" s="193"/>
      <c r="AR195" s="193"/>
      <c r="AS195" s="193"/>
      <c r="AT195" s="194"/>
      <c r="AU195" s="193"/>
      <c r="AV195" s="193"/>
      <c r="AW195" s="193"/>
      <c r="AX195" s="193"/>
      <c r="AY195" s="193"/>
      <c r="AZ195" s="193"/>
      <c r="BA195" s="193"/>
      <c r="BB195" s="193"/>
      <c r="BC195" s="193"/>
      <c r="BD195" s="194"/>
      <c r="BE195" s="193"/>
      <c r="BF195" s="193"/>
      <c r="BG195" s="193"/>
      <c r="BH195" s="193"/>
      <c r="BI195" s="193"/>
      <c r="BJ195" s="193"/>
      <c r="BK195" s="193"/>
      <c r="BL195" s="193"/>
      <c r="BM195" s="193"/>
    </row>
    <row r="196" spans="1:65" ht="8.25" customHeight="1" x14ac:dyDescent="0.25">
      <c r="A196" s="193"/>
      <c r="B196" s="193"/>
      <c r="C196" s="193"/>
      <c r="D196" s="193"/>
      <c r="E196" s="193"/>
      <c r="F196" s="193"/>
      <c r="G196" s="193"/>
      <c r="H196" s="193"/>
      <c r="I196" s="193"/>
      <c r="J196" s="193"/>
      <c r="K196" s="193"/>
      <c r="L196" s="193"/>
      <c r="M196" s="193"/>
      <c r="N196" s="193"/>
      <c r="O196" s="193"/>
      <c r="P196" s="194"/>
      <c r="Q196" s="193"/>
      <c r="R196" s="193"/>
      <c r="S196" s="193"/>
      <c r="T196" s="193"/>
      <c r="U196" s="193"/>
      <c r="V196" s="193"/>
      <c r="W196" s="193"/>
      <c r="X196" s="193"/>
      <c r="Y196" s="193"/>
      <c r="Z196" s="194"/>
      <c r="AA196" s="193"/>
      <c r="AB196" s="193"/>
      <c r="AC196" s="193"/>
      <c r="AD196" s="193"/>
      <c r="AE196" s="193"/>
      <c r="AF196" s="193"/>
      <c r="AG196" s="193"/>
      <c r="AH196" s="193"/>
      <c r="AI196" s="193"/>
      <c r="AJ196" s="194"/>
      <c r="AK196" s="193"/>
      <c r="AL196" s="193"/>
      <c r="AM196" s="193"/>
      <c r="AN196" s="193"/>
      <c r="AO196" s="193"/>
      <c r="AP196" s="193"/>
      <c r="AQ196" s="193"/>
      <c r="AR196" s="193"/>
      <c r="AS196" s="193"/>
      <c r="AT196" s="194"/>
      <c r="AU196" s="193"/>
      <c r="AV196" s="193"/>
      <c r="AW196" s="193"/>
      <c r="AX196" s="193"/>
      <c r="AY196" s="193"/>
      <c r="AZ196" s="193"/>
      <c r="BA196" s="193"/>
      <c r="BB196" s="193"/>
      <c r="BC196" s="193"/>
      <c r="BD196" s="194"/>
      <c r="BE196" s="193"/>
      <c r="BF196" s="193"/>
      <c r="BG196" s="193"/>
      <c r="BH196" s="193"/>
      <c r="BI196" s="193"/>
      <c r="BJ196" s="193"/>
      <c r="BK196" s="193"/>
      <c r="BL196" s="193"/>
      <c r="BM196" s="193"/>
    </row>
    <row r="197" spans="1:65" ht="8.25" customHeight="1" x14ac:dyDescent="0.25">
      <c r="A197" s="193"/>
      <c r="B197" s="193"/>
      <c r="C197" s="193"/>
      <c r="D197" s="193"/>
      <c r="E197" s="193"/>
      <c r="F197" s="193"/>
      <c r="G197" s="193"/>
      <c r="H197" s="193"/>
      <c r="I197" s="193"/>
      <c r="J197" s="193"/>
      <c r="K197" s="193"/>
      <c r="L197" s="193"/>
      <c r="M197" s="193"/>
      <c r="N197" s="193"/>
      <c r="O197" s="193"/>
      <c r="P197" s="194"/>
      <c r="Q197" s="193"/>
      <c r="R197" s="193"/>
      <c r="S197" s="193"/>
      <c r="T197" s="193"/>
      <c r="U197" s="193"/>
      <c r="V197" s="193"/>
      <c r="W197" s="193"/>
      <c r="X197" s="193"/>
      <c r="Y197" s="193"/>
      <c r="Z197" s="194"/>
      <c r="AA197" s="193"/>
      <c r="AB197" s="193"/>
      <c r="AC197" s="193"/>
      <c r="AD197" s="193"/>
      <c r="AE197" s="193"/>
      <c r="AF197" s="193"/>
      <c r="AG197" s="193"/>
      <c r="AH197" s="193"/>
      <c r="AI197" s="193"/>
      <c r="AJ197" s="194"/>
      <c r="AK197" s="193"/>
      <c r="AL197" s="193"/>
      <c r="AM197" s="193"/>
      <c r="AN197" s="193"/>
      <c r="AO197" s="193"/>
      <c r="AP197" s="193"/>
      <c r="AQ197" s="193"/>
      <c r="AR197" s="193"/>
      <c r="AS197" s="193"/>
      <c r="AT197" s="194"/>
      <c r="AU197" s="193"/>
      <c r="AV197" s="193"/>
      <c r="AW197" s="193"/>
      <c r="AX197" s="193"/>
      <c r="AY197" s="193"/>
      <c r="AZ197" s="193"/>
      <c r="BA197" s="193"/>
      <c r="BB197" s="193"/>
      <c r="BC197" s="193"/>
      <c r="BD197" s="194"/>
      <c r="BE197" s="193"/>
      <c r="BF197" s="193"/>
      <c r="BG197" s="193"/>
      <c r="BH197" s="193"/>
      <c r="BI197" s="193"/>
      <c r="BJ197" s="193"/>
      <c r="BK197" s="193"/>
      <c r="BL197" s="193"/>
      <c r="BM197" s="193"/>
    </row>
    <row r="198" spans="1:65" ht="8.25" customHeight="1" x14ac:dyDescent="0.25">
      <c r="A198" s="193"/>
      <c r="B198" s="193"/>
      <c r="C198" s="193"/>
      <c r="D198" s="193"/>
      <c r="E198" s="193"/>
      <c r="F198" s="193"/>
      <c r="G198" s="193"/>
      <c r="H198" s="193"/>
      <c r="I198" s="193"/>
      <c r="J198" s="193"/>
      <c r="K198" s="193"/>
      <c r="L198" s="193"/>
      <c r="M198" s="193"/>
      <c r="N198" s="193"/>
      <c r="O198" s="193"/>
      <c r="P198" s="194"/>
      <c r="Q198" s="193"/>
      <c r="R198" s="193"/>
      <c r="S198" s="193"/>
      <c r="T198" s="193"/>
      <c r="U198" s="193"/>
      <c r="V198" s="193"/>
      <c r="W198" s="193"/>
      <c r="X198" s="193"/>
      <c r="Y198" s="193"/>
      <c r="Z198" s="194"/>
      <c r="AA198" s="193"/>
      <c r="AB198" s="193"/>
      <c r="AC198" s="193"/>
      <c r="AD198" s="193"/>
      <c r="AE198" s="193"/>
      <c r="AF198" s="193"/>
      <c r="AG198" s="193"/>
      <c r="AH198" s="193"/>
      <c r="AI198" s="193"/>
      <c r="AJ198" s="194"/>
      <c r="AK198" s="193"/>
      <c r="AL198" s="193"/>
      <c r="AM198" s="193"/>
      <c r="AN198" s="193"/>
      <c r="AO198" s="193"/>
      <c r="AP198" s="193"/>
      <c r="AQ198" s="193"/>
      <c r="AR198" s="193"/>
      <c r="AS198" s="193"/>
      <c r="AT198" s="194"/>
      <c r="AU198" s="193"/>
      <c r="AV198" s="193"/>
      <c r="AW198" s="193"/>
      <c r="AX198" s="193"/>
      <c r="AY198" s="193"/>
      <c r="AZ198" s="193"/>
      <c r="BA198" s="193"/>
      <c r="BB198" s="193"/>
      <c r="BC198" s="193"/>
      <c r="BD198" s="194"/>
      <c r="BE198" s="193"/>
      <c r="BF198" s="193"/>
      <c r="BG198" s="193"/>
      <c r="BH198" s="193"/>
      <c r="BI198" s="193"/>
      <c r="BJ198" s="193"/>
      <c r="BK198" s="193"/>
      <c r="BL198" s="193"/>
      <c r="BM198" s="193"/>
    </row>
    <row r="199" spans="1:65" ht="8.25" customHeight="1" x14ac:dyDescent="0.25">
      <c r="A199" s="193"/>
      <c r="B199" s="193"/>
      <c r="C199" s="193"/>
      <c r="D199" s="193"/>
      <c r="E199" s="193"/>
      <c r="F199" s="193"/>
      <c r="G199" s="193"/>
      <c r="H199" s="193"/>
      <c r="I199" s="193"/>
      <c r="J199" s="193"/>
      <c r="K199" s="193"/>
      <c r="L199" s="193"/>
      <c r="M199" s="193"/>
      <c r="N199" s="193"/>
      <c r="O199" s="193"/>
      <c r="P199" s="194"/>
      <c r="Q199" s="193"/>
      <c r="R199" s="193"/>
      <c r="S199" s="193"/>
      <c r="T199" s="193"/>
      <c r="U199" s="193"/>
      <c r="V199" s="193"/>
      <c r="W199" s="193"/>
      <c r="X199" s="193"/>
      <c r="Y199" s="193"/>
      <c r="Z199" s="194"/>
      <c r="AA199" s="193"/>
      <c r="AB199" s="193"/>
      <c r="AC199" s="193"/>
      <c r="AD199" s="193"/>
      <c r="AE199" s="193"/>
      <c r="AF199" s="193"/>
      <c r="AG199" s="193"/>
      <c r="AH199" s="193"/>
      <c r="AI199" s="193"/>
      <c r="AJ199" s="194"/>
      <c r="AK199" s="193"/>
      <c r="AL199" s="193"/>
      <c r="AM199" s="193"/>
      <c r="AN199" s="193"/>
      <c r="AO199" s="193"/>
      <c r="AP199" s="193"/>
      <c r="AQ199" s="193"/>
      <c r="AR199" s="193"/>
      <c r="AS199" s="193"/>
      <c r="AT199" s="194"/>
      <c r="AU199" s="193"/>
      <c r="AV199" s="193"/>
      <c r="AW199" s="193"/>
      <c r="AX199" s="193"/>
      <c r="AY199" s="193"/>
      <c r="AZ199" s="193"/>
      <c r="BA199" s="193"/>
      <c r="BB199" s="193"/>
      <c r="BC199" s="193"/>
      <c r="BD199" s="194"/>
      <c r="BE199" s="193"/>
      <c r="BF199" s="193"/>
      <c r="BG199" s="193"/>
      <c r="BH199" s="193"/>
      <c r="BI199" s="193"/>
      <c r="BJ199" s="193"/>
      <c r="BK199" s="193"/>
      <c r="BL199" s="193"/>
      <c r="BM199" s="193"/>
    </row>
    <row r="200" spans="1:65" ht="8.25" customHeight="1" x14ac:dyDescent="0.25">
      <c r="A200" s="193"/>
      <c r="B200" s="193"/>
      <c r="C200" s="193"/>
      <c r="D200" s="193"/>
      <c r="E200" s="193"/>
      <c r="F200" s="193"/>
      <c r="G200" s="193"/>
      <c r="H200" s="193"/>
      <c r="I200" s="193"/>
      <c r="J200" s="193"/>
      <c r="K200" s="193"/>
      <c r="L200" s="193"/>
      <c r="M200" s="193"/>
      <c r="N200" s="193"/>
      <c r="O200" s="193"/>
      <c r="P200" s="194"/>
      <c r="Q200" s="193"/>
      <c r="R200" s="193"/>
      <c r="S200" s="193"/>
      <c r="T200" s="193"/>
      <c r="U200" s="193"/>
      <c r="V200" s="193"/>
      <c r="W200" s="193"/>
      <c r="X200" s="193"/>
      <c r="Y200" s="193"/>
      <c r="Z200" s="194"/>
      <c r="AA200" s="193"/>
      <c r="AB200" s="193"/>
      <c r="AC200" s="193"/>
      <c r="AD200" s="193"/>
      <c r="AE200" s="193"/>
      <c r="AF200" s="193"/>
      <c r="AG200" s="193"/>
      <c r="AH200" s="193"/>
      <c r="AI200" s="193"/>
      <c r="AJ200" s="194"/>
      <c r="AK200" s="193"/>
      <c r="AL200" s="193"/>
      <c r="AM200" s="193"/>
      <c r="AN200" s="193"/>
      <c r="AO200" s="193"/>
      <c r="AP200" s="193"/>
      <c r="AQ200" s="193"/>
      <c r="AR200" s="193"/>
      <c r="AS200" s="193"/>
      <c r="AT200" s="194"/>
      <c r="AU200" s="193"/>
      <c r="AV200" s="193"/>
      <c r="AW200" s="193"/>
      <c r="AX200" s="193"/>
      <c r="AY200" s="193"/>
      <c r="AZ200" s="193"/>
      <c r="BA200" s="193"/>
      <c r="BB200" s="193"/>
      <c r="BC200" s="193"/>
      <c r="BD200" s="194"/>
      <c r="BE200" s="193"/>
      <c r="BF200" s="193"/>
      <c r="BG200" s="193"/>
      <c r="BH200" s="193"/>
      <c r="BI200" s="193"/>
      <c r="BJ200" s="193"/>
      <c r="BK200" s="193"/>
      <c r="BL200" s="193"/>
      <c r="BM200" s="193"/>
    </row>
    <row r="201" spans="1:65" ht="8.25" customHeight="1" x14ac:dyDescent="0.25">
      <c r="A201" s="193"/>
      <c r="B201" s="193"/>
      <c r="C201" s="193"/>
      <c r="D201" s="193"/>
      <c r="E201" s="193"/>
      <c r="F201" s="193"/>
      <c r="G201" s="193"/>
      <c r="H201" s="193"/>
      <c r="I201" s="193"/>
      <c r="J201" s="193"/>
      <c r="K201" s="193"/>
      <c r="L201" s="193"/>
      <c r="M201" s="193"/>
      <c r="N201" s="193"/>
      <c r="O201" s="193"/>
      <c r="P201" s="194"/>
      <c r="Q201" s="193"/>
      <c r="R201" s="193"/>
      <c r="S201" s="193"/>
      <c r="T201" s="193"/>
      <c r="U201" s="193"/>
      <c r="V201" s="193"/>
      <c r="W201" s="193"/>
      <c r="X201" s="193"/>
      <c r="Y201" s="193"/>
      <c r="Z201" s="194"/>
      <c r="AA201" s="193"/>
      <c r="AB201" s="193"/>
      <c r="AC201" s="193"/>
      <c r="AD201" s="193"/>
      <c r="AE201" s="193"/>
      <c r="AF201" s="193"/>
      <c r="AG201" s="193"/>
      <c r="AH201" s="193"/>
      <c r="AI201" s="193"/>
      <c r="AJ201" s="194"/>
      <c r="AK201" s="193"/>
      <c r="AL201" s="193"/>
      <c r="AM201" s="193"/>
      <c r="AN201" s="193"/>
      <c r="AO201" s="193"/>
      <c r="AP201" s="193"/>
      <c r="AQ201" s="193"/>
      <c r="AR201" s="193"/>
      <c r="AS201" s="193"/>
      <c r="AT201" s="194"/>
      <c r="AU201" s="193"/>
      <c r="AV201" s="193"/>
      <c r="AW201" s="193"/>
      <c r="AX201" s="193"/>
      <c r="AY201" s="193"/>
      <c r="AZ201" s="193"/>
      <c r="BA201" s="193"/>
      <c r="BB201" s="193"/>
      <c r="BC201" s="193"/>
      <c r="BD201" s="194"/>
      <c r="BE201" s="193"/>
      <c r="BF201" s="193"/>
      <c r="BG201" s="193"/>
      <c r="BH201" s="193"/>
      <c r="BI201" s="193"/>
      <c r="BJ201" s="193"/>
      <c r="BK201" s="193"/>
      <c r="BL201" s="193"/>
      <c r="BM201" s="193"/>
    </row>
    <row r="202" spans="1:65" ht="8.25" customHeight="1" x14ac:dyDescent="0.25">
      <c r="A202" s="193"/>
      <c r="B202" s="193"/>
      <c r="C202" s="193"/>
      <c r="D202" s="193"/>
      <c r="E202" s="193"/>
      <c r="F202" s="193"/>
      <c r="G202" s="193"/>
      <c r="H202" s="193"/>
      <c r="I202" s="193"/>
      <c r="J202" s="193"/>
      <c r="K202" s="193"/>
      <c r="L202" s="193"/>
      <c r="M202" s="193"/>
      <c r="N202" s="193"/>
      <c r="O202" s="193"/>
      <c r="P202" s="194"/>
      <c r="Q202" s="193"/>
      <c r="R202" s="193"/>
      <c r="S202" s="193"/>
      <c r="T202" s="193"/>
      <c r="U202" s="193"/>
      <c r="V202" s="193"/>
      <c r="W202" s="193"/>
      <c r="X202" s="193"/>
      <c r="Y202" s="193"/>
      <c r="Z202" s="194"/>
      <c r="AA202" s="193"/>
      <c r="AB202" s="193"/>
      <c r="AC202" s="193"/>
      <c r="AD202" s="193"/>
      <c r="AE202" s="193"/>
      <c r="AF202" s="193"/>
      <c r="AG202" s="193"/>
      <c r="AH202" s="193"/>
      <c r="AI202" s="193"/>
      <c r="AJ202" s="194"/>
      <c r="AK202" s="193"/>
      <c r="AL202" s="193"/>
      <c r="AM202" s="193"/>
      <c r="AN202" s="193"/>
      <c r="AO202" s="193"/>
      <c r="AP202" s="193"/>
      <c r="AQ202" s="193"/>
      <c r="AR202" s="193"/>
      <c r="AS202" s="193"/>
      <c r="AT202" s="194"/>
      <c r="AU202" s="193"/>
      <c r="AV202" s="193"/>
      <c r="AW202" s="193"/>
      <c r="AX202" s="193"/>
      <c r="AY202" s="193"/>
      <c r="AZ202" s="193"/>
      <c r="BA202" s="193"/>
      <c r="BB202" s="193"/>
      <c r="BC202" s="193"/>
      <c r="BD202" s="194"/>
      <c r="BE202" s="193"/>
      <c r="BF202" s="193"/>
      <c r="BG202" s="193"/>
      <c r="BH202" s="193"/>
      <c r="BI202" s="193"/>
      <c r="BJ202" s="193"/>
      <c r="BK202" s="193"/>
      <c r="BL202" s="193"/>
      <c r="BM202" s="193"/>
    </row>
    <row r="203" spans="1:65" ht="8.25" customHeight="1" x14ac:dyDescent="0.25">
      <c r="A203" s="193"/>
      <c r="B203" s="193"/>
      <c r="C203" s="193"/>
      <c r="D203" s="193"/>
      <c r="E203" s="193"/>
      <c r="F203" s="193"/>
      <c r="G203" s="193"/>
      <c r="H203" s="193"/>
      <c r="I203" s="193"/>
      <c r="J203" s="193"/>
      <c r="K203" s="193"/>
      <c r="L203" s="193"/>
      <c r="M203" s="193"/>
      <c r="N203" s="193"/>
      <c r="O203" s="193"/>
      <c r="P203" s="194"/>
      <c r="Q203" s="193"/>
      <c r="R203" s="193"/>
      <c r="S203" s="193"/>
      <c r="T203" s="193"/>
      <c r="U203" s="193"/>
      <c r="V203" s="193"/>
      <c r="W203" s="193"/>
      <c r="X203" s="193"/>
      <c r="Y203" s="193"/>
      <c r="Z203" s="194"/>
      <c r="AA203" s="193"/>
      <c r="AB203" s="193"/>
      <c r="AC203" s="193"/>
      <c r="AD203" s="193"/>
      <c r="AE203" s="193"/>
      <c r="AF203" s="193"/>
      <c r="AG203" s="193"/>
      <c r="AH203" s="193"/>
      <c r="AI203" s="193"/>
      <c r="AJ203" s="194"/>
      <c r="AK203" s="193"/>
      <c r="AL203" s="193"/>
      <c r="AM203" s="193"/>
      <c r="AN203" s="193"/>
      <c r="AO203" s="193"/>
      <c r="AP203" s="193"/>
      <c r="AQ203" s="193"/>
      <c r="AR203" s="193"/>
      <c r="AS203" s="193"/>
      <c r="AT203" s="194"/>
      <c r="AU203" s="193"/>
      <c r="AV203" s="193"/>
      <c r="AW203" s="193"/>
      <c r="AX203" s="193"/>
      <c r="AY203" s="193"/>
      <c r="AZ203" s="193"/>
      <c r="BA203" s="193"/>
      <c r="BB203" s="193"/>
      <c r="BC203" s="193"/>
      <c r="BD203" s="194"/>
      <c r="BE203" s="193"/>
      <c r="BF203" s="193"/>
      <c r="BG203" s="193"/>
      <c r="BH203" s="193"/>
      <c r="BI203" s="193"/>
      <c r="BJ203" s="193"/>
      <c r="BK203" s="193"/>
      <c r="BL203" s="193"/>
      <c r="BM203" s="193"/>
    </row>
    <row r="204" spans="1:65" ht="8.25" customHeight="1" x14ac:dyDescent="0.25">
      <c r="A204" s="193"/>
      <c r="B204" s="193"/>
      <c r="C204" s="193"/>
      <c r="D204" s="193"/>
      <c r="E204" s="193"/>
      <c r="F204" s="193"/>
      <c r="G204" s="193"/>
      <c r="H204" s="193"/>
      <c r="I204" s="193"/>
      <c r="J204" s="193"/>
      <c r="K204" s="193"/>
      <c r="L204" s="193"/>
      <c r="M204" s="193"/>
      <c r="N204" s="193"/>
      <c r="O204" s="193"/>
      <c r="P204" s="194"/>
      <c r="Q204" s="193"/>
      <c r="R204" s="193"/>
      <c r="S204" s="193"/>
      <c r="T204" s="193"/>
      <c r="U204" s="193"/>
      <c r="V204" s="193"/>
      <c r="W204" s="193"/>
      <c r="X204" s="193"/>
      <c r="Y204" s="193"/>
      <c r="Z204" s="194"/>
      <c r="AA204" s="193"/>
      <c r="AB204" s="193"/>
      <c r="AC204" s="193"/>
      <c r="AD204" s="193"/>
      <c r="AE204" s="193"/>
      <c r="AF204" s="193"/>
      <c r="AG204" s="193"/>
      <c r="AH204" s="193"/>
      <c r="AI204" s="193"/>
      <c r="AJ204" s="194"/>
      <c r="AK204" s="193"/>
      <c r="AL204" s="193"/>
      <c r="AM204" s="193"/>
      <c r="AN204" s="193"/>
      <c r="AO204" s="193"/>
      <c r="AP204" s="193"/>
      <c r="AQ204" s="193"/>
      <c r="AR204" s="193"/>
      <c r="AS204" s="193"/>
      <c r="AT204" s="194"/>
      <c r="AU204" s="193"/>
      <c r="AV204" s="193"/>
      <c r="AW204" s="193"/>
      <c r="AX204" s="193"/>
      <c r="AY204" s="193"/>
      <c r="AZ204" s="193"/>
      <c r="BA204" s="193"/>
      <c r="BB204" s="193"/>
      <c r="BC204" s="193"/>
      <c r="BD204" s="194"/>
      <c r="BE204" s="193"/>
      <c r="BF204" s="193"/>
      <c r="BG204" s="193"/>
      <c r="BH204" s="193"/>
      <c r="BI204" s="193"/>
      <c r="BJ204" s="193"/>
      <c r="BK204" s="193"/>
      <c r="BL204" s="193"/>
      <c r="BM204" s="193"/>
    </row>
    <row r="205" spans="1:65" ht="8.25" customHeight="1" x14ac:dyDescent="0.25">
      <c r="A205" s="193"/>
      <c r="B205" s="193"/>
      <c r="C205" s="193"/>
      <c r="D205" s="193"/>
      <c r="E205" s="193"/>
      <c r="F205" s="193"/>
      <c r="G205" s="193"/>
      <c r="H205" s="193"/>
      <c r="I205" s="193"/>
      <c r="J205" s="193"/>
      <c r="K205" s="193"/>
      <c r="L205" s="193"/>
      <c r="M205" s="193"/>
      <c r="N205" s="193"/>
      <c r="O205" s="193"/>
      <c r="P205" s="194"/>
      <c r="Q205" s="193"/>
      <c r="R205" s="193"/>
      <c r="S205" s="193"/>
      <c r="T205" s="193"/>
      <c r="U205" s="193"/>
      <c r="V205" s="193"/>
      <c r="W205" s="193"/>
      <c r="X205" s="193"/>
      <c r="Y205" s="193"/>
      <c r="Z205" s="194"/>
      <c r="AA205" s="193"/>
      <c r="AB205" s="193"/>
      <c r="AC205" s="193"/>
      <c r="AD205" s="193"/>
      <c r="AE205" s="193"/>
      <c r="AF205" s="193"/>
      <c r="AG205" s="193"/>
      <c r="AH205" s="193"/>
      <c r="AI205" s="193"/>
      <c r="AJ205" s="194"/>
      <c r="AK205" s="193"/>
      <c r="AL205" s="193"/>
      <c r="AM205" s="193"/>
      <c r="AN205" s="193"/>
      <c r="AO205" s="193"/>
      <c r="AP205" s="193"/>
      <c r="AQ205" s="193"/>
      <c r="AR205" s="193"/>
      <c r="AS205" s="193"/>
      <c r="AT205" s="194"/>
      <c r="AU205" s="193"/>
      <c r="AV205" s="193"/>
      <c r="AW205" s="193"/>
      <c r="AX205" s="193"/>
      <c r="AY205" s="193"/>
      <c r="AZ205" s="193"/>
      <c r="BA205" s="193"/>
      <c r="BB205" s="193"/>
      <c r="BC205" s="193"/>
      <c r="BD205" s="194"/>
      <c r="BE205" s="193"/>
      <c r="BF205" s="193"/>
      <c r="BG205" s="193"/>
      <c r="BH205" s="193"/>
      <c r="BI205" s="193"/>
      <c r="BJ205" s="193"/>
      <c r="BK205" s="193"/>
      <c r="BL205" s="193"/>
      <c r="BM205" s="193"/>
    </row>
    <row r="206" spans="1:65" ht="8.25" customHeight="1" x14ac:dyDescent="0.25">
      <c r="A206" s="193"/>
      <c r="B206" s="193"/>
      <c r="C206" s="193"/>
      <c r="D206" s="193"/>
      <c r="E206" s="193"/>
      <c r="F206" s="193"/>
      <c r="G206" s="193"/>
      <c r="H206" s="193"/>
      <c r="I206" s="193"/>
      <c r="J206" s="193"/>
      <c r="K206" s="193"/>
      <c r="L206" s="193"/>
      <c r="M206" s="193"/>
      <c r="N206" s="193"/>
      <c r="O206" s="193"/>
      <c r="P206" s="194"/>
      <c r="Q206" s="193"/>
      <c r="R206" s="193"/>
      <c r="S206" s="193"/>
      <c r="T206" s="193"/>
      <c r="U206" s="193"/>
      <c r="V206" s="193"/>
      <c r="W206" s="193"/>
      <c r="X206" s="193"/>
      <c r="Y206" s="193"/>
      <c r="Z206" s="194"/>
      <c r="AA206" s="193"/>
      <c r="AB206" s="193"/>
      <c r="AC206" s="193"/>
      <c r="AD206" s="193"/>
      <c r="AE206" s="193"/>
      <c r="AF206" s="193"/>
      <c r="AG206" s="193"/>
      <c r="AH206" s="193"/>
      <c r="AI206" s="193"/>
      <c r="AJ206" s="194"/>
      <c r="AK206" s="193"/>
      <c r="AL206" s="193"/>
      <c r="AM206" s="193"/>
      <c r="AN206" s="193"/>
      <c r="AO206" s="193"/>
      <c r="AP206" s="193"/>
      <c r="AQ206" s="193"/>
      <c r="AR206" s="193"/>
      <c r="AS206" s="193"/>
      <c r="AT206" s="194"/>
      <c r="AU206" s="193"/>
      <c r="AV206" s="193"/>
      <c r="AW206" s="193"/>
      <c r="AX206" s="193"/>
      <c r="AY206" s="193"/>
      <c r="AZ206" s="193"/>
      <c r="BA206" s="193"/>
      <c r="BB206" s="193"/>
      <c r="BC206" s="193"/>
      <c r="BD206" s="194"/>
      <c r="BE206" s="193"/>
      <c r="BF206" s="193"/>
      <c r="BG206" s="193"/>
      <c r="BH206" s="193"/>
      <c r="BI206" s="193"/>
      <c r="BJ206" s="193"/>
      <c r="BK206" s="193"/>
      <c r="BL206" s="193"/>
      <c r="BM206" s="193"/>
    </row>
    <row r="207" spans="1:65" ht="8.25" customHeight="1" x14ac:dyDescent="0.25">
      <c r="A207" s="193"/>
      <c r="B207" s="193"/>
      <c r="C207" s="193"/>
      <c r="D207" s="193"/>
      <c r="E207" s="193"/>
      <c r="F207" s="193"/>
      <c r="G207" s="193"/>
      <c r="H207" s="193"/>
      <c r="I207" s="193"/>
      <c r="J207" s="193"/>
      <c r="K207" s="193"/>
      <c r="L207" s="193"/>
      <c r="M207" s="193"/>
      <c r="N207" s="193"/>
      <c r="O207" s="193"/>
      <c r="P207" s="194"/>
      <c r="Q207" s="193"/>
      <c r="R207" s="193"/>
      <c r="S207" s="193"/>
      <c r="T207" s="193"/>
      <c r="U207" s="193"/>
      <c r="V207" s="193"/>
      <c r="W207" s="193"/>
      <c r="X207" s="193"/>
      <c r="Y207" s="193"/>
      <c r="Z207" s="194"/>
      <c r="AA207" s="193"/>
      <c r="AB207" s="193"/>
      <c r="AC207" s="193"/>
      <c r="AD207" s="193"/>
      <c r="AE207" s="193"/>
      <c r="AF207" s="193"/>
      <c r="AG207" s="193"/>
      <c r="AH207" s="193"/>
      <c r="AI207" s="193"/>
      <c r="AJ207" s="194"/>
      <c r="AK207" s="193"/>
      <c r="AL207" s="193"/>
      <c r="AM207" s="193"/>
      <c r="AN207" s="193"/>
      <c r="AO207" s="193"/>
      <c r="AP207" s="193"/>
      <c r="AQ207" s="193"/>
      <c r="AR207" s="193"/>
      <c r="AS207" s="193"/>
      <c r="AT207" s="194"/>
      <c r="AU207" s="193"/>
      <c r="AV207" s="193"/>
      <c r="AW207" s="193"/>
      <c r="AX207" s="193"/>
      <c r="AY207" s="193"/>
      <c r="AZ207" s="193"/>
      <c r="BA207" s="193"/>
      <c r="BB207" s="193"/>
      <c r="BC207" s="193"/>
      <c r="BD207" s="194"/>
      <c r="BE207" s="193"/>
      <c r="BF207" s="193"/>
      <c r="BG207" s="193"/>
      <c r="BH207" s="193"/>
      <c r="BI207" s="193"/>
      <c r="BJ207" s="193"/>
      <c r="BK207" s="193"/>
      <c r="BL207" s="193"/>
      <c r="BM207" s="193"/>
    </row>
    <row r="208" spans="1:65" ht="8.25" customHeight="1" x14ac:dyDescent="0.25">
      <c r="A208" s="193"/>
      <c r="B208" s="193"/>
      <c r="C208" s="193"/>
      <c r="D208" s="193"/>
      <c r="E208" s="193"/>
      <c r="F208" s="193"/>
      <c r="G208" s="193"/>
      <c r="H208" s="193"/>
      <c r="I208" s="193"/>
      <c r="J208" s="193"/>
      <c r="K208" s="193"/>
      <c r="L208" s="193"/>
      <c r="M208" s="193"/>
      <c r="N208" s="193"/>
      <c r="O208" s="193"/>
      <c r="P208" s="194"/>
      <c r="Q208" s="193"/>
      <c r="R208" s="193"/>
      <c r="S208" s="193"/>
      <c r="T208" s="193"/>
      <c r="U208" s="193"/>
      <c r="V208" s="193"/>
      <c r="W208" s="193"/>
      <c r="X208" s="193"/>
      <c r="Y208" s="193"/>
      <c r="Z208" s="194"/>
      <c r="AA208" s="193"/>
      <c r="AB208" s="193"/>
      <c r="AC208" s="193"/>
      <c r="AD208" s="193"/>
      <c r="AE208" s="193"/>
      <c r="AF208" s="193"/>
      <c r="AG208" s="193"/>
      <c r="AH208" s="193"/>
      <c r="AI208" s="193"/>
      <c r="AJ208" s="194"/>
      <c r="AK208" s="193"/>
      <c r="AL208" s="193"/>
      <c r="AM208" s="193"/>
      <c r="AN208" s="193"/>
      <c r="AO208" s="193"/>
      <c r="AP208" s="193"/>
      <c r="AQ208" s="193"/>
      <c r="AR208" s="193"/>
      <c r="AS208" s="193"/>
      <c r="AT208" s="194"/>
      <c r="AU208" s="193"/>
      <c r="AV208" s="193"/>
      <c r="AW208" s="193"/>
      <c r="AX208" s="193"/>
      <c r="AY208" s="193"/>
      <c r="AZ208" s="193"/>
      <c r="BA208" s="193"/>
      <c r="BB208" s="193"/>
      <c r="BC208" s="193"/>
      <c r="BD208" s="194"/>
      <c r="BE208" s="193"/>
      <c r="BF208" s="193"/>
      <c r="BG208" s="193"/>
      <c r="BH208" s="193"/>
      <c r="BI208" s="193"/>
      <c r="BJ208" s="193"/>
      <c r="BK208" s="193"/>
      <c r="BL208" s="193"/>
      <c r="BM208" s="193"/>
    </row>
    <row r="209" spans="1:65" ht="8.25" customHeight="1" x14ac:dyDescent="0.25">
      <c r="A209" s="193"/>
      <c r="B209" s="193"/>
      <c r="C209" s="193"/>
      <c r="D209" s="193"/>
      <c r="E209" s="193"/>
      <c r="F209" s="193"/>
      <c r="G209" s="193"/>
      <c r="H209" s="193"/>
      <c r="I209" s="193"/>
      <c r="J209" s="193"/>
      <c r="K209" s="193"/>
      <c r="L209" s="193"/>
      <c r="M209" s="193"/>
      <c r="N209" s="193"/>
      <c r="O209" s="193"/>
      <c r="P209" s="194"/>
      <c r="Q209" s="193"/>
      <c r="R209" s="193"/>
      <c r="S209" s="193"/>
      <c r="T209" s="193"/>
      <c r="U209" s="193"/>
      <c r="V209" s="193"/>
      <c r="W209" s="193"/>
      <c r="X209" s="193"/>
      <c r="Y209" s="193"/>
      <c r="Z209" s="194"/>
      <c r="AA209" s="193"/>
      <c r="AB209" s="193"/>
      <c r="AC209" s="193"/>
      <c r="AD209" s="193"/>
      <c r="AE209" s="193"/>
      <c r="AF209" s="193"/>
      <c r="AG209" s="193"/>
      <c r="AH209" s="193"/>
      <c r="AI209" s="193"/>
      <c r="AJ209" s="194"/>
      <c r="AK209" s="193"/>
      <c r="AL209" s="193"/>
      <c r="AM209" s="193"/>
      <c r="AN209" s="193"/>
      <c r="AO209" s="193"/>
      <c r="AP209" s="193"/>
      <c r="AQ209" s="193"/>
      <c r="AR209" s="193"/>
      <c r="AS209" s="193"/>
      <c r="AT209" s="194"/>
      <c r="AU209" s="193"/>
      <c r="AV209" s="193"/>
      <c r="AW209" s="193"/>
      <c r="AX209" s="193"/>
      <c r="AY209" s="193"/>
      <c r="AZ209" s="193"/>
      <c r="BA209" s="193"/>
      <c r="BB209" s="193"/>
      <c r="BC209" s="193"/>
      <c r="BD209" s="194"/>
      <c r="BE209" s="193"/>
      <c r="BF209" s="193"/>
      <c r="BG209" s="193"/>
      <c r="BH209" s="193"/>
      <c r="BI209" s="193"/>
      <c r="BJ209" s="193"/>
      <c r="BK209" s="193"/>
      <c r="BL209" s="193"/>
      <c r="BM209" s="193"/>
    </row>
    <row r="210" spans="1:65" ht="8.25" customHeight="1" x14ac:dyDescent="0.25">
      <c r="A210" s="193"/>
      <c r="B210" s="193"/>
      <c r="C210" s="193"/>
      <c r="D210" s="193"/>
      <c r="E210" s="193"/>
      <c r="F210" s="193"/>
      <c r="G210" s="193"/>
      <c r="H210" s="193"/>
      <c r="I210" s="193"/>
      <c r="J210" s="193"/>
      <c r="K210" s="193"/>
      <c r="L210" s="193"/>
      <c r="M210" s="193"/>
      <c r="N210" s="193"/>
      <c r="O210" s="193"/>
      <c r="P210" s="194"/>
      <c r="Q210" s="193"/>
      <c r="R210" s="193"/>
      <c r="S210" s="193"/>
      <c r="T210" s="193"/>
      <c r="U210" s="193"/>
      <c r="V210" s="193"/>
      <c r="W210" s="193"/>
      <c r="X210" s="193"/>
      <c r="Y210" s="193"/>
      <c r="Z210" s="194"/>
      <c r="AA210" s="193"/>
      <c r="AB210" s="193"/>
      <c r="AC210" s="193"/>
      <c r="AD210" s="193"/>
      <c r="AE210" s="193"/>
      <c r="AF210" s="193"/>
      <c r="AG210" s="193"/>
      <c r="AH210" s="193"/>
      <c r="AI210" s="193"/>
      <c r="AJ210" s="194"/>
      <c r="AK210" s="193"/>
      <c r="AL210" s="193"/>
      <c r="AM210" s="193"/>
      <c r="AN210" s="193"/>
      <c r="AO210" s="193"/>
      <c r="AP210" s="193"/>
      <c r="AQ210" s="193"/>
      <c r="AR210" s="193"/>
      <c r="AS210" s="193"/>
      <c r="AT210" s="194"/>
      <c r="AU210" s="193"/>
      <c r="AV210" s="193"/>
      <c r="AW210" s="193"/>
      <c r="AX210" s="193"/>
      <c r="AY210" s="193"/>
      <c r="AZ210" s="193"/>
      <c r="BA210" s="193"/>
      <c r="BB210" s="193"/>
      <c r="BC210" s="193"/>
      <c r="BD210" s="194"/>
      <c r="BE210" s="193"/>
      <c r="BF210" s="193"/>
      <c r="BG210" s="193"/>
      <c r="BH210" s="193"/>
      <c r="BI210" s="193"/>
      <c r="BJ210" s="193"/>
      <c r="BK210" s="193"/>
      <c r="BL210" s="193"/>
      <c r="BM210" s="193"/>
    </row>
    <row r="211" spans="1:65" ht="8.25" customHeight="1" x14ac:dyDescent="0.25">
      <c r="A211" s="193"/>
      <c r="B211" s="193"/>
      <c r="C211" s="193"/>
      <c r="D211" s="193"/>
      <c r="E211" s="193"/>
      <c r="F211" s="193"/>
      <c r="G211" s="193"/>
      <c r="H211" s="193"/>
      <c r="I211" s="193"/>
      <c r="J211" s="193"/>
      <c r="K211" s="193"/>
      <c r="L211" s="193"/>
      <c r="M211" s="193"/>
      <c r="N211" s="193"/>
      <c r="O211" s="193"/>
      <c r="P211" s="194"/>
      <c r="Q211" s="193"/>
      <c r="R211" s="193"/>
      <c r="S211" s="193"/>
      <c r="T211" s="193"/>
      <c r="U211" s="193"/>
      <c r="V211" s="193"/>
      <c r="W211" s="193"/>
      <c r="X211" s="193"/>
      <c r="Y211" s="193"/>
      <c r="Z211" s="194"/>
      <c r="AA211" s="193"/>
      <c r="AB211" s="193"/>
      <c r="AC211" s="193"/>
      <c r="AD211" s="193"/>
      <c r="AE211" s="193"/>
      <c r="AF211" s="193"/>
      <c r="AG211" s="193"/>
      <c r="AH211" s="193"/>
      <c r="AI211" s="193"/>
      <c r="AJ211" s="194"/>
      <c r="AK211" s="193"/>
      <c r="AL211" s="193"/>
      <c r="AM211" s="193"/>
      <c r="AN211" s="193"/>
      <c r="AO211" s="193"/>
      <c r="AP211" s="193"/>
      <c r="AQ211" s="193"/>
      <c r="AR211" s="193"/>
      <c r="AS211" s="193"/>
      <c r="AT211" s="194"/>
      <c r="AU211" s="193"/>
      <c r="AV211" s="193"/>
      <c r="AW211" s="193"/>
      <c r="AX211" s="193"/>
      <c r="AY211" s="193"/>
      <c r="AZ211" s="193"/>
      <c r="BA211" s="193"/>
      <c r="BB211" s="193"/>
      <c r="BC211" s="193"/>
      <c r="BD211" s="194"/>
      <c r="BE211" s="193"/>
      <c r="BF211" s="193"/>
      <c r="BG211" s="193"/>
      <c r="BH211" s="193"/>
      <c r="BI211" s="193"/>
      <c r="BJ211" s="193"/>
      <c r="BK211" s="193"/>
      <c r="BL211" s="193"/>
      <c r="BM211" s="193"/>
    </row>
    <row r="212" spans="1:65" ht="8.25" customHeight="1" x14ac:dyDescent="0.25">
      <c r="A212" s="193"/>
      <c r="B212" s="193"/>
      <c r="C212" s="193"/>
      <c r="D212" s="193"/>
      <c r="E212" s="193"/>
      <c r="F212" s="193"/>
      <c r="G212" s="193"/>
      <c r="H212" s="193"/>
      <c r="I212" s="193"/>
      <c r="J212" s="193"/>
      <c r="K212" s="193"/>
      <c r="L212" s="193"/>
      <c r="M212" s="193"/>
      <c r="N212" s="193"/>
      <c r="O212" s="193"/>
      <c r="P212" s="194"/>
      <c r="Q212" s="193"/>
      <c r="R212" s="193"/>
      <c r="S212" s="193"/>
      <c r="T212" s="193"/>
      <c r="U212" s="193"/>
      <c r="V212" s="193"/>
      <c r="W212" s="193"/>
      <c r="X212" s="193"/>
      <c r="Y212" s="193"/>
      <c r="Z212" s="194"/>
      <c r="AA212" s="193"/>
      <c r="AB212" s="193"/>
      <c r="AC212" s="193"/>
      <c r="AD212" s="193"/>
      <c r="AE212" s="193"/>
      <c r="AF212" s="193"/>
      <c r="AG212" s="193"/>
      <c r="AH212" s="193"/>
      <c r="AI212" s="193"/>
      <c r="AJ212" s="194"/>
      <c r="AK212" s="193"/>
      <c r="AL212" s="193"/>
      <c r="AM212" s="193"/>
      <c r="AN212" s="193"/>
      <c r="AO212" s="193"/>
      <c r="AP212" s="193"/>
      <c r="AQ212" s="193"/>
      <c r="AR212" s="193"/>
      <c r="AS212" s="193"/>
      <c r="AT212" s="194"/>
      <c r="AU212" s="193"/>
      <c r="AV212" s="193"/>
      <c r="AW212" s="193"/>
      <c r="AX212" s="193"/>
      <c r="AY212" s="193"/>
      <c r="AZ212" s="193"/>
      <c r="BA212" s="193"/>
      <c r="BB212" s="193"/>
      <c r="BC212" s="193"/>
      <c r="BD212" s="194"/>
      <c r="BE212" s="193"/>
      <c r="BF212" s="193"/>
      <c r="BG212" s="193"/>
      <c r="BH212" s="193"/>
      <c r="BI212" s="193"/>
      <c r="BJ212" s="193"/>
      <c r="BK212" s="193"/>
      <c r="BL212" s="193"/>
      <c r="BM212" s="193"/>
    </row>
    <row r="213" spans="1:65" ht="8.25" customHeight="1" x14ac:dyDescent="0.25">
      <c r="A213" s="193"/>
      <c r="B213" s="193"/>
      <c r="C213" s="193"/>
      <c r="D213" s="193"/>
      <c r="E213" s="193"/>
      <c r="F213" s="193"/>
      <c r="G213" s="193"/>
      <c r="H213" s="193"/>
      <c r="I213" s="193"/>
      <c r="J213" s="193"/>
      <c r="K213" s="193"/>
      <c r="L213" s="193"/>
      <c r="M213" s="193"/>
      <c r="N213" s="193"/>
      <c r="O213" s="193"/>
      <c r="P213" s="194"/>
      <c r="Q213" s="193"/>
      <c r="R213" s="193"/>
      <c r="S213" s="193"/>
      <c r="T213" s="193"/>
      <c r="U213" s="193"/>
      <c r="V213" s="193"/>
      <c r="W213" s="193"/>
      <c r="X213" s="193"/>
      <c r="Y213" s="193"/>
      <c r="Z213" s="194"/>
      <c r="AA213" s="193"/>
      <c r="AB213" s="193"/>
      <c r="AC213" s="193"/>
      <c r="AD213" s="193"/>
      <c r="AE213" s="193"/>
      <c r="AF213" s="193"/>
      <c r="AG213" s="193"/>
      <c r="AH213" s="193"/>
      <c r="AI213" s="193"/>
      <c r="AJ213" s="194"/>
      <c r="AK213" s="193"/>
      <c r="AL213" s="193"/>
      <c r="AM213" s="193"/>
      <c r="AN213" s="193"/>
      <c r="AO213" s="193"/>
      <c r="AP213" s="193"/>
      <c r="AQ213" s="193"/>
      <c r="AR213" s="193"/>
      <c r="AS213" s="193"/>
      <c r="AT213" s="194"/>
      <c r="AU213" s="193"/>
      <c r="AV213" s="193"/>
      <c r="AW213" s="193"/>
      <c r="AX213" s="193"/>
      <c r="AY213" s="193"/>
      <c r="AZ213" s="193"/>
      <c r="BA213" s="193"/>
      <c r="BB213" s="193"/>
      <c r="BC213" s="193"/>
      <c r="BD213" s="194"/>
      <c r="BE213" s="193"/>
      <c r="BF213" s="193"/>
      <c r="BG213" s="193"/>
      <c r="BH213" s="193"/>
      <c r="BI213" s="193"/>
      <c r="BJ213" s="193"/>
      <c r="BK213" s="193"/>
      <c r="BL213" s="193"/>
      <c r="BM213" s="193"/>
    </row>
    <row r="214" spans="1:65" ht="8.25" customHeight="1" x14ac:dyDescent="0.25">
      <c r="A214" s="193"/>
      <c r="B214" s="193"/>
      <c r="C214" s="193"/>
      <c r="D214" s="193"/>
      <c r="E214" s="193"/>
      <c r="F214" s="193"/>
      <c r="G214" s="193"/>
      <c r="H214" s="193"/>
      <c r="I214" s="193"/>
      <c r="J214" s="193"/>
      <c r="K214" s="193"/>
      <c r="L214" s="193"/>
      <c r="M214" s="193"/>
      <c r="N214" s="193"/>
      <c r="O214" s="193"/>
      <c r="P214" s="194"/>
      <c r="Q214" s="193"/>
      <c r="R214" s="193"/>
      <c r="S214" s="193"/>
      <c r="T214" s="193"/>
      <c r="U214" s="193"/>
      <c r="V214" s="193"/>
      <c r="W214" s="193"/>
      <c r="X214" s="193"/>
      <c r="Y214" s="193"/>
      <c r="Z214" s="194"/>
      <c r="AA214" s="193"/>
      <c r="AB214" s="193"/>
      <c r="AC214" s="193"/>
      <c r="AD214" s="193"/>
      <c r="AE214" s="193"/>
      <c r="AF214" s="193"/>
      <c r="AG214" s="193"/>
      <c r="AH214" s="193"/>
      <c r="AI214" s="193"/>
      <c r="AJ214" s="194"/>
      <c r="AK214" s="193"/>
      <c r="AL214" s="193"/>
      <c r="AM214" s="193"/>
      <c r="AN214" s="193"/>
      <c r="AO214" s="193"/>
      <c r="AP214" s="193"/>
      <c r="AQ214" s="193"/>
      <c r="AR214" s="193"/>
      <c r="AS214" s="193"/>
      <c r="AT214" s="194"/>
      <c r="AU214" s="193"/>
      <c r="AV214" s="193"/>
      <c r="AW214" s="193"/>
      <c r="AX214" s="193"/>
      <c r="AY214" s="193"/>
      <c r="AZ214" s="193"/>
      <c r="BA214" s="193"/>
      <c r="BB214" s="193"/>
      <c r="BC214" s="193"/>
      <c r="BD214" s="194"/>
      <c r="BE214" s="193"/>
      <c r="BF214" s="193"/>
      <c r="BG214" s="193"/>
      <c r="BH214" s="193"/>
      <c r="BI214" s="193"/>
      <c r="BJ214" s="193"/>
      <c r="BK214" s="193"/>
      <c r="BL214" s="193"/>
      <c r="BM214" s="193"/>
    </row>
    <row r="215" spans="1:65" ht="8.25" customHeight="1" x14ac:dyDescent="0.25">
      <c r="A215" s="193"/>
      <c r="B215" s="193"/>
      <c r="C215" s="193"/>
      <c r="D215" s="193"/>
      <c r="E215" s="193"/>
      <c r="F215" s="193"/>
      <c r="G215" s="193"/>
      <c r="H215" s="193"/>
      <c r="I215" s="193"/>
      <c r="J215" s="193"/>
      <c r="K215" s="193"/>
      <c r="L215" s="193"/>
      <c r="M215" s="193"/>
      <c r="N215" s="193"/>
      <c r="O215" s="193"/>
      <c r="P215" s="194"/>
      <c r="Q215" s="193"/>
      <c r="R215" s="193"/>
      <c r="S215" s="193"/>
      <c r="T215" s="193"/>
      <c r="U215" s="193"/>
      <c r="V215" s="193"/>
      <c r="W215" s="193"/>
      <c r="X215" s="193"/>
      <c r="Y215" s="193"/>
      <c r="Z215" s="194"/>
      <c r="AA215" s="193"/>
      <c r="AB215" s="193"/>
      <c r="AC215" s="193"/>
      <c r="AD215" s="193"/>
      <c r="AE215" s="193"/>
      <c r="AF215" s="193"/>
      <c r="AG215" s="193"/>
      <c r="AH215" s="193"/>
      <c r="AI215" s="193"/>
      <c r="AJ215" s="194"/>
      <c r="AK215" s="193"/>
      <c r="AL215" s="193"/>
      <c r="AM215" s="193"/>
      <c r="AN215" s="193"/>
      <c r="AO215" s="193"/>
      <c r="AP215" s="193"/>
      <c r="AQ215" s="193"/>
      <c r="AR215" s="193"/>
      <c r="AS215" s="193"/>
      <c r="AT215" s="194"/>
      <c r="AU215" s="193"/>
      <c r="AV215" s="193"/>
      <c r="AW215" s="193"/>
      <c r="AX215" s="193"/>
      <c r="AY215" s="193"/>
      <c r="AZ215" s="193"/>
      <c r="BA215" s="193"/>
      <c r="BB215" s="193"/>
      <c r="BC215" s="193"/>
      <c r="BD215" s="194"/>
      <c r="BE215" s="193"/>
      <c r="BF215" s="193"/>
      <c r="BG215" s="193"/>
      <c r="BH215" s="193"/>
      <c r="BI215" s="193"/>
      <c r="BJ215" s="193"/>
      <c r="BK215" s="193"/>
      <c r="BL215" s="193"/>
      <c r="BM215" s="193"/>
    </row>
    <row r="216" spans="1:65" ht="8.25" customHeight="1" x14ac:dyDescent="0.25">
      <c r="A216" s="193"/>
      <c r="B216" s="193"/>
      <c r="C216" s="193"/>
      <c r="D216" s="193"/>
      <c r="E216" s="193"/>
      <c r="F216" s="193"/>
      <c r="G216" s="193"/>
      <c r="H216" s="193"/>
      <c r="I216" s="193"/>
      <c r="J216" s="193"/>
      <c r="K216" s="193"/>
      <c r="L216" s="193"/>
      <c r="M216" s="193"/>
      <c r="N216" s="193"/>
      <c r="O216" s="193"/>
      <c r="P216" s="194"/>
      <c r="Q216" s="193"/>
      <c r="R216" s="193"/>
      <c r="S216" s="193"/>
      <c r="T216" s="193"/>
      <c r="U216" s="193"/>
      <c r="V216" s="193"/>
      <c r="W216" s="193"/>
      <c r="X216" s="193"/>
      <c r="Y216" s="193"/>
      <c r="Z216" s="194"/>
      <c r="AA216" s="193"/>
      <c r="AB216" s="193"/>
      <c r="AC216" s="193"/>
      <c r="AD216" s="193"/>
      <c r="AE216" s="193"/>
      <c r="AF216" s="193"/>
      <c r="AG216" s="193"/>
      <c r="AH216" s="193"/>
      <c r="AI216" s="193"/>
      <c r="AJ216" s="194"/>
      <c r="AK216" s="193"/>
      <c r="AL216" s="193"/>
      <c r="AM216" s="193"/>
      <c r="AN216" s="193"/>
      <c r="AO216" s="193"/>
      <c r="AP216" s="193"/>
      <c r="AQ216" s="193"/>
      <c r="AR216" s="193"/>
      <c r="AS216" s="193"/>
      <c r="AT216" s="194"/>
      <c r="AU216" s="193"/>
      <c r="AV216" s="193"/>
      <c r="AW216" s="193"/>
      <c r="AX216" s="193"/>
      <c r="AY216" s="193"/>
      <c r="AZ216" s="193"/>
      <c r="BA216" s="193"/>
      <c r="BB216" s="193"/>
      <c r="BC216" s="193"/>
      <c r="BD216" s="194"/>
      <c r="BE216" s="193"/>
      <c r="BF216" s="193"/>
      <c r="BG216" s="193"/>
      <c r="BH216" s="193"/>
      <c r="BI216" s="193"/>
      <c r="BJ216" s="193"/>
      <c r="BK216" s="193"/>
      <c r="BL216" s="193"/>
      <c r="BM216" s="193"/>
    </row>
    <row r="217" spans="1:65" ht="8.25" customHeight="1" x14ac:dyDescent="0.25">
      <c r="A217" s="193"/>
      <c r="B217" s="193"/>
      <c r="C217" s="193"/>
      <c r="D217" s="193"/>
      <c r="E217" s="193"/>
      <c r="F217" s="193"/>
      <c r="G217" s="193"/>
      <c r="H217" s="193"/>
      <c r="I217" s="193"/>
      <c r="J217" s="193"/>
      <c r="K217" s="193"/>
      <c r="L217" s="193"/>
      <c r="M217" s="193"/>
      <c r="N217" s="193"/>
      <c r="O217" s="193"/>
      <c r="P217" s="194"/>
      <c r="Q217" s="193"/>
      <c r="R217" s="193"/>
      <c r="S217" s="193"/>
      <c r="T217" s="193"/>
      <c r="U217" s="193"/>
      <c r="V217" s="193"/>
      <c r="W217" s="193"/>
      <c r="X217" s="193"/>
      <c r="Y217" s="193"/>
      <c r="Z217" s="194"/>
      <c r="AA217" s="193"/>
      <c r="AB217" s="193"/>
      <c r="AC217" s="193"/>
      <c r="AD217" s="193"/>
      <c r="AE217" s="193"/>
      <c r="AF217" s="193"/>
      <c r="AG217" s="193"/>
      <c r="AH217" s="193"/>
      <c r="AI217" s="193"/>
      <c r="AJ217" s="194"/>
      <c r="AK217" s="193"/>
      <c r="AL217" s="193"/>
      <c r="AM217" s="193"/>
      <c r="AN217" s="193"/>
      <c r="AO217" s="193"/>
      <c r="AP217" s="193"/>
      <c r="AQ217" s="193"/>
      <c r="AR217" s="193"/>
      <c r="AS217" s="193"/>
      <c r="AT217" s="194"/>
      <c r="AU217" s="193"/>
      <c r="AV217" s="193"/>
      <c r="AW217" s="193"/>
      <c r="AX217" s="193"/>
      <c r="AY217" s="193"/>
      <c r="AZ217" s="193"/>
      <c r="BA217" s="193"/>
      <c r="BB217" s="193"/>
      <c r="BC217" s="193"/>
      <c r="BD217" s="194"/>
      <c r="BE217" s="193"/>
      <c r="BF217" s="193"/>
      <c r="BG217" s="193"/>
      <c r="BH217" s="193"/>
      <c r="BI217" s="193"/>
      <c r="BJ217" s="193"/>
      <c r="BK217" s="193"/>
      <c r="BL217" s="193"/>
      <c r="BM217" s="193"/>
    </row>
    <row r="218" spans="1:65" ht="8.25" customHeight="1" x14ac:dyDescent="0.25">
      <c r="A218" s="193"/>
      <c r="B218" s="193"/>
      <c r="C218" s="193"/>
      <c r="D218" s="193"/>
      <c r="E218" s="193"/>
      <c r="F218" s="193"/>
      <c r="G218" s="193"/>
      <c r="H218" s="193"/>
      <c r="I218" s="193"/>
      <c r="J218" s="193"/>
      <c r="K218" s="193"/>
      <c r="L218" s="193"/>
      <c r="M218" s="193"/>
      <c r="N218" s="193"/>
      <c r="O218" s="193"/>
      <c r="P218" s="194"/>
      <c r="Q218" s="193"/>
      <c r="R218" s="193"/>
      <c r="S218" s="193"/>
      <c r="T218" s="193"/>
      <c r="U218" s="193"/>
      <c r="V218" s="193"/>
      <c r="W218" s="193"/>
      <c r="X218" s="193"/>
      <c r="Y218" s="193"/>
      <c r="Z218" s="194"/>
      <c r="AA218" s="193"/>
      <c r="AB218" s="193"/>
      <c r="AC218" s="193"/>
      <c r="AD218" s="193"/>
      <c r="AE218" s="193"/>
      <c r="AF218" s="193"/>
      <c r="AG218" s="193"/>
      <c r="AH218" s="193"/>
      <c r="AI218" s="193"/>
      <c r="AJ218" s="194"/>
      <c r="AK218" s="193"/>
      <c r="AL218" s="193"/>
      <c r="AM218" s="193"/>
      <c r="AN218" s="193"/>
      <c r="AO218" s="193"/>
      <c r="AP218" s="193"/>
      <c r="AQ218" s="193"/>
      <c r="AR218" s="193"/>
      <c r="AS218" s="193"/>
      <c r="AT218" s="194"/>
      <c r="AU218" s="193"/>
      <c r="AV218" s="193"/>
      <c r="AW218" s="193"/>
      <c r="AX218" s="193"/>
      <c r="AY218" s="193"/>
      <c r="AZ218" s="193"/>
      <c r="BA218" s="193"/>
      <c r="BB218" s="193"/>
      <c r="BC218" s="193"/>
      <c r="BD218" s="194"/>
      <c r="BE218" s="193"/>
      <c r="BF218" s="193"/>
      <c r="BG218" s="193"/>
      <c r="BH218" s="193"/>
      <c r="BI218" s="193"/>
      <c r="BJ218" s="193"/>
      <c r="BK218" s="193"/>
      <c r="BL218" s="193"/>
      <c r="BM218" s="193"/>
    </row>
    <row r="219" spans="1:65" ht="8.25" customHeight="1" x14ac:dyDescent="0.25">
      <c r="A219" s="193"/>
      <c r="B219" s="193"/>
      <c r="C219" s="193"/>
      <c r="D219" s="193"/>
      <c r="E219" s="193"/>
      <c r="F219" s="193"/>
      <c r="G219" s="193"/>
      <c r="H219" s="193"/>
      <c r="I219" s="193"/>
      <c r="J219" s="193"/>
      <c r="K219" s="193"/>
      <c r="L219" s="193"/>
      <c r="M219" s="193"/>
      <c r="N219" s="193"/>
      <c r="O219" s="193"/>
      <c r="P219" s="194"/>
      <c r="Q219" s="193"/>
      <c r="R219" s="193"/>
      <c r="S219" s="193"/>
      <c r="T219" s="193"/>
      <c r="U219" s="193"/>
      <c r="V219" s="193"/>
      <c r="W219" s="193"/>
      <c r="X219" s="193"/>
      <c r="Y219" s="193"/>
      <c r="Z219" s="194"/>
      <c r="AA219" s="193"/>
      <c r="AB219" s="193"/>
      <c r="AC219" s="193"/>
      <c r="AD219" s="193"/>
      <c r="AE219" s="193"/>
      <c r="AF219" s="193"/>
      <c r="AG219" s="193"/>
      <c r="AH219" s="193"/>
      <c r="AI219" s="193"/>
      <c r="AJ219" s="194"/>
      <c r="AK219" s="193"/>
      <c r="AL219" s="193"/>
      <c r="AM219" s="193"/>
      <c r="AN219" s="193"/>
      <c r="AO219" s="193"/>
      <c r="AP219" s="193"/>
      <c r="AQ219" s="193"/>
      <c r="AR219" s="193"/>
      <c r="AS219" s="193"/>
      <c r="AT219" s="194"/>
      <c r="AU219" s="193"/>
      <c r="AV219" s="193"/>
      <c r="AW219" s="193"/>
      <c r="AX219" s="193"/>
      <c r="AY219" s="193"/>
      <c r="AZ219" s="193"/>
      <c r="BA219" s="193"/>
      <c r="BB219" s="193"/>
      <c r="BC219" s="193"/>
      <c r="BD219" s="194"/>
      <c r="BE219" s="193"/>
      <c r="BF219" s="193"/>
      <c r="BG219" s="193"/>
      <c r="BH219" s="193"/>
      <c r="BI219" s="193"/>
      <c r="BJ219" s="193"/>
      <c r="BK219" s="193"/>
      <c r="BL219" s="193"/>
      <c r="BM219" s="193"/>
    </row>
    <row r="220" spans="1:65" ht="8.25" customHeight="1" x14ac:dyDescent="0.25">
      <c r="A220" s="193"/>
      <c r="B220" s="193"/>
      <c r="C220" s="193"/>
      <c r="D220" s="193"/>
      <c r="E220" s="193"/>
      <c r="F220" s="193"/>
      <c r="G220" s="193"/>
      <c r="H220" s="193"/>
      <c r="I220" s="193"/>
      <c r="J220" s="193"/>
      <c r="K220" s="193"/>
      <c r="L220" s="193"/>
      <c r="M220" s="193"/>
      <c r="N220" s="193"/>
      <c r="O220" s="193"/>
      <c r="P220" s="194"/>
      <c r="Q220" s="193"/>
      <c r="R220" s="193"/>
      <c r="S220" s="193"/>
      <c r="T220" s="193"/>
      <c r="U220" s="193"/>
      <c r="V220" s="193"/>
      <c r="W220" s="193"/>
      <c r="X220" s="193"/>
      <c r="Y220" s="193"/>
      <c r="Z220" s="194"/>
      <c r="AA220" s="193"/>
      <c r="AB220" s="193"/>
      <c r="AC220" s="193"/>
      <c r="AD220" s="193"/>
      <c r="AE220" s="193"/>
      <c r="AF220" s="193"/>
      <c r="AG220" s="193"/>
      <c r="AH220" s="193"/>
      <c r="AI220" s="193"/>
      <c r="AJ220" s="194"/>
      <c r="AK220" s="193"/>
      <c r="AL220" s="193"/>
      <c r="AM220" s="193"/>
      <c r="AN220" s="193"/>
      <c r="AO220" s="193"/>
      <c r="AP220" s="193"/>
      <c r="AQ220" s="193"/>
      <c r="AR220" s="193"/>
      <c r="AS220" s="193"/>
      <c r="AT220" s="194"/>
      <c r="AU220" s="193"/>
      <c r="AV220" s="193"/>
      <c r="AW220" s="193"/>
      <c r="AX220" s="193"/>
      <c r="AY220" s="193"/>
      <c r="AZ220" s="193"/>
      <c r="BA220" s="193"/>
      <c r="BB220" s="193"/>
      <c r="BC220" s="193"/>
      <c r="BD220" s="194"/>
      <c r="BE220" s="193"/>
      <c r="BF220" s="193"/>
      <c r="BG220" s="193"/>
      <c r="BH220" s="193"/>
      <c r="BI220" s="193"/>
      <c r="BJ220" s="193"/>
      <c r="BK220" s="193"/>
      <c r="BL220" s="193"/>
      <c r="BM220" s="193"/>
    </row>
    <row r="221" spans="1:65" ht="8.25" customHeight="1" x14ac:dyDescent="0.25">
      <c r="A221" s="193"/>
      <c r="B221" s="193"/>
      <c r="C221" s="193"/>
      <c r="D221" s="193"/>
      <c r="E221" s="193"/>
      <c r="F221" s="193"/>
      <c r="G221" s="193"/>
      <c r="H221" s="193"/>
      <c r="I221" s="193"/>
      <c r="J221" s="193"/>
      <c r="K221" s="193"/>
      <c r="L221" s="193"/>
      <c r="M221" s="193"/>
      <c r="N221" s="193"/>
      <c r="O221" s="193"/>
      <c r="P221" s="194"/>
      <c r="Q221" s="193"/>
      <c r="R221" s="193"/>
      <c r="S221" s="193"/>
      <c r="T221" s="193"/>
      <c r="U221" s="193"/>
      <c r="V221" s="193"/>
      <c r="W221" s="193"/>
      <c r="X221" s="193"/>
      <c r="Y221" s="193"/>
      <c r="Z221" s="194"/>
      <c r="AA221" s="193"/>
      <c r="AB221" s="193"/>
      <c r="AC221" s="193"/>
      <c r="AD221" s="193"/>
      <c r="AE221" s="193"/>
      <c r="AF221" s="193"/>
      <c r="AG221" s="193"/>
      <c r="AH221" s="193"/>
      <c r="AI221" s="193"/>
      <c r="AJ221" s="194"/>
      <c r="AK221" s="193"/>
      <c r="AL221" s="193"/>
      <c r="AM221" s="193"/>
      <c r="AN221" s="193"/>
      <c r="AO221" s="193"/>
      <c r="AP221" s="193"/>
      <c r="AQ221" s="193"/>
      <c r="AR221" s="193"/>
      <c r="AS221" s="193"/>
      <c r="AT221" s="194"/>
      <c r="AU221" s="193"/>
      <c r="AV221" s="193"/>
      <c r="AW221" s="193"/>
      <c r="AX221" s="193"/>
      <c r="AY221" s="193"/>
      <c r="AZ221" s="193"/>
      <c r="BA221" s="193"/>
      <c r="BB221" s="193"/>
      <c r="BC221" s="193"/>
      <c r="BD221" s="194"/>
      <c r="BE221" s="193"/>
      <c r="BF221" s="193"/>
      <c r="BG221" s="193"/>
      <c r="BH221" s="193"/>
      <c r="BI221" s="193"/>
      <c r="BJ221" s="193"/>
      <c r="BK221" s="193"/>
      <c r="BL221" s="193"/>
      <c r="BM221" s="193"/>
    </row>
    <row r="222" spans="1:65" ht="8.25" customHeight="1" x14ac:dyDescent="0.25">
      <c r="A222" s="193"/>
      <c r="B222" s="193"/>
      <c r="C222" s="193"/>
      <c r="D222" s="193"/>
      <c r="E222" s="193"/>
      <c r="F222" s="193"/>
      <c r="G222" s="193"/>
      <c r="H222" s="193"/>
      <c r="I222" s="193"/>
      <c r="J222" s="193"/>
      <c r="K222" s="193"/>
      <c r="L222" s="193"/>
      <c r="M222" s="193"/>
      <c r="N222" s="193"/>
      <c r="O222" s="193"/>
      <c r="P222" s="194"/>
      <c r="Q222" s="193"/>
      <c r="R222" s="193"/>
      <c r="S222" s="193"/>
      <c r="T222" s="193"/>
      <c r="U222" s="193"/>
      <c r="V222" s="193"/>
      <c r="W222" s="193"/>
      <c r="X222" s="193"/>
      <c r="Y222" s="193"/>
      <c r="Z222" s="194"/>
      <c r="AA222" s="193"/>
      <c r="AB222" s="193"/>
      <c r="AC222" s="193"/>
      <c r="AD222" s="193"/>
      <c r="AE222" s="193"/>
      <c r="AF222" s="193"/>
      <c r="AG222" s="193"/>
      <c r="AH222" s="193"/>
      <c r="AI222" s="193"/>
      <c r="AJ222" s="194"/>
      <c r="AK222" s="193"/>
      <c r="AL222" s="193"/>
      <c r="AM222" s="193"/>
      <c r="AN222" s="193"/>
      <c r="AO222" s="193"/>
      <c r="AP222" s="193"/>
      <c r="AQ222" s="193"/>
      <c r="AR222" s="193"/>
      <c r="AS222" s="193"/>
      <c r="AT222" s="194"/>
      <c r="AU222" s="193"/>
      <c r="AV222" s="193"/>
      <c r="AW222" s="193"/>
      <c r="AX222" s="193"/>
      <c r="AY222" s="193"/>
      <c r="AZ222" s="193"/>
      <c r="BA222" s="193"/>
      <c r="BB222" s="193"/>
      <c r="BC222" s="193"/>
      <c r="BD222" s="194"/>
      <c r="BE222" s="193"/>
      <c r="BF222" s="193"/>
      <c r="BG222" s="193"/>
      <c r="BH222" s="193"/>
      <c r="BI222" s="193"/>
      <c r="BJ222" s="193"/>
      <c r="BK222" s="193"/>
      <c r="BL222" s="193"/>
      <c r="BM222" s="193"/>
    </row>
    <row r="223" spans="1:65" ht="8.25" customHeight="1" x14ac:dyDescent="0.25">
      <c r="A223" s="193"/>
      <c r="B223" s="193"/>
      <c r="C223" s="193"/>
      <c r="D223" s="193"/>
      <c r="E223" s="193"/>
      <c r="F223" s="193"/>
      <c r="G223" s="193"/>
      <c r="H223" s="193"/>
      <c r="I223" s="193"/>
      <c r="J223" s="193"/>
      <c r="K223" s="193"/>
      <c r="L223" s="193"/>
      <c r="M223" s="193"/>
      <c r="N223" s="193"/>
      <c r="O223" s="193"/>
      <c r="P223" s="194"/>
      <c r="Q223" s="193"/>
      <c r="R223" s="193"/>
      <c r="S223" s="193"/>
      <c r="T223" s="193"/>
      <c r="U223" s="193"/>
      <c r="V223" s="193"/>
      <c r="W223" s="193"/>
      <c r="X223" s="193"/>
      <c r="Y223" s="193"/>
      <c r="Z223" s="194"/>
      <c r="AA223" s="193"/>
      <c r="AB223" s="193"/>
      <c r="AC223" s="193"/>
      <c r="AD223" s="193"/>
      <c r="AE223" s="193"/>
      <c r="AF223" s="193"/>
      <c r="AG223" s="193"/>
      <c r="AH223" s="193"/>
      <c r="AI223" s="193"/>
      <c r="AJ223" s="194"/>
      <c r="AK223" s="193"/>
      <c r="AL223" s="193"/>
      <c r="AM223" s="193"/>
      <c r="AN223" s="193"/>
      <c r="AO223" s="193"/>
      <c r="AP223" s="193"/>
      <c r="AQ223" s="193"/>
      <c r="AR223" s="193"/>
      <c r="AS223" s="193"/>
      <c r="AT223" s="194"/>
      <c r="AU223" s="193"/>
      <c r="AV223" s="193"/>
      <c r="AW223" s="193"/>
      <c r="AX223" s="193"/>
      <c r="AY223" s="193"/>
      <c r="AZ223" s="193"/>
      <c r="BA223" s="193"/>
      <c r="BB223" s="193"/>
      <c r="BC223" s="193"/>
      <c r="BD223" s="194"/>
      <c r="BE223" s="193"/>
      <c r="BF223" s="193"/>
      <c r="BG223" s="193"/>
      <c r="BH223" s="193"/>
      <c r="BI223" s="193"/>
      <c r="BJ223" s="193"/>
      <c r="BK223" s="193"/>
      <c r="BL223" s="193"/>
      <c r="BM223" s="193"/>
    </row>
    <row r="224" spans="1:65" ht="8.25" customHeight="1" x14ac:dyDescent="0.25">
      <c r="A224" s="193"/>
      <c r="B224" s="193"/>
      <c r="C224" s="193"/>
      <c r="D224" s="193"/>
      <c r="E224" s="193"/>
      <c r="F224" s="193"/>
      <c r="G224" s="193"/>
      <c r="H224" s="193"/>
      <c r="I224" s="193"/>
      <c r="J224" s="193"/>
      <c r="K224" s="193"/>
      <c r="L224" s="193"/>
      <c r="M224" s="193"/>
      <c r="N224" s="193"/>
      <c r="O224" s="193"/>
      <c r="P224" s="194"/>
      <c r="Q224" s="193"/>
      <c r="R224" s="193"/>
      <c r="S224" s="193"/>
      <c r="T224" s="193"/>
      <c r="U224" s="193"/>
      <c r="V224" s="193"/>
      <c r="W224" s="193"/>
      <c r="X224" s="193"/>
      <c r="Y224" s="193"/>
      <c r="Z224" s="194"/>
      <c r="AA224" s="193"/>
      <c r="AB224" s="193"/>
      <c r="AC224" s="193"/>
      <c r="AD224" s="193"/>
      <c r="AE224" s="193"/>
      <c r="AF224" s="193"/>
      <c r="AG224" s="193"/>
      <c r="AH224" s="193"/>
      <c r="AI224" s="193"/>
      <c r="AJ224" s="194"/>
      <c r="AK224" s="193"/>
      <c r="AL224" s="193"/>
      <c r="AM224" s="193"/>
      <c r="AN224" s="193"/>
      <c r="AO224" s="193"/>
      <c r="AP224" s="193"/>
      <c r="AQ224" s="193"/>
      <c r="AR224" s="193"/>
      <c r="AS224" s="193"/>
      <c r="AT224" s="194"/>
      <c r="AU224" s="193"/>
      <c r="AV224" s="193"/>
      <c r="AW224" s="193"/>
      <c r="AX224" s="193"/>
      <c r="AY224" s="193"/>
      <c r="AZ224" s="193"/>
      <c r="BA224" s="193"/>
      <c r="BB224" s="193"/>
      <c r="BC224" s="193"/>
      <c r="BD224" s="194"/>
      <c r="BE224" s="193"/>
      <c r="BF224" s="193"/>
      <c r="BG224" s="193"/>
      <c r="BH224" s="193"/>
      <c r="BI224" s="193"/>
      <c r="BJ224" s="193"/>
      <c r="BK224" s="193"/>
      <c r="BL224" s="193"/>
      <c r="BM224" s="193"/>
    </row>
    <row r="225" spans="1:65" ht="8.25" customHeight="1" x14ac:dyDescent="0.25">
      <c r="A225" s="193"/>
      <c r="B225" s="193"/>
      <c r="C225" s="193"/>
      <c r="D225" s="193"/>
      <c r="E225" s="193"/>
      <c r="F225" s="193"/>
      <c r="G225" s="193"/>
      <c r="H225" s="193"/>
      <c r="I225" s="193"/>
      <c r="J225" s="193"/>
      <c r="K225" s="193"/>
      <c r="L225" s="193"/>
      <c r="M225" s="193"/>
      <c r="N225" s="193"/>
      <c r="O225" s="193"/>
      <c r="P225" s="194"/>
      <c r="Q225" s="193"/>
      <c r="R225" s="193"/>
      <c r="S225" s="193"/>
      <c r="T225" s="193"/>
      <c r="U225" s="193"/>
      <c r="V225" s="193"/>
      <c r="W225" s="193"/>
      <c r="X225" s="193"/>
      <c r="Y225" s="193"/>
      <c r="Z225" s="194"/>
      <c r="AA225" s="193"/>
      <c r="AB225" s="193"/>
      <c r="AC225" s="193"/>
      <c r="AD225" s="193"/>
      <c r="AE225" s="193"/>
      <c r="AF225" s="193"/>
      <c r="AG225" s="193"/>
      <c r="AH225" s="193"/>
      <c r="AI225" s="193"/>
      <c r="AJ225" s="194"/>
      <c r="AK225" s="193"/>
      <c r="AL225" s="193"/>
      <c r="AM225" s="193"/>
      <c r="AN225" s="193"/>
      <c r="AO225" s="193"/>
      <c r="AP225" s="193"/>
      <c r="AQ225" s="193"/>
      <c r="AR225" s="193"/>
      <c r="AS225" s="193"/>
      <c r="AT225" s="194"/>
      <c r="AU225" s="193"/>
      <c r="AV225" s="193"/>
      <c r="AW225" s="193"/>
      <c r="AX225" s="193"/>
      <c r="AY225" s="193"/>
      <c r="AZ225" s="193"/>
      <c r="BA225" s="193"/>
      <c r="BB225" s="193"/>
      <c r="BC225" s="193"/>
      <c r="BD225" s="194"/>
      <c r="BE225" s="193"/>
      <c r="BF225" s="193"/>
      <c r="BG225" s="193"/>
      <c r="BH225" s="193"/>
      <c r="BI225" s="193"/>
      <c r="BJ225" s="193"/>
      <c r="BK225" s="193"/>
      <c r="BL225" s="193"/>
      <c r="BM225" s="193"/>
    </row>
    <row r="226" spans="1:65" ht="8.25" customHeight="1" x14ac:dyDescent="0.25">
      <c r="A226" s="193"/>
      <c r="B226" s="193"/>
      <c r="C226" s="193"/>
      <c r="D226" s="193"/>
      <c r="E226" s="193"/>
      <c r="F226" s="193"/>
      <c r="G226" s="193"/>
      <c r="H226" s="193"/>
      <c r="I226" s="193"/>
      <c r="J226" s="193"/>
      <c r="K226" s="193"/>
      <c r="L226" s="193"/>
      <c r="M226" s="193"/>
      <c r="N226" s="193"/>
      <c r="O226" s="193"/>
      <c r="P226" s="194"/>
      <c r="Q226" s="193"/>
      <c r="R226" s="193"/>
      <c r="S226" s="193"/>
      <c r="T226" s="193"/>
      <c r="U226" s="193"/>
      <c r="V226" s="193"/>
      <c r="W226" s="193"/>
      <c r="X226" s="193"/>
      <c r="Y226" s="193"/>
      <c r="Z226" s="194"/>
      <c r="AA226" s="193"/>
      <c r="AB226" s="193"/>
      <c r="AC226" s="193"/>
      <c r="AD226" s="193"/>
      <c r="AE226" s="193"/>
      <c r="AF226" s="193"/>
      <c r="AG226" s="193"/>
      <c r="AH226" s="193"/>
      <c r="AI226" s="193"/>
      <c r="AJ226" s="194"/>
      <c r="AK226" s="193"/>
      <c r="AL226" s="193"/>
      <c r="AM226" s="193"/>
      <c r="AN226" s="193"/>
      <c r="AO226" s="193"/>
      <c r="AP226" s="193"/>
      <c r="AQ226" s="193"/>
      <c r="AR226" s="193"/>
      <c r="AS226" s="193"/>
      <c r="AT226" s="194"/>
      <c r="AU226" s="193"/>
      <c r="AV226" s="193"/>
      <c r="AW226" s="193"/>
      <c r="AX226" s="193"/>
      <c r="AY226" s="193"/>
      <c r="AZ226" s="193"/>
      <c r="BA226" s="193"/>
      <c r="BB226" s="193"/>
      <c r="BC226" s="193"/>
      <c r="BD226" s="194"/>
      <c r="BE226" s="193"/>
      <c r="BF226" s="193"/>
      <c r="BG226" s="193"/>
      <c r="BH226" s="193"/>
      <c r="BI226" s="193"/>
      <c r="BJ226" s="193"/>
      <c r="BK226" s="193"/>
      <c r="BL226" s="193"/>
      <c r="BM226" s="193"/>
    </row>
    <row r="227" spans="1:65" ht="8.25" customHeight="1" x14ac:dyDescent="0.25">
      <c r="A227" s="193"/>
      <c r="B227" s="193"/>
      <c r="C227" s="193"/>
      <c r="D227" s="193"/>
      <c r="E227" s="193"/>
      <c r="F227" s="193"/>
      <c r="G227" s="193"/>
      <c r="H227" s="193"/>
      <c r="I227" s="193"/>
      <c r="J227" s="193"/>
      <c r="K227" s="193"/>
      <c r="L227" s="193"/>
      <c r="M227" s="193"/>
      <c r="N227" s="193"/>
      <c r="O227" s="193"/>
      <c r="P227" s="194"/>
      <c r="Q227" s="193"/>
      <c r="R227" s="193"/>
      <c r="S227" s="193"/>
      <c r="T227" s="193"/>
      <c r="U227" s="193"/>
      <c r="V227" s="193"/>
      <c r="W227" s="193"/>
      <c r="X227" s="193"/>
      <c r="Y227" s="193"/>
      <c r="Z227" s="194"/>
      <c r="AA227" s="193"/>
      <c r="AB227" s="193"/>
      <c r="AC227" s="193"/>
      <c r="AD227" s="193"/>
      <c r="AE227" s="193"/>
      <c r="AF227" s="193"/>
      <c r="AG227" s="193"/>
      <c r="AH227" s="193"/>
      <c r="AI227" s="193"/>
      <c r="AJ227" s="194"/>
      <c r="AK227" s="193"/>
      <c r="AL227" s="193"/>
      <c r="AM227" s="193"/>
      <c r="AN227" s="193"/>
      <c r="AO227" s="193"/>
      <c r="AP227" s="193"/>
      <c r="AQ227" s="193"/>
      <c r="AR227" s="193"/>
      <c r="AS227" s="193"/>
      <c r="AT227" s="194"/>
      <c r="AU227" s="193"/>
      <c r="AV227" s="193"/>
      <c r="AW227" s="193"/>
      <c r="AX227" s="193"/>
      <c r="AY227" s="193"/>
      <c r="AZ227" s="193"/>
      <c r="BA227" s="193"/>
      <c r="BB227" s="193"/>
      <c r="BC227" s="193"/>
      <c r="BD227" s="194"/>
      <c r="BE227" s="193"/>
      <c r="BF227" s="193"/>
      <c r="BG227" s="193"/>
      <c r="BH227" s="193"/>
      <c r="BI227" s="193"/>
      <c r="BJ227" s="193"/>
      <c r="BK227" s="193"/>
      <c r="BL227" s="193"/>
      <c r="BM227" s="193"/>
    </row>
    <row r="228" spans="1:65" ht="8.25" customHeight="1" x14ac:dyDescent="0.25">
      <c r="A228" s="193"/>
      <c r="B228" s="193"/>
      <c r="C228" s="193"/>
      <c r="D228" s="193"/>
      <c r="E228" s="193"/>
      <c r="F228" s="193"/>
      <c r="G228" s="193"/>
      <c r="H228" s="193"/>
      <c r="I228" s="193"/>
      <c r="J228" s="193"/>
      <c r="K228" s="193"/>
      <c r="L228" s="193"/>
      <c r="M228" s="193"/>
      <c r="N228" s="193"/>
      <c r="O228" s="193"/>
      <c r="P228" s="194"/>
      <c r="Q228" s="193"/>
      <c r="R228" s="193"/>
      <c r="S228" s="193"/>
      <c r="T228" s="193"/>
      <c r="U228" s="193"/>
      <c r="V228" s="193"/>
      <c r="W228" s="193"/>
      <c r="X228" s="193"/>
      <c r="Y228" s="193"/>
      <c r="Z228" s="194"/>
      <c r="AA228" s="193"/>
      <c r="AB228" s="193"/>
      <c r="AC228" s="193"/>
      <c r="AD228" s="193"/>
      <c r="AE228" s="193"/>
      <c r="AF228" s="193"/>
      <c r="AG228" s="193"/>
      <c r="AH228" s="193"/>
      <c r="AI228" s="193"/>
      <c r="AJ228" s="194"/>
      <c r="AK228" s="193"/>
      <c r="AL228" s="193"/>
      <c r="AM228" s="193"/>
      <c r="AN228" s="193"/>
      <c r="AO228" s="193"/>
      <c r="AP228" s="193"/>
      <c r="AQ228" s="193"/>
      <c r="AR228" s="193"/>
      <c r="AS228" s="193"/>
      <c r="AT228" s="194"/>
      <c r="AU228" s="193"/>
      <c r="AV228" s="193"/>
      <c r="AW228" s="193"/>
      <c r="AX228" s="193"/>
      <c r="AY228" s="193"/>
      <c r="AZ228" s="193"/>
      <c r="BA228" s="193"/>
      <c r="BB228" s="193"/>
      <c r="BC228" s="193"/>
      <c r="BD228" s="194"/>
      <c r="BE228" s="193"/>
      <c r="BF228" s="193"/>
      <c r="BG228" s="193"/>
      <c r="BH228" s="193"/>
      <c r="BI228" s="193"/>
      <c r="BJ228" s="193"/>
      <c r="BK228" s="193"/>
      <c r="BL228" s="193"/>
      <c r="BM228" s="193"/>
    </row>
    <row r="229" spans="1:65" ht="8.25" customHeight="1" x14ac:dyDescent="0.25">
      <c r="A229" s="193"/>
      <c r="B229" s="193"/>
      <c r="C229" s="193"/>
      <c r="D229" s="193"/>
      <c r="E229" s="193"/>
      <c r="F229" s="193"/>
      <c r="G229" s="193"/>
      <c r="H229" s="193"/>
      <c r="I229" s="193"/>
      <c r="J229" s="193"/>
      <c r="K229" s="193"/>
      <c r="L229" s="193"/>
      <c r="M229" s="193"/>
      <c r="N229" s="193"/>
      <c r="O229" s="193"/>
      <c r="P229" s="194"/>
      <c r="Q229" s="193"/>
      <c r="R229" s="193"/>
      <c r="S229" s="193"/>
      <c r="T229" s="193"/>
      <c r="U229" s="193"/>
      <c r="V229" s="193"/>
      <c r="W229" s="193"/>
      <c r="X229" s="193"/>
      <c r="Y229" s="193"/>
      <c r="Z229" s="194"/>
      <c r="AA229" s="193"/>
      <c r="AB229" s="193"/>
      <c r="AC229" s="193"/>
      <c r="AD229" s="193"/>
      <c r="AE229" s="193"/>
      <c r="AF229" s="193"/>
      <c r="AG229" s="193"/>
      <c r="AH229" s="193"/>
      <c r="AI229" s="193"/>
      <c r="AJ229" s="194"/>
      <c r="AK229" s="193"/>
      <c r="AL229" s="193"/>
      <c r="AM229" s="193"/>
      <c r="AN229" s="193"/>
      <c r="AO229" s="193"/>
      <c r="AP229" s="193"/>
      <c r="AQ229" s="193"/>
      <c r="AR229" s="193"/>
      <c r="AS229" s="193"/>
      <c r="AT229" s="194"/>
      <c r="AU229" s="193"/>
      <c r="AV229" s="193"/>
      <c r="AW229" s="193"/>
      <c r="AX229" s="193"/>
      <c r="AY229" s="193"/>
      <c r="AZ229" s="193"/>
      <c r="BA229" s="193"/>
      <c r="BB229" s="193"/>
      <c r="BC229" s="193"/>
      <c r="BD229" s="194"/>
      <c r="BE229" s="193"/>
      <c r="BF229" s="193"/>
      <c r="BG229" s="193"/>
      <c r="BH229" s="193"/>
      <c r="BI229" s="193"/>
      <c r="BJ229" s="193"/>
      <c r="BK229" s="193"/>
      <c r="BL229" s="193"/>
      <c r="BM229" s="193"/>
    </row>
    <row r="230" spans="1:65" ht="8.25" customHeight="1" x14ac:dyDescent="0.25">
      <c r="A230" s="193"/>
      <c r="B230" s="193"/>
      <c r="C230" s="193"/>
      <c r="D230" s="193"/>
      <c r="E230" s="193"/>
      <c r="F230" s="193"/>
      <c r="G230" s="193"/>
      <c r="H230" s="193"/>
      <c r="I230" s="193"/>
      <c r="J230" s="193"/>
      <c r="K230" s="193"/>
      <c r="L230" s="193"/>
      <c r="M230" s="193"/>
      <c r="N230" s="193"/>
      <c r="O230" s="193"/>
      <c r="P230" s="194"/>
      <c r="Q230" s="193"/>
      <c r="R230" s="193"/>
      <c r="S230" s="193"/>
      <c r="T230" s="193"/>
      <c r="U230" s="193"/>
      <c r="V230" s="193"/>
      <c r="W230" s="193"/>
      <c r="X230" s="193"/>
      <c r="Y230" s="193"/>
      <c r="Z230" s="194"/>
      <c r="AA230" s="193"/>
      <c r="AB230" s="193"/>
      <c r="AC230" s="193"/>
      <c r="AD230" s="193"/>
      <c r="AE230" s="193"/>
      <c r="AF230" s="193"/>
      <c r="AG230" s="193"/>
      <c r="AH230" s="193"/>
      <c r="AI230" s="193"/>
      <c r="AJ230" s="194"/>
      <c r="AK230" s="193"/>
      <c r="AL230" s="193"/>
      <c r="AM230" s="193"/>
      <c r="AN230" s="193"/>
      <c r="AO230" s="193"/>
      <c r="AP230" s="193"/>
      <c r="AQ230" s="193"/>
      <c r="AR230" s="193"/>
      <c r="AS230" s="193"/>
      <c r="AT230" s="194"/>
      <c r="AU230" s="193"/>
      <c r="AV230" s="193"/>
      <c r="AW230" s="193"/>
      <c r="AX230" s="193"/>
      <c r="AY230" s="193"/>
      <c r="AZ230" s="193"/>
      <c r="BA230" s="193"/>
      <c r="BB230" s="193"/>
      <c r="BC230" s="193"/>
      <c r="BD230" s="194"/>
      <c r="BE230" s="193"/>
      <c r="BF230" s="193"/>
      <c r="BG230" s="193"/>
      <c r="BH230" s="193"/>
      <c r="BI230" s="193"/>
      <c r="BJ230" s="193"/>
      <c r="BK230" s="193"/>
      <c r="BL230" s="193"/>
      <c r="BM230" s="193"/>
    </row>
    <row r="231" spans="1:65" ht="8.25" customHeight="1" x14ac:dyDescent="0.25">
      <c r="A231" s="193"/>
      <c r="B231" s="193"/>
      <c r="C231" s="193"/>
      <c r="D231" s="193"/>
      <c r="E231" s="193"/>
      <c r="F231" s="193"/>
      <c r="G231" s="193"/>
      <c r="H231" s="193"/>
      <c r="I231" s="193"/>
      <c r="J231" s="193"/>
      <c r="K231" s="193"/>
      <c r="L231" s="193"/>
      <c r="M231" s="193"/>
      <c r="N231" s="193"/>
      <c r="O231" s="193"/>
      <c r="P231" s="194"/>
      <c r="Q231" s="193"/>
      <c r="R231" s="193"/>
      <c r="S231" s="193"/>
      <c r="T231" s="193"/>
      <c r="U231" s="193"/>
      <c r="V231" s="193"/>
      <c r="W231" s="193"/>
      <c r="X231" s="193"/>
      <c r="Y231" s="193"/>
      <c r="Z231" s="194"/>
      <c r="AA231" s="193"/>
      <c r="AB231" s="193"/>
      <c r="AC231" s="193"/>
      <c r="AD231" s="193"/>
      <c r="AE231" s="193"/>
      <c r="AF231" s="193"/>
      <c r="AG231" s="193"/>
      <c r="AH231" s="193"/>
      <c r="AI231" s="193"/>
      <c r="AJ231" s="194"/>
      <c r="AK231" s="193"/>
      <c r="AL231" s="193"/>
      <c r="AM231" s="193"/>
      <c r="AN231" s="193"/>
      <c r="AO231" s="193"/>
      <c r="AP231" s="193"/>
      <c r="AQ231" s="193"/>
      <c r="AR231" s="193"/>
      <c r="AS231" s="193"/>
      <c r="AT231" s="194"/>
      <c r="AU231" s="193"/>
      <c r="AV231" s="193"/>
      <c r="AW231" s="193"/>
      <c r="AX231" s="193"/>
      <c r="AY231" s="193"/>
      <c r="AZ231" s="193"/>
      <c r="BA231" s="193"/>
      <c r="BB231" s="193"/>
      <c r="BC231" s="193"/>
      <c r="BD231" s="194"/>
      <c r="BE231" s="193"/>
      <c r="BF231" s="193"/>
      <c r="BG231" s="193"/>
      <c r="BH231" s="193"/>
      <c r="BI231" s="193"/>
      <c r="BJ231" s="193"/>
      <c r="BK231" s="193"/>
      <c r="BL231" s="193"/>
      <c r="BM231" s="193"/>
    </row>
    <row r="232" spans="1:65" ht="8.25" customHeight="1" x14ac:dyDescent="0.25">
      <c r="A232" s="193"/>
      <c r="B232" s="193"/>
      <c r="C232" s="193"/>
      <c r="D232" s="193"/>
      <c r="E232" s="193"/>
      <c r="F232" s="193"/>
      <c r="G232" s="193"/>
      <c r="H232" s="193"/>
      <c r="I232" s="193"/>
      <c r="J232" s="193"/>
      <c r="K232" s="193"/>
      <c r="L232" s="193"/>
      <c r="M232" s="193"/>
      <c r="N232" s="193"/>
      <c r="O232" s="193"/>
      <c r="P232" s="194"/>
      <c r="Q232" s="193"/>
      <c r="R232" s="193"/>
      <c r="S232" s="193"/>
      <c r="T232" s="193"/>
      <c r="U232" s="193"/>
      <c r="V232" s="193"/>
      <c r="W232" s="193"/>
      <c r="X232" s="193"/>
      <c r="Y232" s="193"/>
      <c r="Z232" s="194"/>
      <c r="AA232" s="193"/>
      <c r="AB232" s="193"/>
      <c r="AC232" s="193"/>
      <c r="AD232" s="193"/>
      <c r="AE232" s="193"/>
      <c r="AF232" s="193"/>
      <c r="AG232" s="193"/>
      <c r="AH232" s="193"/>
      <c r="AI232" s="193"/>
      <c r="AJ232" s="194"/>
      <c r="AK232" s="193"/>
      <c r="AL232" s="193"/>
      <c r="AM232" s="193"/>
      <c r="AN232" s="193"/>
      <c r="AO232" s="193"/>
      <c r="AP232" s="193"/>
      <c r="AQ232" s="193"/>
      <c r="AR232" s="193"/>
      <c r="AS232" s="193"/>
      <c r="AT232" s="194"/>
      <c r="AU232" s="193"/>
      <c r="AV232" s="193"/>
      <c r="AW232" s="193"/>
      <c r="AX232" s="193"/>
      <c r="AY232" s="193"/>
      <c r="AZ232" s="193"/>
      <c r="BA232" s="193"/>
      <c r="BB232" s="193"/>
      <c r="BC232" s="193"/>
      <c r="BD232" s="194"/>
      <c r="BE232" s="193"/>
      <c r="BF232" s="193"/>
      <c r="BG232" s="193"/>
      <c r="BH232" s="193"/>
      <c r="BI232" s="193"/>
      <c r="BJ232" s="193"/>
      <c r="BK232" s="193"/>
      <c r="BL232" s="193"/>
      <c r="BM232" s="193"/>
    </row>
    <row r="233" spans="1:65" ht="8.25" customHeight="1" x14ac:dyDescent="0.25">
      <c r="A233" s="193"/>
      <c r="B233" s="193"/>
      <c r="C233" s="193"/>
      <c r="D233" s="193"/>
      <c r="E233" s="193"/>
      <c r="F233" s="193"/>
      <c r="G233" s="193"/>
      <c r="H233" s="193"/>
      <c r="I233" s="193"/>
      <c r="J233" s="193"/>
      <c r="K233" s="193"/>
      <c r="L233" s="193"/>
      <c r="M233" s="193"/>
      <c r="N233" s="193"/>
      <c r="O233" s="193"/>
      <c r="P233" s="194"/>
      <c r="Q233" s="193"/>
      <c r="R233" s="193"/>
      <c r="S233" s="193"/>
      <c r="T233" s="193"/>
      <c r="U233" s="193"/>
      <c r="V233" s="193"/>
      <c r="W233" s="193"/>
      <c r="X233" s="193"/>
      <c r="Y233" s="193"/>
      <c r="Z233" s="194"/>
      <c r="AA233" s="193"/>
      <c r="AB233" s="193"/>
      <c r="AC233" s="193"/>
      <c r="AD233" s="193"/>
      <c r="AE233" s="193"/>
      <c r="AF233" s="193"/>
      <c r="AG233" s="193"/>
      <c r="AH233" s="193"/>
      <c r="AI233" s="193"/>
      <c r="AJ233" s="194"/>
      <c r="AK233" s="193"/>
      <c r="AL233" s="193"/>
      <c r="AM233" s="193"/>
      <c r="AN233" s="193"/>
      <c r="AO233" s="193"/>
      <c r="AP233" s="193"/>
      <c r="AQ233" s="193"/>
      <c r="AR233" s="193"/>
      <c r="AS233" s="193"/>
      <c r="AT233" s="194"/>
      <c r="AU233" s="193"/>
      <c r="AV233" s="193"/>
      <c r="AW233" s="193"/>
      <c r="AX233" s="193"/>
      <c r="AY233" s="193"/>
      <c r="AZ233" s="193"/>
      <c r="BA233" s="193"/>
      <c r="BB233" s="193"/>
      <c r="BC233" s="193"/>
      <c r="BD233" s="194"/>
      <c r="BE233" s="193"/>
      <c r="BF233" s="193"/>
      <c r="BG233" s="193"/>
      <c r="BH233" s="193"/>
      <c r="BI233" s="193"/>
      <c r="BJ233" s="193"/>
      <c r="BK233" s="193"/>
      <c r="BL233" s="193"/>
      <c r="BM233" s="193"/>
    </row>
    <row r="234" spans="1:65" ht="8.25" customHeight="1" x14ac:dyDescent="0.25">
      <c r="A234" s="193"/>
      <c r="B234" s="193"/>
      <c r="C234" s="193"/>
      <c r="D234" s="193"/>
      <c r="E234" s="193"/>
      <c r="F234" s="193"/>
      <c r="G234" s="193"/>
      <c r="H234" s="193"/>
      <c r="I234" s="193"/>
      <c r="J234" s="193"/>
      <c r="K234" s="193"/>
      <c r="L234" s="193"/>
      <c r="M234" s="193"/>
      <c r="N234" s="193"/>
      <c r="O234" s="193"/>
      <c r="P234" s="194"/>
      <c r="Q234" s="193"/>
      <c r="R234" s="193"/>
      <c r="S234" s="193"/>
      <c r="T234" s="193"/>
      <c r="U234" s="193"/>
      <c r="V234" s="193"/>
      <c r="W234" s="193"/>
      <c r="X234" s="193"/>
      <c r="Y234" s="193"/>
      <c r="Z234" s="194"/>
      <c r="AA234" s="193"/>
      <c r="AB234" s="193"/>
      <c r="AC234" s="193"/>
      <c r="AD234" s="193"/>
      <c r="AE234" s="193"/>
      <c r="AF234" s="193"/>
      <c r="AG234" s="193"/>
      <c r="AH234" s="193"/>
      <c r="AI234" s="193"/>
      <c r="AJ234" s="194"/>
      <c r="AK234" s="193"/>
      <c r="AL234" s="193"/>
      <c r="AM234" s="193"/>
      <c r="AN234" s="193"/>
      <c r="AO234" s="193"/>
      <c r="AP234" s="193"/>
      <c r="AQ234" s="193"/>
      <c r="AR234" s="193"/>
      <c r="AS234" s="193"/>
      <c r="AT234" s="194"/>
      <c r="AU234" s="193"/>
      <c r="AV234" s="193"/>
      <c r="AW234" s="193"/>
      <c r="AX234" s="193"/>
      <c r="AY234" s="193"/>
      <c r="AZ234" s="193"/>
      <c r="BA234" s="193"/>
      <c r="BB234" s="193"/>
      <c r="BC234" s="193"/>
      <c r="BD234" s="194"/>
      <c r="BE234" s="193"/>
      <c r="BF234" s="193"/>
      <c r="BG234" s="193"/>
      <c r="BH234" s="193"/>
      <c r="BI234" s="193"/>
      <c r="BJ234" s="193"/>
      <c r="BK234" s="193"/>
      <c r="BL234" s="193"/>
      <c r="BM234" s="193"/>
    </row>
    <row r="235" spans="1:65" ht="8.25" customHeight="1" x14ac:dyDescent="0.25">
      <c r="A235" s="193"/>
      <c r="B235" s="193"/>
      <c r="C235" s="193"/>
      <c r="D235" s="193"/>
      <c r="E235" s="193"/>
      <c r="F235" s="193"/>
      <c r="G235" s="193"/>
      <c r="H235" s="193"/>
      <c r="I235" s="193"/>
      <c r="J235" s="193"/>
      <c r="K235" s="193"/>
      <c r="L235" s="193"/>
      <c r="M235" s="193"/>
      <c r="N235" s="193"/>
      <c r="O235" s="193"/>
      <c r="P235" s="194"/>
      <c r="Q235" s="193"/>
      <c r="R235" s="193"/>
      <c r="S235" s="193"/>
      <c r="T235" s="193"/>
      <c r="U235" s="193"/>
      <c r="V235" s="193"/>
      <c r="W235" s="193"/>
      <c r="X235" s="193"/>
      <c r="Y235" s="193"/>
      <c r="Z235" s="194"/>
      <c r="AA235" s="193"/>
      <c r="AB235" s="193"/>
      <c r="AC235" s="193"/>
      <c r="AD235" s="193"/>
      <c r="AE235" s="193"/>
      <c r="AF235" s="193"/>
      <c r="AG235" s="193"/>
      <c r="AH235" s="193"/>
      <c r="AI235" s="193"/>
      <c r="AJ235" s="194"/>
      <c r="AK235" s="193"/>
      <c r="AL235" s="193"/>
      <c r="AM235" s="193"/>
      <c r="AN235" s="193"/>
      <c r="AO235" s="193"/>
      <c r="AP235" s="193"/>
      <c r="AQ235" s="193"/>
      <c r="AR235" s="193"/>
      <c r="AS235" s="193"/>
      <c r="AT235" s="194"/>
      <c r="AU235" s="193"/>
      <c r="AV235" s="193"/>
      <c r="AW235" s="193"/>
      <c r="AX235" s="193"/>
      <c r="AY235" s="193"/>
      <c r="AZ235" s="193"/>
      <c r="BA235" s="193"/>
      <c r="BB235" s="193"/>
      <c r="BC235" s="193"/>
      <c r="BD235" s="194"/>
      <c r="BE235" s="193"/>
      <c r="BF235" s="193"/>
      <c r="BG235" s="193"/>
      <c r="BH235" s="193"/>
      <c r="BI235" s="193"/>
      <c r="BJ235" s="193"/>
      <c r="BK235" s="193"/>
      <c r="BL235" s="193"/>
      <c r="BM235" s="193"/>
    </row>
    <row r="236" spans="1:65" ht="8.25" customHeight="1" x14ac:dyDescent="0.25">
      <c r="A236" s="193"/>
      <c r="B236" s="193"/>
      <c r="C236" s="193"/>
      <c r="D236" s="193"/>
      <c r="E236" s="193"/>
      <c r="F236" s="193"/>
      <c r="G236" s="193"/>
      <c r="H236" s="193"/>
      <c r="I236" s="193"/>
      <c r="J236" s="193"/>
      <c r="K236" s="193"/>
      <c r="L236" s="193"/>
      <c r="M236" s="193"/>
      <c r="N236" s="193"/>
      <c r="O236" s="193"/>
      <c r="P236" s="194"/>
      <c r="Q236" s="193"/>
      <c r="R236" s="193"/>
      <c r="S236" s="193"/>
      <c r="T236" s="193"/>
      <c r="U236" s="193"/>
      <c r="V236" s="193"/>
      <c r="W236" s="193"/>
      <c r="X236" s="193"/>
      <c r="Y236" s="193"/>
      <c r="Z236" s="194"/>
      <c r="AA236" s="193"/>
      <c r="AB236" s="193"/>
      <c r="AC236" s="193"/>
      <c r="AD236" s="193"/>
      <c r="AE236" s="193"/>
      <c r="AF236" s="193"/>
      <c r="AG236" s="193"/>
      <c r="AH236" s="193"/>
      <c r="AI236" s="193"/>
      <c r="AJ236" s="194"/>
      <c r="AK236" s="193"/>
      <c r="AL236" s="193"/>
      <c r="AM236" s="193"/>
      <c r="AN236" s="193"/>
      <c r="AO236" s="193"/>
      <c r="AP236" s="193"/>
      <c r="AQ236" s="193"/>
      <c r="AR236" s="193"/>
      <c r="AS236" s="193"/>
      <c r="AT236" s="194"/>
      <c r="AU236" s="193"/>
      <c r="AV236" s="193"/>
      <c r="AW236" s="193"/>
      <c r="AX236" s="193"/>
      <c r="AY236" s="193"/>
      <c r="AZ236" s="193"/>
      <c r="BA236" s="193"/>
      <c r="BB236" s="193"/>
      <c r="BC236" s="193"/>
      <c r="BD236" s="194"/>
      <c r="BE236" s="193"/>
      <c r="BF236" s="193"/>
      <c r="BG236" s="193"/>
      <c r="BH236" s="193"/>
      <c r="BI236" s="193"/>
      <c r="BJ236" s="193"/>
      <c r="BK236" s="193"/>
      <c r="BL236" s="193"/>
      <c r="BM236" s="193"/>
    </row>
    <row r="237" spans="1:65" ht="8.25" customHeight="1" x14ac:dyDescent="0.25">
      <c r="A237" s="193"/>
      <c r="B237" s="193"/>
      <c r="C237" s="193"/>
      <c r="D237" s="193"/>
      <c r="E237" s="193"/>
      <c r="F237" s="193"/>
      <c r="G237" s="193"/>
      <c r="H237" s="193"/>
      <c r="I237" s="193"/>
      <c r="J237" s="193"/>
      <c r="K237" s="193"/>
      <c r="L237" s="193"/>
      <c r="M237" s="193"/>
      <c r="N237" s="193"/>
      <c r="O237" s="193"/>
      <c r="P237" s="194"/>
      <c r="Q237" s="193"/>
      <c r="R237" s="193"/>
      <c r="S237" s="193"/>
      <c r="T237" s="193"/>
      <c r="U237" s="193"/>
      <c r="V237" s="193"/>
      <c r="W237" s="193"/>
      <c r="X237" s="193"/>
      <c r="Y237" s="193"/>
      <c r="Z237" s="194"/>
      <c r="AA237" s="193"/>
      <c r="AB237" s="193"/>
      <c r="AC237" s="193"/>
      <c r="AD237" s="193"/>
      <c r="AE237" s="193"/>
      <c r="AF237" s="193"/>
      <c r="AG237" s="193"/>
      <c r="AH237" s="193"/>
      <c r="AI237" s="193"/>
      <c r="AJ237" s="194"/>
      <c r="AK237" s="193"/>
      <c r="AL237" s="193"/>
      <c r="AM237" s="193"/>
      <c r="AN237" s="193"/>
      <c r="AO237" s="193"/>
      <c r="AP237" s="193"/>
      <c r="AQ237" s="193"/>
      <c r="AR237" s="193"/>
      <c r="AS237" s="193"/>
      <c r="AT237" s="194"/>
      <c r="AU237" s="193"/>
      <c r="AV237" s="193"/>
      <c r="AW237" s="193"/>
      <c r="AX237" s="193"/>
      <c r="AY237" s="193"/>
      <c r="AZ237" s="193"/>
      <c r="BA237" s="193"/>
      <c r="BB237" s="193"/>
      <c r="BC237" s="193"/>
      <c r="BD237" s="194"/>
      <c r="BE237" s="193"/>
      <c r="BF237" s="193"/>
      <c r="BG237" s="193"/>
      <c r="BH237" s="193"/>
      <c r="BI237" s="193"/>
      <c r="BJ237" s="193"/>
      <c r="BK237" s="193"/>
      <c r="BL237" s="193"/>
      <c r="BM237" s="193"/>
    </row>
    <row r="238" spans="1:65" ht="8.25" customHeight="1" x14ac:dyDescent="0.25">
      <c r="A238" s="193"/>
      <c r="B238" s="193"/>
      <c r="C238" s="193"/>
      <c r="D238" s="193"/>
      <c r="E238" s="193"/>
      <c r="F238" s="193"/>
      <c r="G238" s="193"/>
      <c r="H238" s="193"/>
      <c r="I238" s="193"/>
      <c r="J238" s="193"/>
      <c r="K238" s="193"/>
      <c r="L238" s="193"/>
      <c r="M238" s="193"/>
      <c r="N238" s="193"/>
      <c r="O238" s="193"/>
      <c r="P238" s="194"/>
      <c r="Q238" s="193"/>
      <c r="R238" s="193"/>
      <c r="S238" s="193"/>
      <c r="T238" s="193"/>
      <c r="U238" s="193"/>
      <c r="V238" s="193"/>
      <c r="W238" s="193"/>
      <c r="X238" s="193"/>
      <c r="Y238" s="193"/>
      <c r="Z238" s="194"/>
      <c r="AA238" s="193"/>
      <c r="AB238" s="193"/>
      <c r="AC238" s="193"/>
      <c r="AD238" s="193"/>
      <c r="AE238" s="193"/>
      <c r="AF238" s="193"/>
      <c r="AG238" s="193"/>
      <c r="AH238" s="193"/>
      <c r="AI238" s="193"/>
      <c r="AJ238" s="194"/>
      <c r="AK238" s="193"/>
      <c r="AL238" s="193"/>
      <c r="AM238" s="193"/>
      <c r="AN238" s="193"/>
      <c r="AO238" s="193"/>
      <c r="AP238" s="193"/>
      <c r="AQ238" s="193"/>
      <c r="AR238" s="193"/>
      <c r="AS238" s="193"/>
      <c r="AT238" s="194"/>
      <c r="AU238" s="193"/>
      <c r="AV238" s="193"/>
      <c r="AW238" s="193"/>
      <c r="AX238" s="193"/>
      <c r="AY238" s="193"/>
      <c r="AZ238" s="193"/>
      <c r="BA238" s="193"/>
      <c r="BB238" s="193"/>
      <c r="BC238" s="193"/>
      <c r="BD238" s="194"/>
      <c r="BE238" s="193"/>
      <c r="BF238" s="193"/>
      <c r="BG238" s="193"/>
      <c r="BH238" s="193"/>
      <c r="BI238" s="193"/>
      <c r="BJ238" s="193"/>
      <c r="BK238" s="193"/>
      <c r="BL238" s="193"/>
      <c r="BM238" s="193"/>
    </row>
    <row r="239" spans="1:65" ht="8.25" customHeight="1" x14ac:dyDescent="0.25">
      <c r="A239" s="193"/>
      <c r="B239" s="193"/>
      <c r="C239" s="193"/>
      <c r="D239" s="193"/>
      <c r="E239" s="193"/>
      <c r="F239" s="193"/>
      <c r="G239" s="193"/>
      <c r="H239" s="193"/>
      <c r="I239" s="193"/>
      <c r="J239" s="193"/>
      <c r="K239" s="193"/>
      <c r="L239" s="193"/>
      <c r="M239" s="193"/>
      <c r="N239" s="193"/>
      <c r="O239" s="193"/>
      <c r="P239" s="194"/>
      <c r="Q239" s="193"/>
      <c r="R239" s="193"/>
      <c r="S239" s="193"/>
      <c r="T239" s="193"/>
      <c r="U239" s="193"/>
      <c r="V239" s="193"/>
      <c r="W239" s="193"/>
      <c r="X239" s="193"/>
      <c r="Y239" s="193"/>
      <c r="Z239" s="194"/>
      <c r="AA239" s="193"/>
      <c r="AB239" s="193"/>
      <c r="AC239" s="193"/>
      <c r="AD239" s="193"/>
      <c r="AE239" s="193"/>
      <c r="AF239" s="193"/>
      <c r="AG239" s="193"/>
      <c r="AH239" s="193"/>
      <c r="AI239" s="193"/>
      <c r="AJ239" s="194"/>
      <c r="AK239" s="193"/>
      <c r="AL239" s="193"/>
      <c r="AM239" s="193"/>
      <c r="AN239" s="193"/>
      <c r="AO239" s="193"/>
      <c r="AP239" s="193"/>
      <c r="AQ239" s="193"/>
      <c r="AR239" s="193"/>
      <c r="AS239" s="193"/>
      <c r="AT239" s="194"/>
      <c r="AU239" s="193"/>
      <c r="AV239" s="193"/>
      <c r="AW239" s="193"/>
      <c r="AX239" s="193"/>
      <c r="AY239" s="193"/>
      <c r="AZ239" s="193"/>
      <c r="BA239" s="193"/>
      <c r="BB239" s="193"/>
      <c r="BC239" s="193"/>
      <c r="BD239" s="194"/>
      <c r="BE239" s="193"/>
      <c r="BF239" s="193"/>
      <c r="BG239" s="193"/>
      <c r="BH239" s="193"/>
      <c r="BI239" s="193"/>
      <c r="BJ239" s="193"/>
      <c r="BK239" s="193"/>
      <c r="BL239" s="193"/>
      <c r="BM239" s="193"/>
    </row>
    <row r="240" spans="1:65" ht="8.25" customHeight="1" x14ac:dyDescent="0.25">
      <c r="A240" s="193"/>
      <c r="B240" s="193"/>
      <c r="C240" s="193"/>
      <c r="D240" s="193"/>
      <c r="E240" s="193"/>
      <c r="F240" s="193"/>
      <c r="G240" s="193"/>
      <c r="H240" s="193"/>
      <c r="I240" s="193"/>
      <c r="J240" s="193"/>
      <c r="K240" s="193"/>
      <c r="L240" s="193"/>
      <c r="M240" s="193"/>
      <c r="N240" s="193"/>
      <c r="O240" s="193"/>
      <c r="P240" s="194"/>
      <c r="Q240" s="193"/>
      <c r="R240" s="193"/>
      <c r="S240" s="193"/>
      <c r="T240" s="193"/>
      <c r="U240" s="193"/>
      <c r="V240" s="193"/>
      <c r="W240" s="193"/>
      <c r="X240" s="193"/>
      <c r="Y240" s="193"/>
      <c r="Z240" s="194"/>
      <c r="AA240" s="193"/>
      <c r="AB240" s="193"/>
      <c r="AC240" s="193"/>
      <c r="AD240" s="193"/>
      <c r="AE240" s="193"/>
      <c r="AF240" s="193"/>
      <c r="AG240" s="193"/>
      <c r="AH240" s="193"/>
      <c r="AI240" s="193"/>
      <c r="AJ240" s="194"/>
      <c r="AK240" s="193"/>
      <c r="AL240" s="193"/>
      <c r="AM240" s="193"/>
      <c r="AN240" s="193"/>
      <c r="AO240" s="193"/>
      <c r="AP240" s="193"/>
      <c r="AQ240" s="193"/>
      <c r="AR240" s="193"/>
      <c r="AS240" s="193"/>
      <c r="AT240" s="194"/>
      <c r="AU240" s="193"/>
      <c r="AV240" s="193"/>
      <c r="AW240" s="193"/>
      <c r="AX240" s="193"/>
      <c r="AY240" s="193"/>
      <c r="AZ240" s="193"/>
      <c r="BA240" s="193"/>
      <c r="BB240" s="193"/>
      <c r="BC240" s="193"/>
      <c r="BD240" s="194"/>
      <c r="BE240" s="193"/>
      <c r="BF240" s="193"/>
      <c r="BG240" s="193"/>
      <c r="BH240" s="193"/>
      <c r="BI240" s="193"/>
      <c r="BJ240" s="193"/>
      <c r="BK240" s="193"/>
      <c r="BL240" s="193"/>
      <c r="BM240" s="193"/>
    </row>
    <row r="241" spans="1:65" ht="8.25" customHeight="1" x14ac:dyDescent="0.25">
      <c r="A241" s="193"/>
      <c r="B241" s="193"/>
      <c r="C241" s="193"/>
      <c r="D241" s="193"/>
      <c r="E241" s="193"/>
      <c r="F241" s="193"/>
      <c r="G241" s="193"/>
      <c r="H241" s="193"/>
      <c r="I241" s="193"/>
      <c r="J241" s="193"/>
      <c r="K241" s="193"/>
      <c r="L241" s="193"/>
      <c r="M241" s="193"/>
      <c r="N241" s="193"/>
      <c r="O241" s="193"/>
      <c r="P241" s="194"/>
      <c r="Q241" s="193"/>
      <c r="R241" s="193"/>
      <c r="S241" s="193"/>
      <c r="T241" s="193"/>
      <c r="U241" s="193"/>
      <c r="V241" s="193"/>
      <c r="W241" s="193"/>
      <c r="X241" s="193"/>
      <c r="Y241" s="193"/>
      <c r="Z241" s="194"/>
      <c r="AA241" s="193"/>
      <c r="AB241" s="193"/>
      <c r="AC241" s="193"/>
      <c r="AD241" s="193"/>
      <c r="AE241" s="193"/>
      <c r="AF241" s="193"/>
      <c r="AG241" s="193"/>
      <c r="AH241" s="193"/>
      <c r="AI241" s="193"/>
      <c r="AJ241" s="194"/>
      <c r="AK241" s="193"/>
      <c r="AL241" s="193"/>
      <c r="AM241" s="193"/>
      <c r="AN241" s="193"/>
      <c r="AO241" s="193"/>
      <c r="AP241" s="193"/>
      <c r="AQ241" s="193"/>
      <c r="AR241" s="193"/>
      <c r="AS241" s="193"/>
      <c r="AT241" s="194"/>
      <c r="AU241" s="193"/>
      <c r="AV241" s="193"/>
      <c r="AW241" s="193"/>
      <c r="AX241" s="193"/>
      <c r="AY241" s="193"/>
      <c r="AZ241" s="193"/>
      <c r="BA241" s="193"/>
      <c r="BB241" s="193"/>
      <c r="BC241" s="193"/>
      <c r="BD241" s="194"/>
      <c r="BE241" s="193"/>
      <c r="BF241" s="193"/>
      <c r="BG241" s="193"/>
      <c r="BH241" s="193"/>
      <c r="BI241" s="193"/>
      <c r="BJ241" s="193"/>
      <c r="BK241" s="193"/>
      <c r="BL241" s="193"/>
      <c r="BM241" s="193"/>
    </row>
    <row r="242" spans="1:65" ht="8.25" customHeight="1" x14ac:dyDescent="0.25">
      <c r="A242" s="193"/>
      <c r="B242" s="193"/>
      <c r="C242" s="193"/>
      <c r="D242" s="193"/>
      <c r="E242" s="193"/>
      <c r="F242" s="193"/>
      <c r="G242" s="193"/>
      <c r="H242" s="193"/>
      <c r="I242" s="193"/>
      <c r="J242" s="193"/>
      <c r="K242" s="193"/>
      <c r="L242" s="193"/>
      <c r="M242" s="193"/>
      <c r="N242" s="193"/>
      <c r="O242" s="193"/>
      <c r="P242" s="194"/>
      <c r="Q242" s="193"/>
      <c r="R242" s="193"/>
      <c r="S242" s="193"/>
      <c r="T242" s="193"/>
      <c r="U242" s="193"/>
      <c r="V242" s="193"/>
      <c r="W242" s="193"/>
      <c r="X242" s="193"/>
      <c r="Y242" s="193"/>
      <c r="Z242" s="194"/>
      <c r="AA242" s="193"/>
      <c r="AB242" s="193"/>
      <c r="AC242" s="193"/>
      <c r="AD242" s="193"/>
      <c r="AE242" s="193"/>
      <c r="AF242" s="193"/>
      <c r="AG242" s="193"/>
      <c r="AH242" s="193"/>
      <c r="AI242" s="193"/>
      <c r="AJ242" s="194"/>
      <c r="AK242" s="193"/>
      <c r="AL242" s="193"/>
      <c r="AM242" s="193"/>
      <c r="AN242" s="193"/>
      <c r="AO242" s="193"/>
      <c r="AP242" s="193"/>
      <c r="AQ242" s="193"/>
      <c r="AR242" s="193"/>
      <c r="AS242" s="193"/>
      <c r="AT242" s="194"/>
      <c r="AU242" s="193"/>
      <c r="AV242" s="193"/>
      <c r="AW242" s="193"/>
      <c r="AX242" s="193"/>
      <c r="AY242" s="193"/>
      <c r="AZ242" s="193"/>
      <c r="BA242" s="193"/>
      <c r="BB242" s="193"/>
      <c r="BC242" s="193"/>
      <c r="BD242" s="194"/>
      <c r="BE242" s="193"/>
      <c r="BF242" s="193"/>
      <c r="BG242" s="193"/>
      <c r="BH242" s="193"/>
      <c r="BI242" s="193"/>
      <c r="BJ242" s="193"/>
      <c r="BK242" s="193"/>
      <c r="BL242" s="193"/>
      <c r="BM242" s="193"/>
    </row>
    <row r="243" spans="1:65" ht="8.25" customHeight="1" x14ac:dyDescent="0.25">
      <c r="A243" s="193"/>
      <c r="B243" s="193"/>
      <c r="C243" s="193"/>
      <c r="D243" s="193"/>
      <c r="E243" s="193"/>
      <c r="F243" s="193"/>
      <c r="G243" s="193"/>
      <c r="H243" s="193"/>
      <c r="I243" s="193"/>
      <c r="J243" s="193"/>
      <c r="K243" s="193"/>
      <c r="L243" s="193"/>
      <c r="M243" s="193"/>
      <c r="N243" s="193"/>
      <c r="O243" s="193"/>
      <c r="P243" s="194"/>
      <c r="Q243" s="193"/>
      <c r="R243" s="193"/>
      <c r="S243" s="193"/>
      <c r="T243" s="193"/>
      <c r="U243" s="193"/>
      <c r="V243" s="193"/>
      <c r="W243" s="193"/>
      <c r="X243" s="193"/>
      <c r="Y243" s="193"/>
      <c r="Z243" s="194"/>
      <c r="AA243" s="193"/>
      <c r="AB243" s="193"/>
      <c r="AC243" s="193"/>
      <c r="AD243" s="193"/>
      <c r="AE243" s="193"/>
      <c r="AF243" s="193"/>
      <c r="AG243" s="193"/>
      <c r="AH243" s="193"/>
      <c r="AI243" s="193"/>
      <c r="AJ243" s="194"/>
      <c r="AK243" s="193"/>
      <c r="AL243" s="193"/>
      <c r="AM243" s="193"/>
      <c r="AN243" s="193"/>
      <c r="AO243" s="193"/>
      <c r="AP243" s="193"/>
      <c r="AQ243" s="193"/>
      <c r="AR243" s="193"/>
      <c r="AS243" s="193"/>
      <c r="AT243" s="194"/>
      <c r="AU243" s="193"/>
      <c r="AV243" s="193"/>
      <c r="AW243" s="193"/>
      <c r="AX243" s="193"/>
      <c r="AY243" s="193"/>
      <c r="AZ243" s="193"/>
      <c r="BA243" s="193"/>
      <c r="BB243" s="193"/>
      <c r="BC243" s="193"/>
      <c r="BD243" s="194"/>
      <c r="BE243" s="193"/>
      <c r="BF243" s="193"/>
      <c r="BG243" s="193"/>
      <c r="BH243" s="193"/>
      <c r="BI243" s="193"/>
      <c r="BJ243" s="193"/>
      <c r="BK243" s="193"/>
      <c r="BL243" s="193"/>
      <c r="BM243" s="193"/>
    </row>
    <row r="244" spans="1:65" ht="8.25" customHeight="1" x14ac:dyDescent="0.25">
      <c r="A244" s="193"/>
      <c r="B244" s="193"/>
      <c r="C244" s="193"/>
      <c r="D244" s="193"/>
      <c r="E244" s="193"/>
      <c r="F244" s="193"/>
      <c r="G244" s="193"/>
      <c r="H244" s="193"/>
      <c r="I244" s="193"/>
      <c r="J244" s="193"/>
      <c r="K244" s="193"/>
      <c r="L244" s="193"/>
      <c r="M244" s="193"/>
      <c r="N244" s="193"/>
      <c r="O244" s="193"/>
      <c r="P244" s="194"/>
      <c r="Q244" s="193"/>
      <c r="R244" s="193"/>
      <c r="S244" s="193"/>
      <c r="T244" s="193"/>
      <c r="U244" s="193"/>
      <c r="V244" s="193"/>
      <c r="W244" s="193"/>
      <c r="X244" s="193"/>
      <c r="Y244" s="193"/>
      <c r="Z244" s="194"/>
      <c r="AA244" s="193"/>
      <c r="AB244" s="193"/>
      <c r="AC244" s="193"/>
      <c r="AD244" s="193"/>
      <c r="AE244" s="193"/>
      <c r="AF244" s="193"/>
      <c r="AG244" s="193"/>
      <c r="AH244" s="193"/>
      <c r="AI244" s="193"/>
      <c r="AJ244" s="194"/>
      <c r="AK244" s="193"/>
      <c r="AL244" s="193"/>
      <c r="AM244" s="193"/>
      <c r="AN244" s="193"/>
      <c r="AO244" s="193"/>
      <c r="AP244" s="193"/>
      <c r="AQ244" s="193"/>
      <c r="AR244" s="193"/>
      <c r="AS244" s="193"/>
      <c r="AT244" s="194"/>
      <c r="AU244" s="193"/>
      <c r="AV244" s="193"/>
      <c r="AW244" s="193"/>
      <c r="AX244" s="193"/>
      <c r="AY244" s="193"/>
      <c r="AZ244" s="193"/>
      <c r="BA244" s="193"/>
      <c r="BB244" s="193"/>
      <c r="BC244" s="193"/>
      <c r="BD244" s="194"/>
      <c r="BE244" s="193"/>
      <c r="BF244" s="193"/>
      <c r="BG244" s="193"/>
      <c r="BH244" s="193"/>
      <c r="BI244" s="193"/>
      <c r="BJ244" s="193"/>
      <c r="BK244" s="193"/>
      <c r="BL244" s="193"/>
      <c r="BM244" s="193"/>
    </row>
    <row r="245" spans="1:65" ht="8.25" customHeight="1" x14ac:dyDescent="0.25">
      <c r="A245" s="193"/>
      <c r="B245" s="193"/>
      <c r="C245" s="193"/>
      <c r="D245" s="193"/>
      <c r="E245" s="193"/>
      <c r="F245" s="193"/>
      <c r="G245" s="193"/>
      <c r="H245" s="193"/>
      <c r="I245" s="193"/>
      <c r="J245" s="193"/>
      <c r="K245" s="193"/>
      <c r="L245" s="193"/>
      <c r="M245" s="193"/>
      <c r="N245" s="193"/>
      <c r="O245" s="193"/>
      <c r="P245" s="194"/>
      <c r="Q245" s="193"/>
      <c r="R245" s="193"/>
      <c r="S245" s="193"/>
      <c r="T245" s="193"/>
      <c r="U245" s="193"/>
      <c r="V245" s="193"/>
      <c r="W245" s="193"/>
      <c r="X245" s="193"/>
      <c r="Y245" s="193"/>
      <c r="Z245" s="194"/>
      <c r="AA245" s="193"/>
      <c r="AB245" s="193"/>
      <c r="AC245" s="193"/>
      <c r="AD245" s="193"/>
      <c r="AE245" s="193"/>
      <c r="AF245" s="193"/>
      <c r="AG245" s="193"/>
      <c r="AH245" s="193"/>
      <c r="AI245" s="193"/>
      <c r="AJ245" s="194"/>
      <c r="AK245" s="193"/>
      <c r="AL245" s="193"/>
      <c r="AM245" s="193"/>
      <c r="AN245" s="193"/>
      <c r="AO245" s="193"/>
      <c r="AP245" s="193"/>
      <c r="AQ245" s="193"/>
      <c r="AR245" s="193"/>
      <c r="AS245" s="193"/>
      <c r="AT245" s="194"/>
      <c r="AU245" s="193"/>
      <c r="AV245" s="193"/>
      <c r="AW245" s="193"/>
      <c r="AX245" s="193"/>
      <c r="AY245" s="193"/>
      <c r="AZ245" s="193"/>
      <c r="BA245" s="193"/>
      <c r="BB245" s="193"/>
      <c r="BC245" s="193"/>
      <c r="BD245" s="194"/>
      <c r="BE245" s="193"/>
      <c r="BF245" s="193"/>
      <c r="BG245" s="193"/>
      <c r="BH245" s="193"/>
      <c r="BI245" s="193"/>
      <c r="BJ245" s="193"/>
      <c r="BK245" s="193"/>
      <c r="BL245" s="193"/>
      <c r="BM245" s="193"/>
    </row>
    <row r="246" spans="1:65" ht="8.25" customHeight="1" x14ac:dyDescent="0.25">
      <c r="A246" s="193"/>
      <c r="B246" s="193"/>
      <c r="C246" s="193"/>
      <c r="D246" s="193"/>
      <c r="E246" s="193"/>
      <c r="F246" s="193"/>
      <c r="G246" s="193"/>
      <c r="H246" s="193"/>
      <c r="I246" s="193"/>
      <c r="J246" s="193"/>
      <c r="K246" s="193"/>
      <c r="L246" s="193"/>
      <c r="M246" s="193"/>
      <c r="N246" s="193"/>
      <c r="O246" s="193"/>
      <c r="P246" s="194"/>
      <c r="Q246" s="193"/>
      <c r="R246" s="193"/>
      <c r="S246" s="193"/>
      <c r="T246" s="193"/>
      <c r="U246" s="193"/>
      <c r="V246" s="193"/>
      <c r="W246" s="193"/>
      <c r="X246" s="193"/>
      <c r="Y246" s="193"/>
      <c r="Z246" s="194"/>
      <c r="AA246" s="193"/>
      <c r="AB246" s="193"/>
      <c r="AC246" s="193"/>
      <c r="AD246" s="193"/>
      <c r="AE246" s="193"/>
      <c r="AF246" s="193"/>
      <c r="AG246" s="193"/>
      <c r="AH246" s="193"/>
      <c r="AI246" s="193"/>
      <c r="AJ246" s="194"/>
      <c r="AK246" s="193"/>
      <c r="AL246" s="193"/>
      <c r="AM246" s="193"/>
      <c r="AN246" s="193"/>
      <c r="AO246" s="193"/>
      <c r="AP246" s="193"/>
      <c r="AQ246" s="193"/>
      <c r="AR246" s="193"/>
      <c r="AS246" s="193"/>
      <c r="AT246" s="194"/>
      <c r="AU246" s="193"/>
      <c r="AV246" s="193"/>
      <c r="AW246" s="193"/>
      <c r="AX246" s="193"/>
      <c r="AY246" s="193"/>
      <c r="AZ246" s="193"/>
      <c r="BA246" s="193"/>
      <c r="BB246" s="193"/>
      <c r="BC246" s="193"/>
      <c r="BD246" s="194"/>
      <c r="BE246" s="193"/>
      <c r="BF246" s="193"/>
      <c r="BG246" s="193"/>
      <c r="BH246" s="193"/>
      <c r="BI246" s="193"/>
      <c r="BJ246" s="193"/>
      <c r="BK246" s="193"/>
      <c r="BL246" s="193"/>
      <c r="BM246" s="193"/>
    </row>
    <row r="247" spans="1:65" ht="8.25" customHeight="1" x14ac:dyDescent="0.25">
      <c r="A247" s="193"/>
      <c r="B247" s="193"/>
      <c r="C247" s="193"/>
      <c r="D247" s="193"/>
      <c r="E247" s="193"/>
      <c r="F247" s="193"/>
      <c r="G247" s="193"/>
      <c r="H247" s="193"/>
      <c r="I247" s="193"/>
      <c r="J247" s="193"/>
      <c r="K247" s="193"/>
      <c r="L247" s="193"/>
      <c r="M247" s="193"/>
      <c r="N247" s="193"/>
      <c r="O247" s="193"/>
      <c r="P247" s="194"/>
      <c r="Q247" s="193"/>
      <c r="R247" s="193"/>
      <c r="S247" s="193"/>
      <c r="T247" s="193"/>
      <c r="U247" s="193"/>
      <c r="V247" s="193"/>
      <c r="W247" s="193"/>
      <c r="X247" s="193"/>
      <c r="Y247" s="193"/>
      <c r="Z247" s="194"/>
      <c r="AA247" s="193"/>
      <c r="AB247" s="193"/>
      <c r="AC247" s="193"/>
      <c r="AD247" s="193"/>
      <c r="AE247" s="193"/>
      <c r="AF247" s="193"/>
      <c r="AG247" s="193"/>
      <c r="AH247" s="193"/>
      <c r="AI247" s="193"/>
      <c r="AJ247" s="194"/>
      <c r="AK247" s="193"/>
      <c r="AL247" s="193"/>
      <c r="AM247" s="193"/>
      <c r="AN247" s="193"/>
      <c r="AO247" s="193"/>
      <c r="AP247" s="193"/>
      <c r="AQ247" s="193"/>
      <c r="AR247" s="193"/>
      <c r="AS247" s="193"/>
      <c r="AT247" s="194"/>
      <c r="AU247" s="193"/>
      <c r="AV247" s="193"/>
      <c r="AW247" s="193"/>
      <c r="AX247" s="193"/>
      <c r="AY247" s="193"/>
      <c r="AZ247" s="193"/>
      <c r="BA247" s="193"/>
      <c r="BB247" s="193"/>
      <c r="BC247" s="193"/>
      <c r="BD247" s="194"/>
      <c r="BE247" s="193"/>
      <c r="BF247" s="193"/>
      <c r="BG247" s="193"/>
      <c r="BH247" s="193"/>
      <c r="BI247" s="193"/>
      <c r="BJ247" s="193"/>
      <c r="BK247" s="193"/>
      <c r="BL247" s="193"/>
      <c r="BM247" s="193"/>
    </row>
    <row r="248" spans="1:65" ht="8.25" customHeight="1" x14ac:dyDescent="0.25">
      <c r="A248" s="193"/>
      <c r="B248" s="193"/>
      <c r="C248" s="193"/>
      <c r="D248" s="193"/>
      <c r="E248" s="193"/>
      <c r="F248" s="193"/>
      <c r="G248" s="193"/>
      <c r="H248" s="193"/>
      <c r="I248" s="193"/>
      <c r="J248" s="193"/>
      <c r="K248" s="193"/>
      <c r="L248" s="193"/>
      <c r="M248" s="193"/>
      <c r="N248" s="193"/>
      <c r="O248" s="193"/>
      <c r="P248" s="194"/>
      <c r="Q248" s="193"/>
      <c r="R248" s="193"/>
      <c r="S248" s="193"/>
      <c r="T248" s="193"/>
      <c r="U248" s="193"/>
      <c r="V248" s="193"/>
      <c r="W248" s="193"/>
      <c r="X248" s="193"/>
      <c r="Y248" s="193"/>
      <c r="Z248" s="194"/>
      <c r="AA248" s="193"/>
      <c r="AB248" s="193"/>
      <c r="AC248" s="193"/>
      <c r="AD248" s="193"/>
      <c r="AE248" s="193"/>
      <c r="AF248" s="193"/>
      <c r="AG248" s="193"/>
      <c r="AH248" s="193"/>
      <c r="AI248" s="193"/>
      <c r="AJ248" s="194"/>
      <c r="AK248" s="193"/>
      <c r="AL248" s="193"/>
      <c r="AM248" s="193"/>
      <c r="AN248" s="193"/>
      <c r="AO248" s="193"/>
      <c r="AP248" s="193"/>
      <c r="AQ248" s="193"/>
      <c r="AR248" s="193"/>
      <c r="AS248" s="193"/>
      <c r="AT248" s="194"/>
      <c r="AU248" s="193"/>
      <c r="AV248" s="193"/>
      <c r="AW248" s="193"/>
      <c r="AX248" s="193"/>
      <c r="AY248" s="193"/>
      <c r="AZ248" s="193"/>
      <c r="BA248" s="193"/>
      <c r="BB248" s="193"/>
      <c r="BC248" s="193"/>
      <c r="BD248" s="194"/>
      <c r="BE248" s="193"/>
      <c r="BF248" s="193"/>
      <c r="BG248" s="193"/>
      <c r="BH248" s="193"/>
      <c r="BI248" s="193"/>
      <c r="BJ248" s="193"/>
      <c r="BK248" s="193"/>
      <c r="BL248" s="193"/>
      <c r="BM248" s="193"/>
    </row>
    <row r="249" spans="1:65" ht="8.25" customHeight="1" x14ac:dyDescent="0.25">
      <c r="A249" s="193"/>
      <c r="B249" s="193"/>
      <c r="C249" s="193"/>
      <c r="D249" s="193"/>
      <c r="E249" s="193"/>
      <c r="F249" s="193"/>
      <c r="G249" s="193"/>
      <c r="H249" s="193"/>
      <c r="I249" s="193"/>
      <c r="J249" s="193"/>
      <c r="K249" s="193"/>
      <c r="L249" s="193"/>
      <c r="M249" s="193"/>
      <c r="N249" s="193"/>
      <c r="O249" s="193"/>
      <c r="P249" s="194"/>
      <c r="Q249" s="193"/>
      <c r="R249" s="193"/>
      <c r="S249" s="193"/>
      <c r="T249" s="193"/>
      <c r="U249" s="193"/>
      <c r="V249" s="193"/>
      <c r="W249" s="193"/>
      <c r="X249" s="193"/>
      <c r="Y249" s="193"/>
      <c r="Z249" s="194"/>
      <c r="AA249" s="193"/>
      <c r="AB249" s="193"/>
      <c r="AC249" s="193"/>
      <c r="AD249" s="193"/>
      <c r="AE249" s="193"/>
      <c r="AF249" s="193"/>
      <c r="AG249" s="193"/>
      <c r="AH249" s="193"/>
      <c r="AI249" s="193"/>
      <c r="AJ249" s="194"/>
      <c r="AK249" s="193"/>
      <c r="AL249" s="193"/>
      <c r="AM249" s="193"/>
      <c r="AN249" s="193"/>
      <c r="AO249" s="193"/>
      <c r="AP249" s="193"/>
      <c r="AQ249" s="193"/>
      <c r="AR249" s="193"/>
      <c r="AS249" s="193"/>
      <c r="AT249" s="194"/>
      <c r="AU249" s="193"/>
      <c r="AV249" s="193"/>
      <c r="AW249" s="193"/>
      <c r="AX249" s="193"/>
      <c r="AY249" s="193"/>
      <c r="AZ249" s="193"/>
      <c r="BA249" s="193"/>
      <c r="BB249" s="193"/>
      <c r="BC249" s="193"/>
      <c r="BD249" s="194"/>
      <c r="BE249" s="193"/>
      <c r="BF249" s="193"/>
      <c r="BG249" s="193"/>
      <c r="BH249" s="193"/>
      <c r="BI249" s="193"/>
      <c r="BJ249" s="193"/>
      <c r="BK249" s="193"/>
      <c r="BL249" s="193"/>
      <c r="BM249" s="193"/>
    </row>
    <row r="250" spans="1:65" ht="8.25" customHeight="1" x14ac:dyDescent="0.25">
      <c r="A250" s="193"/>
      <c r="B250" s="193"/>
      <c r="C250" s="193"/>
      <c r="D250" s="193"/>
      <c r="E250" s="193"/>
      <c r="F250" s="193"/>
      <c r="G250" s="193"/>
      <c r="H250" s="193"/>
      <c r="I250" s="193"/>
      <c r="J250" s="193"/>
      <c r="K250" s="193"/>
      <c r="L250" s="193"/>
      <c r="M250" s="193"/>
      <c r="N250" s="193"/>
      <c r="O250" s="193"/>
      <c r="P250" s="194"/>
      <c r="Q250" s="193"/>
      <c r="R250" s="193"/>
      <c r="S250" s="193"/>
      <c r="T250" s="193"/>
      <c r="U250" s="193"/>
      <c r="V250" s="193"/>
      <c r="W250" s="193"/>
      <c r="X250" s="193"/>
      <c r="Y250" s="193"/>
      <c r="Z250" s="194"/>
      <c r="AA250" s="193"/>
      <c r="AB250" s="193"/>
      <c r="AC250" s="193"/>
      <c r="AD250" s="193"/>
      <c r="AE250" s="193"/>
      <c r="AF250" s="193"/>
      <c r="AG250" s="193"/>
      <c r="AH250" s="193"/>
      <c r="AI250" s="193"/>
      <c r="AJ250" s="194"/>
      <c r="AK250" s="193"/>
      <c r="AL250" s="193"/>
      <c r="AM250" s="193"/>
      <c r="AN250" s="193"/>
      <c r="AO250" s="193"/>
      <c r="AP250" s="193"/>
      <c r="AQ250" s="193"/>
      <c r="AR250" s="193"/>
      <c r="AS250" s="193"/>
      <c r="AT250" s="194"/>
      <c r="AU250" s="193"/>
      <c r="AV250" s="193"/>
      <c r="AW250" s="193"/>
      <c r="AX250" s="193"/>
      <c r="AY250" s="193"/>
      <c r="AZ250" s="193"/>
      <c r="BA250" s="193"/>
      <c r="BB250" s="193"/>
      <c r="BC250" s="193"/>
      <c r="BD250" s="194"/>
      <c r="BE250" s="193"/>
      <c r="BF250" s="193"/>
      <c r="BG250" s="193"/>
      <c r="BH250" s="193"/>
      <c r="BI250" s="193"/>
      <c r="BJ250" s="193"/>
      <c r="BK250" s="193"/>
      <c r="BL250" s="193"/>
      <c r="BM250" s="193"/>
    </row>
    <row r="251" spans="1:65" ht="8.25" customHeight="1" x14ac:dyDescent="0.25">
      <c r="A251" s="193"/>
      <c r="B251" s="193"/>
      <c r="C251" s="193"/>
      <c r="D251" s="193"/>
      <c r="E251" s="193"/>
      <c r="F251" s="193"/>
      <c r="G251" s="193"/>
      <c r="H251" s="193"/>
      <c r="I251" s="193"/>
      <c r="J251" s="193"/>
      <c r="K251" s="193"/>
      <c r="L251" s="193"/>
      <c r="M251" s="193"/>
      <c r="N251" s="193"/>
      <c r="O251" s="193"/>
      <c r="P251" s="194"/>
      <c r="Q251" s="193"/>
      <c r="R251" s="193"/>
      <c r="S251" s="193"/>
      <c r="T251" s="193"/>
      <c r="U251" s="193"/>
      <c r="V251" s="193"/>
      <c r="W251" s="193"/>
      <c r="X251" s="193"/>
      <c r="Y251" s="193"/>
      <c r="Z251" s="194"/>
      <c r="AA251" s="193"/>
      <c r="AB251" s="193"/>
      <c r="AC251" s="193"/>
      <c r="AD251" s="193"/>
      <c r="AE251" s="193"/>
      <c r="AF251" s="193"/>
      <c r="AG251" s="193"/>
      <c r="AH251" s="193"/>
      <c r="AI251" s="193"/>
      <c r="AJ251" s="194"/>
      <c r="AK251" s="193"/>
      <c r="AL251" s="193"/>
      <c r="AM251" s="193"/>
      <c r="AN251" s="193"/>
      <c r="AO251" s="193"/>
      <c r="AP251" s="193"/>
      <c r="AQ251" s="193"/>
      <c r="AR251" s="193"/>
      <c r="AS251" s="193"/>
      <c r="AT251" s="194"/>
      <c r="AU251" s="193"/>
      <c r="AV251" s="193"/>
      <c r="AW251" s="193"/>
      <c r="AX251" s="193"/>
      <c r="AY251" s="193"/>
      <c r="AZ251" s="193"/>
      <c r="BA251" s="193"/>
      <c r="BB251" s="193"/>
      <c r="BC251" s="193"/>
      <c r="BD251" s="194"/>
      <c r="BE251" s="193"/>
      <c r="BF251" s="193"/>
      <c r="BG251" s="193"/>
      <c r="BH251" s="193"/>
      <c r="BI251" s="193"/>
      <c r="BJ251" s="193"/>
      <c r="BK251" s="193"/>
      <c r="BL251" s="193"/>
      <c r="BM251" s="193"/>
    </row>
    <row r="252" spans="1:65" ht="8.25" customHeight="1" x14ac:dyDescent="0.25">
      <c r="A252" s="193"/>
      <c r="B252" s="193"/>
      <c r="C252" s="193"/>
      <c r="D252" s="193"/>
      <c r="E252" s="193"/>
      <c r="F252" s="193"/>
      <c r="G252" s="193"/>
      <c r="H252" s="193"/>
      <c r="I252" s="193"/>
      <c r="J252" s="193"/>
      <c r="K252" s="193"/>
      <c r="L252" s="193"/>
      <c r="M252" s="193"/>
      <c r="N252" s="193"/>
      <c r="O252" s="193"/>
      <c r="P252" s="194"/>
      <c r="Q252" s="193"/>
      <c r="R252" s="193"/>
      <c r="S252" s="193"/>
      <c r="T252" s="193"/>
      <c r="U252" s="193"/>
      <c r="V252" s="193"/>
      <c r="W252" s="193"/>
      <c r="X252" s="193"/>
      <c r="Y252" s="193"/>
      <c r="Z252" s="194"/>
      <c r="AA252" s="193"/>
      <c r="AB252" s="193"/>
      <c r="AC252" s="193"/>
      <c r="AD252" s="193"/>
      <c r="AE252" s="193"/>
      <c r="AF252" s="193"/>
      <c r="AG252" s="193"/>
      <c r="AH252" s="193"/>
      <c r="AI252" s="193"/>
      <c r="AJ252" s="194"/>
      <c r="AK252" s="193"/>
      <c r="AL252" s="193"/>
      <c r="AM252" s="193"/>
      <c r="AN252" s="193"/>
      <c r="AO252" s="193"/>
      <c r="AP252" s="193"/>
      <c r="AQ252" s="193"/>
      <c r="AR252" s="193"/>
      <c r="AS252" s="193"/>
      <c r="AT252" s="194"/>
      <c r="AU252" s="193"/>
      <c r="AV252" s="193"/>
      <c r="AW252" s="193"/>
      <c r="AX252" s="193"/>
      <c r="AY252" s="193"/>
      <c r="AZ252" s="193"/>
      <c r="BA252" s="193"/>
      <c r="BB252" s="193"/>
      <c r="BC252" s="193"/>
      <c r="BD252" s="194"/>
      <c r="BE252" s="193"/>
      <c r="BF252" s="193"/>
      <c r="BG252" s="193"/>
      <c r="BH252" s="193"/>
      <c r="BI252" s="193"/>
      <c r="BJ252" s="193"/>
      <c r="BK252" s="193"/>
      <c r="BL252" s="193"/>
      <c r="BM252" s="193"/>
    </row>
    <row r="253" spans="1:65" ht="8.25" customHeight="1" x14ac:dyDescent="0.25">
      <c r="A253" s="193"/>
      <c r="B253" s="193"/>
      <c r="C253" s="193"/>
      <c r="D253" s="193"/>
      <c r="E253" s="193"/>
      <c r="F253" s="193"/>
      <c r="G253" s="193"/>
      <c r="H253" s="193"/>
      <c r="I253" s="193"/>
      <c r="J253" s="193"/>
      <c r="K253" s="193"/>
      <c r="L253" s="193"/>
      <c r="M253" s="193"/>
      <c r="N253" s="193"/>
      <c r="O253" s="193"/>
      <c r="P253" s="194"/>
      <c r="Q253" s="193"/>
      <c r="R253" s="193"/>
      <c r="S253" s="193"/>
      <c r="T253" s="193"/>
      <c r="U253" s="193"/>
      <c r="V253" s="193"/>
      <c r="W253" s="193"/>
      <c r="X253" s="193"/>
      <c r="Y253" s="193"/>
      <c r="Z253" s="194"/>
      <c r="AA253" s="193"/>
      <c r="AB253" s="193"/>
      <c r="AC253" s="193"/>
      <c r="AD253" s="193"/>
      <c r="AE253" s="193"/>
      <c r="AF253" s="193"/>
      <c r="AG253" s="193"/>
      <c r="AH253" s="193"/>
      <c r="AI253" s="193"/>
      <c r="AJ253" s="194"/>
      <c r="AK253" s="193"/>
      <c r="AL253" s="193"/>
      <c r="AM253" s="193"/>
      <c r="AN253" s="193"/>
      <c r="AO253" s="193"/>
      <c r="AP253" s="193"/>
      <c r="AQ253" s="193"/>
      <c r="AR253" s="193"/>
      <c r="AS253" s="193"/>
      <c r="AT253" s="194"/>
      <c r="AU253" s="193"/>
      <c r="AV253" s="193"/>
      <c r="AW253" s="193"/>
      <c r="AX253" s="193"/>
      <c r="AY253" s="193"/>
      <c r="AZ253" s="193"/>
      <c r="BA253" s="193"/>
      <c r="BB253" s="193"/>
      <c r="BC253" s="193"/>
      <c r="BD253" s="194"/>
      <c r="BE253" s="193"/>
      <c r="BF253" s="193"/>
      <c r="BG253" s="193"/>
      <c r="BH253" s="193"/>
      <c r="BI253" s="193"/>
      <c r="BJ253" s="193"/>
      <c r="BK253" s="193"/>
      <c r="BL253" s="193"/>
      <c r="BM253" s="193"/>
    </row>
    <row r="254" spans="1:65" ht="8.25" customHeight="1" x14ac:dyDescent="0.25">
      <c r="A254" s="193"/>
      <c r="B254" s="193"/>
      <c r="C254" s="193"/>
      <c r="D254" s="193"/>
      <c r="E254" s="193"/>
      <c r="F254" s="193"/>
      <c r="G254" s="193"/>
      <c r="H254" s="193"/>
      <c r="I254" s="193"/>
      <c r="J254" s="193"/>
      <c r="K254" s="193"/>
      <c r="L254" s="193"/>
      <c r="M254" s="193"/>
      <c r="N254" s="193"/>
      <c r="O254" s="193"/>
      <c r="P254" s="194"/>
      <c r="Q254" s="193"/>
      <c r="R254" s="193"/>
      <c r="S254" s="193"/>
      <c r="T254" s="193"/>
      <c r="U254" s="193"/>
      <c r="V254" s="193"/>
      <c r="W254" s="193"/>
      <c r="X254" s="193"/>
      <c r="Y254" s="193"/>
      <c r="Z254" s="194"/>
      <c r="AA254" s="193"/>
      <c r="AB254" s="193"/>
      <c r="AC254" s="193"/>
      <c r="AD254" s="193"/>
      <c r="AE254" s="193"/>
      <c r="AF254" s="193"/>
      <c r="AG254" s="193"/>
      <c r="AH254" s="193"/>
      <c r="AI254" s="193"/>
      <c r="AJ254" s="194"/>
      <c r="AK254" s="193"/>
      <c r="AL254" s="193"/>
      <c r="AM254" s="193"/>
      <c r="AN254" s="193"/>
      <c r="AO254" s="193"/>
      <c r="AP254" s="193"/>
      <c r="AQ254" s="193"/>
      <c r="AR254" s="193"/>
      <c r="AS254" s="193"/>
      <c r="AT254" s="194"/>
      <c r="AU254" s="193"/>
      <c r="AV254" s="193"/>
      <c r="AW254" s="193"/>
      <c r="AX254" s="193"/>
      <c r="AY254" s="193"/>
      <c r="AZ254" s="193"/>
      <c r="BA254" s="193"/>
      <c r="BB254" s="193"/>
      <c r="BC254" s="193"/>
      <c r="BD254" s="194"/>
      <c r="BE254" s="193"/>
      <c r="BF254" s="193"/>
      <c r="BG254" s="193"/>
      <c r="BH254" s="193"/>
      <c r="BI254" s="193"/>
      <c r="BJ254" s="193"/>
      <c r="BK254" s="193"/>
      <c r="BL254" s="193"/>
      <c r="BM254" s="193"/>
    </row>
    <row r="255" spans="1:65" ht="8.25" customHeight="1" x14ac:dyDescent="0.25">
      <c r="A255" s="193"/>
      <c r="B255" s="193"/>
      <c r="C255" s="193"/>
      <c r="D255" s="193"/>
      <c r="E255" s="193"/>
      <c r="F255" s="193"/>
      <c r="G255" s="193"/>
      <c r="H255" s="193"/>
      <c r="I255" s="193"/>
      <c r="J255" s="193"/>
      <c r="K255" s="193"/>
      <c r="L255" s="193"/>
      <c r="M255" s="193"/>
      <c r="N255" s="193"/>
      <c r="O255" s="193"/>
      <c r="P255" s="194"/>
      <c r="Q255" s="193"/>
      <c r="R255" s="193"/>
      <c r="S255" s="193"/>
      <c r="T255" s="193"/>
      <c r="U255" s="193"/>
      <c r="V255" s="193"/>
      <c r="W255" s="193"/>
      <c r="X255" s="193"/>
      <c r="Y255" s="193"/>
      <c r="Z255" s="194"/>
      <c r="AA255" s="193"/>
      <c r="AB255" s="193"/>
      <c r="AC255" s="193"/>
      <c r="AD255" s="193"/>
      <c r="AE255" s="193"/>
      <c r="AF255" s="193"/>
      <c r="AG255" s="193"/>
      <c r="AH255" s="193"/>
      <c r="AI255" s="193"/>
      <c r="AJ255" s="194"/>
      <c r="AK255" s="193"/>
      <c r="AL255" s="193"/>
      <c r="AM255" s="193"/>
      <c r="AN255" s="193"/>
      <c r="AO255" s="193"/>
      <c r="AP255" s="193"/>
      <c r="AQ255" s="193"/>
      <c r="AR255" s="193"/>
      <c r="AS255" s="193"/>
      <c r="AT255" s="194"/>
      <c r="AU255" s="193"/>
      <c r="AV255" s="193"/>
      <c r="AW255" s="193"/>
      <c r="AX255" s="193"/>
      <c r="AY255" s="193"/>
      <c r="AZ255" s="193"/>
      <c r="BA255" s="193"/>
      <c r="BB255" s="193"/>
      <c r="BC255" s="193"/>
      <c r="BD255" s="194"/>
      <c r="BE255" s="193"/>
      <c r="BF255" s="193"/>
      <c r="BG255" s="193"/>
      <c r="BH255" s="193"/>
      <c r="BI255" s="193"/>
      <c r="BJ255" s="193"/>
      <c r="BK255" s="193"/>
      <c r="BL255" s="193"/>
      <c r="BM255" s="193"/>
    </row>
    <row r="256" spans="1:65" ht="8.25" customHeight="1" x14ac:dyDescent="0.25">
      <c r="A256" s="193"/>
      <c r="B256" s="193"/>
      <c r="C256" s="193"/>
      <c r="D256" s="193"/>
      <c r="E256" s="193"/>
      <c r="F256" s="193"/>
      <c r="G256" s="193"/>
      <c r="H256" s="193"/>
      <c r="I256" s="193"/>
      <c r="J256" s="193"/>
      <c r="K256" s="193"/>
      <c r="L256" s="193"/>
      <c r="M256" s="193"/>
      <c r="N256" s="193"/>
      <c r="O256" s="193"/>
      <c r="P256" s="194"/>
      <c r="Q256" s="193"/>
      <c r="R256" s="193"/>
      <c r="S256" s="193"/>
      <c r="T256" s="193"/>
      <c r="U256" s="193"/>
      <c r="V256" s="193"/>
      <c r="W256" s="193"/>
      <c r="X256" s="193"/>
      <c r="Y256" s="193"/>
      <c r="Z256" s="194"/>
      <c r="AA256" s="193"/>
      <c r="AB256" s="193"/>
      <c r="AC256" s="193"/>
      <c r="AD256" s="193"/>
      <c r="AE256" s="193"/>
      <c r="AF256" s="193"/>
      <c r="AG256" s="193"/>
      <c r="AH256" s="193"/>
      <c r="AI256" s="193"/>
      <c r="AJ256" s="194"/>
      <c r="AK256" s="193"/>
      <c r="AL256" s="193"/>
      <c r="AM256" s="193"/>
      <c r="AN256" s="193"/>
      <c r="AO256" s="193"/>
      <c r="AP256" s="193"/>
      <c r="AQ256" s="193"/>
      <c r="AR256" s="193"/>
      <c r="AS256" s="193"/>
      <c r="AT256" s="194"/>
      <c r="AU256" s="193"/>
      <c r="AV256" s="193"/>
      <c r="AW256" s="193"/>
      <c r="AX256" s="193"/>
      <c r="AY256" s="193"/>
      <c r="AZ256" s="193"/>
      <c r="BA256" s="193"/>
      <c r="BB256" s="193"/>
      <c r="BC256" s="193"/>
      <c r="BD256" s="194"/>
      <c r="BE256" s="193"/>
      <c r="BF256" s="193"/>
      <c r="BG256" s="193"/>
      <c r="BH256" s="193"/>
      <c r="BI256" s="193"/>
      <c r="BJ256" s="193"/>
      <c r="BK256" s="193"/>
      <c r="BL256" s="193"/>
      <c r="BM256" s="193"/>
    </row>
    <row r="257" spans="1:65" ht="8.25" customHeight="1" x14ac:dyDescent="0.25">
      <c r="A257" s="193"/>
      <c r="B257" s="193"/>
      <c r="C257" s="193"/>
      <c r="D257" s="193"/>
      <c r="E257" s="193"/>
      <c r="F257" s="193"/>
      <c r="G257" s="193"/>
      <c r="H257" s="193"/>
      <c r="I257" s="193"/>
      <c r="J257" s="193"/>
      <c r="K257" s="193"/>
      <c r="L257" s="193"/>
      <c r="M257" s="193"/>
      <c r="N257" s="193"/>
      <c r="O257" s="193"/>
      <c r="P257" s="194"/>
      <c r="Q257" s="193"/>
      <c r="R257" s="193"/>
      <c r="S257" s="193"/>
      <c r="T257" s="193"/>
      <c r="U257" s="193"/>
      <c r="V257" s="193"/>
      <c r="W257" s="193"/>
      <c r="X257" s="193"/>
      <c r="Y257" s="193"/>
      <c r="Z257" s="194"/>
      <c r="AA257" s="193"/>
      <c r="AB257" s="193"/>
      <c r="AC257" s="193"/>
      <c r="AD257" s="193"/>
      <c r="AE257" s="193"/>
      <c r="AF257" s="193"/>
      <c r="AG257" s="193"/>
      <c r="AH257" s="193"/>
      <c r="AI257" s="193"/>
      <c r="AJ257" s="194"/>
      <c r="AK257" s="193"/>
      <c r="AL257" s="193"/>
      <c r="AM257" s="193"/>
      <c r="AN257" s="193"/>
      <c r="AO257" s="193"/>
      <c r="AP257" s="193"/>
      <c r="AQ257" s="193"/>
      <c r="AR257" s="193"/>
      <c r="AS257" s="193"/>
      <c r="AT257" s="194"/>
      <c r="AU257" s="193"/>
      <c r="AV257" s="193"/>
      <c r="AW257" s="193"/>
      <c r="AX257" s="193"/>
      <c r="AY257" s="193"/>
      <c r="AZ257" s="193"/>
      <c r="BA257" s="193"/>
      <c r="BB257" s="193"/>
      <c r="BC257" s="193"/>
      <c r="BD257" s="194"/>
      <c r="BE257" s="193"/>
      <c r="BF257" s="193"/>
      <c r="BG257" s="193"/>
      <c r="BH257" s="193"/>
      <c r="BI257" s="193"/>
      <c r="BJ257" s="193"/>
      <c r="BK257" s="193"/>
      <c r="BL257" s="193"/>
      <c r="BM257" s="193"/>
    </row>
    <row r="258" spans="1:65" ht="8.25" customHeight="1" x14ac:dyDescent="0.25">
      <c r="A258" s="193"/>
      <c r="B258" s="193"/>
      <c r="C258" s="193"/>
      <c r="D258" s="193"/>
      <c r="E258" s="193"/>
      <c r="F258" s="193"/>
      <c r="G258" s="193"/>
      <c r="H258" s="193"/>
      <c r="I258" s="193"/>
      <c r="J258" s="193"/>
      <c r="K258" s="193"/>
      <c r="L258" s="193"/>
      <c r="M258" s="193"/>
      <c r="N258" s="193"/>
      <c r="O258" s="193"/>
      <c r="P258" s="194"/>
      <c r="Q258" s="193"/>
      <c r="R258" s="193"/>
      <c r="S258" s="193"/>
      <c r="T258" s="193"/>
      <c r="U258" s="193"/>
      <c r="V258" s="193"/>
      <c r="W258" s="193"/>
      <c r="X258" s="193"/>
      <c r="Y258" s="193"/>
      <c r="Z258" s="194"/>
      <c r="AA258" s="193"/>
      <c r="AB258" s="193"/>
      <c r="AC258" s="193"/>
      <c r="AD258" s="193"/>
      <c r="AE258" s="193"/>
      <c r="AF258" s="193"/>
      <c r="AG258" s="193"/>
      <c r="AH258" s="193"/>
      <c r="AI258" s="193"/>
      <c r="AJ258" s="194"/>
      <c r="AK258" s="193"/>
      <c r="AL258" s="193"/>
      <c r="AM258" s="193"/>
      <c r="AN258" s="193"/>
      <c r="AO258" s="193"/>
      <c r="AP258" s="193"/>
      <c r="AQ258" s="193"/>
      <c r="AR258" s="193"/>
      <c r="AS258" s="193"/>
      <c r="AT258" s="194"/>
      <c r="AU258" s="193"/>
      <c r="AV258" s="193"/>
      <c r="AW258" s="193"/>
      <c r="AX258" s="193"/>
      <c r="AY258" s="193"/>
      <c r="AZ258" s="193"/>
      <c r="BA258" s="193"/>
      <c r="BB258" s="193"/>
      <c r="BC258" s="193"/>
      <c r="BD258" s="194"/>
      <c r="BE258" s="193"/>
      <c r="BF258" s="193"/>
      <c r="BG258" s="193"/>
      <c r="BH258" s="193"/>
      <c r="BI258" s="193"/>
      <c r="BJ258" s="193"/>
      <c r="BK258" s="193"/>
      <c r="BL258" s="193"/>
      <c r="BM258" s="193"/>
    </row>
    <row r="259" spans="1:65" ht="8.25" customHeight="1" x14ac:dyDescent="0.25">
      <c r="A259" s="193"/>
      <c r="B259" s="193"/>
      <c r="C259" s="193"/>
      <c r="D259" s="193"/>
      <c r="E259" s="193"/>
      <c r="F259" s="193"/>
      <c r="G259" s="193"/>
      <c r="H259" s="193"/>
      <c r="I259" s="193"/>
      <c r="J259" s="193"/>
      <c r="K259" s="193"/>
      <c r="L259" s="193"/>
      <c r="M259" s="193"/>
      <c r="N259" s="193"/>
      <c r="O259" s="193"/>
      <c r="P259" s="194"/>
      <c r="Q259" s="193"/>
      <c r="R259" s="193"/>
      <c r="S259" s="193"/>
      <c r="T259" s="193"/>
      <c r="U259" s="193"/>
      <c r="V259" s="193"/>
      <c r="W259" s="193"/>
      <c r="X259" s="193"/>
      <c r="Y259" s="193"/>
      <c r="Z259" s="194"/>
      <c r="AA259" s="193"/>
      <c r="AB259" s="193"/>
      <c r="AC259" s="193"/>
      <c r="AD259" s="193"/>
      <c r="AE259" s="193"/>
      <c r="AF259" s="193"/>
      <c r="AG259" s="193"/>
      <c r="AH259" s="193"/>
      <c r="AI259" s="193"/>
      <c r="AJ259" s="194"/>
      <c r="AK259" s="193"/>
      <c r="AL259" s="193"/>
      <c r="AM259" s="193"/>
      <c r="AN259" s="193"/>
      <c r="AO259" s="193"/>
      <c r="AP259" s="193"/>
      <c r="AQ259" s="193"/>
      <c r="AR259" s="193"/>
      <c r="AS259" s="193"/>
      <c r="AT259" s="194"/>
      <c r="AU259" s="193"/>
      <c r="AV259" s="193"/>
      <c r="AW259" s="193"/>
      <c r="AX259" s="193"/>
      <c r="AY259" s="193"/>
      <c r="AZ259" s="193"/>
      <c r="BA259" s="193"/>
      <c r="BB259" s="193"/>
      <c r="BC259" s="193"/>
      <c r="BD259" s="194"/>
      <c r="BE259" s="193"/>
      <c r="BF259" s="193"/>
      <c r="BG259" s="193"/>
      <c r="BH259" s="193"/>
      <c r="BI259" s="193"/>
      <c r="BJ259" s="193"/>
      <c r="BK259" s="193"/>
      <c r="BL259" s="193"/>
      <c r="BM259" s="193"/>
    </row>
    <row r="260" spans="1:65" ht="8.25" customHeight="1" x14ac:dyDescent="0.25">
      <c r="A260" s="193"/>
      <c r="B260" s="193"/>
      <c r="C260" s="193"/>
      <c r="D260" s="193"/>
      <c r="E260" s="193"/>
      <c r="F260" s="193"/>
      <c r="G260" s="193"/>
      <c r="H260" s="193"/>
      <c r="I260" s="193"/>
      <c r="J260" s="193"/>
      <c r="K260" s="193"/>
      <c r="L260" s="193"/>
      <c r="M260" s="193"/>
      <c r="N260" s="193"/>
      <c r="O260" s="193"/>
      <c r="P260" s="194"/>
      <c r="Q260" s="193"/>
      <c r="R260" s="193"/>
      <c r="S260" s="193"/>
      <c r="T260" s="193"/>
      <c r="U260" s="193"/>
      <c r="V260" s="193"/>
      <c r="W260" s="193"/>
      <c r="X260" s="193"/>
      <c r="Y260" s="193"/>
      <c r="Z260" s="194"/>
      <c r="AA260" s="193"/>
      <c r="AB260" s="193"/>
      <c r="AC260" s="193"/>
      <c r="AD260" s="193"/>
      <c r="AE260" s="193"/>
      <c r="AF260" s="193"/>
      <c r="AG260" s="193"/>
      <c r="AH260" s="193"/>
      <c r="AI260" s="193"/>
      <c r="AJ260" s="194"/>
      <c r="AK260" s="193"/>
      <c r="AL260" s="193"/>
      <c r="AM260" s="193"/>
      <c r="AN260" s="193"/>
      <c r="AO260" s="193"/>
      <c r="AP260" s="193"/>
      <c r="AQ260" s="193"/>
      <c r="AR260" s="193"/>
      <c r="AS260" s="193"/>
      <c r="AT260" s="194"/>
      <c r="AU260" s="193"/>
      <c r="AV260" s="193"/>
      <c r="AW260" s="193"/>
      <c r="AX260" s="193"/>
      <c r="AY260" s="193"/>
      <c r="AZ260" s="193"/>
      <c r="BA260" s="193"/>
      <c r="BB260" s="193"/>
      <c r="BC260" s="193"/>
      <c r="BD260" s="194"/>
      <c r="BE260" s="193"/>
      <c r="BF260" s="193"/>
      <c r="BG260" s="193"/>
      <c r="BH260" s="193"/>
      <c r="BI260" s="193"/>
      <c r="BJ260" s="193"/>
      <c r="BK260" s="193"/>
      <c r="BL260" s="193"/>
      <c r="BM260" s="193"/>
    </row>
    <row r="261" spans="1:65" ht="8.25" customHeight="1" x14ac:dyDescent="0.25">
      <c r="A261" s="193"/>
      <c r="B261" s="193"/>
      <c r="C261" s="193"/>
      <c r="D261" s="193"/>
      <c r="E261" s="193"/>
      <c r="F261" s="193"/>
      <c r="G261" s="193"/>
      <c r="H261" s="193"/>
      <c r="I261" s="193"/>
      <c r="J261" s="193"/>
      <c r="K261" s="193"/>
      <c r="L261" s="193"/>
      <c r="M261" s="193"/>
      <c r="N261" s="193"/>
      <c r="O261" s="193"/>
      <c r="P261" s="194"/>
      <c r="Q261" s="193"/>
      <c r="R261" s="193"/>
      <c r="S261" s="193"/>
      <c r="T261" s="193"/>
      <c r="U261" s="193"/>
      <c r="V261" s="193"/>
      <c r="W261" s="193"/>
      <c r="X261" s="193"/>
      <c r="Y261" s="193"/>
      <c r="Z261" s="194"/>
      <c r="AA261" s="193"/>
      <c r="AB261" s="193"/>
      <c r="AC261" s="193"/>
      <c r="AD261" s="193"/>
      <c r="AE261" s="193"/>
      <c r="AF261" s="193"/>
      <c r="AG261" s="193"/>
      <c r="AH261" s="193"/>
      <c r="AI261" s="193"/>
      <c r="AJ261" s="194"/>
      <c r="AK261" s="193"/>
      <c r="AL261" s="193"/>
      <c r="AM261" s="193"/>
      <c r="AN261" s="193"/>
      <c r="AO261" s="193"/>
      <c r="AP261" s="193"/>
      <c r="AQ261" s="193"/>
      <c r="AR261" s="193"/>
      <c r="AS261" s="193"/>
      <c r="AT261" s="194"/>
      <c r="AU261" s="193"/>
      <c r="AV261" s="193"/>
      <c r="AW261" s="193"/>
      <c r="AX261" s="193"/>
      <c r="AY261" s="193"/>
      <c r="AZ261" s="193"/>
      <c r="BA261" s="193"/>
      <c r="BB261" s="193"/>
      <c r="BC261" s="193"/>
      <c r="BD261" s="194"/>
      <c r="BE261" s="193"/>
      <c r="BF261" s="193"/>
      <c r="BG261" s="193"/>
      <c r="BH261" s="193"/>
      <c r="BI261" s="193"/>
      <c r="BJ261" s="193"/>
      <c r="BK261" s="193"/>
      <c r="BL261" s="193"/>
      <c r="BM261" s="193"/>
    </row>
    <row r="262" spans="1:65" ht="8.25" customHeight="1" x14ac:dyDescent="0.25">
      <c r="A262" s="193"/>
      <c r="B262" s="193"/>
      <c r="C262" s="193"/>
      <c r="D262" s="193"/>
      <c r="E262" s="193"/>
      <c r="F262" s="193"/>
      <c r="G262" s="193"/>
      <c r="H262" s="193"/>
      <c r="I262" s="193"/>
      <c r="J262" s="193"/>
      <c r="K262" s="193"/>
      <c r="L262" s="193"/>
      <c r="M262" s="193"/>
      <c r="N262" s="193"/>
      <c r="O262" s="193"/>
      <c r="P262" s="194"/>
      <c r="Q262" s="193"/>
      <c r="R262" s="193"/>
      <c r="S262" s="193"/>
      <c r="T262" s="193"/>
      <c r="U262" s="193"/>
      <c r="V262" s="193"/>
      <c r="W262" s="193"/>
      <c r="X262" s="193"/>
      <c r="Y262" s="193"/>
      <c r="Z262" s="194"/>
      <c r="AA262" s="193"/>
      <c r="AB262" s="193"/>
      <c r="AC262" s="193"/>
      <c r="AD262" s="193"/>
      <c r="AE262" s="193"/>
      <c r="AF262" s="193"/>
      <c r="AG262" s="193"/>
      <c r="AH262" s="193"/>
      <c r="AI262" s="193"/>
      <c r="AJ262" s="194"/>
      <c r="AK262" s="193"/>
      <c r="AL262" s="193"/>
      <c r="AM262" s="193"/>
      <c r="AN262" s="193"/>
      <c r="AO262" s="193"/>
      <c r="AP262" s="193"/>
      <c r="AQ262" s="193"/>
      <c r="AR262" s="193"/>
      <c r="AS262" s="193"/>
      <c r="AT262" s="194"/>
      <c r="AU262" s="193"/>
      <c r="AV262" s="193"/>
      <c r="AW262" s="193"/>
      <c r="AX262" s="193"/>
      <c r="AY262" s="193"/>
      <c r="AZ262" s="193"/>
      <c r="BA262" s="193"/>
      <c r="BB262" s="193"/>
      <c r="BC262" s="193"/>
      <c r="BD262" s="194"/>
      <c r="BE262" s="193"/>
      <c r="BF262" s="193"/>
      <c r="BG262" s="193"/>
      <c r="BH262" s="193"/>
      <c r="BI262" s="193"/>
      <c r="BJ262" s="193"/>
      <c r="BK262" s="193"/>
      <c r="BL262" s="193"/>
      <c r="BM262" s="193"/>
    </row>
    <row r="263" spans="1:65" ht="8.25" customHeight="1" x14ac:dyDescent="0.25">
      <c r="A263" s="193"/>
      <c r="B263" s="193"/>
      <c r="C263" s="193"/>
      <c r="D263" s="193"/>
      <c r="E263" s="193"/>
      <c r="F263" s="193"/>
      <c r="G263" s="193"/>
      <c r="H263" s="193"/>
      <c r="I263" s="193"/>
      <c r="J263" s="193"/>
      <c r="K263" s="193"/>
      <c r="L263" s="193"/>
      <c r="M263" s="193"/>
      <c r="N263" s="193"/>
      <c r="O263" s="193"/>
      <c r="P263" s="194"/>
      <c r="Q263" s="193"/>
      <c r="R263" s="193"/>
      <c r="S263" s="193"/>
      <c r="T263" s="193"/>
      <c r="U263" s="193"/>
      <c r="V263" s="193"/>
      <c r="W263" s="193"/>
      <c r="X263" s="193"/>
      <c r="Y263" s="193"/>
      <c r="Z263" s="194"/>
      <c r="AA263" s="193"/>
      <c r="AB263" s="193"/>
      <c r="AC263" s="193"/>
      <c r="AD263" s="193"/>
      <c r="AE263" s="193"/>
      <c r="AF263" s="193"/>
      <c r="AG263" s="193"/>
      <c r="AH263" s="193"/>
      <c r="AI263" s="193"/>
      <c r="AJ263" s="194"/>
      <c r="AK263" s="193"/>
      <c r="AL263" s="193"/>
      <c r="AM263" s="193"/>
      <c r="AN263" s="193"/>
      <c r="AO263" s="193"/>
      <c r="AP263" s="193"/>
      <c r="AQ263" s="193"/>
      <c r="AR263" s="193"/>
      <c r="AS263" s="193"/>
      <c r="AT263" s="194"/>
      <c r="AU263" s="193"/>
      <c r="AV263" s="193"/>
      <c r="AW263" s="193"/>
      <c r="AX263" s="193"/>
      <c r="AY263" s="193"/>
      <c r="AZ263" s="193"/>
      <c r="BA263" s="193"/>
      <c r="BB263" s="193"/>
      <c r="BC263" s="193"/>
      <c r="BD263" s="194"/>
      <c r="BE263" s="193"/>
      <c r="BF263" s="193"/>
      <c r="BG263" s="193"/>
      <c r="BH263" s="193"/>
      <c r="BI263" s="193"/>
      <c r="BJ263" s="193"/>
      <c r="BK263" s="193"/>
      <c r="BL263" s="193"/>
      <c r="BM263" s="193"/>
    </row>
    <row r="264" spans="1:65" ht="8.25" customHeight="1" x14ac:dyDescent="0.25">
      <c r="A264" s="193"/>
      <c r="B264" s="193"/>
      <c r="C264" s="193"/>
      <c r="D264" s="193"/>
      <c r="E264" s="193"/>
      <c r="F264" s="193"/>
      <c r="G264" s="193"/>
      <c r="H264" s="193"/>
      <c r="I264" s="193"/>
      <c r="J264" s="193"/>
      <c r="K264" s="193"/>
      <c r="L264" s="193"/>
      <c r="M264" s="193"/>
      <c r="N264" s="193"/>
      <c r="O264" s="193"/>
      <c r="P264" s="194"/>
      <c r="Q264" s="193"/>
      <c r="R264" s="193"/>
      <c r="S264" s="193"/>
      <c r="T264" s="193"/>
      <c r="U264" s="193"/>
      <c r="V264" s="193"/>
      <c r="W264" s="193"/>
      <c r="X264" s="193"/>
      <c r="Y264" s="193"/>
      <c r="Z264" s="194"/>
      <c r="AA264" s="193"/>
      <c r="AB264" s="193"/>
      <c r="AC264" s="193"/>
      <c r="AD264" s="193"/>
      <c r="AE264" s="193"/>
      <c r="AF264" s="193"/>
      <c r="AG264" s="193"/>
      <c r="AH264" s="193"/>
      <c r="AI264" s="193"/>
      <c r="AJ264" s="194"/>
      <c r="AK264" s="193"/>
      <c r="AL264" s="193"/>
      <c r="AM264" s="193"/>
      <c r="AN264" s="193"/>
      <c r="AO264" s="193"/>
      <c r="AP264" s="193"/>
      <c r="AQ264" s="193"/>
      <c r="AR264" s="193"/>
      <c r="AS264" s="193"/>
      <c r="AT264" s="194"/>
      <c r="AU264" s="193"/>
      <c r="AV264" s="193"/>
      <c r="AW264" s="193"/>
      <c r="AX264" s="193"/>
      <c r="AY264" s="193"/>
      <c r="AZ264" s="193"/>
      <c r="BA264" s="193"/>
      <c r="BB264" s="193"/>
      <c r="BC264" s="193"/>
      <c r="BD264" s="194"/>
      <c r="BE264" s="193"/>
      <c r="BF264" s="193"/>
      <c r="BG264" s="193"/>
      <c r="BH264" s="193"/>
      <c r="BI264" s="193"/>
      <c r="BJ264" s="193"/>
      <c r="BK264" s="193"/>
      <c r="BL264" s="193"/>
      <c r="BM264" s="193"/>
    </row>
    <row r="265" spans="1:65" ht="8.25" customHeight="1" x14ac:dyDescent="0.25">
      <c r="A265" s="193"/>
      <c r="B265" s="193"/>
      <c r="C265" s="193"/>
      <c r="D265" s="193"/>
      <c r="E265" s="193"/>
      <c r="F265" s="193"/>
      <c r="G265" s="193"/>
      <c r="H265" s="193"/>
      <c r="I265" s="193"/>
      <c r="J265" s="193"/>
      <c r="K265" s="193"/>
      <c r="L265" s="193"/>
      <c r="M265" s="193"/>
      <c r="N265" s="193"/>
      <c r="O265" s="193"/>
      <c r="P265" s="194"/>
      <c r="Q265" s="193"/>
      <c r="R265" s="193"/>
      <c r="S265" s="193"/>
      <c r="T265" s="193"/>
      <c r="U265" s="193"/>
      <c r="V265" s="193"/>
      <c r="W265" s="193"/>
      <c r="X265" s="193"/>
      <c r="Y265" s="193"/>
      <c r="Z265" s="194"/>
      <c r="AA265" s="193"/>
      <c r="AB265" s="193"/>
      <c r="AC265" s="193"/>
      <c r="AD265" s="193"/>
      <c r="AE265" s="193"/>
      <c r="AF265" s="193"/>
      <c r="AG265" s="193"/>
      <c r="AH265" s="193"/>
      <c r="AI265" s="193"/>
      <c r="AJ265" s="194"/>
      <c r="AK265" s="193"/>
      <c r="AL265" s="193"/>
      <c r="AM265" s="193"/>
      <c r="AN265" s="193"/>
      <c r="AO265" s="193"/>
      <c r="AP265" s="193"/>
      <c r="AQ265" s="193"/>
      <c r="AR265" s="193"/>
      <c r="AS265" s="193"/>
      <c r="AT265" s="194"/>
      <c r="AU265" s="193"/>
      <c r="AV265" s="193"/>
      <c r="AW265" s="193"/>
      <c r="AX265" s="193"/>
      <c r="AY265" s="193"/>
      <c r="AZ265" s="193"/>
      <c r="BA265" s="193"/>
      <c r="BB265" s="193"/>
      <c r="BC265" s="193"/>
      <c r="BD265" s="194"/>
      <c r="BE265" s="193"/>
      <c r="BF265" s="193"/>
      <c r="BG265" s="193"/>
      <c r="BH265" s="193"/>
      <c r="BI265" s="193"/>
      <c r="BJ265" s="193"/>
      <c r="BK265" s="193"/>
      <c r="BL265" s="193"/>
      <c r="BM265" s="193"/>
    </row>
    <row r="266" spans="1:65" ht="8.25" customHeight="1" x14ac:dyDescent="0.25">
      <c r="A266" s="193"/>
      <c r="B266" s="193"/>
      <c r="C266" s="193"/>
      <c r="D266" s="193"/>
      <c r="E266" s="193"/>
      <c r="F266" s="193"/>
      <c r="G266" s="193"/>
      <c r="H266" s="193"/>
      <c r="I266" s="193"/>
      <c r="J266" s="193"/>
      <c r="K266" s="193"/>
      <c r="L266" s="193"/>
      <c r="M266" s="193"/>
      <c r="N266" s="193"/>
      <c r="O266" s="193"/>
      <c r="P266" s="194"/>
      <c r="Q266" s="193"/>
      <c r="R266" s="193"/>
      <c r="S266" s="193"/>
      <c r="T266" s="193"/>
      <c r="U266" s="193"/>
      <c r="V266" s="193"/>
      <c r="W266" s="193"/>
      <c r="X266" s="193"/>
      <c r="Y266" s="193"/>
      <c r="Z266" s="194"/>
      <c r="AA266" s="193"/>
      <c r="AB266" s="193"/>
      <c r="AC266" s="193"/>
      <c r="AD266" s="193"/>
      <c r="AE266" s="193"/>
      <c r="AF266" s="193"/>
      <c r="AG266" s="193"/>
      <c r="AH266" s="193"/>
      <c r="AI266" s="193"/>
      <c r="AJ266" s="194"/>
      <c r="AK266" s="193"/>
      <c r="AL266" s="193"/>
      <c r="AM266" s="193"/>
      <c r="AN266" s="193"/>
      <c r="AO266" s="193"/>
      <c r="AP266" s="193"/>
      <c r="AQ266" s="193"/>
      <c r="AR266" s="193"/>
      <c r="AS266" s="193"/>
      <c r="AT266" s="194"/>
      <c r="AU266" s="193"/>
      <c r="AV266" s="193"/>
      <c r="AW266" s="193"/>
      <c r="AX266" s="193"/>
      <c r="AY266" s="193"/>
      <c r="AZ266" s="193"/>
      <c r="BA266" s="193"/>
      <c r="BB266" s="193"/>
      <c r="BC266" s="193"/>
      <c r="BD266" s="194"/>
      <c r="BE266" s="193"/>
      <c r="BF266" s="193"/>
      <c r="BG266" s="193"/>
      <c r="BH266" s="193"/>
      <c r="BI266" s="193"/>
      <c r="BJ266" s="193"/>
      <c r="BK266" s="193"/>
      <c r="BL266" s="193"/>
      <c r="BM266" s="193"/>
    </row>
    <row r="267" spans="1:65" ht="8.25" customHeight="1" x14ac:dyDescent="0.25">
      <c r="A267" s="193"/>
      <c r="B267" s="193"/>
      <c r="C267" s="193"/>
      <c r="D267" s="193"/>
      <c r="E267" s="193"/>
      <c r="F267" s="193"/>
      <c r="G267" s="193"/>
      <c r="H267" s="193"/>
      <c r="I267" s="193"/>
      <c r="J267" s="193"/>
      <c r="K267" s="193"/>
      <c r="L267" s="193"/>
      <c r="M267" s="193"/>
      <c r="N267" s="193"/>
      <c r="O267" s="193"/>
      <c r="P267" s="194"/>
      <c r="Q267" s="193"/>
      <c r="R267" s="193"/>
      <c r="S267" s="193"/>
      <c r="T267" s="193"/>
      <c r="U267" s="193"/>
      <c r="V267" s="193"/>
      <c r="W267" s="193"/>
      <c r="X267" s="193"/>
      <c r="Y267" s="193"/>
      <c r="Z267" s="194"/>
      <c r="AA267" s="193"/>
      <c r="AB267" s="193"/>
      <c r="AC267" s="193"/>
      <c r="AD267" s="193"/>
      <c r="AE267" s="193"/>
      <c r="AF267" s="193"/>
      <c r="AG267" s="193"/>
      <c r="AH267" s="193"/>
      <c r="AI267" s="193"/>
      <c r="AJ267" s="194"/>
      <c r="AK267" s="193"/>
      <c r="AL267" s="193"/>
      <c r="AM267" s="193"/>
      <c r="AN267" s="193"/>
      <c r="AO267" s="193"/>
      <c r="AP267" s="193"/>
      <c r="AQ267" s="193"/>
      <c r="AR267" s="193"/>
      <c r="AS267" s="193"/>
      <c r="AT267" s="194"/>
      <c r="AU267" s="193"/>
      <c r="AV267" s="193"/>
      <c r="AW267" s="193"/>
      <c r="AX267" s="193"/>
      <c r="AY267" s="193"/>
      <c r="AZ267" s="193"/>
      <c r="BA267" s="193"/>
      <c r="BB267" s="193"/>
      <c r="BC267" s="193"/>
      <c r="BD267" s="194"/>
      <c r="BE267" s="193"/>
      <c r="BF267" s="193"/>
      <c r="BG267" s="193"/>
      <c r="BH267" s="193"/>
      <c r="BI267" s="193"/>
      <c r="BJ267" s="193"/>
      <c r="BK267" s="193"/>
      <c r="BL267" s="193"/>
      <c r="BM267" s="193"/>
    </row>
    <row r="268" spans="1:65" ht="8.25" customHeight="1" x14ac:dyDescent="0.25">
      <c r="A268" s="193"/>
      <c r="B268" s="193"/>
      <c r="C268" s="193"/>
      <c r="D268" s="193"/>
      <c r="E268" s="193"/>
      <c r="F268" s="193"/>
      <c r="G268" s="193"/>
      <c r="H268" s="193"/>
      <c r="I268" s="193"/>
      <c r="J268" s="193"/>
      <c r="K268" s="193"/>
      <c r="L268" s="193"/>
      <c r="M268" s="193"/>
      <c r="N268" s="193"/>
      <c r="O268" s="193"/>
      <c r="P268" s="194"/>
      <c r="Q268" s="193"/>
      <c r="R268" s="193"/>
      <c r="S268" s="193"/>
      <c r="T268" s="193"/>
      <c r="U268" s="193"/>
      <c r="V268" s="193"/>
      <c r="W268" s="193"/>
      <c r="X268" s="193"/>
      <c r="Y268" s="193"/>
      <c r="Z268" s="194"/>
      <c r="AA268" s="193"/>
      <c r="AB268" s="193"/>
      <c r="AC268" s="193"/>
      <c r="AD268" s="193"/>
      <c r="AE268" s="193"/>
      <c r="AF268" s="193"/>
      <c r="AG268" s="193"/>
      <c r="AH268" s="193"/>
      <c r="AI268" s="193"/>
      <c r="AJ268" s="194"/>
      <c r="AK268" s="193"/>
      <c r="AL268" s="193"/>
      <c r="AM268" s="193"/>
      <c r="AN268" s="193"/>
      <c r="AO268" s="193"/>
      <c r="AP268" s="193"/>
      <c r="AQ268" s="193"/>
      <c r="AR268" s="193"/>
      <c r="AS268" s="193"/>
      <c r="AT268" s="194"/>
      <c r="AU268" s="193"/>
      <c r="AV268" s="193"/>
      <c r="AW268" s="193"/>
      <c r="AX268" s="193"/>
      <c r="AY268" s="193"/>
      <c r="AZ268" s="193"/>
      <c r="BA268" s="193"/>
      <c r="BB268" s="193"/>
      <c r="BC268" s="193"/>
      <c r="BD268" s="194"/>
      <c r="BE268" s="193"/>
      <c r="BF268" s="193"/>
      <c r="BG268" s="193"/>
      <c r="BH268" s="193"/>
      <c r="BI268" s="193"/>
      <c r="BJ268" s="193"/>
      <c r="BK268" s="193"/>
      <c r="BL268" s="193"/>
      <c r="BM268" s="193"/>
    </row>
    <row r="269" spans="1:65" ht="8.25" customHeight="1" x14ac:dyDescent="0.25">
      <c r="A269" s="193"/>
      <c r="B269" s="193"/>
      <c r="C269" s="193"/>
      <c r="D269" s="193"/>
      <c r="E269" s="193"/>
      <c r="F269" s="193"/>
      <c r="G269" s="193"/>
      <c r="H269" s="193"/>
      <c r="I269" s="193"/>
      <c r="J269" s="193"/>
      <c r="K269" s="193"/>
      <c r="L269" s="193"/>
      <c r="M269" s="193"/>
      <c r="N269" s="193"/>
      <c r="O269" s="193"/>
      <c r="P269" s="194"/>
      <c r="Q269" s="193"/>
      <c r="R269" s="193"/>
      <c r="S269" s="193"/>
      <c r="T269" s="193"/>
      <c r="U269" s="193"/>
      <c r="V269" s="193"/>
      <c r="W269" s="193"/>
      <c r="X269" s="193"/>
      <c r="Y269" s="193"/>
      <c r="Z269" s="194"/>
      <c r="AA269" s="193"/>
      <c r="AB269" s="193"/>
      <c r="AC269" s="193"/>
      <c r="AD269" s="193"/>
      <c r="AE269" s="193"/>
      <c r="AF269" s="193"/>
      <c r="AG269" s="193"/>
      <c r="AH269" s="193"/>
      <c r="AI269" s="193"/>
      <c r="AJ269" s="194"/>
      <c r="AK269" s="193"/>
      <c r="AL269" s="193"/>
      <c r="AM269" s="193"/>
      <c r="AN269" s="193"/>
      <c r="AO269" s="193"/>
      <c r="AP269" s="193"/>
      <c r="AQ269" s="193"/>
      <c r="AR269" s="193"/>
      <c r="AS269" s="193"/>
      <c r="AT269" s="194"/>
      <c r="AU269" s="193"/>
      <c r="AV269" s="193"/>
      <c r="AW269" s="193"/>
      <c r="AX269" s="193"/>
      <c r="AY269" s="193"/>
      <c r="AZ269" s="193"/>
      <c r="BA269" s="193"/>
      <c r="BB269" s="193"/>
      <c r="BC269" s="193"/>
      <c r="BD269" s="194"/>
      <c r="BE269" s="193"/>
      <c r="BF269" s="193"/>
      <c r="BG269" s="193"/>
      <c r="BH269" s="193"/>
      <c r="BI269" s="193"/>
      <c r="BJ269" s="193"/>
      <c r="BK269" s="193"/>
      <c r="BL269" s="193"/>
      <c r="BM269" s="193"/>
    </row>
    <row r="270" spans="1:65" ht="8.25" customHeight="1" x14ac:dyDescent="0.25">
      <c r="A270" s="193"/>
      <c r="B270" s="193"/>
      <c r="C270" s="193"/>
      <c r="D270" s="193"/>
      <c r="E270" s="193"/>
      <c r="F270" s="193"/>
      <c r="G270" s="193"/>
      <c r="H270" s="193"/>
      <c r="I270" s="193"/>
      <c r="J270" s="193"/>
      <c r="K270" s="193"/>
      <c r="L270" s="193"/>
      <c r="M270" s="193"/>
      <c r="N270" s="193"/>
      <c r="O270" s="193"/>
      <c r="P270" s="194"/>
      <c r="Q270" s="193"/>
      <c r="R270" s="193"/>
      <c r="S270" s="193"/>
      <c r="T270" s="193"/>
      <c r="U270" s="193"/>
      <c r="V270" s="193"/>
      <c r="W270" s="193"/>
      <c r="X270" s="193"/>
      <c r="Y270" s="193"/>
      <c r="Z270" s="194"/>
      <c r="AA270" s="193"/>
      <c r="AB270" s="193"/>
      <c r="AC270" s="193"/>
      <c r="AD270" s="193"/>
      <c r="AE270" s="193"/>
      <c r="AF270" s="193"/>
      <c r="AG270" s="193"/>
      <c r="AH270" s="193"/>
      <c r="AI270" s="193"/>
      <c r="AJ270" s="194"/>
      <c r="AK270" s="193"/>
      <c r="AL270" s="193"/>
      <c r="AM270" s="193"/>
      <c r="AN270" s="193"/>
      <c r="AO270" s="193"/>
      <c r="AP270" s="193"/>
      <c r="AQ270" s="193"/>
      <c r="AR270" s="193"/>
      <c r="AS270" s="193"/>
      <c r="AT270" s="194"/>
      <c r="AU270" s="193"/>
      <c r="AV270" s="193"/>
      <c r="AW270" s="193"/>
      <c r="AX270" s="193"/>
      <c r="AY270" s="193"/>
      <c r="AZ270" s="193"/>
      <c r="BA270" s="193"/>
      <c r="BB270" s="193"/>
      <c r="BC270" s="193"/>
      <c r="BD270" s="194"/>
      <c r="BE270" s="193"/>
      <c r="BF270" s="193"/>
      <c r="BG270" s="193"/>
      <c r="BH270" s="193"/>
      <c r="BI270" s="193"/>
      <c r="BJ270" s="193"/>
      <c r="BK270" s="193"/>
      <c r="BL270" s="193"/>
      <c r="BM270" s="193"/>
    </row>
    <row r="271" spans="1:65" ht="8.25" customHeight="1" x14ac:dyDescent="0.25">
      <c r="A271" s="193"/>
      <c r="B271" s="193"/>
      <c r="C271" s="193"/>
      <c r="D271" s="193"/>
      <c r="E271" s="193"/>
      <c r="F271" s="193"/>
      <c r="G271" s="193"/>
      <c r="H271" s="193"/>
      <c r="I271" s="193"/>
      <c r="J271" s="193"/>
      <c r="K271" s="193"/>
      <c r="L271" s="193"/>
      <c r="M271" s="193"/>
      <c r="N271" s="193"/>
      <c r="O271" s="193"/>
      <c r="P271" s="194"/>
      <c r="Q271" s="193"/>
      <c r="R271" s="193"/>
      <c r="S271" s="193"/>
      <c r="T271" s="193"/>
      <c r="U271" s="193"/>
      <c r="V271" s="193"/>
      <c r="W271" s="193"/>
      <c r="X271" s="193"/>
      <c r="Y271" s="193"/>
      <c r="Z271" s="194"/>
      <c r="AA271" s="193"/>
      <c r="AB271" s="193"/>
      <c r="AC271" s="193"/>
      <c r="AD271" s="193"/>
      <c r="AE271" s="193"/>
      <c r="AF271" s="193"/>
      <c r="AG271" s="193"/>
      <c r="AH271" s="193"/>
      <c r="AI271" s="193"/>
      <c r="AJ271" s="194"/>
      <c r="AK271" s="193"/>
      <c r="AL271" s="193"/>
      <c r="AM271" s="193"/>
      <c r="AN271" s="193"/>
      <c r="AO271" s="193"/>
      <c r="AP271" s="193"/>
      <c r="AQ271" s="193"/>
      <c r="AR271" s="193"/>
      <c r="AS271" s="193"/>
      <c r="AT271" s="194"/>
      <c r="AU271" s="193"/>
      <c r="AV271" s="193"/>
      <c r="AW271" s="193"/>
      <c r="AX271" s="193"/>
      <c r="AY271" s="193"/>
      <c r="AZ271" s="193"/>
      <c r="BA271" s="193"/>
      <c r="BB271" s="193"/>
      <c r="BC271" s="193"/>
      <c r="BD271" s="194"/>
      <c r="BE271" s="193"/>
      <c r="BF271" s="193"/>
      <c r="BG271" s="193"/>
      <c r="BH271" s="193"/>
      <c r="BI271" s="193"/>
      <c r="BJ271" s="193"/>
      <c r="BK271" s="193"/>
      <c r="BL271" s="193"/>
      <c r="BM271" s="193"/>
    </row>
    <row r="272" spans="1:65" ht="8.25" customHeight="1" x14ac:dyDescent="0.25">
      <c r="A272" s="193"/>
      <c r="B272" s="193"/>
      <c r="C272" s="193"/>
      <c r="D272" s="193"/>
      <c r="E272" s="193"/>
      <c r="F272" s="193"/>
      <c r="G272" s="193"/>
      <c r="H272" s="193"/>
      <c r="I272" s="193"/>
      <c r="J272" s="193"/>
      <c r="K272" s="193"/>
      <c r="L272" s="193"/>
      <c r="M272" s="193"/>
      <c r="N272" s="193"/>
      <c r="O272" s="193"/>
      <c r="P272" s="194"/>
      <c r="Q272" s="193"/>
      <c r="R272" s="193"/>
      <c r="S272" s="193"/>
      <c r="T272" s="193"/>
      <c r="U272" s="193"/>
      <c r="V272" s="193"/>
      <c r="W272" s="193"/>
      <c r="X272" s="193"/>
      <c r="Y272" s="193"/>
      <c r="Z272" s="194"/>
      <c r="AA272" s="193"/>
      <c r="AB272" s="193"/>
      <c r="AC272" s="193"/>
      <c r="AD272" s="193"/>
      <c r="AE272" s="193"/>
      <c r="AF272" s="193"/>
      <c r="AG272" s="193"/>
      <c r="AH272" s="193"/>
      <c r="AI272" s="193"/>
      <c r="AJ272" s="194"/>
      <c r="AK272" s="193"/>
      <c r="AL272" s="193"/>
      <c r="AM272" s="193"/>
      <c r="AN272" s="193"/>
      <c r="AO272" s="193"/>
      <c r="AP272" s="193"/>
      <c r="AQ272" s="193"/>
      <c r="AR272" s="193"/>
      <c r="AS272" s="193"/>
      <c r="AT272" s="194"/>
      <c r="AU272" s="193"/>
      <c r="AV272" s="193"/>
      <c r="AW272" s="193"/>
      <c r="AX272" s="193"/>
      <c r="AY272" s="193"/>
      <c r="AZ272" s="193"/>
      <c r="BA272" s="193"/>
      <c r="BB272" s="193"/>
      <c r="BC272" s="193"/>
      <c r="BD272" s="194"/>
      <c r="BE272" s="193"/>
      <c r="BF272" s="193"/>
      <c r="BG272" s="193"/>
      <c r="BH272" s="193"/>
      <c r="BI272" s="193"/>
      <c r="BJ272" s="193"/>
      <c r="BK272" s="193"/>
      <c r="BL272" s="193"/>
      <c r="BM272" s="193"/>
    </row>
    <row r="273" spans="1:65" ht="8.25" customHeight="1" x14ac:dyDescent="0.25">
      <c r="A273" s="193"/>
      <c r="B273" s="193"/>
      <c r="C273" s="193"/>
      <c r="D273" s="193"/>
      <c r="E273" s="193"/>
      <c r="F273" s="193"/>
      <c r="G273" s="193"/>
      <c r="H273" s="193"/>
      <c r="I273" s="193"/>
      <c r="J273" s="193"/>
      <c r="K273" s="193"/>
      <c r="L273" s="193"/>
      <c r="M273" s="193"/>
      <c r="N273" s="193"/>
      <c r="O273" s="193"/>
      <c r="P273" s="194"/>
      <c r="Q273" s="193"/>
      <c r="R273" s="193"/>
      <c r="S273" s="193"/>
      <c r="T273" s="193"/>
      <c r="U273" s="193"/>
      <c r="V273" s="193"/>
      <c r="W273" s="193"/>
      <c r="X273" s="193"/>
      <c r="Y273" s="193"/>
      <c r="Z273" s="194"/>
      <c r="AA273" s="193"/>
      <c r="AB273" s="193"/>
      <c r="AC273" s="193"/>
      <c r="AD273" s="193"/>
      <c r="AE273" s="193"/>
      <c r="AF273" s="193"/>
      <c r="AG273" s="193"/>
      <c r="AH273" s="193"/>
      <c r="AI273" s="193"/>
      <c r="AJ273" s="194"/>
      <c r="AK273" s="193"/>
      <c r="AL273" s="193"/>
      <c r="AM273" s="193"/>
      <c r="AN273" s="193"/>
      <c r="AO273" s="193"/>
      <c r="AP273" s="193"/>
      <c r="AQ273" s="193"/>
      <c r="AR273" s="193"/>
      <c r="AS273" s="193"/>
      <c r="AT273" s="194"/>
      <c r="AU273" s="193"/>
      <c r="AV273" s="193"/>
      <c r="AW273" s="193"/>
      <c r="AX273" s="193"/>
      <c r="AY273" s="193"/>
      <c r="AZ273" s="193"/>
      <c r="BA273" s="193"/>
      <c r="BB273" s="193"/>
      <c r="BC273" s="193"/>
      <c r="BD273" s="194"/>
      <c r="BE273" s="193"/>
      <c r="BF273" s="193"/>
      <c r="BG273" s="193"/>
      <c r="BH273" s="193"/>
      <c r="BI273" s="193"/>
      <c r="BJ273" s="193"/>
      <c r="BK273" s="193"/>
      <c r="BL273" s="193"/>
      <c r="BM273" s="193"/>
    </row>
    <row r="274" spans="1:65" ht="8.25" customHeight="1" x14ac:dyDescent="0.25">
      <c r="A274" s="193"/>
      <c r="B274" s="193"/>
      <c r="C274" s="193"/>
      <c r="D274" s="193"/>
      <c r="E274" s="193"/>
      <c r="F274" s="193"/>
      <c r="G274" s="193"/>
      <c r="H274" s="193"/>
      <c r="I274" s="193"/>
      <c r="J274" s="193"/>
      <c r="K274" s="193"/>
      <c r="L274" s="193"/>
      <c r="M274" s="193"/>
      <c r="N274" s="193"/>
      <c r="O274" s="193"/>
      <c r="P274" s="194"/>
      <c r="Q274" s="193"/>
      <c r="R274" s="193"/>
      <c r="S274" s="193"/>
      <c r="T274" s="193"/>
      <c r="U274" s="193"/>
      <c r="V274" s="193"/>
      <c r="W274" s="193"/>
      <c r="X274" s="193"/>
      <c r="Y274" s="193"/>
      <c r="Z274" s="194"/>
      <c r="AA274" s="193"/>
      <c r="AB274" s="193"/>
      <c r="AC274" s="193"/>
      <c r="AD274" s="193"/>
      <c r="AE274" s="193"/>
      <c r="AF274" s="193"/>
      <c r="AG274" s="193"/>
      <c r="AH274" s="193"/>
      <c r="AI274" s="193"/>
      <c r="AJ274" s="194"/>
      <c r="AK274" s="193"/>
      <c r="AL274" s="193"/>
      <c r="AM274" s="193"/>
      <c r="AN274" s="193"/>
      <c r="AO274" s="193"/>
      <c r="AP274" s="193"/>
      <c r="AQ274" s="193"/>
      <c r="AR274" s="193"/>
      <c r="AS274" s="193"/>
      <c r="AT274" s="194"/>
      <c r="AU274" s="193"/>
      <c r="AV274" s="193"/>
      <c r="AW274" s="193"/>
      <c r="AX274" s="193"/>
      <c r="AY274" s="193"/>
      <c r="AZ274" s="193"/>
      <c r="BA274" s="193"/>
      <c r="BB274" s="193"/>
      <c r="BC274" s="193"/>
      <c r="BD274" s="194"/>
      <c r="BE274" s="193"/>
      <c r="BF274" s="193"/>
      <c r="BG274" s="193"/>
      <c r="BH274" s="193"/>
      <c r="BI274" s="193"/>
      <c r="BJ274" s="193"/>
      <c r="BK274" s="193"/>
      <c r="BL274" s="193"/>
      <c r="BM274" s="193"/>
    </row>
    <row r="275" spans="1:65" ht="8.25" customHeight="1" x14ac:dyDescent="0.25">
      <c r="A275" s="193"/>
      <c r="B275" s="193"/>
      <c r="C275" s="193"/>
      <c r="D275" s="193"/>
      <c r="E275" s="193"/>
      <c r="F275" s="193"/>
      <c r="G275" s="193"/>
      <c r="H275" s="193"/>
      <c r="I275" s="193"/>
      <c r="J275" s="193"/>
      <c r="K275" s="193"/>
      <c r="L275" s="193"/>
      <c r="M275" s="193"/>
      <c r="N275" s="193"/>
      <c r="O275" s="193"/>
      <c r="P275" s="194"/>
      <c r="Q275" s="193"/>
      <c r="R275" s="193"/>
      <c r="S275" s="193"/>
      <c r="T275" s="193"/>
      <c r="U275" s="193"/>
      <c r="V275" s="193"/>
      <c r="W275" s="193"/>
      <c r="X275" s="193"/>
      <c r="Y275" s="193"/>
      <c r="Z275" s="194"/>
      <c r="AA275" s="193"/>
      <c r="AB275" s="193"/>
      <c r="AC275" s="193"/>
      <c r="AD275" s="193"/>
      <c r="AE275" s="193"/>
      <c r="AF275" s="193"/>
      <c r="AG275" s="193"/>
      <c r="AH275" s="193"/>
      <c r="AI275" s="193"/>
      <c r="AJ275" s="194"/>
      <c r="AK275" s="193"/>
      <c r="AL275" s="193"/>
      <c r="AM275" s="193"/>
      <c r="AN275" s="193"/>
      <c r="AO275" s="193"/>
      <c r="AP275" s="193"/>
      <c r="AQ275" s="193"/>
      <c r="AR275" s="193"/>
      <c r="AS275" s="193"/>
      <c r="AT275" s="194"/>
      <c r="AU275" s="193"/>
      <c r="AV275" s="193"/>
      <c r="AW275" s="193"/>
      <c r="AX275" s="193"/>
      <c r="AY275" s="193"/>
      <c r="AZ275" s="193"/>
      <c r="BA275" s="193"/>
      <c r="BB275" s="193"/>
      <c r="BC275" s="193"/>
      <c r="BD275" s="194"/>
      <c r="BE275" s="193"/>
      <c r="BF275" s="193"/>
      <c r="BG275" s="193"/>
      <c r="BH275" s="193"/>
      <c r="BI275" s="193"/>
      <c r="BJ275" s="193"/>
      <c r="BK275" s="193"/>
      <c r="BL275" s="193"/>
      <c r="BM275" s="193"/>
    </row>
    <row r="276" spans="1:65" ht="8.25" customHeight="1" x14ac:dyDescent="0.25">
      <c r="A276" s="193"/>
      <c r="B276" s="193"/>
      <c r="C276" s="193"/>
      <c r="D276" s="193"/>
      <c r="E276" s="193"/>
      <c r="F276" s="193"/>
      <c r="G276" s="193"/>
      <c r="H276" s="193"/>
      <c r="I276" s="193"/>
      <c r="J276" s="193"/>
      <c r="K276" s="193"/>
      <c r="L276" s="193"/>
      <c r="M276" s="193"/>
      <c r="N276" s="193"/>
      <c r="O276" s="193"/>
      <c r="P276" s="194"/>
      <c r="Q276" s="193"/>
      <c r="R276" s="193"/>
      <c r="S276" s="193"/>
      <c r="T276" s="193"/>
      <c r="U276" s="193"/>
      <c r="V276" s="193"/>
      <c r="W276" s="193"/>
      <c r="X276" s="193"/>
      <c r="Y276" s="193"/>
      <c r="Z276" s="194"/>
      <c r="AA276" s="193"/>
      <c r="AB276" s="193"/>
      <c r="AC276" s="193"/>
      <c r="AD276" s="193"/>
      <c r="AE276" s="193"/>
      <c r="AF276" s="193"/>
      <c r="AG276" s="193"/>
      <c r="AH276" s="193"/>
      <c r="AI276" s="193"/>
      <c r="AJ276" s="194"/>
      <c r="AK276" s="193"/>
      <c r="AL276" s="193"/>
      <c r="AM276" s="193"/>
      <c r="AN276" s="193"/>
      <c r="AO276" s="193"/>
      <c r="AP276" s="193"/>
      <c r="AQ276" s="193"/>
      <c r="AR276" s="193"/>
      <c r="AS276" s="193"/>
      <c r="AT276" s="194"/>
      <c r="AU276" s="193"/>
      <c r="AV276" s="193"/>
      <c r="AW276" s="193"/>
      <c r="AX276" s="193"/>
      <c r="AY276" s="193"/>
      <c r="AZ276" s="193"/>
      <c r="BA276" s="193"/>
      <c r="BB276" s="193"/>
      <c r="BC276" s="193"/>
      <c r="BD276" s="194"/>
      <c r="BE276" s="193"/>
      <c r="BF276" s="193"/>
      <c r="BG276" s="193"/>
      <c r="BH276" s="193"/>
      <c r="BI276" s="193"/>
      <c r="BJ276" s="193"/>
      <c r="BK276" s="193"/>
      <c r="BL276" s="193"/>
      <c r="BM276" s="193"/>
    </row>
    <row r="277" spans="1:65" ht="8.25" customHeight="1" x14ac:dyDescent="0.25">
      <c r="A277" s="193"/>
      <c r="B277" s="193"/>
      <c r="C277" s="193"/>
      <c r="D277" s="193"/>
      <c r="E277" s="193"/>
      <c r="F277" s="193"/>
      <c r="G277" s="193"/>
      <c r="H277" s="193"/>
      <c r="I277" s="193"/>
      <c r="J277" s="193"/>
      <c r="K277" s="193"/>
      <c r="L277" s="193"/>
      <c r="M277" s="193"/>
      <c r="N277" s="193"/>
      <c r="O277" s="193"/>
      <c r="P277" s="194"/>
      <c r="Q277" s="193"/>
      <c r="R277" s="193"/>
      <c r="S277" s="193"/>
      <c r="T277" s="193"/>
      <c r="U277" s="193"/>
      <c r="V277" s="193"/>
      <c r="W277" s="193"/>
      <c r="X277" s="193"/>
      <c r="Y277" s="193"/>
      <c r="Z277" s="194"/>
      <c r="AA277" s="193"/>
      <c r="AB277" s="193"/>
      <c r="AC277" s="193"/>
      <c r="AD277" s="193"/>
      <c r="AE277" s="193"/>
      <c r="AF277" s="193"/>
      <c r="AG277" s="193"/>
      <c r="AH277" s="193"/>
      <c r="AI277" s="193"/>
      <c r="AJ277" s="194"/>
      <c r="AK277" s="193"/>
      <c r="AL277" s="193"/>
      <c r="AM277" s="193"/>
      <c r="AN277" s="193"/>
      <c r="AO277" s="193"/>
      <c r="AP277" s="193"/>
      <c r="AQ277" s="193"/>
      <c r="AR277" s="193"/>
      <c r="AS277" s="193"/>
      <c r="AT277" s="194"/>
      <c r="AU277" s="193"/>
      <c r="AV277" s="193"/>
      <c r="AW277" s="193"/>
      <c r="AX277" s="193"/>
      <c r="AY277" s="193"/>
      <c r="AZ277" s="193"/>
      <c r="BA277" s="193"/>
      <c r="BB277" s="193"/>
      <c r="BC277" s="193"/>
      <c r="BD277" s="194"/>
      <c r="BE277" s="193"/>
      <c r="BF277" s="193"/>
      <c r="BG277" s="193"/>
      <c r="BH277" s="193"/>
      <c r="BI277" s="193"/>
      <c r="BJ277" s="193"/>
      <c r="BK277" s="193"/>
      <c r="BL277" s="193"/>
      <c r="BM277" s="193"/>
    </row>
    <row r="278" spans="1:65" ht="8.25" customHeight="1" x14ac:dyDescent="0.25">
      <c r="A278" s="193"/>
      <c r="B278" s="193"/>
      <c r="C278" s="193"/>
      <c r="D278" s="193"/>
      <c r="E278" s="193"/>
      <c r="F278" s="193"/>
      <c r="G278" s="193"/>
      <c r="H278" s="193"/>
      <c r="I278" s="193"/>
      <c r="J278" s="193"/>
      <c r="K278" s="193"/>
      <c r="L278" s="193"/>
      <c r="M278" s="193"/>
      <c r="N278" s="193"/>
      <c r="O278" s="193"/>
      <c r="P278" s="194"/>
      <c r="Q278" s="193"/>
      <c r="R278" s="193"/>
      <c r="S278" s="193"/>
      <c r="T278" s="193"/>
      <c r="U278" s="193"/>
      <c r="V278" s="193"/>
      <c r="W278" s="193"/>
      <c r="X278" s="193"/>
      <c r="Y278" s="193"/>
      <c r="Z278" s="194"/>
      <c r="AA278" s="193"/>
      <c r="AB278" s="193"/>
      <c r="AC278" s="193"/>
      <c r="AD278" s="193"/>
      <c r="AE278" s="193"/>
      <c r="AF278" s="193"/>
      <c r="AG278" s="193"/>
      <c r="AH278" s="193"/>
      <c r="AI278" s="193"/>
      <c r="AJ278" s="194"/>
      <c r="AK278" s="193"/>
      <c r="AL278" s="193"/>
      <c r="AM278" s="193"/>
      <c r="AN278" s="193"/>
      <c r="AO278" s="193"/>
      <c r="AP278" s="193"/>
      <c r="AQ278" s="193"/>
      <c r="AR278" s="193"/>
      <c r="AS278" s="193"/>
      <c r="AT278" s="194"/>
      <c r="AU278" s="193"/>
      <c r="AV278" s="193"/>
      <c r="AW278" s="193"/>
      <c r="AX278" s="193"/>
      <c r="AY278" s="193"/>
      <c r="AZ278" s="193"/>
      <c r="BA278" s="193"/>
      <c r="BB278" s="193"/>
      <c r="BC278" s="193"/>
      <c r="BD278" s="194"/>
      <c r="BE278" s="193"/>
      <c r="BF278" s="193"/>
      <c r="BG278" s="193"/>
      <c r="BH278" s="193"/>
      <c r="BI278" s="193"/>
      <c r="BJ278" s="193"/>
      <c r="BK278" s="193"/>
      <c r="BL278" s="193"/>
      <c r="BM278" s="193"/>
    </row>
    <row r="279" spans="1:65" ht="8.25" customHeight="1" x14ac:dyDescent="0.25">
      <c r="A279" s="193"/>
      <c r="B279" s="193"/>
      <c r="C279" s="193"/>
      <c r="D279" s="193"/>
      <c r="E279" s="193"/>
      <c r="F279" s="193"/>
      <c r="G279" s="193"/>
      <c r="H279" s="193"/>
      <c r="I279" s="193"/>
      <c r="J279" s="193"/>
      <c r="K279" s="193"/>
      <c r="L279" s="193"/>
      <c r="M279" s="193"/>
      <c r="N279" s="193"/>
      <c r="O279" s="193"/>
      <c r="P279" s="194"/>
      <c r="Q279" s="193"/>
      <c r="R279" s="193"/>
      <c r="S279" s="193"/>
      <c r="T279" s="193"/>
      <c r="U279" s="193"/>
      <c r="V279" s="193"/>
      <c r="W279" s="193"/>
      <c r="X279" s="193"/>
      <c r="Y279" s="193"/>
      <c r="Z279" s="194"/>
      <c r="AA279" s="193"/>
      <c r="AB279" s="193"/>
      <c r="AC279" s="193"/>
      <c r="AD279" s="193"/>
      <c r="AE279" s="193"/>
      <c r="AF279" s="193"/>
      <c r="AG279" s="193"/>
      <c r="AH279" s="193"/>
      <c r="AI279" s="193"/>
      <c r="AJ279" s="194"/>
      <c r="AK279" s="193"/>
      <c r="AL279" s="193"/>
      <c r="AM279" s="193"/>
      <c r="AN279" s="193"/>
      <c r="AO279" s="193"/>
      <c r="AP279" s="193"/>
      <c r="AQ279" s="193"/>
      <c r="AR279" s="193"/>
      <c r="AS279" s="193"/>
      <c r="AT279" s="194"/>
      <c r="AU279" s="193"/>
      <c r="AV279" s="193"/>
      <c r="AW279" s="193"/>
      <c r="AX279" s="193"/>
      <c r="AY279" s="193"/>
      <c r="AZ279" s="193"/>
      <c r="BA279" s="193"/>
      <c r="BB279" s="193"/>
      <c r="BC279" s="193"/>
      <c r="BD279" s="194"/>
      <c r="BE279" s="193"/>
      <c r="BF279" s="193"/>
      <c r="BG279" s="193"/>
      <c r="BH279" s="193"/>
      <c r="BI279" s="193"/>
      <c r="BJ279" s="193"/>
      <c r="BK279" s="193"/>
      <c r="BL279" s="193"/>
      <c r="BM279" s="193"/>
    </row>
    <row r="280" spans="1:65" ht="8.25" customHeight="1" x14ac:dyDescent="0.25">
      <c r="A280" s="193"/>
      <c r="B280" s="193"/>
      <c r="C280" s="193"/>
      <c r="D280" s="193"/>
      <c r="E280" s="193"/>
      <c r="F280" s="193"/>
      <c r="G280" s="193"/>
      <c r="H280" s="193"/>
      <c r="I280" s="193"/>
      <c r="J280" s="193"/>
      <c r="K280" s="193"/>
      <c r="L280" s="193"/>
      <c r="M280" s="193"/>
      <c r="N280" s="193"/>
      <c r="O280" s="193"/>
      <c r="P280" s="194"/>
      <c r="Q280" s="193"/>
      <c r="R280" s="193"/>
      <c r="S280" s="193"/>
      <c r="T280" s="193"/>
      <c r="U280" s="193"/>
      <c r="V280" s="193"/>
      <c r="W280" s="193"/>
      <c r="X280" s="193"/>
      <c r="Y280" s="193"/>
      <c r="Z280" s="194"/>
      <c r="AA280" s="193"/>
      <c r="AB280" s="193"/>
      <c r="AC280" s="193"/>
      <c r="AD280" s="193"/>
      <c r="AE280" s="193"/>
      <c r="AF280" s="193"/>
      <c r="AG280" s="193"/>
      <c r="AH280" s="193"/>
      <c r="AI280" s="193"/>
      <c r="AJ280" s="194"/>
      <c r="AK280" s="193"/>
      <c r="AL280" s="193"/>
      <c r="AM280" s="193"/>
      <c r="AN280" s="193"/>
      <c r="AO280" s="193"/>
      <c r="AP280" s="193"/>
      <c r="AQ280" s="193"/>
      <c r="AR280" s="193"/>
      <c r="AS280" s="193"/>
      <c r="AT280" s="194"/>
      <c r="AU280" s="193"/>
      <c r="AV280" s="193"/>
      <c r="AW280" s="193"/>
      <c r="AX280" s="193"/>
      <c r="AY280" s="193"/>
      <c r="AZ280" s="193"/>
      <c r="BA280" s="193"/>
      <c r="BB280" s="193"/>
      <c r="BC280" s="193"/>
      <c r="BD280" s="194"/>
      <c r="BE280" s="193"/>
      <c r="BF280" s="193"/>
      <c r="BG280" s="193"/>
      <c r="BH280" s="193"/>
      <c r="BI280" s="193"/>
      <c r="BJ280" s="193"/>
      <c r="BK280" s="193"/>
      <c r="BL280" s="193"/>
      <c r="BM280" s="193"/>
    </row>
    <row r="281" spans="1:65" ht="8.25" customHeight="1" x14ac:dyDescent="0.25">
      <c r="A281" s="193"/>
      <c r="B281" s="193"/>
      <c r="C281" s="193"/>
      <c r="D281" s="193"/>
      <c r="E281" s="193"/>
      <c r="F281" s="193"/>
      <c r="G281" s="193"/>
      <c r="H281" s="193"/>
      <c r="I281" s="193"/>
      <c r="J281" s="193"/>
      <c r="K281" s="193"/>
      <c r="L281" s="193"/>
      <c r="M281" s="193"/>
      <c r="N281" s="193"/>
      <c r="O281" s="193"/>
      <c r="P281" s="194"/>
      <c r="Q281" s="193"/>
      <c r="R281" s="193"/>
      <c r="S281" s="193"/>
      <c r="T281" s="193"/>
      <c r="U281" s="193"/>
      <c r="V281" s="193"/>
      <c r="W281" s="193"/>
      <c r="X281" s="193"/>
      <c r="Y281" s="193"/>
      <c r="Z281" s="194"/>
      <c r="AA281" s="193"/>
      <c r="AB281" s="193"/>
      <c r="AC281" s="193"/>
      <c r="AD281" s="193"/>
      <c r="AE281" s="193"/>
      <c r="AF281" s="193"/>
      <c r="AG281" s="193"/>
      <c r="AH281" s="193"/>
      <c r="AI281" s="193"/>
      <c r="AJ281" s="194"/>
      <c r="AK281" s="193"/>
      <c r="AL281" s="193"/>
      <c r="AM281" s="193"/>
      <c r="AN281" s="193"/>
      <c r="AO281" s="193"/>
      <c r="AP281" s="193"/>
      <c r="AQ281" s="193"/>
      <c r="AR281" s="193"/>
      <c r="AS281" s="193"/>
      <c r="AT281" s="194"/>
      <c r="AU281" s="193"/>
      <c r="AV281" s="193"/>
      <c r="AW281" s="193"/>
      <c r="AX281" s="193"/>
      <c r="AY281" s="193"/>
      <c r="AZ281" s="193"/>
      <c r="BA281" s="193"/>
      <c r="BB281" s="193"/>
      <c r="BC281" s="193"/>
      <c r="BD281" s="194"/>
      <c r="BE281" s="193"/>
      <c r="BF281" s="193"/>
      <c r="BG281" s="193"/>
      <c r="BH281" s="193"/>
      <c r="BI281" s="193"/>
      <c r="BJ281" s="193"/>
      <c r="BK281" s="193"/>
      <c r="BL281" s="193"/>
      <c r="BM281" s="193"/>
    </row>
    <row r="282" spans="1:65" ht="8.25" customHeight="1" x14ac:dyDescent="0.25">
      <c r="A282" s="193"/>
      <c r="B282" s="193"/>
      <c r="C282" s="193"/>
      <c r="D282" s="193"/>
      <c r="E282" s="193"/>
      <c r="F282" s="193"/>
      <c r="G282" s="193"/>
      <c r="H282" s="193"/>
      <c r="I282" s="193"/>
      <c r="J282" s="193"/>
      <c r="K282" s="193"/>
      <c r="L282" s="193"/>
      <c r="M282" s="193"/>
      <c r="N282" s="193"/>
      <c r="O282" s="193"/>
      <c r="P282" s="194"/>
      <c r="Q282" s="193"/>
      <c r="R282" s="193"/>
      <c r="S282" s="193"/>
      <c r="T282" s="193"/>
      <c r="U282" s="193"/>
      <c r="V282" s="193"/>
      <c r="W282" s="193"/>
      <c r="X282" s="193"/>
      <c r="Y282" s="193"/>
      <c r="Z282" s="194"/>
      <c r="AA282" s="193"/>
      <c r="AB282" s="193"/>
      <c r="AC282" s="193"/>
      <c r="AD282" s="193"/>
      <c r="AE282" s="193"/>
      <c r="AF282" s="193"/>
      <c r="AG282" s="193"/>
      <c r="AH282" s="193"/>
      <c r="AI282" s="193"/>
      <c r="AJ282" s="194"/>
      <c r="AK282" s="193"/>
      <c r="AL282" s="193"/>
      <c r="AM282" s="193"/>
      <c r="AN282" s="193"/>
      <c r="AO282" s="193"/>
      <c r="AP282" s="193"/>
      <c r="AQ282" s="193"/>
      <c r="AR282" s="193"/>
      <c r="AS282" s="193"/>
      <c r="AT282" s="194"/>
      <c r="AU282" s="193"/>
      <c r="AV282" s="193"/>
      <c r="AW282" s="193"/>
      <c r="AX282" s="193"/>
      <c r="AY282" s="193"/>
      <c r="AZ282" s="193"/>
      <c r="BA282" s="193"/>
      <c r="BB282" s="193"/>
      <c r="BC282" s="193"/>
      <c r="BD282" s="194"/>
      <c r="BE282" s="193"/>
      <c r="BF282" s="193"/>
      <c r="BG282" s="193"/>
      <c r="BH282" s="193"/>
      <c r="BI282" s="193"/>
      <c r="BJ282" s="193"/>
      <c r="BK282" s="193"/>
      <c r="BL282" s="193"/>
      <c r="BM282" s="193"/>
    </row>
    <row r="283" spans="1:65" ht="8.25" customHeight="1" x14ac:dyDescent="0.25">
      <c r="A283" s="193"/>
      <c r="B283" s="193"/>
      <c r="C283" s="193"/>
      <c r="D283" s="193"/>
      <c r="E283" s="193"/>
      <c r="F283" s="193"/>
      <c r="G283" s="193"/>
      <c r="H283" s="193"/>
      <c r="I283" s="193"/>
      <c r="J283" s="193"/>
      <c r="K283" s="193"/>
      <c r="L283" s="193"/>
      <c r="M283" s="193"/>
      <c r="N283" s="193"/>
      <c r="O283" s="193"/>
      <c r="P283" s="194"/>
      <c r="Q283" s="193"/>
      <c r="R283" s="193"/>
      <c r="S283" s="193"/>
      <c r="T283" s="193"/>
      <c r="U283" s="193"/>
      <c r="V283" s="193"/>
      <c r="W283" s="193"/>
      <c r="X283" s="193"/>
      <c r="Y283" s="193"/>
      <c r="Z283" s="194"/>
      <c r="AA283" s="193"/>
      <c r="AB283" s="193"/>
      <c r="AC283" s="193"/>
      <c r="AD283" s="193"/>
      <c r="AE283" s="193"/>
      <c r="AF283" s="193"/>
      <c r="AG283" s="193"/>
      <c r="AH283" s="193"/>
      <c r="AI283" s="193"/>
      <c r="AJ283" s="194"/>
      <c r="AK283" s="193"/>
      <c r="AL283" s="193"/>
      <c r="AM283" s="193"/>
      <c r="AN283" s="193"/>
      <c r="AO283" s="193"/>
      <c r="AP283" s="193"/>
      <c r="AQ283" s="193"/>
      <c r="AR283" s="193"/>
      <c r="AS283" s="193"/>
      <c r="AT283" s="194"/>
      <c r="AU283" s="193"/>
      <c r="AV283" s="193"/>
      <c r="AW283" s="193"/>
      <c r="AX283" s="193"/>
      <c r="AY283" s="193"/>
      <c r="AZ283" s="193"/>
      <c r="BA283" s="193"/>
      <c r="BB283" s="193"/>
      <c r="BC283" s="193"/>
      <c r="BD283" s="194"/>
      <c r="BE283" s="193"/>
      <c r="BF283" s="193"/>
      <c r="BG283" s="193"/>
      <c r="BH283" s="193"/>
      <c r="BI283" s="193"/>
      <c r="BJ283" s="193"/>
      <c r="BK283" s="193"/>
      <c r="BL283" s="193"/>
      <c r="BM283" s="193"/>
    </row>
    <row r="284" spans="1:65" ht="8.25" customHeight="1" x14ac:dyDescent="0.25">
      <c r="A284" s="193"/>
      <c r="B284" s="193"/>
      <c r="C284" s="193"/>
      <c r="D284" s="193"/>
      <c r="E284" s="193"/>
      <c r="F284" s="193"/>
      <c r="G284" s="193"/>
      <c r="H284" s="193"/>
      <c r="I284" s="193"/>
      <c r="J284" s="193"/>
      <c r="K284" s="193"/>
      <c r="L284" s="193"/>
      <c r="M284" s="193"/>
      <c r="N284" s="193"/>
      <c r="O284" s="193"/>
      <c r="P284" s="194"/>
      <c r="Q284" s="193"/>
      <c r="R284" s="193"/>
      <c r="S284" s="193"/>
      <c r="T284" s="193"/>
      <c r="U284" s="193"/>
      <c r="V284" s="193"/>
      <c r="W284" s="193"/>
      <c r="X284" s="193"/>
      <c r="Y284" s="193"/>
      <c r="Z284" s="194"/>
      <c r="AA284" s="193"/>
      <c r="AB284" s="193"/>
      <c r="AC284" s="193"/>
      <c r="AD284" s="193"/>
      <c r="AE284" s="193"/>
      <c r="AF284" s="193"/>
      <c r="AG284" s="193"/>
      <c r="AH284" s="193"/>
      <c r="AI284" s="193"/>
      <c r="AJ284" s="194"/>
      <c r="AK284" s="193"/>
      <c r="AL284" s="193"/>
      <c r="AM284" s="193"/>
      <c r="AN284" s="193"/>
      <c r="AO284" s="193"/>
      <c r="AP284" s="193"/>
      <c r="AQ284" s="193"/>
      <c r="AR284" s="193"/>
      <c r="AS284" s="193"/>
      <c r="AT284" s="194"/>
      <c r="AU284" s="193"/>
      <c r="AV284" s="193"/>
      <c r="AW284" s="193"/>
      <c r="AX284" s="193"/>
      <c r="AY284" s="193"/>
      <c r="AZ284" s="193"/>
      <c r="BA284" s="193"/>
      <c r="BB284" s="193"/>
      <c r="BC284" s="193"/>
      <c r="BD284" s="194"/>
      <c r="BE284" s="193"/>
      <c r="BF284" s="193"/>
      <c r="BG284" s="193"/>
      <c r="BH284" s="193"/>
      <c r="BI284" s="193"/>
      <c r="BJ284" s="193"/>
      <c r="BK284" s="193"/>
      <c r="BL284" s="193"/>
      <c r="BM284" s="193"/>
    </row>
    <row r="285" spans="1:65" ht="8.25" customHeight="1" x14ac:dyDescent="0.25">
      <c r="A285" s="193"/>
      <c r="B285" s="193"/>
      <c r="C285" s="193"/>
      <c r="D285" s="193"/>
      <c r="E285" s="193"/>
      <c r="F285" s="193"/>
      <c r="G285" s="193"/>
      <c r="H285" s="193"/>
      <c r="I285" s="193"/>
      <c r="J285" s="193"/>
      <c r="K285" s="193"/>
      <c r="L285" s="193"/>
      <c r="M285" s="193"/>
      <c r="N285" s="193"/>
      <c r="O285" s="193"/>
      <c r="P285" s="194"/>
      <c r="Q285" s="193"/>
      <c r="R285" s="193"/>
      <c r="S285" s="193"/>
      <c r="T285" s="193"/>
      <c r="U285" s="193"/>
      <c r="V285" s="193"/>
      <c r="W285" s="193"/>
      <c r="X285" s="193"/>
      <c r="Y285" s="193"/>
      <c r="Z285" s="194"/>
      <c r="AA285" s="193"/>
      <c r="AB285" s="193"/>
      <c r="AC285" s="193"/>
      <c r="AD285" s="193"/>
      <c r="AE285" s="193"/>
      <c r="AF285" s="193"/>
      <c r="AG285" s="193"/>
      <c r="AH285" s="193"/>
      <c r="AI285" s="193"/>
      <c r="AJ285" s="194"/>
      <c r="AK285" s="193"/>
      <c r="AL285" s="193"/>
      <c r="AM285" s="193"/>
      <c r="AN285" s="193"/>
      <c r="AO285" s="193"/>
      <c r="AP285" s="193"/>
      <c r="AQ285" s="193"/>
      <c r="AR285" s="193"/>
      <c r="AS285" s="193"/>
      <c r="AT285" s="194"/>
      <c r="AU285" s="193"/>
      <c r="AV285" s="193"/>
      <c r="AW285" s="193"/>
      <c r="AX285" s="193"/>
      <c r="AY285" s="193"/>
      <c r="AZ285" s="193"/>
      <c r="BA285" s="193"/>
      <c r="BB285" s="193"/>
      <c r="BC285" s="193"/>
      <c r="BD285" s="194"/>
      <c r="BE285" s="193"/>
      <c r="BF285" s="193"/>
      <c r="BG285" s="193"/>
      <c r="BH285" s="193"/>
      <c r="BI285" s="193"/>
      <c r="BJ285" s="193"/>
      <c r="BK285" s="193"/>
      <c r="BL285" s="193"/>
      <c r="BM285" s="193"/>
    </row>
    <row r="286" spans="1:65" ht="8.25" customHeight="1" x14ac:dyDescent="0.25">
      <c r="A286" s="193"/>
      <c r="B286" s="193"/>
      <c r="C286" s="193"/>
      <c r="D286" s="193"/>
      <c r="E286" s="193"/>
      <c r="F286" s="193"/>
      <c r="G286" s="193"/>
      <c r="H286" s="193"/>
      <c r="I286" s="193"/>
      <c r="J286" s="193"/>
      <c r="K286" s="193"/>
      <c r="L286" s="193"/>
      <c r="M286" s="193"/>
      <c r="N286" s="193"/>
      <c r="O286" s="193"/>
      <c r="P286" s="194"/>
      <c r="Q286" s="193"/>
      <c r="R286" s="193"/>
      <c r="S286" s="193"/>
      <c r="T286" s="193"/>
      <c r="U286" s="193"/>
      <c r="V286" s="193"/>
      <c r="W286" s="193"/>
      <c r="X286" s="193"/>
      <c r="Y286" s="193"/>
      <c r="Z286" s="194"/>
      <c r="AA286" s="193"/>
      <c r="AB286" s="193"/>
      <c r="AC286" s="193"/>
      <c r="AD286" s="193"/>
      <c r="AE286" s="193"/>
      <c r="AF286" s="193"/>
      <c r="AG286" s="193"/>
      <c r="AH286" s="193"/>
      <c r="AI286" s="193"/>
      <c r="AJ286" s="194"/>
      <c r="AK286" s="193"/>
      <c r="AL286" s="193"/>
      <c r="AM286" s="193"/>
      <c r="AN286" s="193"/>
      <c r="AO286" s="193"/>
      <c r="AP286" s="193"/>
      <c r="AQ286" s="193"/>
      <c r="AR286" s="193"/>
      <c r="AS286" s="193"/>
      <c r="AT286" s="194"/>
      <c r="AU286" s="193"/>
      <c r="AV286" s="193"/>
      <c r="AW286" s="193"/>
      <c r="AX286" s="193"/>
      <c r="AY286" s="193"/>
      <c r="AZ286" s="193"/>
      <c r="BA286" s="193"/>
      <c r="BB286" s="193"/>
      <c r="BC286" s="193"/>
      <c r="BD286" s="194"/>
      <c r="BE286" s="193"/>
      <c r="BF286" s="193"/>
      <c r="BG286" s="193"/>
      <c r="BH286" s="193"/>
      <c r="BI286" s="193"/>
      <c r="BJ286" s="193"/>
      <c r="BK286" s="193"/>
      <c r="BL286" s="193"/>
      <c r="BM286" s="193"/>
    </row>
    <row r="287" spans="1:65" ht="8.25" customHeight="1" x14ac:dyDescent="0.25">
      <c r="A287" s="193"/>
      <c r="B287" s="193"/>
      <c r="C287" s="193"/>
      <c r="D287" s="193"/>
      <c r="E287" s="193"/>
      <c r="F287" s="193"/>
      <c r="G287" s="193"/>
      <c r="H287" s="193"/>
      <c r="I287" s="193"/>
      <c r="J287" s="193"/>
      <c r="K287" s="193"/>
      <c r="L287" s="193"/>
      <c r="M287" s="193"/>
      <c r="N287" s="193"/>
      <c r="O287" s="193"/>
      <c r="P287" s="194"/>
      <c r="Q287" s="193"/>
      <c r="R287" s="193"/>
      <c r="S287" s="193"/>
      <c r="T287" s="193"/>
      <c r="U287" s="193"/>
      <c r="V287" s="193"/>
      <c r="W287" s="193"/>
      <c r="X287" s="193"/>
      <c r="Y287" s="193"/>
      <c r="Z287" s="194"/>
      <c r="AA287" s="193"/>
      <c r="AB287" s="193"/>
      <c r="AC287" s="193"/>
      <c r="AD287" s="193"/>
      <c r="AE287" s="193"/>
      <c r="AF287" s="193"/>
      <c r="AG287" s="193"/>
      <c r="AH287" s="193"/>
      <c r="AI287" s="193"/>
      <c r="AJ287" s="194"/>
      <c r="AK287" s="193"/>
      <c r="AL287" s="193"/>
      <c r="AM287" s="193"/>
      <c r="AN287" s="193"/>
      <c r="AO287" s="193"/>
      <c r="AP287" s="193"/>
      <c r="AQ287" s="193"/>
      <c r="AR287" s="193"/>
      <c r="AS287" s="193"/>
      <c r="AT287" s="194"/>
      <c r="AU287" s="193"/>
      <c r="AV287" s="193"/>
      <c r="AW287" s="193"/>
      <c r="AX287" s="193"/>
      <c r="AY287" s="193"/>
      <c r="AZ287" s="193"/>
      <c r="BA287" s="193"/>
      <c r="BB287" s="193"/>
      <c r="BC287" s="193"/>
      <c r="BD287" s="194"/>
      <c r="BE287" s="193"/>
      <c r="BF287" s="193"/>
      <c r="BG287" s="193"/>
      <c r="BH287" s="193"/>
      <c r="BI287" s="193"/>
      <c r="BJ287" s="193"/>
      <c r="BK287" s="193"/>
      <c r="BL287" s="193"/>
      <c r="BM287" s="193"/>
    </row>
    <row r="288" spans="1:65" ht="8.25" customHeight="1" x14ac:dyDescent="0.25">
      <c r="A288" s="193"/>
      <c r="B288" s="193"/>
      <c r="C288" s="193"/>
      <c r="D288" s="193"/>
      <c r="E288" s="193"/>
      <c r="F288" s="193"/>
      <c r="G288" s="193"/>
      <c r="H288" s="193"/>
      <c r="I288" s="193"/>
      <c r="J288" s="193"/>
      <c r="K288" s="193"/>
      <c r="L288" s="193"/>
      <c r="M288" s="193"/>
      <c r="N288" s="193"/>
      <c r="O288" s="193"/>
      <c r="P288" s="194"/>
      <c r="Q288" s="193"/>
      <c r="R288" s="193"/>
      <c r="S288" s="193"/>
      <c r="T288" s="193"/>
      <c r="U288" s="193"/>
      <c r="V288" s="193"/>
      <c r="W288" s="193"/>
      <c r="X288" s="193"/>
      <c r="Y288" s="193"/>
      <c r="Z288" s="194"/>
      <c r="AA288" s="193"/>
      <c r="AB288" s="193"/>
      <c r="AC288" s="193"/>
      <c r="AD288" s="193"/>
      <c r="AE288" s="193"/>
      <c r="AF288" s="193"/>
      <c r="AG288" s="193"/>
      <c r="AH288" s="193"/>
      <c r="AI288" s="193"/>
      <c r="AJ288" s="194"/>
      <c r="AK288" s="193"/>
      <c r="AL288" s="193"/>
      <c r="AM288" s="193"/>
      <c r="AN288" s="193"/>
      <c r="AO288" s="193"/>
      <c r="AP288" s="193"/>
      <c r="AQ288" s="193"/>
      <c r="AR288" s="193"/>
      <c r="AS288" s="193"/>
      <c r="AT288" s="194"/>
      <c r="AU288" s="193"/>
      <c r="AV288" s="193"/>
      <c r="AW288" s="193"/>
      <c r="AX288" s="193"/>
      <c r="AY288" s="193"/>
      <c r="AZ288" s="193"/>
      <c r="BA288" s="193"/>
      <c r="BB288" s="193"/>
      <c r="BC288" s="193"/>
      <c r="BD288" s="194"/>
      <c r="BE288" s="193"/>
      <c r="BF288" s="193"/>
      <c r="BG288" s="193"/>
      <c r="BH288" s="193"/>
      <c r="BI288" s="193"/>
      <c r="BJ288" s="193"/>
      <c r="BK288" s="193"/>
      <c r="BL288" s="193"/>
      <c r="BM288" s="193"/>
    </row>
    <row r="289" spans="1:65" ht="8.25" customHeight="1" x14ac:dyDescent="0.25">
      <c r="A289" s="193"/>
      <c r="B289" s="193"/>
      <c r="C289" s="193"/>
      <c r="D289" s="193"/>
      <c r="E289" s="193"/>
      <c r="F289" s="193"/>
      <c r="G289" s="193"/>
      <c r="H289" s="193"/>
      <c r="I289" s="193"/>
      <c r="J289" s="193"/>
      <c r="K289" s="193"/>
      <c r="L289" s="193"/>
      <c r="M289" s="193"/>
      <c r="N289" s="193"/>
      <c r="O289" s="193"/>
      <c r="P289" s="194"/>
      <c r="Q289" s="193"/>
      <c r="R289" s="193"/>
      <c r="S289" s="193"/>
      <c r="T289" s="193"/>
      <c r="U289" s="193"/>
      <c r="V289" s="193"/>
      <c r="W289" s="193"/>
      <c r="X289" s="193"/>
      <c r="Y289" s="193"/>
      <c r="Z289" s="194"/>
      <c r="AA289" s="193"/>
      <c r="AB289" s="193"/>
      <c r="AC289" s="193"/>
      <c r="AD289" s="193"/>
      <c r="AE289" s="193"/>
      <c r="AF289" s="193"/>
      <c r="AG289" s="193"/>
      <c r="AH289" s="193"/>
      <c r="AI289" s="193"/>
      <c r="AJ289" s="194"/>
      <c r="AK289" s="193"/>
      <c r="AL289" s="193"/>
      <c r="AM289" s="193"/>
      <c r="AN289" s="193"/>
      <c r="AO289" s="193"/>
      <c r="AP289" s="193"/>
      <c r="AQ289" s="193"/>
      <c r="AR289" s="193"/>
      <c r="AS289" s="193"/>
      <c r="AT289" s="194"/>
      <c r="AU289" s="193"/>
      <c r="AV289" s="193"/>
      <c r="AW289" s="193"/>
      <c r="AX289" s="193"/>
      <c r="AY289" s="193"/>
      <c r="AZ289" s="193"/>
      <c r="BA289" s="193"/>
      <c r="BB289" s="193"/>
      <c r="BC289" s="193"/>
      <c r="BD289" s="194"/>
      <c r="BE289" s="193"/>
      <c r="BF289" s="193"/>
      <c r="BG289" s="193"/>
      <c r="BH289" s="193"/>
      <c r="BI289" s="193"/>
      <c r="BJ289" s="193"/>
      <c r="BK289" s="193"/>
      <c r="BL289" s="193"/>
      <c r="BM289" s="193"/>
    </row>
    <row r="290" spans="1:65" ht="8.25" customHeight="1" x14ac:dyDescent="0.25">
      <c r="A290" s="193"/>
      <c r="B290" s="193"/>
      <c r="C290" s="193"/>
      <c r="D290" s="193"/>
      <c r="E290" s="193"/>
      <c r="F290" s="193"/>
      <c r="G290" s="193"/>
      <c r="H290" s="193"/>
      <c r="I290" s="193"/>
      <c r="J290" s="193"/>
      <c r="K290" s="193"/>
      <c r="L290" s="193"/>
      <c r="M290" s="193"/>
      <c r="N290" s="193"/>
      <c r="O290" s="193"/>
      <c r="P290" s="194"/>
      <c r="Q290" s="193"/>
      <c r="R290" s="193"/>
      <c r="S290" s="193"/>
      <c r="T290" s="193"/>
      <c r="U290" s="193"/>
      <c r="V290" s="193"/>
      <c r="W290" s="193"/>
      <c r="X290" s="193"/>
      <c r="Y290" s="193"/>
      <c r="Z290" s="194"/>
      <c r="AA290" s="193"/>
      <c r="AB290" s="193"/>
      <c r="AC290" s="193"/>
      <c r="AD290" s="193"/>
      <c r="AE290" s="193"/>
      <c r="AF290" s="193"/>
      <c r="AG290" s="193"/>
      <c r="AH290" s="193"/>
      <c r="AI290" s="193"/>
      <c r="AJ290" s="194"/>
      <c r="AK290" s="193"/>
      <c r="AL290" s="193"/>
      <c r="AM290" s="193"/>
      <c r="AN290" s="193"/>
      <c r="AO290" s="193"/>
      <c r="AP290" s="193"/>
      <c r="AQ290" s="193"/>
      <c r="AR290" s="193"/>
      <c r="AS290" s="193"/>
      <c r="AT290" s="194"/>
      <c r="AU290" s="193"/>
      <c r="AV290" s="193"/>
      <c r="AW290" s="193"/>
      <c r="AX290" s="193"/>
      <c r="AY290" s="193"/>
      <c r="AZ290" s="193"/>
      <c r="BA290" s="193"/>
      <c r="BB290" s="193"/>
      <c r="BC290" s="193"/>
      <c r="BD290" s="194"/>
      <c r="BE290" s="193"/>
      <c r="BF290" s="193"/>
      <c r="BG290" s="193"/>
      <c r="BH290" s="193"/>
      <c r="BI290" s="193"/>
      <c r="BJ290" s="193"/>
      <c r="BK290" s="193"/>
      <c r="BL290" s="193"/>
      <c r="BM290" s="193"/>
    </row>
    <row r="291" spans="1:65" ht="8.25" customHeight="1" x14ac:dyDescent="0.25">
      <c r="A291" s="193"/>
      <c r="B291" s="193"/>
      <c r="C291" s="193"/>
      <c r="D291" s="193"/>
      <c r="E291" s="193"/>
      <c r="F291" s="193"/>
      <c r="G291" s="193"/>
      <c r="H291" s="193"/>
      <c r="I291" s="193"/>
      <c r="J291" s="193"/>
      <c r="K291" s="193"/>
      <c r="L291" s="193"/>
      <c r="M291" s="193"/>
      <c r="N291" s="193"/>
      <c r="O291" s="193"/>
      <c r="P291" s="194"/>
      <c r="Q291" s="193"/>
      <c r="R291" s="193"/>
      <c r="S291" s="193"/>
      <c r="T291" s="193"/>
      <c r="U291" s="193"/>
      <c r="V291" s="193"/>
      <c r="W291" s="193"/>
      <c r="X291" s="193"/>
      <c r="Y291" s="193"/>
      <c r="Z291" s="194"/>
      <c r="AA291" s="193"/>
      <c r="AB291" s="193"/>
      <c r="AC291" s="193"/>
      <c r="AD291" s="193"/>
      <c r="AE291" s="193"/>
      <c r="AF291" s="193"/>
      <c r="AG291" s="193"/>
      <c r="AH291" s="193"/>
      <c r="AI291" s="193"/>
      <c r="AJ291" s="194"/>
      <c r="AK291" s="193"/>
      <c r="AL291" s="193"/>
      <c r="AM291" s="193"/>
      <c r="AN291" s="193"/>
      <c r="AO291" s="193"/>
      <c r="AP291" s="193"/>
      <c r="AQ291" s="193"/>
      <c r="AR291" s="193"/>
      <c r="AS291" s="193"/>
      <c r="AT291" s="194"/>
      <c r="AU291" s="193"/>
      <c r="AV291" s="193"/>
      <c r="AW291" s="193"/>
      <c r="AX291" s="193"/>
      <c r="AY291" s="193"/>
      <c r="AZ291" s="193"/>
      <c r="BA291" s="193"/>
      <c r="BB291" s="193"/>
      <c r="BC291" s="193"/>
      <c r="BD291" s="194"/>
      <c r="BE291" s="193"/>
      <c r="BF291" s="193"/>
      <c r="BG291" s="193"/>
      <c r="BH291" s="193"/>
      <c r="BI291" s="193"/>
      <c r="BJ291" s="193"/>
      <c r="BK291" s="193"/>
      <c r="BL291" s="193"/>
      <c r="BM291" s="193"/>
    </row>
    <row r="292" spans="1:65" ht="8.25" customHeight="1" x14ac:dyDescent="0.25">
      <c r="A292" s="193"/>
      <c r="B292" s="193"/>
      <c r="C292" s="193"/>
      <c r="D292" s="193"/>
      <c r="E292" s="193"/>
      <c r="F292" s="193"/>
      <c r="G292" s="193"/>
      <c r="H292" s="193"/>
      <c r="I292" s="193"/>
      <c r="J292" s="193"/>
      <c r="K292" s="193"/>
      <c r="L292" s="193"/>
      <c r="M292" s="193"/>
      <c r="N292" s="193"/>
      <c r="O292" s="193"/>
      <c r="P292" s="194"/>
      <c r="Q292" s="193"/>
      <c r="R292" s="193"/>
      <c r="S292" s="193"/>
      <c r="T292" s="193"/>
      <c r="U292" s="193"/>
      <c r="V292" s="193"/>
      <c r="W292" s="193"/>
      <c r="X292" s="193"/>
      <c r="Y292" s="193"/>
      <c r="Z292" s="194"/>
      <c r="AA292" s="193"/>
      <c r="AB292" s="193"/>
      <c r="AC292" s="193"/>
      <c r="AD292" s="193"/>
      <c r="AE292" s="193"/>
      <c r="AF292" s="193"/>
      <c r="AG292" s="193"/>
      <c r="AH292" s="193"/>
      <c r="AI292" s="193"/>
      <c r="AJ292" s="194"/>
      <c r="AK292" s="193"/>
      <c r="AL292" s="193"/>
      <c r="AM292" s="193"/>
      <c r="AN292" s="193"/>
      <c r="AO292" s="193"/>
      <c r="AP292" s="193"/>
      <c r="AQ292" s="193"/>
      <c r="AR292" s="193"/>
      <c r="AS292" s="193"/>
      <c r="AT292" s="194"/>
      <c r="AU292" s="193"/>
      <c r="AV292" s="193"/>
      <c r="AW292" s="193"/>
      <c r="AX292" s="193"/>
      <c r="AY292" s="193"/>
      <c r="AZ292" s="193"/>
      <c r="BA292" s="193"/>
      <c r="BB292" s="193"/>
      <c r="BC292" s="193"/>
      <c r="BD292" s="194"/>
      <c r="BE292" s="193"/>
      <c r="BF292" s="193"/>
      <c r="BG292" s="193"/>
      <c r="BH292" s="193"/>
      <c r="BI292" s="193"/>
      <c r="BJ292" s="193"/>
      <c r="BK292" s="193"/>
      <c r="BL292" s="193"/>
      <c r="BM292" s="193"/>
    </row>
    <row r="293" spans="1:65" ht="8.25" customHeight="1" x14ac:dyDescent="0.25">
      <c r="A293" s="193"/>
      <c r="B293" s="193"/>
      <c r="C293" s="193"/>
      <c r="D293" s="193"/>
      <c r="E293" s="193"/>
      <c r="F293" s="193"/>
      <c r="G293" s="193"/>
      <c r="H293" s="193"/>
      <c r="I293" s="193"/>
      <c r="J293" s="193"/>
      <c r="K293" s="193"/>
      <c r="L293" s="193"/>
      <c r="M293" s="193"/>
      <c r="N293" s="193"/>
      <c r="O293" s="193"/>
      <c r="P293" s="194"/>
      <c r="Q293" s="193"/>
      <c r="R293" s="193"/>
      <c r="S293" s="193"/>
      <c r="T293" s="193"/>
      <c r="U293" s="193"/>
      <c r="V293" s="193"/>
      <c r="W293" s="193"/>
      <c r="X293" s="193"/>
      <c r="Y293" s="193"/>
      <c r="Z293" s="194"/>
      <c r="AA293" s="193"/>
      <c r="AB293" s="193"/>
      <c r="AC293" s="193"/>
      <c r="AD293" s="193"/>
      <c r="AE293" s="193"/>
      <c r="AF293" s="193"/>
      <c r="AG293" s="193"/>
      <c r="AH293" s="193"/>
      <c r="AI293" s="193"/>
      <c r="AJ293" s="194"/>
      <c r="AK293" s="193"/>
      <c r="AL293" s="193"/>
      <c r="AM293" s="193"/>
      <c r="AN293" s="193"/>
      <c r="AO293" s="193"/>
      <c r="AP293" s="193"/>
      <c r="AQ293" s="193"/>
      <c r="AR293" s="193"/>
      <c r="AS293" s="193"/>
      <c r="AT293" s="194"/>
      <c r="AU293" s="193"/>
      <c r="AV293" s="193"/>
      <c r="AW293" s="193"/>
      <c r="AX293" s="193"/>
      <c r="AY293" s="193"/>
      <c r="AZ293" s="193"/>
      <c r="BA293" s="193"/>
      <c r="BB293" s="193"/>
      <c r="BC293" s="193"/>
      <c r="BD293" s="194"/>
      <c r="BE293" s="193"/>
      <c r="BF293" s="193"/>
      <c r="BG293" s="193"/>
      <c r="BH293" s="193"/>
      <c r="BI293" s="193"/>
      <c r="BJ293" s="193"/>
      <c r="BK293" s="193"/>
      <c r="BL293" s="193"/>
      <c r="BM293" s="193"/>
    </row>
    <row r="294" spans="1:65" ht="8.25" customHeight="1" x14ac:dyDescent="0.25">
      <c r="A294" s="193"/>
      <c r="B294" s="193"/>
      <c r="C294" s="193"/>
      <c r="D294" s="193"/>
      <c r="E294" s="193"/>
      <c r="F294" s="193"/>
      <c r="G294" s="193"/>
      <c r="H294" s="193"/>
      <c r="I294" s="193"/>
      <c r="J294" s="193"/>
      <c r="K294" s="193"/>
      <c r="L294" s="193"/>
      <c r="M294" s="193"/>
      <c r="N294" s="193"/>
      <c r="O294" s="193"/>
      <c r="P294" s="194"/>
      <c r="Q294" s="193"/>
      <c r="R294" s="193"/>
      <c r="S294" s="193"/>
      <c r="T294" s="193"/>
      <c r="U294" s="193"/>
      <c r="V294" s="193"/>
      <c r="W294" s="193"/>
      <c r="X294" s="193"/>
      <c r="Y294" s="193"/>
      <c r="Z294" s="194"/>
      <c r="AA294" s="193"/>
      <c r="AB294" s="193"/>
      <c r="AC294" s="193"/>
      <c r="AD294" s="193"/>
      <c r="AE294" s="193"/>
      <c r="AF294" s="193"/>
      <c r="AG294" s="193"/>
      <c r="AH294" s="193"/>
      <c r="AI294" s="193"/>
      <c r="AJ294" s="194"/>
      <c r="AK294" s="193"/>
      <c r="AL294" s="193"/>
      <c r="AM294" s="193"/>
      <c r="AN294" s="193"/>
      <c r="AO294" s="193"/>
      <c r="AP294" s="193"/>
      <c r="AQ294" s="193"/>
      <c r="AR294" s="193"/>
      <c r="AS294" s="193"/>
      <c r="AT294" s="194"/>
      <c r="AU294" s="193"/>
      <c r="AV294" s="193"/>
      <c r="AW294" s="193"/>
      <c r="AX294" s="193"/>
      <c r="AY294" s="193"/>
      <c r="AZ294" s="193"/>
      <c r="BA294" s="193"/>
      <c r="BB294" s="193"/>
      <c r="BC294" s="193"/>
      <c r="BD294" s="194"/>
      <c r="BE294" s="193"/>
      <c r="BF294" s="193"/>
      <c r="BG294" s="193"/>
      <c r="BH294" s="193"/>
      <c r="BI294" s="193"/>
      <c r="BJ294" s="193"/>
      <c r="BK294" s="193"/>
      <c r="BL294" s="193"/>
      <c r="BM294" s="193"/>
    </row>
    <row r="295" spans="1:65" ht="8.25" customHeight="1" x14ac:dyDescent="0.25">
      <c r="A295" s="193"/>
      <c r="B295" s="193"/>
      <c r="C295" s="193"/>
      <c r="D295" s="193"/>
      <c r="E295" s="193"/>
      <c r="F295" s="193"/>
      <c r="G295" s="193"/>
      <c r="H295" s="193"/>
      <c r="I295" s="193"/>
      <c r="J295" s="193"/>
      <c r="K295" s="193"/>
      <c r="L295" s="193"/>
      <c r="M295" s="193"/>
      <c r="N295" s="193"/>
      <c r="O295" s="193"/>
      <c r="P295" s="194"/>
      <c r="Q295" s="193"/>
      <c r="R295" s="193"/>
      <c r="S295" s="193"/>
      <c r="T295" s="193"/>
      <c r="U295" s="193"/>
      <c r="V295" s="193"/>
      <c r="W295" s="193"/>
      <c r="X295" s="193"/>
      <c r="Y295" s="193"/>
      <c r="Z295" s="194"/>
      <c r="AA295" s="193"/>
      <c r="AB295" s="193"/>
      <c r="AC295" s="193"/>
      <c r="AD295" s="193"/>
      <c r="AE295" s="193"/>
      <c r="AF295" s="193"/>
      <c r="AG295" s="193"/>
      <c r="AH295" s="193"/>
      <c r="AI295" s="193"/>
      <c r="AJ295" s="194"/>
      <c r="AK295" s="193"/>
      <c r="AL295" s="193"/>
      <c r="AM295" s="193"/>
      <c r="AN295" s="193"/>
      <c r="AO295" s="193"/>
      <c r="AP295" s="193"/>
      <c r="AQ295" s="193"/>
      <c r="AR295" s="193"/>
      <c r="AS295" s="193"/>
      <c r="AT295" s="194"/>
      <c r="AU295" s="193"/>
      <c r="AV295" s="193"/>
      <c r="AW295" s="193"/>
      <c r="AX295" s="193"/>
      <c r="AY295" s="193"/>
      <c r="AZ295" s="193"/>
      <c r="BA295" s="193"/>
      <c r="BB295" s="193"/>
      <c r="BC295" s="193"/>
      <c r="BD295" s="194"/>
      <c r="BE295" s="193"/>
      <c r="BF295" s="193"/>
      <c r="BG295" s="193"/>
      <c r="BH295" s="193"/>
      <c r="BI295" s="193"/>
      <c r="BJ295" s="193"/>
      <c r="BK295" s="193"/>
      <c r="BL295" s="193"/>
      <c r="BM295" s="193"/>
    </row>
    <row r="296" spans="1:65" ht="8.25" customHeight="1" x14ac:dyDescent="0.25">
      <c r="A296" s="193"/>
      <c r="B296" s="193"/>
      <c r="C296" s="193"/>
      <c r="D296" s="193"/>
      <c r="E296" s="193"/>
      <c r="F296" s="193"/>
      <c r="G296" s="193"/>
      <c r="H296" s="193"/>
      <c r="I296" s="193"/>
      <c r="J296" s="193"/>
      <c r="K296" s="193"/>
      <c r="L296" s="193"/>
      <c r="M296" s="193"/>
      <c r="N296" s="193"/>
      <c r="O296" s="193"/>
      <c r="P296" s="194"/>
      <c r="Q296" s="193"/>
      <c r="R296" s="193"/>
      <c r="S296" s="193"/>
      <c r="T296" s="193"/>
      <c r="U296" s="193"/>
      <c r="V296" s="193"/>
      <c r="W296" s="193"/>
      <c r="X296" s="193"/>
      <c r="Y296" s="193"/>
      <c r="Z296" s="194"/>
      <c r="AA296" s="193"/>
      <c r="AB296" s="193"/>
      <c r="AC296" s="193"/>
      <c r="AD296" s="193"/>
      <c r="AE296" s="193"/>
      <c r="AF296" s="193"/>
      <c r="AG296" s="193"/>
      <c r="AH296" s="193"/>
      <c r="AI296" s="193"/>
      <c r="AJ296" s="194"/>
      <c r="AK296" s="193"/>
      <c r="AL296" s="193"/>
      <c r="AM296" s="193"/>
      <c r="AN296" s="193"/>
      <c r="AO296" s="193"/>
      <c r="AP296" s="193"/>
      <c r="AQ296" s="193"/>
      <c r="AR296" s="193"/>
      <c r="AS296" s="193"/>
      <c r="AT296" s="194"/>
      <c r="AU296" s="193"/>
      <c r="AV296" s="193"/>
      <c r="AW296" s="193"/>
      <c r="AX296" s="193"/>
      <c r="AY296" s="193"/>
      <c r="AZ296" s="193"/>
      <c r="BA296" s="193"/>
      <c r="BB296" s="193"/>
      <c r="BC296" s="193"/>
      <c r="BD296" s="194"/>
      <c r="BE296" s="193"/>
      <c r="BF296" s="193"/>
      <c r="BG296" s="193"/>
      <c r="BH296" s="193"/>
      <c r="BI296" s="193"/>
      <c r="BJ296" s="193"/>
      <c r="BK296" s="193"/>
      <c r="BL296" s="193"/>
      <c r="BM296" s="193"/>
    </row>
    <row r="297" spans="1:65" ht="8.25" customHeight="1" x14ac:dyDescent="0.25">
      <c r="A297" s="193"/>
      <c r="B297" s="193"/>
      <c r="C297" s="193"/>
      <c r="D297" s="193"/>
      <c r="E297" s="193"/>
      <c r="F297" s="193"/>
      <c r="G297" s="193"/>
      <c r="H297" s="193"/>
      <c r="I297" s="193"/>
      <c r="J297" s="193"/>
      <c r="K297" s="193"/>
      <c r="L297" s="193"/>
      <c r="M297" s="193"/>
      <c r="N297" s="193"/>
      <c r="O297" s="193"/>
      <c r="P297" s="194"/>
      <c r="Q297" s="193"/>
      <c r="R297" s="193"/>
      <c r="S297" s="193"/>
      <c r="T297" s="193"/>
      <c r="U297" s="193"/>
      <c r="V297" s="193"/>
      <c r="W297" s="193"/>
      <c r="X297" s="193"/>
      <c r="Y297" s="193"/>
      <c r="Z297" s="194"/>
      <c r="AA297" s="193"/>
      <c r="AB297" s="193"/>
      <c r="AC297" s="193"/>
      <c r="AD297" s="193"/>
      <c r="AE297" s="193"/>
      <c r="AF297" s="193"/>
      <c r="AG297" s="193"/>
      <c r="AH297" s="193"/>
      <c r="AI297" s="193"/>
      <c r="AJ297" s="194"/>
      <c r="AK297" s="193"/>
      <c r="AL297" s="193"/>
      <c r="AM297" s="193"/>
      <c r="AN297" s="193"/>
      <c r="AO297" s="193"/>
      <c r="AP297" s="193"/>
      <c r="AQ297" s="193"/>
      <c r="AR297" s="193"/>
      <c r="AS297" s="193"/>
      <c r="AT297" s="194"/>
      <c r="AU297" s="193"/>
      <c r="AV297" s="193"/>
      <c r="AW297" s="193"/>
      <c r="AX297" s="193"/>
      <c r="AY297" s="193"/>
      <c r="AZ297" s="193"/>
      <c r="BA297" s="193"/>
      <c r="BB297" s="193"/>
      <c r="BC297" s="193"/>
      <c r="BD297" s="194"/>
      <c r="BE297" s="193"/>
      <c r="BF297" s="193"/>
      <c r="BG297" s="193"/>
      <c r="BH297" s="193"/>
      <c r="BI297" s="193"/>
      <c r="BJ297" s="193"/>
      <c r="BK297" s="193"/>
      <c r="BL297" s="193"/>
      <c r="BM297" s="193"/>
    </row>
    <row r="298" spans="1:65" ht="8.25" customHeight="1" x14ac:dyDescent="0.25">
      <c r="A298" s="193"/>
      <c r="B298" s="193"/>
      <c r="C298" s="193"/>
      <c r="D298" s="193"/>
      <c r="E298" s="193"/>
      <c r="F298" s="193"/>
      <c r="G298" s="193"/>
      <c r="H298" s="193"/>
      <c r="I298" s="193"/>
      <c r="J298" s="193"/>
      <c r="K298" s="193"/>
      <c r="L298" s="193"/>
      <c r="M298" s="193"/>
      <c r="N298" s="193"/>
      <c r="O298" s="193"/>
      <c r="P298" s="194"/>
      <c r="Q298" s="193"/>
      <c r="R298" s="193"/>
      <c r="S298" s="193"/>
      <c r="T298" s="193"/>
      <c r="U298" s="193"/>
      <c r="V298" s="193"/>
      <c r="W298" s="193"/>
      <c r="X298" s="193"/>
      <c r="Y298" s="193"/>
      <c r="Z298" s="194"/>
      <c r="AA298" s="193"/>
      <c r="AB298" s="193"/>
      <c r="AC298" s="193"/>
      <c r="AD298" s="193"/>
      <c r="AE298" s="193"/>
      <c r="AF298" s="193"/>
      <c r="AG298" s="193"/>
      <c r="AH298" s="193"/>
      <c r="AI298" s="193"/>
      <c r="AJ298" s="194"/>
      <c r="AK298" s="193"/>
      <c r="AL298" s="193"/>
      <c r="AM298" s="193"/>
      <c r="AN298" s="193"/>
      <c r="AO298" s="193"/>
      <c r="AP298" s="193"/>
      <c r="AQ298" s="193"/>
      <c r="AR298" s="193"/>
      <c r="AS298" s="193"/>
      <c r="AT298" s="194"/>
      <c r="AU298" s="193"/>
      <c r="AV298" s="193"/>
      <c r="AW298" s="193"/>
      <c r="AX298" s="193"/>
      <c r="AY298" s="193"/>
      <c r="AZ298" s="193"/>
      <c r="BA298" s="193"/>
      <c r="BB298" s="193"/>
      <c r="BC298" s="193"/>
      <c r="BD298" s="194"/>
      <c r="BE298" s="193"/>
      <c r="BF298" s="193"/>
      <c r="BG298" s="193"/>
      <c r="BH298" s="193"/>
      <c r="BI298" s="193"/>
      <c r="BJ298" s="193"/>
      <c r="BK298" s="193"/>
      <c r="BL298" s="193"/>
      <c r="BM298" s="193"/>
    </row>
    <row r="299" spans="1:65" ht="8.25" customHeight="1" x14ac:dyDescent="0.25">
      <c r="A299" s="193"/>
      <c r="B299" s="193"/>
      <c r="C299" s="193"/>
      <c r="D299" s="193"/>
      <c r="E299" s="193"/>
      <c r="F299" s="193"/>
      <c r="G299" s="193"/>
      <c r="H299" s="193"/>
      <c r="I299" s="193"/>
      <c r="J299" s="193"/>
      <c r="K299" s="193"/>
      <c r="L299" s="193"/>
      <c r="M299" s="193"/>
      <c r="N299" s="193"/>
      <c r="O299" s="193"/>
      <c r="P299" s="194"/>
      <c r="Q299" s="193"/>
      <c r="R299" s="193"/>
      <c r="S299" s="193"/>
      <c r="T299" s="193"/>
      <c r="U299" s="193"/>
      <c r="V299" s="193"/>
      <c r="W299" s="193"/>
      <c r="X299" s="193"/>
      <c r="Y299" s="193"/>
      <c r="Z299" s="194"/>
      <c r="AA299" s="193"/>
      <c r="AB299" s="193"/>
      <c r="AC299" s="193"/>
      <c r="AD299" s="193"/>
      <c r="AE299" s="193"/>
      <c r="AF299" s="193"/>
      <c r="AG299" s="193"/>
      <c r="AH299" s="193"/>
      <c r="AI299" s="193"/>
      <c r="AJ299" s="194"/>
      <c r="AK299" s="193"/>
      <c r="AL299" s="193"/>
      <c r="AM299" s="193"/>
      <c r="AN299" s="193"/>
      <c r="AO299" s="193"/>
      <c r="AP299" s="193"/>
      <c r="AQ299" s="193"/>
      <c r="AR299" s="193"/>
      <c r="AS299" s="193"/>
      <c r="AT299" s="194"/>
      <c r="AU299" s="193"/>
      <c r="AV299" s="193"/>
      <c r="AW299" s="193"/>
      <c r="AX299" s="193"/>
      <c r="AY299" s="193"/>
      <c r="AZ299" s="193"/>
      <c r="BA299" s="193"/>
      <c r="BB299" s="193"/>
      <c r="BC299" s="193"/>
      <c r="BD299" s="194"/>
      <c r="BE299" s="193"/>
      <c r="BF299" s="193"/>
      <c r="BG299" s="193"/>
      <c r="BH299" s="193"/>
      <c r="BI299" s="193"/>
      <c r="BJ299" s="193"/>
      <c r="BK299" s="193"/>
      <c r="BL299" s="193"/>
      <c r="BM299" s="193"/>
    </row>
    <row r="300" spans="1:65" ht="8.25" customHeight="1" x14ac:dyDescent="0.25">
      <c r="A300" s="193"/>
      <c r="B300" s="193"/>
      <c r="C300" s="193"/>
      <c r="D300" s="193"/>
      <c r="E300" s="193"/>
      <c r="F300" s="193"/>
      <c r="G300" s="193"/>
      <c r="H300" s="193"/>
      <c r="I300" s="193"/>
      <c r="J300" s="193"/>
      <c r="K300" s="193"/>
      <c r="L300" s="193"/>
      <c r="M300" s="193"/>
      <c r="N300" s="193"/>
      <c r="O300" s="193"/>
      <c r="P300" s="194"/>
      <c r="Q300" s="193"/>
      <c r="R300" s="193"/>
      <c r="S300" s="193"/>
      <c r="T300" s="193"/>
      <c r="U300" s="193"/>
      <c r="V300" s="193"/>
      <c r="W300" s="193"/>
      <c r="X300" s="193"/>
      <c r="Y300" s="193"/>
      <c r="Z300" s="194"/>
      <c r="AA300" s="193"/>
      <c r="AB300" s="193"/>
      <c r="AC300" s="193"/>
      <c r="AD300" s="193"/>
      <c r="AE300" s="193"/>
      <c r="AF300" s="193"/>
      <c r="AG300" s="193"/>
      <c r="AH300" s="193"/>
      <c r="AI300" s="193"/>
      <c r="AJ300" s="194"/>
      <c r="AK300" s="193"/>
      <c r="AL300" s="193"/>
      <c r="AM300" s="193"/>
      <c r="AN300" s="193"/>
      <c r="AO300" s="193"/>
      <c r="AP300" s="193"/>
      <c r="AQ300" s="193"/>
      <c r="AR300" s="193"/>
      <c r="AS300" s="193"/>
      <c r="AT300" s="194"/>
      <c r="AU300" s="193"/>
      <c r="AV300" s="193"/>
      <c r="AW300" s="193"/>
      <c r="AX300" s="193"/>
      <c r="AY300" s="193"/>
      <c r="AZ300" s="193"/>
      <c r="BA300" s="193"/>
      <c r="BB300" s="193"/>
      <c r="BC300" s="193"/>
      <c r="BD300" s="194"/>
      <c r="BE300" s="193"/>
      <c r="BF300" s="193"/>
      <c r="BG300" s="193"/>
      <c r="BH300" s="193"/>
      <c r="BI300" s="193"/>
      <c r="BJ300" s="193"/>
      <c r="BK300" s="193"/>
      <c r="BL300" s="193"/>
      <c r="BM300" s="193"/>
    </row>
    <row r="301" spans="1:65" ht="8.25" customHeight="1" x14ac:dyDescent="0.25">
      <c r="A301" s="193"/>
      <c r="B301" s="193"/>
      <c r="C301" s="193"/>
      <c r="D301" s="193"/>
      <c r="E301" s="193"/>
      <c r="F301" s="193"/>
      <c r="G301" s="193"/>
      <c r="H301" s="193"/>
      <c r="I301" s="193"/>
      <c r="J301" s="193"/>
      <c r="K301" s="193"/>
      <c r="L301" s="193"/>
      <c r="M301" s="193"/>
      <c r="N301" s="193"/>
      <c r="O301" s="193"/>
      <c r="P301" s="194"/>
      <c r="Q301" s="193"/>
      <c r="R301" s="193"/>
      <c r="S301" s="193"/>
      <c r="T301" s="193"/>
      <c r="U301" s="193"/>
      <c r="V301" s="193"/>
      <c r="W301" s="193"/>
      <c r="X301" s="193"/>
      <c r="Y301" s="193"/>
      <c r="Z301" s="194"/>
      <c r="AA301" s="193"/>
      <c r="AB301" s="193"/>
      <c r="AC301" s="193"/>
      <c r="AD301" s="193"/>
      <c r="AE301" s="193"/>
      <c r="AF301" s="193"/>
      <c r="AG301" s="193"/>
      <c r="AH301" s="193"/>
      <c r="AI301" s="193"/>
      <c r="AJ301" s="194"/>
      <c r="AK301" s="193"/>
      <c r="AL301" s="193"/>
      <c r="AM301" s="193"/>
      <c r="AN301" s="193"/>
      <c r="AO301" s="193"/>
      <c r="AP301" s="193"/>
      <c r="AQ301" s="193"/>
      <c r="AR301" s="193"/>
      <c r="AS301" s="193"/>
      <c r="AT301" s="194"/>
      <c r="AU301" s="193"/>
      <c r="AV301" s="193"/>
      <c r="AW301" s="193"/>
      <c r="AX301" s="193"/>
      <c r="AY301" s="193"/>
      <c r="AZ301" s="193"/>
      <c r="BA301" s="193"/>
      <c r="BB301" s="193"/>
      <c r="BC301" s="193"/>
      <c r="BD301" s="194"/>
      <c r="BE301" s="193"/>
      <c r="BF301" s="193"/>
      <c r="BG301" s="193"/>
      <c r="BH301" s="193"/>
      <c r="BI301" s="193"/>
      <c r="BJ301" s="193"/>
      <c r="BK301" s="193"/>
      <c r="BL301" s="193"/>
      <c r="BM301" s="193"/>
    </row>
    <row r="302" spans="1:65" ht="8.25" customHeight="1" x14ac:dyDescent="0.25">
      <c r="A302" s="193"/>
      <c r="B302" s="193"/>
      <c r="C302" s="193"/>
      <c r="D302" s="193"/>
      <c r="E302" s="193"/>
      <c r="F302" s="193"/>
      <c r="G302" s="193"/>
      <c r="H302" s="193"/>
      <c r="I302" s="193"/>
      <c r="J302" s="193"/>
      <c r="K302" s="193"/>
      <c r="L302" s="193"/>
      <c r="M302" s="193"/>
      <c r="N302" s="193"/>
      <c r="O302" s="193"/>
      <c r="P302" s="194"/>
      <c r="Q302" s="193"/>
      <c r="R302" s="193"/>
      <c r="S302" s="193"/>
      <c r="T302" s="193"/>
      <c r="U302" s="193"/>
      <c r="V302" s="193"/>
      <c r="W302" s="193"/>
      <c r="X302" s="193"/>
      <c r="Y302" s="193"/>
      <c r="Z302" s="194"/>
      <c r="AA302" s="193"/>
      <c r="AB302" s="193"/>
      <c r="AC302" s="193"/>
      <c r="AD302" s="193"/>
      <c r="AE302" s="193"/>
      <c r="AF302" s="193"/>
      <c r="AG302" s="193"/>
      <c r="AH302" s="193"/>
      <c r="AI302" s="193"/>
      <c r="AJ302" s="194"/>
      <c r="AK302" s="193"/>
      <c r="AL302" s="193"/>
      <c r="AM302" s="193"/>
      <c r="AN302" s="193"/>
      <c r="AO302" s="193"/>
      <c r="AP302" s="193"/>
      <c r="AQ302" s="193"/>
      <c r="AR302" s="193"/>
      <c r="AS302" s="193"/>
      <c r="AT302" s="194"/>
      <c r="AU302" s="193"/>
      <c r="AV302" s="193"/>
      <c r="AW302" s="193"/>
      <c r="AX302" s="193"/>
      <c r="AY302" s="193"/>
      <c r="AZ302" s="193"/>
      <c r="BA302" s="193"/>
      <c r="BB302" s="193"/>
      <c r="BC302" s="193"/>
      <c r="BD302" s="194"/>
      <c r="BE302" s="193"/>
      <c r="BF302" s="193"/>
      <c r="BG302" s="193"/>
      <c r="BH302" s="193"/>
      <c r="BI302" s="193"/>
      <c r="BJ302" s="193"/>
      <c r="BK302" s="193"/>
      <c r="BL302" s="193"/>
      <c r="BM302" s="193"/>
    </row>
    <row r="303" spans="1:65" ht="8.25" customHeight="1" x14ac:dyDescent="0.25">
      <c r="A303" s="193"/>
      <c r="B303" s="193"/>
      <c r="C303" s="193"/>
      <c r="D303" s="193"/>
      <c r="E303" s="193"/>
      <c r="F303" s="193"/>
      <c r="G303" s="193"/>
      <c r="H303" s="193"/>
      <c r="I303" s="193"/>
      <c r="J303" s="193"/>
      <c r="K303" s="193"/>
      <c r="L303" s="193"/>
      <c r="M303" s="193"/>
      <c r="N303" s="193"/>
      <c r="O303" s="193"/>
      <c r="P303" s="194"/>
      <c r="Q303" s="193"/>
      <c r="R303" s="193"/>
      <c r="S303" s="193"/>
      <c r="T303" s="193"/>
      <c r="U303" s="193"/>
      <c r="V303" s="193"/>
      <c r="W303" s="193"/>
      <c r="X303" s="193"/>
      <c r="Y303" s="193"/>
      <c r="Z303" s="194"/>
      <c r="AA303" s="193"/>
      <c r="AB303" s="193"/>
      <c r="AC303" s="193"/>
      <c r="AD303" s="193"/>
      <c r="AE303" s="193"/>
      <c r="AF303" s="193"/>
      <c r="AG303" s="193"/>
      <c r="AH303" s="193"/>
      <c r="AI303" s="193"/>
      <c r="AJ303" s="194"/>
      <c r="AK303" s="193"/>
      <c r="AL303" s="193"/>
      <c r="AM303" s="193"/>
      <c r="AN303" s="193"/>
      <c r="AO303" s="193"/>
      <c r="AP303" s="193"/>
      <c r="AQ303" s="193"/>
      <c r="AR303" s="193"/>
      <c r="AS303" s="193"/>
      <c r="AT303" s="194"/>
      <c r="AU303" s="193"/>
      <c r="AV303" s="193"/>
      <c r="AW303" s="193"/>
      <c r="AX303" s="193"/>
      <c r="AY303" s="193"/>
      <c r="AZ303" s="193"/>
      <c r="BA303" s="193"/>
      <c r="BB303" s="193"/>
      <c r="BC303" s="193"/>
      <c r="BD303" s="194"/>
      <c r="BE303" s="193"/>
      <c r="BF303" s="193"/>
      <c r="BG303" s="193"/>
      <c r="BH303" s="193"/>
      <c r="BI303" s="193"/>
      <c r="BJ303" s="193"/>
      <c r="BK303" s="193"/>
      <c r="BL303" s="193"/>
      <c r="BM303" s="193"/>
    </row>
    <row r="304" spans="1:65" ht="8.25" customHeight="1" x14ac:dyDescent="0.25">
      <c r="A304" s="193"/>
      <c r="B304" s="193"/>
      <c r="C304" s="193"/>
      <c r="D304" s="193"/>
      <c r="E304" s="193"/>
      <c r="F304" s="193"/>
      <c r="G304" s="193"/>
      <c r="H304" s="193"/>
      <c r="I304" s="193"/>
      <c r="J304" s="193"/>
      <c r="K304" s="193"/>
      <c r="L304" s="193"/>
      <c r="M304" s="193"/>
      <c r="N304" s="193"/>
      <c r="O304" s="193"/>
      <c r="P304" s="194"/>
      <c r="Q304" s="193"/>
      <c r="R304" s="193"/>
      <c r="S304" s="193"/>
      <c r="T304" s="193"/>
      <c r="U304" s="193"/>
      <c r="V304" s="193"/>
      <c r="W304" s="193"/>
      <c r="X304" s="193"/>
      <c r="Y304" s="193"/>
      <c r="Z304" s="194"/>
      <c r="AA304" s="193"/>
      <c r="AB304" s="193"/>
      <c r="AC304" s="193"/>
      <c r="AD304" s="193"/>
      <c r="AE304" s="193"/>
      <c r="AF304" s="193"/>
      <c r="AG304" s="193"/>
      <c r="AH304" s="193"/>
      <c r="AI304" s="193"/>
      <c r="AJ304" s="194"/>
      <c r="AK304" s="193"/>
      <c r="AL304" s="193"/>
      <c r="AM304" s="193"/>
      <c r="AN304" s="193"/>
      <c r="AO304" s="193"/>
      <c r="AP304" s="193"/>
      <c r="AQ304" s="193"/>
      <c r="AR304" s="193"/>
      <c r="AS304" s="193"/>
      <c r="AT304" s="194"/>
      <c r="AU304" s="193"/>
      <c r="AV304" s="193"/>
      <c r="AW304" s="193"/>
      <c r="AX304" s="193"/>
      <c r="AY304" s="193"/>
      <c r="AZ304" s="193"/>
      <c r="BA304" s="193"/>
      <c r="BB304" s="193"/>
      <c r="BC304" s="193"/>
      <c r="BD304" s="194"/>
      <c r="BE304" s="193"/>
      <c r="BF304" s="193"/>
      <c r="BG304" s="193"/>
      <c r="BH304" s="193"/>
      <c r="BI304" s="193"/>
      <c r="BJ304" s="193"/>
      <c r="BK304" s="193"/>
      <c r="BL304" s="193"/>
      <c r="BM304" s="193"/>
    </row>
    <row r="305" spans="1:65" ht="8.25" customHeight="1" x14ac:dyDescent="0.25">
      <c r="A305" s="193"/>
      <c r="B305" s="193"/>
      <c r="C305" s="193"/>
      <c r="D305" s="193"/>
      <c r="E305" s="193"/>
      <c r="F305" s="193"/>
      <c r="G305" s="193"/>
      <c r="H305" s="193"/>
      <c r="I305" s="193"/>
      <c r="J305" s="193"/>
      <c r="K305" s="193"/>
      <c r="L305" s="193"/>
      <c r="M305" s="193"/>
      <c r="N305" s="193"/>
      <c r="O305" s="193"/>
      <c r="P305" s="194"/>
      <c r="Q305" s="193"/>
      <c r="R305" s="193"/>
      <c r="S305" s="193"/>
      <c r="T305" s="193"/>
      <c r="U305" s="193"/>
      <c r="V305" s="193"/>
      <c r="W305" s="193"/>
      <c r="X305" s="193"/>
      <c r="Y305" s="193"/>
      <c r="Z305" s="194"/>
      <c r="AA305" s="193"/>
      <c r="AB305" s="193"/>
      <c r="AC305" s="193"/>
      <c r="AD305" s="193"/>
      <c r="AE305" s="193"/>
      <c r="AF305" s="193"/>
      <c r="AG305" s="193"/>
      <c r="AH305" s="193"/>
      <c r="AI305" s="193"/>
      <c r="AJ305" s="194"/>
      <c r="AK305" s="193"/>
      <c r="AL305" s="193"/>
      <c r="AM305" s="193"/>
      <c r="AN305" s="193"/>
      <c r="AO305" s="193"/>
      <c r="AP305" s="193"/>
      <c r="AQ305" s="193"/>
      <c r="AR305" s="193"/>
      <c r="AS305" s="193"/>
      <c r="AT305" s="194"/>
      <c r="AU305" s="193"/>
      <c r="AV305" s="193"/>
      <c r="AW305" s="193"/>
      <c r="AX305" s="193"/>
      <c r="AY305" s="193"/>
      <c r="AZ305" s="193"/>
      <c r="BA305" s="193"/>
      <c r="BB305" s="193"/>
      <c r="BC305" s="193"/>
      <c r="BD305" s="194"/>
      <c r="BE305" s="193"/>
      <c r="BF305" s="193"/>
      <c r="BG305" s="193"/>
      <c r="BH305" s="193"/>
      <c r="BI305" s="193"/>
      <c r="BJ305" s="193"/>
      <c r="BK305" s="193"/>
      <c r="BL305" s="193"/>
      <c r="BM305" s="193"/>
    </row>
    <row r="306" spans="1:65" ht="8.25" customHeight="1" x14ac:dyDescent="0.25">
      <c r="A306" s="193"/>
      <c r="B306" s="193"/>
      <c r="C306" s="193"/>
      <c r="D306" s="193"/>
      <c r="E306" s="193"/>
      <c r="F306" s="193"/>
      <c r="G306" s="193"/>
      <c r="H306" s="193"/>
      <c r="I306" s="193"/>
      <c r="J306" s="193"/>
      <c r="K306" s="193"/>
      <c r="L306" s="193"/>
      <c r="M306" s="193"/>
      <c r="N306" s="193"/>
      <c r="O306" s="193"/>
      <c r="P306" s="194"/>
      <c r="Q306" s="193"/>
      <c r="R306" s="193"/>
      <c r="S306" s="193"/>
      <c r="T306" s="193"/>
      <c r="U306" s="193"/>
      <c r="V306" s="193"/>
      <c r="W306" s="193"/>
      <c r="X306" s="193"/>
      <c r="Y306" s="193"/>
      <c r="Z306" s="194"/>
      <c r="AA306" s="193"/>
      <c r="AB306" s="193"/>
      <c r="AC306" s="193"/>
      <c r="AD306" s="193"/>
      <c r="AE306" s="193"/>
      <c r="AF306" s="193"/>
      <c r="AG306" s="193"/>
      <c r="AH306" s="193"/>
      <c r="AI306" s="193"/>
      <c r="AJ306" s="194"/>
      <c r="AK306" s="193"/>
      <c r="AL306" s="193"/>
      <c r="AM306" s="193"/>
      <c r="AN306" s="193"/>
      <c r="AO306" s="193"/>
      <c r="AP306" s="193"/>
      <c r="AQ306" s="193"/>
      <c r="AR306" s="193"/>
      <c r="AS306" s="193"/>
      <c r="AT306" s="194"/>
      <c r="AU306" s="193"/>
      <c r="AV306" s="193"/>
      <c r="AW306" s="193"/>
      <c r="AX306" s="193"/>
      <c r="AY306" s="193"/>
      <c r="AZ306" s="193"/>
      <c r="BA306" s="193"/>
      <c r="BB306" s="193"/>
      <c r="BC306" s="193"/>
      <c r="BD306" s="194"/>
      <c r="BE306" s="193"/>
      <c r="BF306" s="193"/>
      <c r="BG306" s="193"/>
      <c r="BH306" s="193"/>
      <c r="BI306" s="193"/>
      <c r="BJ306" s="193"/>
      <c r="BK306" s="193"/>
      <c r="BL306" s="193"/>
      <c r="BM306" s="193"/>
    </row>
    <row r="307" spans="1:65" ht="8.25" customHeight="1" x14ac:dyDescent="0.25">
      <c r="A307" s="193"/>
      <c r="B307" s="193"/>
      <c r="C307" s="193"/>
      <c r="D307" s="193"/>
      <c r="E307" s="193"/>
      <c r="F307" s="193"/>
      <c r="G307" s="193"/>
      <c r="H307" s="193"/>
      <c r="I307" s="193"/>
      <c r="J307" s="193"/>
      <c r="K307" s="193"/>
      <c r="L307" s="193"/>
      <c r="M307" s="193"/>
      <c r="N307" s="193"/>
      <c r="O307" s="193"/>
      <c r="P307" s="194"/>
      <c r="Q307" s="193"/>
      <c r="R307" s="193"/>
      <c r="S307" s="193"/>
      <c r="T307" s="193"/>
      <c r="U307" s="193"/>
      <c r="V307" s="193"/>
      <c r="W307" s="193"/>
      <c r="X307" s="193"/>
      <c r="Y307" s="193"/>
      <c r="Z307" s="194"/>
      <c r="AA307" s="193"/>
      <c r="AB307" s="193"/>
      <c r="AC307" s="193"/>
      <c r="AD307" s="193"/>
      <c r="AE307" s="193"/>
      <c r="AF307" s="193"/>
      <c r="AG307" s="193"/>
      <c r="AH307" s="193"/>
      <c r="AI307" s="193"/>
      <c r="AJ307" s="194"/>
      <c r="AK307" s="193"/>
      <c r="AL307" s="193"/>
      <c r="AM307" s="193"/>
      <c r="AN307" s="193"/>
      <c r="AO307" s="193"/>
      <c r="AP307" s="193"/>
      <c r="AQ307" s="193"/>
      <c r="AR307" s="193"/>
      <c r="AS307" s="193"/>
      <c r="AT307" s="194"/>
      <c r="AU307" s="193"/>
      <c r="AV307" s="193"/>
      <c r="AW307" s="193"/>
      <c r="AX307" s="193"/>
      <c r="AY307" s="193"/>
      <c r="AZ307" s="193"/>
      <c r="BA307" s="193"/>
      <c r="BB307" s="193"/>
      <c r="BC307" s="193"/>
      <c r="BD307" s="194"/>
      <c r="BE307" s="193"/>
      <c r="BF307" s="193"/>
      <c r="BG307" s="193"/>
      <c r="BH307" s="193"/>
      <c r="BI307" s="193"/>
      <c r="BJ307" s="193"/>
      <c r="BK307" s="193"/>
      <c r="BL307" s="193"/>
      <c r="BM307" s="193"/>
    </row>
    <row r="308" spans="1:65" ht="8.25" customHeight="1" x14ac:dyDescent="0.25">
      <c r="A308" s="193"/>
      <c r="B308" s="193"/>
      <c r="C308" s="193"/>
      <c r="D308" s="193"/>
      <c r="E308" s="193"/>
      <c r="F308" s="193"/>
      <c r="G308" s="193"/>
      <c r="H308" s="193"/>
      <c r="I308" s="193"/>
      <c r="J308" s="193"/>
      <c r="K308" s="193"/>
      <c r="L308" s="193"/>
      <c r="M308" s="193"/>
      <c r="N308" s="193"/>
      <c r="O308" s="193"/>
      <c r="P308" s="194"/>
      <c r="Q308" s="193"/>
      <c r="R308" s="193"/>
      <c r="S308" s="193"/>
      <c r="T308" s="193"/>
      <c r="U308" s="193"/>
      <c r="V308" s="193"/>
      <c r="W308" s="193"/>
      <c r="X308" s="193"/>
      <c r="Y308" s="193"/>
      <c r="Z308" s="194"/>
      <c r="AA308" s="193"/>
      <c r="AB308" s="193"/>
      <c r="AC308" s="193"/>
      <c r="AD308" s="193"/>
      <c r="AE308" s="193"/>
      <c r="AF308" s="193"/>
      <c r="AG308" s="193"/>
      <c r="AH308" s="193"/>
      <c r="AI308" s="193"/>
      <c r="AJ308" s="194"/>
      <c r="AK308" s="193"/>
      <c r="AL308" s="193"/>
      <c r="AM308" s="193"/>
      <c r="AN308" s="193"/>
      <c r="AO308" s="193"/>
      <c r="AP308" s="193"/>
      <c r="AQ308" s="193"/>
      <c r="AR308" s="193"/>
      <c r="AS308" s="193"/>
      <c r="AT308" s="194"/>
      <c r="AU308" s="193"/>
      <c r="AV308" s="193"/>
      <c r="AW308" s="193"/>
      <c r="AX308" s="193"/>
      <c r="AY308" s="193"/>
      <c r="AZ308" s="193"/>
      <c r="BA308" s="193"/>
      <c r="BB308" s="193"/>
      <c r="BC308" s="193"/>
      <c r="BD308" s="194"/>
      <c r="BE308" s="193"/>
      <c r="BF308" s="193"/>
      <c r="BG308" s="193"/>
      <c r="BH308" s="193"/>
      <c r="BI308" s="193"/>
      <c r="BJ308" s="193"/>
      <c r="BK308" s="193"/>
      <c r="BL308" s="193"/>
      <c r="BM308" s="193"/>
    </row>
    <row r="309" spans="1:65" ht="8.25" customHeight="1" x14ac:dyDescent="0.25">
      <c r="A309" s="193"/>
      <c r="B309" s="193"/>
      <c r="C309" s="193"/>
      <c r="D309" s="193"/>
      <c r="E309" s="193"/>
      <c r="F309" s="193"/>
      <c r="G309" s="193"/>
      <c r="H309" s="193"/>
      <c r="I309" s="193"/>
      <c r="J309" s="193"/>
      <c r="K309" s="193"/>
      <c r="L309" s="193"/>
      <c r="M309" s="193"/>
      <c r="N309" s="193"/>
      <c r="O309" s="193"/>
      <c r="P309" s="194"/>
      <c r="Q309" s="193"/>
      <c r="R309" s="193"/>
      <c r="S309" s="193"/>
      <c r="T309" s="193"/>
      <c r="U309" s="193"/>
      <c r="V309" s="193"/>
      <c r="W309" s="193"/>
      <c r="X309" s="193"/>
      <c r="Y309" s="193"/>
      <c r="Z309" s="194"/>
      <c r="AA309" s="193"/>
      <c r="AB309" s="193"/>
      <c r="AC309" s="193"/>
      <c r="AD309" s="193"/>
      <c r="AE309" s="193"/>
      <c r="AF309" s="193"/>
      <c r="AG309" s="193"/>
      <c r="AH309" s="193"/>
      <c r="AI309" s="193"/>
      <c r="AJ309" s="194"/>
      <c r="AK309" s="193"/>
      <c r="AL309" s="193"/>
      <c r="AM309" s="193"/>
      <c r="AN309" s="193"/>
      <c r="AO309" s="193"/>
      <c r="AP309" s="193"/>
      <c r="AQ309" s="193"/>
      <c r="AR309" s="193"/>
      <c r="AS309" s="193"/>
      <c r="AT309" s="194"/>
      <c r="AU309" s="193"/>
      <c r="AV309" s="193"/>
      <c r="AW309" s="193"/>
      <c r="AX309" s="193"/>
      <c r="AY309" s="193"/>
      <c r="AZ309" s="193"/>
      <c r="BA309" s="193"/>
      <c r="BB309" s="193"/>
      <c r="BC309" s="193"/>
      <c r="BD309" s="194"/>
      <c r="BE309" s="193"/>
      <c r="BF309" s="193"/>
      <c r="BG309" s="193"/>
      <c r="BH309" s="193"/>
      <c r="BI309" s="193"/>
      <c r="BJ309" s="193"/>
      <c r="BK309" s="193"/>
      <c r="BL309" s="193"/>
      <c r="BM309" s="193"/>
    </row>
    <row r="310" spans="1:65" ht="8.25" customHeight="1" x14ac:dyDescent="0.25">
      <c r="A310" s="193"/>
      <c r="B310" s="193"/>
      <c r="C310" s="193"/>
      <c r="D310" s="193"/>
      <c r="E310" s="193"/>
      <c r="F310" s="193"/>
      <c r="G310" s="193"/>
      <c r="H310" s="193"/>
      <c r="I310" s="193"/>
      <c r="J310" s="193"/>
      <c r="K310" s="193"/>
      <c r="L310" s="193"/>
      <c r="M310" s="193"/>
      <c r="N310" s="193"/>
      <c r="O310" s="193"/>
      <c r="P310" s="194"/>
      <c r="Q310" s="193"/>
      <c r="R310" s="193"/>
      <c r="S310" s="193"/>
      <c r="T310" s="193"/>
      <c r="U310" s="193"/>
      <c r="V310" s="193"/>
      <c r="W310" s="193"/>
      <c r="X310" s="193"/>
      <c r="Y310" s="193"/>
      <c r="Z310" s="194"/>
      <c r="AA310" s="193"/>
      <c r="AB310" s="193"/>
      <c r="AC310" s="193"/>
      <c r="AD310" s="193"/>
      <c r="AE310" s="193"/>
      <c r="AF310" s="193"/>
      <c r="AG310" s="193"/>
      <c r="AH310" s="193"/>
      <c r="AI310" s="193"/>
      <c r="AJ310" s="194"/>
      <c r="AK310" s="193"/>
      <c r="AL310" s="193"/>
      <c r="AM310" s="193"/>
      <c r="AN310" s="193"/>
      <c r="AO310" s="193"/>
      <c r="AP310" s="193"/>
      <c r="AQ310" s="193"/>
      <c r="AR310" s="193"/>
      <c r="AS310" s="193"/>
      <c r="AT310" s="194"/>
      <c r="AU310" s="193"/>
      <c r="AV310" s="193"/>
      <c r="AW310" s="193"/>
      <c r="AX310" s="193"/>
      <c r="AY310" s="193"/>
      <c r="AZ310" s="193"/>
      <c r="BA310" s="193"/>
      <c r="BB310" s="193"/>
      <c r="BC310" s="193"/>
      <c r="BD310" s="194"/>
      <c r="BE310" s="193"/>
      <c r="BF310" s="193"/>
      <c r="BG310" s="193"/>
      <c r="BH310" s="193"/>
      <c r="BI310" s="193"/>
      <c r="BJ310" s="193"/>
      <c r="BK310" s="193"/>
      <c r="BL310" s="193"/>
      <c r="BM310" s="193"/>
    </row>
    <row r="311" spans="1:65" ht="8.25" customHeight="1" x14ac:dyDescent="0.25">
      <c r="A311" s="193"/>
      <c r="B311" s="193"/>
      <c r="C311" s="193"/>
      <c r="D311" s="193"/>
      <c r="E311" s="193"/>
      <c r="F311" s="193"/>
      <c r="G311" s="193"/>
      <c r="H311" s="193"/>
      <c r="I311" s="193"/>
      <c r="J311" s="193"/>
      <c r="K311" s="193"/>
      <c r="L311" s="193"/>
      <c r="M311" s="193"/>
      <c r="N311" s="193"/>
      <c r="O311" s="193"/>
      <c r="P311" s="194"/>
      <c r="Q311" s="193"/>
      <c r="R311" s="193"/>
      <c r="S311" s="193"/>
      <c r="T311" s="193"/>
      <c r="U311" s="193"/>
      <c r="V311" s="193"/>
      <c r="W311" s="193"/>
      <c r="X311" s="193"/>
      <c r="Y311" s="193"/>
      <c r="Z311" s="194"/>
      <c r="AA311" s="193"/>
      <c r="AB311" s="193"/>
      <c r="AC311" s="193"/>
      <c r="AD311" s="193"/>
      <c r="AE311" s="193"/>
      <c r="AF311" s="193"/>
      <c r="AG311" s="193"/>
      <c r="AH311" s="193"/>
      <c r="AI311" s="193"/>
      <c r="AJ311" s="194"/>
      <c r="AK311" s="193"/>
      <c r="AL311" s="193"/>
      <c r="AM311" s="193"/>
      <c r="AN311" s="193"/>
      <c r="AO311" s="193"/>
      <c r="AP311" s="193"/>
      <c r="AQ311" s="193"/>
      <c r="AR311" s="193"/>
      <c r="AS311" s="193"/>
      <c r="AT311" s="194"/>
      <c r="AU311" s="193"/>
      <c r="AV311" s="193"/>
      <c r="AW311" s="193"/>
      <c r="AX311" s="193"/>
      <c r="AY311" s="193"/>
      <c r="AZ311" s="193"/>
      <c r="BA311" s="193"/>
      <c r="BB311" s="193"/>
      <c r="BC311" s="193"/>
      <c r="BD311" s="194"/>
      <c r="BE311" s="193"/>
      <c r="BF311" s="193"/>
      <c r="BG311" s="193"/>
      <c r="BH311" s="193"/>
      <c r="BI311" s="193"/>
      <c r="BJ311" s="193"/>
      <c r="BK311" s="193"/>
      <c r="BL311" s="193"/>
      <c r="BM311" s="193"/>
    </row>
    <row r="312" spans="1:65" ht="8.25" customHeight="1" x14ac:dyDescent="0.25">
      <c r="A312" s="193"/>
      <c r="B312" s="193"/>
      <c r="C312" s="193"/>
      <c r="D312" s="193"/>
      <c r="E312" s="193"/>
      <c r="F312" s="193"/>
      <c r="G312" s="193"/>
      <c r="H312" s="193"/>
      <c r="I312" s="193"/>
      <c r="J312" s="193"/>
      <c r="K312" s="193"/>
      <c r="L312" s="193"/>
      <c r="M312" s="193"/>
      <c r="N312" s="193"/>
      <c r="O312" s="193"/>
      <c r="P312" s="194"/>
      <c r="Q312" s="193"/>
      <c r="R312" s="193"/>
      <c r="S312" s="193"/>
      <c r="T312" s="193"/>
      <c r="U312" s="193"/>
      <c r="V312" s="193"/>
      <c r="W312" s="193"/>
      <c r="X312" s="193"/>
      <c r="Y312" s="193"/>
      <c r="Z312" s="194"/>
      <c r="AA312" s="193"/>
      <c r="AB312" s="193"/>
      <c r="AC312" s="193"/>
      <c r="AD312" s="193"/>
      <c r="AE312" s="193"/>
      <c r="AF312" s="193"/>
      <c r="AG312" s="193"/>
      <c r="AH312" s="193"/>
      <c r="AI312" s="193"/>
      <c r="AJ312" s="194"/>
      <c r="AK312" s="193"/>
      <c r="AL312" s="193"/>
      <c r="AM312" s="193"/>
      <c r="AN312" s="193"/>
      <c r="AO312" s="193"/>
      <c r="AP312" s="193"/>
      <c r="AQ312" s="193"/>
      <c r="AR312" s="193"/>
      <c r="AS312" s="193"/>
      <c r="AT312" s="194"/>
      <c r="AU312" s="193"/>
      <c r="AV312" s="193"/>
      <c r="AW312" s="193"/>
      <c r="AX312" s="193"/>
      <c r="AY312" s="193"/>
      <c r="AZ312" s="193"/>
      <c r="BA312" s="193"/>
      <c r="BB312" s="193"/>
      <c r="BC312" s="193"/>
      <c r="BD312" s="194"/>
      <c r="BE312" s="193"/>
      <c r="BF312" s="193"/>
      <c r="BG312" s="193"/>
      <c r="BH312" s="193"/>
      <c r="BI312" s="193"/>
      <c r="BJ312" s="193"/>
      <c r="BK312" s="193"/>
      <c r="BL312" s="193"/>
      <c r="BM312" s="193"/>
    </row>
    <row r="313" spans="1:65" ht="8.25" customHeight="1" x14ac:dyDescent="0.25">
      <c r="A313" s="193"/>
      <c r="B313" s="193"/>
      <c r="C313" s="193"/>
      <c r="D313" s="193"/>
      <c r="E313" s="193"/>
      <c r="F313" s="193"/>
      <c r="G313" s="193"/>
      <c r="H313" s="193"/>
      <c r="I313" s="193"/>
      <c r="J313" s="193"/>
      <c r="K313" s="193"/>
      <c r="L313" s="193"/>
      <c r="M313" s="193"/>
      <c r="N313" s="193"/>
      <c r="O313" s="193"/>
      <c r="P313" s="194"/>
      <c r="Q313" s="193"/>
      <c r="R313" s="193"/>
      <c r="S313" s="193"/>
      <c r="T313" s="193"/>
      <c r="U313" s="193"/>
      <c r="V313" s="193"/>
      <c r="W313" s="193"/>
      <c r="X313" s="193"/>
      <c r="Y313" s="193"/>
      <c r="Z313" s="194"/>
      <c r="AA313" s="193"/>
      <c r="AB313" s="193"/>
      <c r="AC313" s="193"/>
      <c r="AD313" s="193"/>
      <c r="AE313" s="193"/>
      <c r="AF313" s="193"/>
      <c r="AG313" s="193"/>
      <c r="AH313" s="193"/>
      <c r="AI313" s="193"/>
      <c r="AJ313" s="194"/>
      <c r="AK313" s="193"/>
      <c r="AL313" s="193"/>
      <c r="AM313" s="193"/>
      <c r="AN313" s="193"/>
      <c r="AO313" s="193"/>
      <c r="AP313" s="193"/>
      <c r="AQ313" s="193"/>
      <c r="AR313" s="193"/>
      <c r="AS313" s="193"/>
      <c r="AT313" s="194"/>
      <c r="AU313" s="193"/>
      <c r="AV313" s="193"/>
      <c r="AW313" s="193"/>
      <c r="AX313" s="193"/>
      <c r="AY313" s="193"/>
      <c r="AZ313" s="193"/>
      <c r="BA313" s="193"/>
      <c r="BB313" s="193"/>
      <c r="BC313" s="193"/>
      <c r="BD313" s="194"/>
      <c r="BE313" s="193"/>
      <c r="BF313" s="193"/>
      <c r="BG313" s="193"/>
      <c r="BH313" s="193"/>
      <c r="BI313" s="193"/>
      <c r="BJ313" s="193"/>
      <c r="BK313" s="193"/>
      <c r="BL313" s="193"/>
      <c r="BM313" s="193"/>
    </row>
    <row r="314" spans="1:65" ht="8.25" customHeight="1" x14ac:dyDescent="0.25">
      <c r="A314" s="193"/>
      <c r="B314" s="193"/>
      <c r="C314" s="193"/>
      <c r="D314" s="193"/>
      <c r="E314" s="193"/>
      <c r="F314" s="193"/>
      <c r="G314" s="193"/>
      <c r="H314" s="193"/>
      <c r="I314" s="193"/>
      <c r="J314" s="193"/>
      <c r="K314" s="193"/>
      <c r="L314" s="193"/>
      <c r="M314" s="193"/>
      <c r="N314" s="193"/>
      <c r="O314" s="193"/>
      <c r="P314" s="194"/>
      <c r="Q314" s="193"/>
      <c r="R314" s="193"/>
      <c r="S314" s="193"/>
      <c r="T314" s="193"/>
      <c r="U314" s="193"/>
      <c r="V314" s="193"/>
      <c r="W314" s="193"/>
      <c r="X314" s="193"/>
      <c r="Y314" s="193"/>
      <c r="Z314" s="194"/>
      <c r="AA314" s="193"/>
      <c r="AB314" s="193"/>
      <c r="AC314" s="193"/>
      <c r="AD314" s="193"/>
      <c r="AE314" s="193"/>
      <c r="AF314" s="193"/>
      <c r="AG314" s="193"/>
      <c r="AH314" s="193"/>
      <c r="AI314" s="193"/>
      <c r="AJ314" s="194"/>
      <c r="AK314" s="193"/>
      <c r="AL314" s="193"/>
      <c r="AM314" s="193"/>
      <c r="AN314" s="193"/>
      <c r="AO314" s="193"/>
      <c r="AP314" s="193"/>
      <c r="AQ314" s="193"/>
      <c r="AR314" s="193"/>
      <c r="AS314" s="193"/>
      <c r="AT314" s="194"/>
      <c r="AU314" s="193"/>
      <c r="AV314" s="193"/>
      <c r="AW314" s="193"/>
      <c r="AX314" s="193"/>
      <c r="AY314" s="193"/>
      <c r="AZ314" s="193"/>
      <c r="BA314" s="193"/>
      <c r="BB314" s="193"/>
      <c r="BC314" s="193"/>
      <c r="BD314" s="194"/>
      <c r="BE314" s="193"/>
      <c r="BF314" s="193"/>
      <c r="BG314" s="193"/>
      <c r="BH314" s="193"/>
      <c r="BI314" s="193"/>
      <c r="BJ314" s="193"/>
      <c r="BK314" s="193"/>
      <c r="BL314" s="193"/>
      <c r="BM314" s="193"/>
    </row>
    <row r="315" spans="1:65" ht="8.25" customHeight="1" x14ac:dyDescent="0.25">
      <c r="A315" s="193"/>
      <c r="B315" s="193"/>
      <c r="C315" s="193"/>
      <c r="D315" s="193"/>
      <c r="E315" s="193"/>
      <c r="F315" s="193"/>
      <c r="G315" s="193"/>
      <c r="H315" s="193"/>
      <c r="I315" s="193"/>
      <c r="J315" s="193"/>
      <c r="K315" s="193"/>
      <c r="L315" s="193"/>
      <c r="M315" s="193"/>
      <c r="N315" s="193"/>
      <c r="O315" s="193"/>
      <c r="P315" s="194"/>
      <c r="Q315" s="193"/>
      <c r="R315" s="193"/>
      <c r="S315" s="193"/>
      <c r="T315" s="193"/>
      <c r="U315" s="193"/>
      <c r="V315" s="193"/>
      <c r="W315" s="193"/>
      <c r="X315" s="193"/>
      <c r="Y315" s="193"/>
      <c r="Z315" s="194"/>
      <c r="AA315" s="193"/>
      <c r="AB315" s="193"/>
      <c r="AC315" s="193"/>
      <c r="AD315" s="193"/>
      <c r="AE315" s="193"/>
      <c r="AF315" s="193"/>
      <c r="AG315" s="193"/>
      <c r="AH315" s="193"/>
      <c r="AI315" s="193"/>
      <c r="AJ315" s="194"/>
      <c r="AK315" s="193"/>
      <c r="AL315" s="193"/>
      <c r="AM315" s="193"/>
      <c r="AN315" s="193"/>
      <c r="AO315" s="193"/>
      <c r="AP315" s="193"/>
      <c r="AQ315" s="193"/>
      <c r="AR315" s="193"/>
      <c r="AS315" s="193"/>
      <c r="AT315" s="194"/>
      <c r="AU315" s="193"/>
      <c r="AV315" s="193"/>
      <c r="AW315" s="193"/>
      <c r="AX315" s="193"/>
      <c r="AY315" s="193"/>
      <c r="AZ315" s="193"/>
      <c r="BA315" s="193"/>
      <c r="BB315" s="193"/>
      <c r="BC315" s="193"/>
      <c r="BD315" s="194"/>
      <c r="BE315" s="193"/>
      <c r="BF315" s="193"/>
      <c r="BG315" s="193"/>
      <c r="BH315" s="193"/>
      <c r="BI315" s="193"/>
      <c r="BJ315" s="193"/>
      <c r="BK315" s="193"/>
      <c r="BL315" s="193"/>
      <c r="BM315" s="193"/>
    </row>
    <row r="316" spans="1:65" ht="8.25" customHeight="1" x14ac:dyDescent="0.25">
      <c r="A316" s="193"/>
      <c r="B316" s="193"/>
      <c r="C316" s="193"/>
      <c r="D316" s="193"/>
      <c r="E316" s="193"/>
      <c r="F316" s="193"/>
      <c r="G316" s="193"/>
      <c r="H316" s="193"/>
      <c r="I316" s="193"/>
      <c r="J316" s="193"/>
      <c r="K316" s="193"/>
      <c r="L316" s="193"/>
      <c r="M316" s="193"/>
      <c r="N316" s="193"/>
      <c r="O316" s="193"/>
      <c r="P316" s="194"/>
      <c r="Q316" s="193"/>
      <c r="R316" s="193"/>
      <c r="S316" s="193"/>
      <c r="T316" s="193"/>
      <c r="U316" s="193"/>
      <c r="V316" s="193"/>
      <c r="W316" s="193"/>
      <c r="X316" s="193"/>
      <c r="Y316" s="193"/>
      <c r="Z316" s="194"/>
      <c r="AA316" s="193"/>
      <c r="AB316" s="193"/>
      <c r="AC316" s="193"/>
      <c r="AD316" s="193"/>
      <c r="AE316" s="193"/>
      <c r="AF316" s="193"/>
      <c r="AG316" s="193"/>
      <c r="AH316" s="193"/>
      <c r="AI316" s="193"/>
      <c r="AJ316" s="194"/>
      <c r="AK316" s="193"/>
      <c r="AL316" s="193"/>
      <c r="AM316" s="193"/>
      <c r="AN316" s="193"/>
      <c r="AO316" s="193"/>
      <c r="AP316" s="193"/>
      <c r="AQ316" s="193"/>
      <c r="AR316" s="193"/>
      <c r="AS316" s="193"/>
      <c r="AT316" s="194"/>
      <c r="AU316" s="193"/>
      <c r="AV316" s="193"/>
      <c r="AW316" s="193"/>
      <c r="AX316" s="193"/>
      <c r="AY316" s="193"/>
      <c r="AZ316" s="193"/>
      <c r="BA316" s="193"/>
      <c r="BB316" s="193"/>
      <c r="BC316" s="193"/>
      <c r="BD316" s="194"/>
      <c r="BE316" s="193"/>
      <c r="BF316" s="193"/>
      <c r="BG316" s="193"/>
      <c r="BH316" s="193"/>
      <c r="BI316" s="193"/>
      <c r="BJ316" s="193"/>
      <c r="BK316" s="193"/>
      <c r="BL316" s="193"/>
      <c r="BM316" s="193"/>
    </row>
    <row r="317" spans="1:65" ht="8.25" customHeight="1" x14ac:dyDescent="0.25">
      <c r="A317" s="193"/>
      <c r="B317" s="193"/>
      <c r="C317" s="193"/>
      <c r="D317" s="193"/>
      <c r="E317" s="193"/>
      <c r="F317" s="193"/>
      <c r="G317" s="193"/>
      <c r="H317" s="193"/>
      <c r="I317" s="193"/>
      <c r="J317" s="193"/>
      <c r="K317" s="193"/>
      <c r="L317" s="193"/>
      <c r="M317" s="193"/>
      <c r="N317" s="193"/>
      <c r="O317" s="193"/>
      <c r="P317" s="194"/>
      <c r="Q317" s="193"/>
      <c r="R317" s="193"/>
      <c r="S317" s="193"/>
      <c r="T317" s="193"/>
      <c r="U317" s="193"/>
      <c r="V317" s="193"/>
      <c r="W317" s="193"/>
      <c r="X317" s="193"/>
      <c r="Y317" s="193"/>
      <c r="Z317" s="194"/>
      <c r="AA317" s="193"/>
      <c r="AB317" s="193"/>
      <c r="AC317" s="193"/>
      <c r="AD317" s="193"/>
      <c r="AE317" s="193"/>
      <c r="AF317" s="193"/>
      <c r="AG317" s="193"/>
      <c r="AH317" s="193"/>
      <c r="AI317" s="193"/>
      <c r="AJ317" s="194"/>
      <c r="AK317" s="193"/>
      <c r="AL317" s="193"/>
      <c r="AM317" s="193"/>
      <c r="AN317" s="193"/>
      <c r="AO317" s="193"/>
      <c r="AP317" s="193"/>
      <c r="AQ317" s="193"/>
      <c r="AR317" s="193"/>
      <c r="AS317" s="193"/>
      <c r="AT317" s="194"/>
      <c r="AU317" s="193"/>
      <c r="AV317" s="193"/>
      <c r="AW317" s="193"/>
      <c r="AX317" s="193"/>
      <c r="AY317" s="193"/>
      <c r="AZ317" s="193"/>
      <c r="BA317" s="193"/>
      <c r="BB317" s="193"/>
      <c r="BC317" s="193"/>
      <c r="BD317" s="194"/>
      <c r="BE317" s="193"/>
      <c r="BF317" s="193"/>
      <c r="BG317" s="193"/>
      <c r="BH317" s="193"/>
      <c r="BI317" s="193"/>
      <c r="BJ317" s="193"/>
      <c r="BK317" s="193"/>
      <c r="BL317" s="193"/>
      <c r="BM317" s="193"/>
    </row>
    <row r="318" spans="1:65" ht="8.25" customHeight="1" x14ac:dyDescent="0.25">
      <c r="A318" s="193"/>
      <c r="B318" s="193"/>
      <c r="C318" s="193"/>
      <c r="D318" s="193"/>
      <c r="E318" s="193"/>
      <c r="F318" s="193"/>
      <c r="G318" s="193"/>
      <c r="H318" s="193"/>
      <c r="I318" s="193"/>
      <c r="J318" s="193"/>
      <c r="K318" s="193"/>
      <c r="L318" s="193"/>
      <c r="M318" s="193"/>
      <c r="N318" s="193"/>
      <c r="O318" s="193"/>
      <c r="P318" s="194"/>
      <c r="Q318" s="193"/>
      <c r="R318" s="193"/>
      <c r="S318" s="193"/>
      <c r="T318" s="193"/>
      <c r="U318" s="193"/>
      <c r="V318" s="193"/>
      <c r="W318" s="193"/>
      <c r="X318" s="193"/>
      <c r="Y318" s="193"/>
      <c r="Z318" s="194"/>
      <c r="AA318" s="193"/>
      <c r="AB318" s="193"/>
      <c r="AC318" s="193"/>
      <c r="AD318" s="193"/>
      <c r="AE318" s="193"/>
      <c r="AF318" s="193"/>
      <c r="AG318" s="193"/>
      <c r="AH318" s="193"/>
      <c r="AI318" s="193"/>
      <c r="AJ318" s="194"/>
      <c r="AK318" s="193"/>
      <c r="AL318" s="193"/>
      <c r="AM318" s="193"/>
      <c r="AN318" s="193"/>
      <c r="AO318" s="193"/>
      <c r="AP318" s="193"/>
      <c r="AQ318" s="193"/>
      <c r="AR318" s="193"/>
      <c r="AS318" s="193"/>
      <c r="AT318" s="194"/>
      <c r="AU318" s="193"/>
      <c r="AV318" s="193"/>
      <c r="AW318" s="193"/>
      <c r="AX318" s="193"/>
      <c r="AY318" s="193"/>
      <c r="AZ318" s="193"/>
      <c r="BA318" s="193"/>
      <c r="BB318" s="193"/>
      <c r="BC318" s="193"/>
      <c r="BD318" s="194"/>
      <c r="BE318" s="193"/>
      <c r="BF318" s="193"/>
      <c r="BG318" s="193"/>
      <c r="BH318" s="193"/>
      <c r="BI318" s="193"/>
      <c r="BJ318" s="193"/>
      <c r="BK318" s="193"/>
      <c r="BL318" s="193"/>
      <c r="BM318" s="193"/>
    </row>
    <row r="319" spans="1:65" ht="8.25" customHeight="1" x14ac:dyDescent="0.25">
      <c r="A319" s="193"/>
      <c r="B319" s="193"/>
      <c r="C319" s="193"/>
      <c r="D319" s="193"/>
      <c r="E319" s="193"/>
      <c r="F319" s="193"/>
      <c r="G319" s="193"/>
      <c r="H319" s="193"/>
      <c r="I319" s="193"/>
      <c r="J319" s="193"/>
      <c r="K319" s="193"/>
      <c r="L319" s="193"/>
      <c r="M319" s="193"/>
      <c r="N319" s="193"/>
      <c r="O319" s="193"/>
      <c r="P319" s="194"/>
      <c r="Q319" s="193"/>
      <c r="R319" s="193"/>
      <c r="S319" s="193"/>
      <c r="T319" s="193"/>
      <c r="U319" s="193"/>
      <c r="V319" s="193"/>
      <c r="W319" s="193"/>
      <c r="X319" s="193"/>
      <c r="Y319" s="193"/>
      <c r="Z319" s="194"/>
      <c r="AA319" s="193"/>
      <c r="AB319" s="193"/>
      <c r="AC319" s="193"/>
      <c r="AD319" s="193"/>
      <c r="AE319" s="193"/>
      <c r="AF319" s="193"/>
      <c r="AG319" s="193"/>
      <c r="AH319" s="193"/>
      <c r="AI319" s="193"/>
      <c r="AJ319" s="194"/>
      <c r="AK319" s="193"/>
      <c r="AL319" s="193"/>
      <c r="AM319" s="193"/>
      <c r="AN319" s="193"/>
      <c r="AO319" s="193"/>
      <c r="AP319" s="193"/>
      <c r="AQ319" s="193"/>
      <c r="AR319" s="193"/>
      <c r="AS319" s="193"/>
      <c r="AT319" s="194"/>
      <c r="AU319" s="193"/>
      <c r="AV319" s="193"/>
      <c r="AW319" s="193"/>
      <c r="AX319" s="193"/>
      <c r="AY319" s="193"/>
      <c r="AZ319" s="193"/>
      <c r="BA319" s="193"/>
      <c r="BB319" s="193"/>
      <c r="BC319" s="193"/>
      <c r="BD319" s="194"/>
      <c r="BE319" s="193"/>
      <c r="BF319" s="193"/>
      <c r="BG319" s="193"/>
      <c r="BH319" s="193"/>
      <c r="BI319" s="193"/>
      <c r="BJ319" s="193"/>
      <c r="BK319" s="193"/>
      <c r="BL319" s="193"/>
      <c r="BM319" s="193"/>
    </row>
    <row r="320" spans="1:65" ht="8.25" customHeight="1" x14ac:dyDescent="0.25">
      <c r="A320" s="193"/>
      <c r="B320" s="193"/>
      <c r="C320" s="193"/>
      <c r="D320" s="193"/>
      <c r="E320" s="193"/>
      <c r="F320" s="193"/>
      <c r="G320" s="193"/>
      <c r="H320" s="193"/>
      <c r="I320" s="193"/>
      <c r="J320" s="193"/>
      <c r="K320" s="193"/>
      <c r="L320" s="193"/>
      <c r="M320" s="193"/>
      <c r="N320" s="193"/>
      <c r="O320" s="193"/>
      <c r="P320" s="194"/>
      <c r="Q320" s="193"/>
      <c r="R320" s="193"/>
      <c r="S320" s="193"/>
      <c r="T320" s="193"/>
      <c r="U320" s="193"/>
      <c r="V320" s="193"/>
      <c r="W320" s="193"/>
      <c r="X320" s="193"/>
      <c r="Y320" s="193"/>
      <c r="Z320" s="194"/>
      <c r="AA320" s="193"/>
      <c r="AB320" s="193"/>
      <c r="AC320" s="193"/>
      <c r="AD320" s="193"/>
      <c r="AE320" s="193"/>
      <c r="AF320" s="193"/>
      <c r="AG320" s="193"/>
      <c r="AH320" s="193"/>
      <c r="AI320" s="193"/>
      <c r="AJ320" s="194"/>
      <c r="AK320" s="193"/>
      <c r="AL320" s="193"/>
      <c r="AM320" s="193"/>
      <c r="AN320" s="193"/>
      <c r="AO320" s="193"/>
      <c r="AP320" s="193"/>
      <c r="AQ320" s="193"/>
      <c r="AR320" s="193"/>
      <c r="AS320" s="193"/>
      <c r="AT320" s="194"/>
      <c r="AU320" s="193"/>
      <c r="AV320" s="193"/>
      <c r="AW320" s="193"/>
      <c r="AX320" s="193"/>
      <c r="AY320" s="193"/>
      <c r="AZ320" s="193"/>
      <c r="BA320" s="193"/>
      <c r="BB320" s="193"/>
      <c r="BC320" s="193"/>
      <c r="BD320" s="194"/>
      <c r="BE320" s="193"/>
      <c r="BF320" s="193"/>
      <c r="BG320" s="193"/>
      <c r="BH320" s="193"/>
      <c r="BI320" s="193"/>
      <c r="BJ320" s="193"/>
      <c r="BK320" s="193"/>
      <c r="BL320" s="193"/>
      <c r="BM320" s="193"/>
    </row>
    <row r="321" spans="1:65" ht="8.25" customHeight="1" x14ac:dyDescent="0.25">
      <c r="A321" s="193"/>
      <c r="B321" s="193"/>
      <c r="C321" s="193"/>
      <c r="D321" s="193"/>
      <c r="E321" s="193"/>
      <c r="F321" s="193"/>
      <c r="G321" s="193"/>
      <c r="H321" s="193"/>
      <c r="I321" s="193"/>
      <c r="J321" s="193"/>
      <c r="K321" s="193"/>
      <c r="L321" s="193"/>
      <c r="M321" s="193"/>
      <c r="N321" s="193"/>
      <c r="O321" s="193"/>
      <c r="P321" s="194"/>
      <c r="Q321" s="193"/>
      <c r="R321" s="193"/>
      <c r="S321" s="193"/>
      <c r="T321" s="193"/>
      <c r="U321" s="193"/>
      <c r="V321" s="193"/>
      <c r="W321" s="193"/>
      <c r="X321" s="193"/>
      <c r="Y321" s="193"/>
      <c r="Z321" s="194"/>
      <c r="AA321" s="193"/>
      <c r="AB321" s="193"/>
      <c r="AC321" s="193"/>
      <c r="AD321" s="193"/>
      <c r="AE321" s="193"/>
      <c r="AF321" s="193"/>
      <c r="AG321" s="193"/>
      <c r="AH321" s="193"/>
      <c r="AI321" s="193"/>
      <c r="AJ321" s="194"/>
      <c r="AK321" s="193"/>
      <c r="AL321" s="193"/>
      <c r="AM321" s="193"/>
      <c r="AN321" s="193"/>
      <c r="AO321" s="193"/>
      <c r="AP321" s="193"/>
      <c r="AQ321" s="193"/>
      <c r="AR321" s="193"/>
      <c r="AS321" s="193"/>
      <c r="AT321" s="194"/>
      <c r="AU321" s="193"/>
      <c r="AV321" s="193"/>
      <c r="AW321" s="193"/>
      <c r="AX321" s="193"/>
      <c r="AY321" s="193"/>
      <c r="AZ321" s="193"/>
      <c r="BA321" s="193"/>
      <c r="BB321" s="193"/>
      <c r="BC321" s="193"/>
      <c r="BD321" s="194"/>
      <c r="BE321" s="193"/>
      <c r="BF321" s="193"/>
      <c r="BG321" s="193"/>
      <c r="BH321" s="193"/>
      <c r="BI321" s="193"/>
      <c r="BJ321" s="193"/>
      <c r="BK321" s="193"/>
      <c r="BL321" s="193"/>
      <c r="BM321" s="193"/>
    </row>
    <row r="322" spans="1:65" ht="8.25" customHeight="1" x14ac:dyDescent="0.25">
      <c r="A322" s="193"/>
      <c r="B322" s="193"/>
      <c r="C322" s="193"/>
      <c r="D322" s="193"/>
      <c r="E322" s="193"/>
      <c r="F322" s="193"/>
      <c r="G322" s="193"/>
      <c r="H322" s="193"/>
      <c r="I322" s="193"/>
      <c r="J322" s="193"/>
      <c r="K322" s="193"/>
      <c r="L322" s="193"/>
      <c r="M322" s="193"/>
      <c r="N322" s="193"/>
      <c r="O322" s="193"/>
      <c r="P322" s="194"/>
      <c r="Q322" s="193"/>
      <c r="R322" s="193"/>
      <c r="S322" s="193"/>
      <c r="T322" s="193"/>
      <c r="U322" s="193"/>
      <c r="V322" s="193"/>
      <c r="W322" s="193"/>
      <c r="X322" s="193"/>
      <c r="Y322" s="193"/>
      <c r="Z322" s="194"/>
      <c r="AA322" s="193"/>
      <c r="AB322" s="193"/>
      <c r="AC322" s="193"/>
      <c r="AD322" s="193"/>
      <c r="AE322" s="193"/>
      <c r="AF322" s="193"/>
      <c r="AG322" s="193"/>
      <c r="AH322" s="193"/>
      <c r="AI322" s="193"/>
      <c r="AJ322" s="194"/>
      <c r="AK322" s="193"/>
      <c r="AL322" s="193"/>
      <c r="AM322" s="193"/>
      <c r="AN322" s="193"/>
      <c r="AO322" s="193"/>
      <c r="AP322" s="193"/>
      <c r="AQ322" s="193"/>
      <c r="AR322" s="193"/>
      <c r="AS322" s="193"/>
      <c r="AT322" s="194"/>
      <c r="AU322" s="193"/>
      <c r="AV322" s="193"/>
      <c r="AW322" s="193"/>
      <c r="AX322" s="193"/>
      <c r="AY322" s="193"/>
      <c r="AZ322" s="193"/>
      <c r="BA322" s="193"/>
      <c r="BB322" s="193"/>
      <c r="BC322" s="193"/>
      <c r="BD322" s="194"/>
      <c r="BE322" s="193"/>
      <c r="BF322" s="193"/>
      <c r="BG322" s="193"/>
      <c r="BH322" s="193"/>
      <c r="BI322" s="193"/>
      <c r="BJ322" s="193"/>
      <c r="BK322" s="193"/>
      <c r="BL322" s="193"/>
      <c r="BM322" s="193"/>
    </row>
    <row r="323" spans="1:65" ht="8.25" customHeight="1" x14ac:dyDescent="0.25">
      <c r="A323" s="193"/>
      <c r="B323" s="193"/>
      <c r="C323" s="193"/>
      <c r="D323" s="193"/>
      <c r="E323" s="193"/>
      <c r="F323" s="193"/>
      <c r="G323" s="193"/>
      <c r="H323" s="193"/>
      <c r="I323" s="193"/>
      <c r="J323" s="193"/>
      <c r="K323" s="193"/>
      <c r="L323" s="193"/>
      <c r="M323" s="193"/>
      <c r="N323" s="193"/>
      <c r="O323" s="193"/>
      <c r="P323" s="194"/>
      <c r="Q323" s="193"/>
      <c r="R323" s="193"/>
      <c r="S323" s="193"/>
      <c r="T323" s="193"/>
      <c r="U323" s="193"/>
      <c r="V323" s="193"/>
      <c r="W323" s="193"/>
      <c r="X323" s="193"/>
      <c r="Y323" s="193"/>
      <c r="Z323" s="194"/>
      <c r="AA323" s="193"/>
      <c r="AB323" s="193"/>
      <c r="AC323" s="193"/>
      <c r="AD323" s="193"/>
      <c r="AE323" s="193"/>
      <c r="AF323" s="193"/>
      <c r="AG323" s="193"/>
      <c r="AH323" s="193"/>
      <c r="AI323" s="193"/>
      <c r="AJ323" s="194"/>
      <c r="AK323" s="193"/>
      <c r="AL323" s="193"/>
      <c r="AM323" s="193"/>
      <c r="AN323" s="193"/>
      <c r="AO323" s="193"/>
      <c r="AP323" s="193"/>
      <c r="AQ323" s="193"/>
      <c r="AR323" s="193"/>
      <c r="AS323" s="193"/>
      <c r="AT323" s="194"/>
      <c r="AU323" s="193"/>
      <c r="AV323" s="193"/>
      <c r="AW323" s="193"/>
      <c r="AX323" s="193"/>
      <c r="AY323" s="193"/>
      <c r="AZ323" s="193"/>
      <c r="BA323" s="193"/>
      <c r="BB323" s="193"/>
      <c r="BC323" s="193"/>
      <c r="BD323" s="194"/>
      <c r="BE323" s="193"/>
      <c r="BF323" s="193"/>
      <c r="BG323" s="193"/>
      <c r="BH323" s="193"/>
      <c r="BI323" s="193"/>
      <c r="BJ323" s="193"/>
      <c r="BK323" s="193"/>
      <c r="BL323" s="193"/>
      <c r="BM323" s="193"/>
    </row>
    <row r="324" spans="1:65" ht="8.25" customHeight="1" x14ac:dyDescent="0.25">
      <c r="A324" s="193"/>
      <c r="B324" s="193"/>
      <c r="C324" s="193"/>
      <c r="D324" s="193"/>
      <c r="E324" s="193"/>
      <c r="F324" s="193"/>
      <c r="G324" s="193"/>
      <c r="H324" s="193"/>
      <c r="I324" s="193"/>
      <c r="J324" s="193"/>
      <c r="K324" s="193"/>
      <c r="L324" s="193"/>
      <c r="M324" s="193"/>
      <c r="N324" s="193"/>
      <c r="O324" s="193"/>
      <c r="P324" s="194"/>
      <c r="Q324" s="193"/>
      <c r="R324" s="193"/>
      <c r="S324" s="193"/>
      <c r="T324" s="193"/>
      <c r="U324" s="193"/>
      <c r="V324" s="193"/>
      <c r="W324" s="193"/>
      <c r="X324" s="193"/>
      <c r="Y324" s="193"/>
      <c r="Z324" s="194"/>
      <c r="AA324" s="193"/>
      <c r="AB324" s="193"/>
      <c r="AC324" s="193"/>
      <c r="AD324" s="193"/>
      <c r="AE324" s="193"/>
      <c r="AF324" s="193"/>
      <c r="AG324" s="193"/>
      <c r="AH324" s="193"/>
      <c r="AI324" s="193"/>
      <c r="AJ324" s="194"/>
      <c r="AK324" s="193"/>
      <c r="AL324" s="193"/>
      <c r="AM324" s="193"/>
      <c r="AN324" s="193"/>
      <c r="AO324" s="193"/>
      <c r="AP324" s="193"/>
      <c r="AQ324" s="193"/>
      <c r="AR324" s="193"/>
      <c r="AS324" s="193"/>
      <c r="AT324" s="194"/>
      <c r="AU324" s="193"/>
      <c r="AV324" s="193"/>
      <c r="AW324" s="193"/>
      <c r="AX324" s="193"/>
      <c r="AY324" s="193"/>
      <c r="AZ324" s="193"/>
      <c r="BA324" s="193"/>
      <c r="BB324" s="193"/>
      <c r="BC324" s="193"/>
      <c r="BD324" s="194"/>
      <c r="BE324" s="193"/>
      <c r="BF324" s="193"/>
      <c r="BG324" s="193"/>
      <c r="BH324" s="193"/>
      <c r="BI324" s="193"/>
      <c r="BJ324" s="193"/>
      <c r="BK324" s="193"/>
      <c r="BL324" s="193"/>
      <c r="BM324" s="193"/>
    </row>
    <row r="325" spans="1:65" ht="8.25" customHeight="1" x14ac:dyDescent="0.25">
      <c r="A325" s="193"/>
      <c r="B325" s="193"/>
      <c r="C325" s="193"/>
      <c r="D325" s="193"/>
      <c r="E325" s="193"/>
      <c r="F325" s="193"/>
      <c r="G325" s="193"/>
      <c r="H325" s="193"/>
      <c r="I325" s="193"/>
      <c r="J325" s="193"/>
      <c r="K325" s="193"/>
      <c r="L325" s="193"/>
      <c r="M325" s="193"/>
      <c r="N325" s="193"/>
      <c r="O325" s="193"/>
      <c r="P325" s="194"/>
      <c r="Q325" s="193"/>
      <c r="R325" s="193"/>
      <c r="S325" s="193"/>
      <c r="T325" s="193"/>
      <c r="U325" s="193"/>
      <c r="V325" s="193"/>
      <c r="W325" s="193"/>
      <c r="X325" s="193"/>
      <c r="Y325" s="193"/>
      <c r="Z325" s="194"/>
      <c r="AA325" s="193"/>
      <c r="AB325" s="193"/>
      <c r="AC325" s="193"/>
      <c r="AD325" s="193"/>
      <c r="AE325" s="193"/>
      <c r="AF325" s="193"/>
      <c r="AG325" s="193"/>
      <c r="AH325" s="193"/>
      <c r="AI325" s="193"/>
      <c r="AJ325" s="194"/>
      <c r="AK325" s="193"/>
      <c r="AL325" s="193"/>
      <c r="AM325" s="193"/>
      <c r="AN325" s="193"/>
      <c r="AO325" s="193"/>
      <c r="AP325" s="193"/>
      <c r="AQ325" s="193"/>
      <c r="AR325" s="193"/>
      <c r="AS325" s="193"/>
      <c r="AT325" s="194"/>
      <c r="AU325" s="193"/>
      <c r="AV325" s="193"/>
      <c r="AW325" s="193"/>
      <c r="AX325" s="193"/>
      <c r="AY325" s="193"/>
      <c r="AZ325" s="193"/>
      <c r="BA325" s="193"/>
      <c r="BB325" s="193"/>
      <c r="BC325" s="193"/>
      <c r="BD325" s="194"/>
      <c r="BE325" s="193"/>
      <c r="BF325" s="193"/>
      <c r="BG325" s="193"/>
      <c r="BH325" s="193"/>
      <c r="BI325" s="193"/>
      <c r="BJ325" s="193"/>
      <c r="BK325" s="193"/>
      <c r="BL325" s="193"/>
      <c r="BM325" s="193"/>
    </row>
  </sheetData>
  <sheetProtection selectLockedCells="1"/>
  <mergeCells count="39">
    <mergeCell ref="R89:R90"/>
    <mergeCell ref="T89:U90"/>
    <mergeCell ref="O89:P90"/>
    <mergeCell ref="V44:W45"/>
    <mergeCell ref="V54:W55"/>
    <mergeCell ref="V64:W65"/>
    <mergeCell ref="V74:W75"/>
    <mergeCell ref="T64:U65"/>
    <mergeCell ref="T74:U75"/>
    <mergeCell ref="Q64:R65"/>
    <mergeCell ref="Q74:R75"/>
    <mergeCell ref="S64:S65"/>
    <mergeCell ref="S74:S75"/>
    <mergeCell ref="O64:P65"/>
    <mergeCell ref="O74:P75"/>
    <mergeCell ref="N2:W4"/>
    <mergeCell ref="N5:W7"/>
    <mergeCell ref="T44:U45"/>
    <mergeCell ref="T54:U55"/>
    <mergeCell ref="Q44:R45"/>
    <mergeCell ref="Q54:R55"/>
    <mergeCell ref="S44:S45"/>
    <mergeCell ref="S54:S55"/>
    <mergeCell ref="O44:P45"/>
    <mergeCell ref="O54:P55"/>
    <mergeCell ref="C5:L7"/>
    <mergeCell ref="C2:L4"/>
    <mergeCell ref="D89:D90"/>
    <mergeCell ref="F89:F90"/>
    <mergeCell ref="H89:I90"/>
    <mergeCell ref="H40:I41"/>
    <mergeCell ref="N74:N75"/>
    <mergeCell ref="N64:N65"/>
    <mergeCell ref="D16:E17"/>
    <mergeCell ref="N44:N45"/>
    <mergeCell ref="N54:N55"/>
    <mergeCell ref="D55:E56"/>
    <mergeCell ref="H73:I74"/>
    <mergeCell ref="N27:W29"/>
  </mergeCells>
  <pageMargins left="0.25" right="0.25" top="0.75" bottom="0.75" header="0.3" footer="0.3"/>
  <pageSetup paperSize="9" fitToWidth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</sheetPr>
  <dimension ref="A1:GD325"/>
  <sheetViews>
    <sheetView topLeftCell="C1" zoomScaleNormal="100" workbookViewId="0">
      <selection activeCell="E31" sqref="E31"/>
    </sheetView>
  </sheetViews>
  <sheetFormatPr baseColWidth="10" defaultColWidth="11.42578125" defaultRowHeight="8.25" customHeight="1" outlineLevelCol="1" x14ac:dyDescent="0.25"/>
  <cols>
    <col min="1" max="2" width="2.42578125" style="195" hidden="1" customWidth="1" outlineLevel="1"/>
    <col min="3" max="3" width="2.42578125" style="195" customWidth="1" collapsed="1"/>
    <col min="4" max="4" width="13.7109375" style="195" customWidth="1"/>
    <col min="5" max="5" width="2.42578125" style="195" customWidth="1"/>
    <col min="6" max="6" width="13.7109375" style="195" customWidth="1"/>
    <col min="7" max="7" width="2.42578125" style="195" customWidth="1"/>
    <col min="8" max="8" width="13.7109375" style="195" customWidth="1"/>
    <col min="9" max="9" width="2.42578125" style="195" customWidth="1"/>
    <col min="10" max="10" width="13.7109375" style="195" customWidth="1"/>
    <col min="11" max="11" width="2.42578125" style="195" customWidth="1"/>
    <col min="12" max="12" width="13.7109375" style="195" customWidth="1"/>
    <col min="13" max="13" width="11.42578125" style="195"/>
    <col min="14" max="14" width="13.7109375" style="195" customWidth="1"/>
    <col min="15" max="15" width="2.42578125" style="195" customWidth="1"/>
    <col min="16" max="16" width="13.7109375" style="195" customWidth="1"/>
    <col min="17" max="17" width="2.42578125" style="195" customWidth="1"/>
    <col min="18" max="18" width="13.7109375" style="195" customWidth="1"/>
    <col min="19" max="19" width="2.42578125" style="195" customWidth="1"/>
    <col min="20" max="21" width="13.7109375" style="195" customWidth="1"/>
    <col min="22" max="22" width="2.42578125" style="195" customWidth="1"/>
    <col min="23" max="23" width="13.7109375" style="198" customWidth="1"/>
    <col min="24" max="24" width="3.28515625" style="198" customWidth="1"/>
    <col min="25" max="25" width="3.7109375" style="195" customWidth="1"/>
    <col min="26" max="29" width="10.7109375" style="195" customWidth="1"/>
    <col min="30" max="30" width="1.42578125" style="195" customWidth="1"/>
    <col min="31" max="31" width="3.7109375" style="195" customWidth="1"/>
    <col min="32" max="35" width="10.7109375" style="195" customWidth="1"/>
    <col min="36" max="16384" width="11.42578125" style="195"/>
  </cols>
  <sheetData>
    <row r="1" spans="1:186" ht="8.25" customHeight="1" x14ac:dyDescent="0.25">
      <c r="A1" s="193"/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200"/>
      <c r="N1" s="200"/>
      <c r="O1" s="200"/>
      <c r="P1" s="200"/>
      <c r="Q1" s="200"/>
      <c r="S1" s="199"/>
      <c r="T1" s="199"/>
      <c r="U1" s="199"/>
      <c r="V1" s="199"/>
      <c r="W1" s="199"/>
      <c r="X1" s="199"/>
      <c r="AO1" s="196"/>
      <c r="AP1" s="196"/>
      <c r="AQ1" s="196"/>
      <c r="AR1" s="196"/>
      <c r="AS1" s="196"/>
      <c r="AT1" s="196"/>
      <c r="AU1" s="196"/>
      <c r="AV1" s="196"/>
      <c r="AW1" s="196"/>
      <c r="AX1" s="196"/>
      <c r="AY1" s="196"/>
      <c r="AZ1" s="196"/>
      <c r="BA1" s="196"/>
      <c r="BB1" s="196"/>
      <c r="BC1" s="196"/>
      <c r="BD1" s="196"/>
      <c r="BE1" s="196"/>
      <c r="BF1" s="196"/>
      <c r="BG1" s="196"/>
      <c r="BH1" s="196"/>
      <c r="BI1" s="196"/>
      <c r="BJ1" s="196"/>
      <c r="BK1" s="196"/>
      <c r="BL1" s="196"/>
      <c r="BM1" s="196"/>
      <c r="BN1" s="196"/>
      <c r="BO1" s="196"/>
      <c r="BP1" s="196"/>
      <c r="BQ1" s="196"/>
      <c r="BR1" s="196"/>
      <c r="BS1" s="196"/>
      <c r="BT1" s="196"/>
      <c r="BU1" s="196"/>
      <c r="BV1" s="196"/>
      <c r="BW1" s="196"/>
      <c r="BX1" s="196"/>
      <c r="BY1" s="196"/>
      <c r="BZ1" s="196"/>
      <c r="CA1" s="196"/>
      <c r="CB1" s="196"/>
      <c r="CC1" s="196"/>
      <c r="CD1" s="196"/>
      <c r="CE1" s="196"/>
      <c r="CF1" s="196"/>
      <c r="CG1" s="196"/>
      <c r="CH1" s="196"/>
      <c r="CI1" s="196"/>
      <c r="CJ1" s="196"/>
    </row>
    <row r="2" spans="1:186" ht="8.25" customHeight="1" x14ac:dyDescent="0.25">
      <c r="B2" s="197"/>
      <c r="C2" s="197"/>
      <c r="D2" s="353" t="str">
        <f>'Infos générales'!$B$1</f>
        <v>Tournoi non-licencié AVTT</v>
      </c>
      <c r="E2" s="353"/>
      <c r="F2" s="353"/>
      <c r="G2" s="353"/>
      <c r="H2" s="353"/>
      <c r="I2" s="353"/>
      <c r="J2" s="353"/>
      <c r="K2" s="353"/>
      <c r="L2" s="353"/>
      <c r="M2" s="353"/>
      <c r="N2" s="353" t="str">
        <f>'Infos générales'!$B$1</f>
        <v>Tournoi non-licencié AVTT</v>
      </c>
      <c r="O2" s="353"/>
      <c r="P2" s="353"/>
      <c r="Q2" s="353"/>
      <c r="R2" s="353"/>
      <c r="S2" s="353"/>
      <c r="T2" s="353"/>
      <c r="U2" s="353"/>
      <c r="V2" s="353"/>
      <c r="W2" s="353"/>
      <c r="X2" s="201"/>
      <c r="AP2" s="197"/>
      <c r="AQ2" s="197"/>
      <c r="AR2" s="197"/>
      <c r="AS2" s="197"/>
      <c r="AT2" s="197"/>
      <c r="AU2" s="197"/>
      <c r="AV2" s="197"/>
      <c r="AW2" s="197"/>
      <c r="AX2" s="197"/>
      <c r="AY2" s="197"/>
      <c r="AZ2" s="197"/>
      <c r="BA2" s="197"/>
      <c r="BB2" s="197"/>
      <c r="BC2" s="197"/>
      <c r="BD2" s="197"/>
      <c r="BE2" s="197"/>
      <c r="BF2" s="197"/>
      <c r="BG2" s="197"/>
      <c r="BH2" s="197"/>
      <c r="BI2" s="197"/>
      <c r="BJ2" s="197"/>
      <c r="BK2" s="197"/>
      <c r="BL2" s="197"/>
      <c r="BM2" s="197"/>
      <c r="BN2" s="197"/>
      <c r="BO2" s="197"/>
      <c r="BP2" s="197"/>
      <c r="BQ2" s="197"/>
      <c r="BR2" s="197"/>
      <c r="BS2" s="197"/>
      <c r="BT2" s="197"/>
      <c r="BU2" s="197"/>
      <c r="BV2" s="197"/>
      <c r="BW2" s="197"/>
      <c r="BX2" s="197"/>
      <c r="BY2" s="197"/>
      <c r="BZ2" s="197"/>
      <c r="CA2" s="197"/>
      <c r="CB2" s="197"/>
      <c r="CC2" s="197"/>
      <c r="CD2" s="197"/>
      <c r="CE2" s="197"/>
      <c r="CF2" s="197"/>
      <c r="CG2" s="197"/>
      <c r="CH2" s="197"/>
      <c r="CI2" s="197"/>
      <c r="CJ2" s="197"/>
      <c r="CK2" s="197"/>
      <c r="CL2" s="197"/>
      <c r="CM2" s="197"/>
      <c r="CN2" s="197"/>
      <c r="CO2" s="197"/>
      <c r="CP2" s="197"/>
    </row>
    <row r="3" spans="1:186" ht="8.25" customHeight="1" x14ac:dyDescent="0.25">
      <c r="A3" s="197"/>
      <c r="B3" s="197"/>
      <c r="C3" s="197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201"/>
      <c r="AP3" s="197"/>
      <c r="AQ3" s="197"/>
      <c r="AR3" s="197"/>
      <c r="AS3" s="197"/>
      <c r="AT3" s="197"/>
      <c r="AU3" s="197"/>
      <c r="AV3" s="197"/>
      <c r="AW3" s="197"/>
      <c r="AX3" s="197"/>
      <c r="AY3" s="197"/>
      <c r="AZ3" s="197"/>
      <c r="BA3" s="197"/>
      <c r="BB3" s="197"/>
      <c r="BC3" s="197"/>
      <c r="BD3" s="197"/>
      <c r="BE3" s="197"/>
      <c r="BF3" s="197"/>
      <c r="BG3" s="197"/>
      <c r="BH3" s="197"/>
      <c r="BI3" s="197"/>
      <c r="BJ3" s="197"/>
      <c r="BK3" s="197"/>
      <c r="BL3" s="197"/>
      <c r="BM3" s="197"/>
      <c r="BN3" s="197"/>
      <c r="BO3" s="197"/>
      <c r="BP3" s="197"/>
      <c r="BQ3" s="197"/>
      <c r="BR3" s="197"/>
      <c r="BS3" s="197"/>
      <c r="BT3" s="197"/>
      <c r="BU3" s="197"/>
      <c r="BV3" s="197"/>
      <c r="BW3" s="197"/>
      <c r="BX3" s="197"/>
      <c r="BY3" s="197"/>
      <c r="BZ3" s="197"/>
      <c r="CA3" s="197"/>
      <c r="CB3" s="197"/>
      <c r="CC3" s="197"/>
      <c r="CD3" s="197"/>
      <c r="CE3" s="197"/>
      <c r="CF3" s="197"/>
      <c r="CG3" s="197"/>
      <c r="CH3" s="197"/>
      <c r="CI3" s="197"/>
      <c r="CJ3" s="197"/>
      <c r="CK3" s="197"/>
      <c r="CL3" s="197"/>
      <c r="CM3" s="197"/>
      <c r="CN3" s="197"/>
      <c r="CO3" s="197"/>
      <c r="CP3" s="197"/>
    </row>
    <row r="4" spans="1:186" ht="8.25" customHeight="1" x14ac:dyDescent="0.25">
      <c r="A4" s="197"/>
      <c r="B4" s="197"/>
      <c r="C4" s="197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201"/>
      <c r="AP4" s="197"/>
      <c r="AQ4" s="197"/>
      <c r="AR4" s="197"/>
      <c r="AS4" s="197"/>
      <c r="AT4" s="197"/>
      <c r="AU4" s="197"/>
      <c r="AV4" s="197"/>
      <c r="AW4" s="197"/>
      <c r="AX4" s="197"/>
      <c r="AY4" s="197"/>
      <c r="AZ4" s="197"/>
      <c r="BA4" s="197"/>
      <c r="BB4" s="197"/>
      <c r="BC4" s="197"/>
      <c r="BD4" s="197"/>
      <c r="BE4" s="197"/>
      <c r="BF4" s="197"/>
      <c r="BG4" s="197"/>
      <c r="BH4" s="197"/>
      <c r="BI4" s="197"/>
      <c r="BJ4" s="197"/>
      <c r="BK4" s="197"/>
      <c r="BL4" s="197"/>
      <c r="BM4" s="197"/>
      <c r="BN4" s="197"/>
      <c r="BO4" s="197"/>
      <c r="BP4" s="197"/>
      <c r="BQ4" s="197"/>
      <c r="BR4" s="197"/>
      <c r="BS4" s="197"/>
      <c r="BT4" s="197"/>
      <c r="BU4" s="197"/>
      <c r="BV4" s="197"/>
      <c r="BW4" s="197"/>
      <c r="BX4" s="197"/>
      <c r="BY4" s="197"/>
      <c r="BZ4" s="197"/>
      <c r="CA4" s="197"/>
      <c r="CB4" s="197"/>
      <c r="CC4" s="197"/>
      <c r="CD4" s="197"/>
      <c r="CE4" s="197"/>
      <c r="CF4" s="197"/>
      <c r="CG4" s="197"/>
      <c r="CH4" s="197"/>
      <c r="CI4" s="197"/>
      <c r="CJ4" s="197"/>
      <c r="CK4" s="197"/>
      <c r="CL4" s="197"/>
      <c r="CM4" s="197"/>
      <c r="CN4" s="197"/>
      <c r="CO4" s="197"/>
      <c r="CP4" s="197"/>
    </row>
    <row r="5" spans="1:186" ht="8.25" customHeight="1" x14ac:dyDescent="0.25">
      <c r="A5" s="197"/>
      <c r="B5" s="197"/>
      <c r="C5" s="197"/>
      <c r="D5" s="352">
        <f>'Infos générales'!$B$4</f>
        <v>43330</v>
      </c>
      <c r="E5" s="352"/>
      <c r="F5" s="352"/>
      <c r="G5" s="352"/>
      <c r="H5" s="352"/>
      <c r="I5" s="352"/>
      <c r="J5" s="352"/>
      <c r="K5" s="352"/>
      <c r="L5" s="352"/>
      <c r="M5" s="352"/>
      <c r="N5" s="352">
        <f>'Infos générales'!$B$4</f>
        <v>43330</v>
      </c>
      <c r="O5" s="352"/>
      <c r="P5" s="352"/>
      <c r="Q5" s="352"/>
      <c r="R5" s="352"/>
      <c r="S5" s="352"/>
      <c r="T5" s="352"/>
      <c r="U5" s="352"/>
      <c r="V5" s="352"/>
      <c r="W5" s="352"/>
      <c r="X5" s="202"/>
    </row>
    <row r="6" spans="1:186" ht="8.25" customHeight="1" x14ac:dyDescent="0.25">
      <c r="B6" s="199"/>
      <c r="C6" s="199"/>
      <c r="D6" s="352"/>
      <c r="E6" s="352"/>
      <c r="F6" s="352"/>
      <c r="G6" s="352"/>
      <c r="H6" s="352"/>
      <c r="I6" s="352"/>
      <c r="J6" s="352"/>
      <c r="K6" s="352"/>
      <c r="L6" s="352"/>
      <c r="M6" s="352"/>
      <c r="N6" s="352"/>
      <c r="O6" s="352"/>
      <c r="P6" s="352"/>
      <c r="Q6" s="352"/>
      <c r="R6" s="352"/>
      <c r="S6" s="352"/>
      <c r="T6" s="352"/>
      <c r="U6" s="352"/>
      <c r="V6" s="352"/>
      <c r="W6" s="352"/>
      <c r="X6" s="202"/>
      <c r="AO6" s="196"/>
      <c r="AP6" s="199"/>
      <c r="AQ6" s="199"/>
      <c r="AR6" s="199"/>
      <c r="AS6" s="199"/>
      <c r="AT6" s="199"/>
      <c r="AU6" s="199"/>
      <c r="AV6" s="199"/>
      <c r="AW6" s="199"/>
      <c r="AX6" s="199"/>
      <c r="AY6" s="199"/>
      <c r="AZ6" s="199"/>
      <c r="BA6" s="199"/>
      <c r="BB6" s="199"/>
      <c r="BC6" s="199"/>
      <c r="BD6" s="199"/>
      <c r="BE6" s="199"/>
      <c r="BF6" s="199"/>
      <c r="BG6" s="199"/>
      <c r="BH6" s="199"/>
      <c r="BI6" s="199"/>
      <c r="BJ6" s="199"/>
      <c r="BK6" s="199"/>
      <c r="BL6" s="199"/>
      <c r="BM6" s="199"/>
      <c r="BN6" s="199"/>
      <c r="BO6" s="199"/>
      <c r="BP6" s="199"/>
      <c r="BQ6" s="199"/>
      <c r="BR6" s="199"/>
      <c r="BS6" s="199"/>
      <c r="BT6" s="199"/>
      <c r="BU6" s="199"/>
      <c r="BV6" s="199"/>
      <c r="BW6" s="199"/>
      <c r="BX6" s="199"/>
      <c r="BY6" s="199"/>
      <c r="BZ6" s="199"/>
      <c r="CA6" s="199"/>
      <c r="CB6" s="199"/>
      <c r="CC6" s="199"/>
      <c r="CD6" s="199"/>
      <c r="CE6" s="199"/>
      <c r="CF6" s="199"/>
      <c r="CG6" s="199"/>
      <c r="CH6" s="199"/>
      <c r="CI6" s="199"/>
      <c r="CJ6" s="199"/>
      <c r="CK6" s="199"/>
      <c r="CL6" s="199"/>
      <c r="CM6" s="199"/>
      <c r="CN6" s="199"/>
      <c r="CO6" s="199"/>
      <c r="CP6" s="199"/>
      <c r="DN6" s="193"/>
      <c r="DO6" s="193"/>
      <c r="DP6" s="193"/>
      <c r="DQ6" s="193"/>
      <c r="DR6" s="193"/>
      <c r="DS6" s="193"/>
      <c r="DT6" s="193"/>
      <c r="DU6" s="193"/>
      <c r="DV6" s="193"/>
      <c r="DW6" s="193"/>
      <c r="DX6" s="193"/>
      <c r="DY6" s="193"/>
      <c r="DZ6" s="193"/>
      <c r="EA6" s="194"/>
      <c r="EB6" s="193"/>
      <c r="EC6" s="193"/>
      <c r="ED6" s="193"/>
      <c r="EE6" s="193"/>
      <c r="EF6" s="193"/>
      <c r="EG6" s="193"/>
      <c r="EH6" s="193"/>
      <c r="EI6" s="193"/>
      <c r="EJ6" s="193"/>
      <c r="EK6" s="194"/>
      <c r="EL6" s="193"/>
      <c r="EM6" s="193"/>
      <c r="EN6" s="193"/>
      <c r="EO6" s="193"/>
      <c r="EP6" s="193"/>
      <c r="EQ6" s="193"/>
      <c r="ER6" s="193"/>
      <c r="ES6" s="193"/>
      <c r="ET6" s="193"/>
      <c r="EU6" s="194"/>
      <c r="EV6" s="193"/>
      <c r="EW6" s="193"/>
      <c r="EX6" s="193"/>
      <c r="EY6" s="193"/>
      <c r="EZ6" s="193"/>
      <c r="FA6" s="193"/>
      <c r="FB6" s="193"/>
      <c r="FC6" s="193"/>
      <c r="FD6" s="193"/>
      <c r="FE6" s="194"/>
      <c r="FF6" s="193"/>
      <c r="FG6" s="193"/>
      <c r="FH6" s="193"/>
      <c r="FI6" s="193"/>
      <c r="FJ6" s="193"/>
      <c r="FK6" s="193"/>
      <c r="FL6" s="193"/>
      <c r="FM6" s="193"/>
      <c r="FN6" s="193"/>
      <c r="FO6" s="194"/>
      <c r="FP6" s="193"/>
      <c r="FQ6" s="193"/>
      <c r="FR6" s="193"/>
      <c r="FS6" s="193"/>
      <c r="FT6" s="193"/>
      <c r="FU6" s="193"/>
      <c r="FV6" s="193"/>
      <c r="FW6" s="193"/>
      <c r="FX6" s="193"/>
      <c r="FY6" s="193"/>
      <c r="FZ6" s="193"/>
      <c r="GA6" s="193"/>
      <c r="GB6" s="193"/>
      <c r="GC6" s="193"/>
      <c r="GD6" s="193"/>
    </row>
    <row r="7" spans="1:186" ht="8.25" customHeight="1" x14ac:dyDescent="0.25">
      <c r="A7" s="199"/>
      <c r="B7" s="199"/>
      <c r="C7" s="199"/>
      <c r="D7" s="352"/>
      <c r="E7" s="352"/>
      <c r="F7" s="352"/>
      <c r="G7" s="352"/>
      <c r="H7" s="352"/>
      <c r="I7" s="352"/>
      <c r="J7" s="352"/>
      <c r="K7" s="352"/>
      <c r="L7" s="352"/>
      <c r="M7" s="352"/>
      <c r="N7" s="352"/>
      <c r="O7" s="352"/>
      <c r="P7" s="352"/>
      <c r="Q7" s="352"/>
      <c r="R7" s="352"/>
      <c r="S7" s="352"/>
      <c r="T7" s="352"/>
      <c r="U7" s="352"/>
      <c r="V7" s="352"/>
      <c r="W7" s="352"/>
      <c r="X7" s="202"/>
      <c r="Z7" s="233"/>
      <c r="AA7" s="233"/>
      <c r="AB7" s="233"/>
      <c r="AC7" s="233"/>
      <c r="AD7" s="233"/>
      <c r="AE7" s="233"/>
      <c r="AF7" s="233"/>
      <c r="AG7" s="233"/>
      <c r="AH7" s="233"/>
      <c r="AI7" s="233"/>
      <c r="AO7" s="196"/>
      <c r="AP7" s="199"/>
      <c r="AQ7" s="199"/>
      <c r="AR7" s="199"/>
      <c r="AS7" s="199"/>
      <c r="AT7" s="199"/>
      <c r="AU7" s="199"/>
      <c r="AV7" s="199"/>
      <c r="AW7" s="199"/>
      <c r="AX7" s="199"/>
      <c r="AY7" s="199"/>
      <c r="AZ7" s="199"/>
      <c r="BA7" s="199"/>
      <c r="BB7" s="199"/>
      <c r="BC7" s="199"/>
      <c r="BD7" s="199"/>
      <c r="BE7" s="199"/>
      <c r="BF7" s="199"/>
      <c r="BG7" s="199"/>
      <c r="BH7" s="199"/>
      <c r="BI7" s="199"/>
      <c r="BJ7" s="199"/>
      <c r="BK7" s="199"/>
      <c r="BL7" s="199"/>
      <c r="BM7" s="199"/>
      <c r="BN7" s="199"/>
      <c r="BO7" s="199"/>
      <c r="BP7" s="199"/>
      <c r="BQ7" s="199"/>
      <c r="BR7" s="199"/>
      <c r="BS7" s="199"/>
      <c r="BT7" s="199"/>
      <c r="BU7" s="199"/>
      <c r="BV7" s="199"/>
      <c r="BW7" s="199"/>
      <c r="BX7" s="199"/>
      <c r="BY7" s="199"/>
      <c r="BZ7" s="199"/>
      <c r="CA7" s="199"/>
      <c r="CB7" s="199"/>
      <c r="CC7" s="199"/>
      <c r="CD7" s="199"/>
      <c r="CE7" s="199"/>
      <c r="CF7" s="199"/>
      <c r="CG7" s="199"/>
      <c r="CH7" s="199"/>
      <c r="CI7" s="199"/>
      <c r="CJ7" s="199"/>
      <c r="CK7" s="199"/>
      <c r="CL7" s="199"/>
      <c r="CM7" s="199"/>
      <c r="CN7" s="199"/>
      <c r="CO7" s="199"/>
      <c r="CP7" s="199"/>
      <c r="DN7" s="193"/>
      <c r="DO7" s="193"/>
      <c r="DP7" s="193"/>
      <c r="DQ7" s="193"/>
      <c r="DR7" s="193"/>
      <c r="DS7" s="193"/>
      <c r="DT7" s="193"/>
      <c r="DU7" s="193"/>
      <c r="DV7" s="193"/>
      <c r="DW7" s="193"/>
      <c r="DX7" s="193"/>
      <c r="DY7" s="193"/>
      <c r="DZ7" s="193"/>
      <c r="EA7" s="194"/>
      <c r="EB7" s="193"/>
      <c r="EC7" s="193"/>
      <c r="ED7" s="193"/>
      <c r="EE7" s="193"/>
      <c r="EF7" s="193"/>
      <c r="EG7" s="193"/>
      <c r="EH7" s="193"/>
      <c r="EI7" s="193"/>
      <c r="EJ7" s="193"/>
      <c r="EK7" s="194"/>
      <c r="EL7" s="193"/>
      <c r="EM7" s="193"/>
      <c r="EN7" s="193"/>
      <c r="EO7" s="193"/>
      <c r="EP7" s="193"/>
      <c r="EQ7" s="193"/>
      <c r="ER7" s="193"/>
      <c r="ES7" s="193"/>
      <c r="ET7" s="193"/>
      <c r="EU7" s="194"/>
      <c r="EV7" s="193"/>
      <c r="EW7" s="193"/>
      <c r="EX7" s="193"/>
      <c r="EY7" s="193"/>
      <c r="EZ7" s="193"/>
      <c r="FA7" s="193"/>
      <c r="FB7" s="193"/>
      <c r="FC7" s="193"/>
      <c r="FD7" s="193"/>
      <c r="FE7" s="194"/>
      <c r="FF7" s="193"/>
      <c r="FG7" s="193"/>
      <c r="FH7" s="193"/>
      <c r="FI7" s="193"/>
      <c r="FJ7" s="193"/>
      <c r="FK7" s="193"/>
      <c r="FL7" s="193"/>
      <c r="FM7" s="193"/>
      <c r="FN7" s="193"/>
      <c r="FO7" s="194"/>
      <c r="FP7" s="193"/>
      <c r="FQ7" s="193"/>
      <c r="FR7" s="193"/>
      <c r="FS7" s="193"/>
      <c r="FT7" s="193"/>
      <c r="FU7" s="193"/>
      <c r="FV7" s="193"/>
      <c r="FW7" s="193"/>
      <c r="FX7" s="193"/>
      <c r="FY7" s="193"/>
      <c r="FZ7" s="193"/>
      <c r="GA7" s="193"/>
      <c r="GB7" s="193"/>
      <c r="GC7" s="193"/>
      <c r="GD7" s="193"/>
    </row>
    <row r="8" spans="1:186" ht="8.25" customHeight="1" x14ac:dyDescent="0.25">
      <c r="A8" s="199"/>
      <c r="B8" s="199"/>
      <c r="C8" s="199"/>
      <c r="D8" s="199"/>
      <c r="E8" s="199"/>
      <c r="F8" s="199"/>
      <c r="G8" s="199"/>
      <c r="H8" s="199"/>
      <c r="I8" s="199"/>
      <c r="J8" s="199"/>
      <c r="K8" s="199"/>
      <c r="L8" s="199"/>
      <c r="N8" s="232"/>
      <c r="O8" s="232"/>
      <c r="P8" s="232"/>
      <c r="Q8" s="232"/>
      <c r="R8" s="232"/>
      <c r="S8" s="232"/>
      <c r="T8" s="232"/>
      <c r="U8" s="232"/>
      <c r="V8" s="232"/>
      <c r="W8" s="232"/>
      <c r="X8" s="232"/>
      <c r="Z8" s="233"/>
      <c r="AA8" s="233"/>
      <c r="AB8" s="233"/>
      <c r="AC8" s="233"/>
      <c r="AD8" s="233"/>
      <c r="AE8" s="233"/>
      <c r="AF8" s="233"/>
      <c r="AG8" s="233"/>
      <c r="AH8" s="233"/>
      <c r="AI8" s="233"/>
      <c r="AP8" s="199"/>
      <c r="AQ8" s="199"/>
      <c r="AR8" s="199"/>
      <c r="AS8" s="199"/>
      <c r="AT8" s="199"/>
      <c r="AU8" s="199"/>
      <c r="AV8" s="199"/>
      <c r="AW8" s="199"/>
      <c r="AX8" s="199"/>
      <c r="AY8" s="199"/>
      <c r="AZ8" s="199"/>
      <c r="BA8" s="199"/>
      <c r="BB8" s="199"/>
      <c r="BC8" s="199"/>
      <c r="BD8" s="199"/>
      <c r="BE8" s="199"/>
      <c r="BF8" s="199"/>
      <c r="BG8" s="199"/>
      <c r="BH8" s="199"/>
      <c r="BI8" s="199"/>
      <c r="BJ8" s="199"/>
      <c r="BK8" s="199"/>
      <c r="BL8" s="199"/>
      <c r="BM8" s="199"/>
      <c r="BN8" s="199"/>
      <c r="BO8" s="199"/>
      <c r="BP8" s="199"/>
      <c r="BQ8" s="199"/>
      <c r="BR8" s="199"/>
      <c r="BS8" s="199"/>
      <c r="BT8" s="199"/>
      <c r="BU8" s="199"/>
      <c r="BV8" s="199"/>
      <c r="BW8" s="199"/>
      <c r="BX8" s="199"/>
      <c r="BY8" s="199"/>
      <c r="BZ8" s="199"/>
      <c r="CA8" s="199"/>
      <c r="CB8" s="199"/>
      <c r="CC8" s="199"/>
      <c r="CD8" s="199"/>
      <c r="CE8" s="199"/>
      <c r="CF8" s="199"/>
      <c r="CG8" s="199"/>
      <c r="CH8" s="199"/>
      <c r="CI8" s="199"/>
      <c r="CJ8" s="199"/>
      <c r="CK8" s="199"/>
      <c r="CL8" s="199"/>
      <c r="CM8" s="199"/>
      <c r="CN8" s="199"/>
      <c r="CO8" s="199"/>
      <c r="CP8" s="199"/>
      <c r="DN8" s="193"/>
      <c r="DO8" s="193"/>
      <c r="DP8" s="193"/>
      <c r="DQ8" s="193"/>
      <c r="DR8" s="193"/>
      <c r="DS8" s="193"/>
      <c r="DT8" s="193"/>
      <c r="DU8" s="193"/>
      <c r="DV8" s="193"/>
      <c r="DW8" s="193"/>
      <c r="DX8" s="193"/>
      <c r="DY8" s="193"/>
      <c r="DZ8" s="193"/>
      <c r="EA8" s="194"/>
      <c r="EB8" s="193"/>
      <c r="EC8" s="193"/>
      <c r="ED8" s="193"/>
      <c r="EE8" s="193"/>
      <c r="EF8" s="193"/>
      <c r="EG8" s="193"/>
      <c r="EH8" s="193"/>
      <c r="EI8" s="193"/>
      <c r="EJ8" s="193"/>
      <c r="EK8" s="194"/>
      <c r="EL8" s="193"/>
      <c r="EM8" s="193"/>
      <c r="EN8" s="193"/>
      <c r="EO8" s="193"/>
      <c r="EP8" s="193"/>
      <c r="EQ8" s="193"/>
      <c r="ER8" s="193"/>
      <c r="ES8" s="193"/>
      <c r="ET8" s="193"/>
      <c r="EU8" s="194"/>
      <c r="EV8" s="193"/>
      <c r="EW8" s="193"/>
      <c r="EX8" s="193"/>
      <c r="EY8" s="193"/>
      <c r="EZ8" s="193"/>
      <c r="FA8" s="193"/>
      <c r="FB8" s="193"/>
      <c r="FC8" s="193"/>
      <c r="FD8" s="193"/>
      <c r="FE8" s="194"/>
      <c r="FF8" s="193"/>
      <c r="FG8" s="193"/>
      <c r="FH8" s="193"/>
      <c r="FI8" s="193"/>
      <c r="FJ8" s="193"/>
      <c r="FK8" s="193"/>
      <c r="FL8" s="193"/>
      <c r="FM8" s="193"/>
      <c r="FN8" s="193"/>
      <c r="FO8" s="194"/>
      <c r="FP8" s="193"/>
      <c r="FQ8" s="193"/>
      <c r="FR8" s="193"/>
      <c r="FS8" s="193"/>
      <c r="FT8" s="193"/>
      <c r="FU8" s="193"/>
      <c r="FV8" s="193"/>
      <c r="FW8" s="193"/>
      <c r="FX8" s="193"/>
      <c r="FY8" s="193"/>
      <c r="FZ8" s="193"/>
      <c r="GA8" s="193"/>
      <c r="GB8" s="193"/>
      <c r="GC8" s="193"/>
      <c r="GD8" s="193"/>
    </row>
    <row r="9" spans="1:186" ht="8.25" customHeight="1" x14ac:dyDescent="0.25">
      <c r="A9" s="198"/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N9" s="232"/>
      <c r="O9" s="232"/>
      <c r="P9" s="232"/>
      <c r="Q9" s="232"/>
      <c r="R9" s="232"/>
      <c r="S9" s="232"/>
      <c r="T9" s="232"/>
      <c r="U9" s="232"/>
      <c r="V9" s="232"/>
      <c r="W9" s="232"/>
      <c r="X9" s="232"/>
    </row>
    <row r="10" spans="1:186" ht="8.25" customHeight="1" x14ac:dyDescent="0.25">
      <c r="N10" s="233"/>
      <c r="O10" s="233"/>
      <c r="P10" s="233"/>
      <c r="Q10" s="233"/>
      <c r="R10" s="233"/>
      <c r="S10" s="233"/>
      <c r="T10" s="233"/>
      <c r="U10" s="233"/>
      <c r="V10" s="233"/>
      <c r="W10" s="233"/>
      <c r="X10" s="233"/>
      <c r="Z10" s="353" t="str">
        <f>'Infos générales'!$B$1</f>
        <v>Tournoi non-licencié AVTT</v>
      </c>
      <c r="AA10" s="353"/>
      <c r="AB10" s="353"/>
      <c r="AC10" s="353"/>
      <c r="AD10" s="353"/>
      <c r="AE10" s="353"/>
      <c r="AF10" s="353"/>
      <c r="AG10" s="353"/>
      <c r="AH10" s="353"/>
      <c r="AI10" s="353"/>
    </row>
    <row r="11" spans="1:186" ht="8.25" customHeight="1" x14ac:dyDescent="0.25">
      <c r="M11" s="233"/>
      <c r="N11" s="233"/>
      <c r="O11" s="233"/>
      <c r="P11" s="233"/>
      <c r="Q11" s="233"/>
      <c r="R11" s="233"/>
      <c r="S11" s="233"/>
      <c r="T11" s="233"/>
      <c r="U11" s="233"/>
      <c r="V11" s="233"/>
      <c r="W11" s="233"/>
      <c r="X11" s="233"/>
      <c r="Z11" s="353"/>
      <c r="AA11" s="353"/>
      <c r="AB11" s="353"/>
      <c r="AC11" s="353"/>
      <c r="AD11" s="353"/>
      <c r="AE11" s="353"/>
      <c r="AF11" s="353"/>
      <c r="AG11" s="353"/>
      <c r="AH11" s="353"/>
      <c r="AI11" s="353"/>
    </row>
    <row r="12" spans="1:186" ht="8.25" customHeight="1" x14ac:dyDescent="0.25">
      <c r="M12" s="233"/>
      <c r="N12" s="233"/>
      <c r="O12" s="233"/>
      <c r="P12" s="233"/>
      <c r="Q12" s="233"/>
      <c r="R12" s="233"/>
      <c r="S12" s="233"/>
      <c r="T12" s="233"/>
      <c r="U12" s="233"/>
      <c r="V12" s="233"/>
      <c r="W12" s="233"/>
      <c r="X12" s="233"/>
      <c r="Z12" s="353"/>
      <c r="AA12" s="353"/>
      <c r="AB12" s="353"/>
      <c r="AC12" s="353"/>
      <c r="AD12" s="353"/>
      <c r="AE12" s="353"/>
      <c r="AF12" s="353"/>
      <c r="AG12" s="353"/>
      <c r="AH12" s="353"/>
      <c r="AI12" s="353"/>
    </row>
    <row r="13" spans="1:186" ht="8.25" customHeight="1" x14ac:dyDescent="0.25">
      <c r="B13" s="232"/>
      <c r="C13" s="232"/>
      <c r="E13" s="232"/>
      <c r="F13" s="232"/>
      <c r="G13" s="232"/>
      <c r="H13" s="232"/>
      <c r="I13" s="232"/>
      <c r="J13" s="232"/>
      <c r="K13" s="232"/>
      <c r="L13" s="232"/>
      <c r="M13" s="233"/>
      <c r="N13" s="233"/>
      <c r="O13" s="233"/>
      <c r="P13" s="233"/>
      <c r="Q13" s="233"/>
      <c r="R13" s="233"/>
      <c r="S13" s="233"/>
      <c r="T13" s="233"/>
      <c r="U13" s="233"/>
      <c r="V13" s="233"/>
      <c r="W13" s="233"/>
      <c r="X13" s="233"/>
      <c r="Z13" s="352">
        <f>'Infos générales'!$B$4</f>
        <v>43330</v>
      </c>
      <c r="AA13" s="352"/>
      <c r="AB13" s="352"/>
      <c r="AC13" s="352"/>
      <c r="AD13" s="352"/>
      <c r="AE13" s="352"/>
      <c r="AF13" s="352"/>
      <c r="AG13" s="352"/>
      <c r="AH13" s="352"/>
      <c r="AI13" s="352"/>
    </row>
    <row r="14" spans="1:186" ht="8.25" customHeight="1" x14ac:dyDescent="0.25">
      <c r="B14" s="232"/>
      <c r="C14" s="232"/>
      <c r="D14" s="232"/>
      <c r="E14" s="232"/>
      <c r="F14" s="232"/>
      <c r="G14" s="232"/>
      <c r="H14" s="232"/>
      <c r="I14" s="232"/>
      <c r="J14" s="232"/>
      <c r="K14" s="232"/>
      <c r="L14" s="232"/>
      <c r="W14" s="195"/>
      <c r="X14" s="195"/>
      <c r="Z14" s="352"/>
      <c r="AA14" s="352"/>
      <c r="AB14" s="352"/>
      <c r="AC14" s="352"/>
      <c r="AD14" s="352"/>
      <c r="AE14" s="352"/>
      <c r="AF14" s="352"/>
      <c r="AG14" s="352"/>
      <c r="AH14" s="352"/>
      <c r="AI14" s="352"/>
    </row>
    <row r="15" spans="1:186" ht="8.25" customHeight="1" x14ac:dyDescent="0.25">
      <c r="B15" s="232"/>
      <c r="C15" s="232"/>
      <c r="D15" s="232"/>
      <c r="E15" s="232"/>
      <c r="F15" s="232"/>
      <c r="G15" s="232"/>
      <c r="H15" s="232"/>
      <c r="I15" s="232"/>
      <c r="J15" s="232"/>
      <c r="K15" s="232"/>
      <c r="L15" s="232"/>
      <c r="W15" s="195"/>
      <c r="X15" s="195"/>
      <c r="Z15" s="352"/>
      <c r="AA15" s="352"/>
      <c r="AB15" s="352"/>
      <c r="AC15" s="352"/>
      <c r="AD15" s="352"/>
      <c r="AE15" s="352"/>
      <c r="AF15" s="352"/>
      <c r="AG15" s="352"/>
      <c r="AH15" s="352"/>
      <c r="AI15" s="352"/>
    </row>
    <row r="16" spans="1:186" ht="8.25" customHeight="1" x14ac:dyDescent="0.25">
      <c r="B16" s="232"/>
      <c r="C16" s="232"/>
      <c r="D16" s="232"/>
      <c r="E16" s="232"/>
      <c r="F16" s="232"/>
      <c r="G16" s="232"/>
      <c r="H16" s="232"/>
      <c r="I16" s="232"/>
      <c r="J16" s="232"/>
      <c r="K16" s="232"/>
      <c r="L16" s="232"/>
      <c r="W16" s="195"/>
      <c r="X16" s="195"/>
    </row>
    <row r="17" spans="1:98" ht="8.25" customHeight="1" x14ac:dyDescent="0.25">
      <c r="B17" s="233"/>
      <c r="C17" s="233"/>
      <c r="E17" s="233"/>
      <c r="F17" s="233"/>
      <c r="G17" s="233"/>
      <c r="H17" s="233"/>
      <c r="I17" s="233"/>
      <c r="J17" s="233"/>
      <c r="K17" s="233"/>
      <c r="L17" s="233"/>
    </row>
    <row r="18" spans="1:98" ht="8.25" customHeight="1" x14ac:dyDescent="0.25"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</row>
    <row r="19" spans="1:98" ht="8.25" customHeight="1" x14ac:dyDescent="0.25"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3"/>
      <c r="Y19" s="193"/>
      <c r="Z19" s="193"/>
      <c r="AA19" s="193"/>
      <c r="AB19" s="193"/>
      <c r="AC19" s="193"/>
      <c r="AD19" s="193"/>
      <c r="AE19" s="193"/>
      <c r="AF19" s="193"/>
      <c r="AG19" s="194"/>
      <c r="AH19" s="193"/>
      <c r="AI19" s="193"/>
    </row>
    <row r="20" spans="1:98" ht="8.25" customHeight="1" x14ac:dyDescent="0.25">
      <c r="B20" s="233"/>
      <c r="C20" s="233"/>
      <c r="D20" s="233"/>
      <c r="E20" s="233"/>
      <c r="F20" s="233"/>
      <c r="G20" s="233"/>
      <c r="H20" s="233"/>
      <c r="I20" s="233"/>
      <c r="J20" s="233"/>
      <c r="K20" s="233"/>
      <c r="L20" s="233"/>
      <c r="N20" s="350" t="s">
        <v>337</v>
      </c>
      <c r="O20" s="350"/>
      <c r="P20" s="223"/>
      <c r="Q20" s="223"/>
      <c r="R20" s="223"/>
      <c r="Y20" s="193"/>
      <c r="Z20" s="193"/>
      <c r="AA20" s="193"/>
      <c r="AB20" s="193"/>
      <c r="AC20" s="193"/>
      <c r="AD20" s="193"/>
      <c r="AE20" s="193"/>
      <c r="AF20" s="193"/>
      <c r="AG20" s="194"/>
      <c r="AH20" s="193"/>
      <c r="AI20" s="193"/>
    </row>
    <row r="21" spans="1:98" ht="8.25" customHeight="1" x14ac:dyDescent="0.25">
      <c r="M21" s="223"/>
      <c r="N21" s="350"/>
      <c r="O21" s="350"/>
      <c r="P21" s="223"/>
      <c r="Q21" s="223"/>
      <c r="R21" s="223"/>
      <c r="Y21" s="193"/>
      <c r="Z21" s="193"/>
      <c r="AA21" s="193"/>
      <c r="AB21" s="193"/>
      <c r="AC21" s="193"/>
      <c r="AD21" s="193"/>
      <c r="AE21" s="193"/>
      <c r="AF21" s="193"/>
      <c r="AG21" s="194"/>
      <c r="AH21" s="193"/>
      <c r="AI21" s="193"/>
    </row>
    <row r="22" spans="1:98" ht="8.25" customHeight="1" x14ac:dyDescent="0.25">
      <c r="M22" s="223"/>
      <c r="N22" s="223"/>
      <c r="O22" s="223"/>
      <c r="P22" s="223"/>
      <c r="Q22" s="223"/>
      <c r="R22" s="223"/>
      <c r="U22" s="350" t="s">
        <v>323</v>
      </c>
      <c r="V22" s="350"/>
      <c r="W22" s="223"/>
      <c r="X22" s="223"/>
    </row>
    <row r="23" spans="1:98" ht="8.25" customHeight="1" x14ac:dyDescent="0.25">
      <c r="U23" s="350"/>
      <c r="V23" s="350"/>
      <c r="W23" s="223"/>
      <c r="X23" s="223"/>
    </row>
    <row r="24" spans="1:98" ht="8.25" customHeight="1" x14ac:dyDescent="0.15">
      <c r="M24" s="228"/>
      <c r="N24" s="224" t="str">
        <f>IF(G33+G34=0,"",IF(G33&lt;G34,F31,F35))</f>
        <v/>
      </c>
      <c r="O24" s="229"/>
      <c r="P24" s="229"/>
      <c r="Q24" s="229"/>
      <c r="R24" s="229"/>
      <c r="U24" s="223"/>
      <c r="V24" s="223"/>
      <c r="W24" s="223"/>
      <c r="X24" s="223"/>
      <c r="Y24" s="193"/>
      <c r="Z24" s="193"/>
      <c r="AA24" s="193"/>
      <c r="AB24" s="193"/>
      <c r="AC24" s="193"/>
      <c r="AD24" s="193"/>
      <c r="AE24" s="193"/>
      <c r="AF24" s="193"/>
      <c r="AG24" s="194"/>
      <c r="AH24" s="193"/>
      <c r="AI24" s="193"/>
    </row>
    <row r="25" spans="1:98" ht="8.25" customHeight="1" x14ac:dyDescent="0.15">
      <c r="N25" s="203"/>
      <c r="O25" s="204"/>
      <c r="P25" s="225" t="str">
        <f>IF(O25+O26=0,"",IF(O25&gt;O26,N24,N26))</f>
        <v/>
      </c>
      <c r="Q25" s="229"/>
      <c r="R25" s="229"/>
      <c r="W25" s="195"/>
      <c r="X25" s="195"/>
      <c r="Y25" s="193"/>
      <c r="Z25" s="193"/>
      <c r="AA25" s="193"/>
      <c r="AB25" s="193"/>
      <c r="AC25" s="193"/>
      <c r="AD25" s="193"/>
      <c r="AE25" s="193"/>
      <c r="AF25" s="193"/>
      <c r="AG25" s="194"/>
      <c r="AH25" s="193"/>
      <c r="AI25" s="193"/>
    </row>
    <row r="26" spans="1:98" ht="8.25" customHeight="1" x14ac:dyDescent="0.15">
      <c r="B26" s="223"/>
      <c r="C26" s="223"/>
      <c r="D26" s="350" t="s">
        <v>336</v>
      </c>
      <c r="E26" s="350"/>
      <c r="F26" s="223"/>
      <c r="G26" s="223"/>
      <c r="H26" s="223"/>
      <c r="I26" s="223"/>
      <c r="J26" s="223"/>
      <c r="K26" s="223"/>
      <c r="L26" s="223"/>
      <c r="M26" s="228"/>
      <c r="N26" s="224" t="str">
        <f>IF(G41+G42=0,"",IF(G41&lt;G42,F39,F43))</f>
        <v/>
      </c>
      <c r="O26" s="204"/>
      <c r="P26" s="193"/>
      <c r="Q26" s="206"/>
      <c r="R26" s="193"/>
      <c r="U26" s="224" t="str">
        <f>IF(O25+O26=0,"",IF(O25&lt;O26,N24,N26))</f>
        <v/>
      </c>
      <c r="V26" s="229"/>
      <c r="W26" s="229"/>
      <c r="X26" s="229"/>
      <c r="Y26" s="193"/>
      <c r="Z26" s="193"/>
      <c r="AA26" s="193"/>
      <c r="AB26" s="193"/>
      <c r="AC26" s="193"/>
      <c r="AD26" s="193"/>
      <c r="AE26" s="193"/>
      <c r="AF26" s="193"/>
      <c r="AG26" s="194"/>
      <c r="AH26" s="193"/>
      <c r="AI26" s="193"/>
    </row>
    <row r="27" spans="1:98" ht="8.25" customHeight="1" x14ac:dyDescent="0.15">
      <c r="A27" s="223"/>
      <c r="B27" s="223"/>
      <c r="C27" s="223"/>
      <c r="D27" s="350"/>
      <c r="E27" s="350"/>
      <c r="F27" s="223"/>
      <c r="G27" s="223"/>
      <c r="H27" s="223"/>
      <c r="I27" s="223"/>
      <c r="J27" s="223"/>
      <c r="K27" s="223"/>
      <c r="L27" s="223"/>
      <c r="N27" s="203"/>
      <c r="O27" s="194"/>
      <c r="P27" s="193"/>
      <c r="Q27" s="204"/>
      <c r="R27" s="226" t="str">
        <f>IF(Q27+Q28=0,"",IF(Q27&gt;Q28,P25,P29))</f>
        <v/>
      </c>
      <c r="U27" s="203"/>
      <c r="V27" s="204"/>
      <c r="W27" s="224" t="str">
        <f>IF(V27+V28=0,"",IF(V27&gt;V28,U26,U28))</f>
        <v/>
      </c>
      <c r="X27" s="229"/>
    </row>
    <row r="28" spans="1:98" ht="8.25" customHeight="1" x14ac:dyDescent="0.15">
      <c r="A28" s="223"/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8"/>
      <c r="N28" s="224" t="str">
        <f>IF(G49+G50=0,"",IF(G49&lt;G50,F47,F51))</f>
        <v/>
      </c>
      <c r="O28" s="194"/>
      <c r="P28" s="193"/>
      <c r="Q28" s="204"/>
      <c r="R28" s="193"/>
      <c r="U28" s="224" t="str">
        <f>IF(O29+O30=0,"",IF(O29&lt;O30,N28,N30))</f>
        <v/>
      </c>
      <c r="V28" s="204"/>
      <c r="W28" s="193"/>
      <c r="X28" s="193"/>
    </row>
    <row r="29" spans="1:98" ht="8.25" customHeight="1" x14ac:dyDescent="0.15">
      <c r="N29" s="203"/>
      <c r="O29" s="204"/>
      <c r="P29" s="225" t="str">
        <f>IF(O29+O30=0,"",IF(O29&gt;O30,N28,N30))</f>
        <v/>
      </c>
      <c r="Q29" s="206"/>
      <c r="R29" s="193"/>
      <c r="W29" s="195"/>
      <c r="X29" s="195"/>
      <c r="Y29" s="193"/>
      <c r="Z29" s="193"/>
      <c r="AA29" s="193"/>
      <c r="AB29" s="193"/>
      <c r="AC29" s="193"/>
      <c r="AD29" s="193"/>
      <c r="AE29" s="193"/>
      <c r="AF29" s="193"/>
      <c r="AG29" s="194"/>
      <c r="AH29" s="193"/>
      <c r="AI29" s="193"/>
    </row>
    <row r="30" spans="1:98" ht="8.25" customHeight="1" collapsed="1" x14ac:dyDescent="0.15">
      <c r="A30" s="222"/>
      <c r="B30" s="221">
        <f>IF(A30&gt;0,A30,INDEX('Classement pour tableau final'!$AB$11:$AB$266,MATCH(1,'Classement pour tableau final'!$Y$11:$Y$266,0)))</f>
        <v>1</v>
      </c>
      <c r="C30" s="193"/>
      <c r="D30" s="213" t="str">
        <f>IF('Infos générales'!$E$2="x",IF(B30&gt;0,VLOOKUP(B30,'Infos joueurs'!$A:$M,4,FALSE)&amp;" / "&amp;VLOOKUP(B30,'Infos joueurs'!$A:$M,9,FALSE),"1"),IF(B30&gt;0,VLOOKUP(B30,'Infos joueurs'!$A:$M,4,FALSE)&amp;" "&amp;VLOOKUP(B30,'Infos joueurs'!$A:$M,5,FALSE),"1"))</f>
        <v>Begert Nicolas</v>
      </c>
      <c r="E30" s="224"/>
      <c r="F30" s="229"/>
      <c r="G30" s="229"/>
      <c r="H30" s="229"/>
      <c r="I30" s="229"/>
      <c r="J30" s="229"/>
      <c r="K30" s="229"/>
      <c r="L30" s="229"/>
      <c r="M30" s="228"/>
      <c r="N30" s="227" t="str">
        <f>IF(G57+G58=0,"",IF(G57&lt;G58,F55,F59))</f>
        <v/>
      </c>
      <c r="O30" s="204"/>
      <c r="P30" s="193"/>
      <c r="Q30" s="193"/>
      <c r="R30" s="193"/>
      <c r="Y30" s="193"/>
      <c r="Z30" s="351" t="s">
        <v>328</v>
      </c>
      <c r="AA30" s="351"/>
      <c r="AB30" s="351"/>
      <c r="AC30" s="351"/>
      <c r="AD30" s="351"/>
      <c r="AE30" s="351"/>
      <c r="AF30" s="351"/>
      <c r="AG30" s="351"/>
      <c r="AH30" s="351"/>
      <c r="AI30" s="351"/>
    </row>
    <row r="31" spans="1:98" ht="8.25" customHeight="1" x14ac:dyDescent="0.15">
      <c r="B31" s="193"/>
      <c r="C31" s="193"/>
      <c r="D31" s="203"/>
      <c r="E31" s="204"/>
      <c r="F31" s="225" t="str">
        <f>IF(E31+E32=0,"",IF(E31&gt;E32,D30,D32))</f>
        <v/>
      </c>
      <c r="G31" s="229"/>
      <c r="H31" s="229"/>
      <c r="I31" s="229"/>
      <c r="J31" s="229"/>
      <c r="K31" s="229"/>
      <c r="L31" s="229"/>
      <c r="M31" s="196"/>
      <c r="N31" s="196"/>
      <c r="P31" s="220"/>
      <c r="Q31" s="196"/>
      <c r="R31" s="196"/>
      <c r="S31" s="196"/>
      <c r="W31" s="196"/>
      <c r="X31" s="196"/>
      <c r="Y31" s="193"/>
      <c r="Z31" s="351"/>
      <c r="AA31" s="351"/>
      <c r="AB31" s="351"/>
      <c r="AC31" s="351"/>
      <c r="AD31" s="351"/>
      <c r="AE31" s="351"/>
      <c r="AF31" s="351"/>
      <c r="AG31" s="351"/>
      <c r="AH31" s="351"/>
      <c r="AI31" s="351"/>
      <c r="CN31" s="205"/>
      <c r="CO31" s="205"/>
      <c r="CP31" s="205"/>
      <c r="CQ31" s="205"/>
      <c r="CR31" s="205"/>
      <c r="CS31" s="205"/>
      <c r="CT31" s="205"/>
    </row>
    <row r="32" spans="1:98" ht="8.25" customHeight="1" x14ac:dyDescent="0.15">
      <c r="A32" s="222"/>
      <c r="B32" s="221">
        <f>IF(A32&gt;0,A32,INDEX('Classement pour tableau final'!$AB$11:$AB$266,MATCH(16,'Classement pour tableau final'!$Y$11:$Y$266,0)))</f>
        <v>16</v>
      </c>
      <c r="C32" s="193"/>
      <c r="D32" s="213" t="str">
        <f>IF('Infos générales'!$E$2="x",IF(B32&gt;0,VLOOKUP(B32,'Infos joueurs'!$A:$M,4,FALSE)&amp;" / "&amp;VLOOKUP(B32,'Infos joueurs'!$A:$M,9,FALSE),"16"),IF(B32&gt;0,VLOOKUP(B32,'Infos joueurs'!$A:$M,4,FALSE)&amp;" "&amp;VLOOKUP(B32,'Infos joueurs'!$A:$M,5,FALSE),"16"))</f>
        <v>Knöri Alexander</v>
      </c>
      <c r="E32" s="204"/>
      <c r="F32" s="193"/>
      <c r="G32" s="206"/>
      <c r="H32" s="193"/>
      <c r="I32" s="193"/>
      <c r="J32" s="193"/>
      <c r="K32" s="193"/>
      <c r="L32" s="193"/>
      <c r="W32" s="195"/>
      <c r="X32" s="195"/>
      <c r="Z32" s="351"/>
      <c r="AA32" s="351"/>
      <c r="AB32" s="351"/>
      <c r="AC32" s="351"/>
      <c r="AD32" s="351"/>
      <c r="AE32" s="351"/>
      <c r="AF32" s="351"/>
      <c r="AG32" s="351"/>
      <c r="AH32" s="351"/>
      <c r="AI32" s="351"/>
      <c r="CN32" s="205"/>
      <c r="CO32" s="205"/>
      <c r="CP32" s="205"/>
      <c r="CQ32" s="205"/>
      <c r="CR32" s="205"/>
      <c r="CS32" s="205"/>
      <c r="CT32" s="205"/>
    </row>
    <row r="33" spans="1:186" ht="8.25" customHeight="1" x14ac:dyDescent="0.25">
      <c r="B33" s="193"/>
      <c r="C33" s="193"/>
      <c r="D33" s="203"/>
      <c r="E33" s="194"/>
      <c r="F33" s="193"/>
      <c r="G33" s="204"/>
      <c r="H33" s="226" t="str">
        <f>IF(G33+G34=0,"",IF(G33&gt;G34,F31,F35))</f>
        <v/>
      </c>
      <c r="I33" s="212"/>
      <c r="J33" s="194"/>
      <c r="K33" s="193"/>
      <c r="L33" s="193"/>
      <c r="W33" s="195"/>
      <c r="X33" s="195"/>
      <c r="CN33" s="205"/>
      <c r="CO33" s="205"/>
      <c r="CP33" s="205"/>
      <c r="CQ33" s="205"/>
      <c r="CR33" s="205"/>
      <c r="CS33" s="205"/>
      <c r="CT33" s="205"/>
    </row>
    <row r="34" spans="1:186" ht="8.25" customHeight="1" x14ac:dyDescent="0.15">
      <c r="A34" s="222"/>
      <c r="B34" s="221">
        <f>IF(A34&gt;0,A34,INDEX('Classement pour tableau final'!$AB$11:$AB$266,MATCH(9,'Classement pour tableau final'!$Y$11:$Y$266,0)))</f>
        <v>9</v>
      </c>
      <c r="C34" s="193"/>
      <c r="D34" s="213" t="str">
        <f>IF('Infos générales'!$E$2="x",IF(B34&gt;0,VLOOKUP(B34,'Infos joueurs'!$A:$M,4,FALSE)&amp;" / "&amp;VLOOKUP(B34,'Infos joueurs'!$A:$M,9,FALSE),"9"),IF(B34&gt;0,VLOOKUP(B34,'Infos joueurs'!$A:$M,4,FALSE)&amp;" "&amp;VLOOKUP(B34,'Infos joueurs'!$A:$M,5,FALSE),"9"))</f>
        <v>Emboye Tomas</v>
      </c>
      <c r="E34" s="194"/>
      <c r="F34" s="193"/>
      <c r="G34" s="204"/>
      <c r="H34" s="193"/>
      <c r="I34" s="206"/>
      <c r="J34" s="193"/>
      <c r="K34" s="193"/>
      <c r="L34" s="193"/>
      <c r="W34" s="195"/>
      <c r="X34" s="195"/>
      <c r="Y34" s="193"/>
      <c r="Z34" s="193"/>
      <c r="AA34" s="193"/>
      <c r="AB34" s="193"/>
      <c r="AC34" s="193"/>
      <c r="AD34" s="193"/>
      <c r="AE34" s="193"/>
      <c r="AF34" s="193"/>
      <c r="AG34" s="194"/>
      <c r="AH34" s="193"/>
      <c r="AI34" s="193"/>
      <c r="CN34" s="205"/>
      <c r="CO34" s="205"/>
      <c r="CP34" s="205"/>
      <c r="CQ34" s="205"/>
      <c r="CR34" s="205"/>
      <c r="CS34" s="205"/>
      <c r="CT34" s="205"/>
    </row>
    <row r="35" spans="1:186" ht="8.25" customHeight="1" x14ac:dyDescent="0.15">
      <c r="B35" s="193"/>
      <c r="C35" s="193"/>
      <c r="D35" s="203"/>
      <c r="E35" s="204"/>
      <c r="F35" s="225" t="str">
        <f>IF(E35+E36=0,"",IF(E35&gt;E36,D34,D36))</f>
        <v/>
      </c>
      <c r="G35" s="206"/>
      <c r="H35" s="193"/>
      <c r="I35" s="206"/>
      <c r="J35" s="193"/>
      <c r="K35" s="193"/>
      <c r="L35" s="193"/>
      <c r="W35" s="195"/>
      <c r="X35" s="195"/>
      <c r="Y35" s="193"/>
      <c r="Z35" s="193"/>
      <c r="AA35" s="193"/>
      <c r="AB35" s="193"/>
      <c r="AC35" s="193"/>
      <c r="AD35" s="193"/>
      <c r="AE35" s="193"/>
      <c r="AF35" s="193"/>
      <c r="AG35" s="194"/>
      <c r="AH35" s="193"/>
      <c r="AI35" s="193"/>
    </row>
    <row r="36" spans="1:186" ht="8.25" customHeight="1" x14ac:dyDescent="0.15">
      <c r="A36" s="222"/>
      <c r="B36" s="221">
        <f>IF(A36&gt;0,A36,INDEX('Classement pour tableau final'!$AB$11:$AB$266,MATCH(8,'Classement pour tableau final'!$Y$11:$Y$266,0)))</f>
        <v>8</v>
      </c>
      <c r="C36" s="193"/>
      <c r="D36" s="213" t="str">
        <f>IF('Infos générales'!$E$2="x",IF(B36&gt;0,VLOOKUP(B36,'Infos joueurs'!$A:$M,4,FALSE)&amp;" / "&amp;VLOOKUP(B36,'Infos joueurs'!$A:$M,9,FALSE),"8"),IF(B36&gt;0,VLOOKUP(B36,'Infos joueurs'!$A:$M,4,FALSE)&amp;" "&amp;VLOOKUP(B36,'Infos joueurs'!$A:$M,5,FALSE),"8"))</f>
        <v>Derivaz Valentin</v>
      </c>
      <c r="E36" s="204"/>
      <c r="F36" s="193"/>
      <c r="G36" s="194"/>
      <c r="H36" s="193"/>
      <c r="I36" s="206"/>
      <c r="J36" s="193"/>
      <c r="K36" s="193"/>
      <c r="L36" s="193"/>
      <c r="W36" s="195"/>
      <c r="X36" s="195"/>
      <c r="Y36" s="193"/>
      <c r="Z36" s="193"/>
      <c r="AA36" s="193"/>
      <c r="AB36" s="193"/>
      <c r="AC36" s="193"/>
      <c r="AD36" s="193"/>
      <c r="AE36" s="193"/>
      <c r="AF36" s="193"/>
      <c r="AG36" s="194"/>
      <c r="AH36" s="193"/>
      <c r="AI36" s="193"/>
    </row>
    <row r="37" spans="1:186" ht="8.25" customHeight="1" x14ac:dyDescent="0.25">
      <c r="B37" s="193"/>
      <c r="C37" s="193"/>
      <c r="D37" s="203"/>
      <c r="E37" s="194"/>
      <c r="F37" s="193"/>
      <c r="G37" s="194"/>
      <c r="H37" s="193"/>
      <c r="I37" s="204"/>
      <c r="J37" s="226" t="str">
        <f>IF(I37+I38=0,"",IF(I37&gt;I38,H33,H41))</f>
        <v/>
      </c>
      <c r="K37" s="212"/>
      <c r="L37" s="194"/>
      <c r="N37" s="350" t="s">
        <v>338</v>
      </c>
      <c r="O37" s="350"/>
      <c r="P37" s="223"/>
      <c r="Q37" s="223"/>
      <c r="R37" s="223"/>
      <c r="S37" s="223"/>
      <c r="T37" s="223"/>
      <c r="U37" s="223"/>
      <c r="V37" s="223"/>
      <c r="W37" s="223"/>
      <c r="X37" s="223"/>
    </row>
    <row r="38" spans="1:186" ht="8.25" customHeight="1" x14ac:dyDescent="0.15">
      <c r="A38" s="222"/>
      <c r="B38" s="221">
        <f>IF(A38&gt;0,A38,INDEX('Classement pour tableau final'!$AB$11:$AB$266,MATCH(5,'Classement pour tableau final'!$Y$11:$Y$266,0)))</f>
        <v>5</v>
      </c>
      <c r="C38" s="193"/>
      <c r="D38" s="213" t="str">
        <f>IF('Infos générales'!$E$2="x",IF(B38&gt;0,VLOOKUP(B38,'Infos joueurs'!$A:$M,4,FALSE)&amp;" / "&amp;VLOOKUP(B38,'Infos joueurs'!$A:$M,9,FALSE),"5"),IF(B38&gt;0,VLOOKUP(B38,'Infos joueurs'!$A:$M,4,FALSE)&amp;" "&amp;VLOOKUP(B38,'Infos joueurs'!$A:$M,5,FALSE),"5"))</f>
        <v>Clausix Adam</v>
      </c>
      <c r="E38" s="194"/>
      <c r="F38" s="193"/>
      <c r="G38" s="194"/>
      <c r="H38" s="193"/>
      <c r="I38" s="204"/>
      <c r="J38" s="193"/>
      <c r="K38" s="206"/>
      <c r="L38" s="193"/>
      <c r="M38" s="223"/>
      <c r="N38" s="350"/>
      <c r="O38" s="350"/>
      <c r="P38" s="223"/>
      <c r="Q38" s="223"/>
      <c r="R38" s="223"/>
      <c r="S38" s="223"/>
      <c r="T38" s="223"/>
      <c r="U38" s="223"/>
      <c r="V38" s="223"/>
      <c r="W38" s="223"/>
      <c r="X38" s="223"/>
    </row>
    <row r="39" spans="1:186" ht="8.25" customHeight="1" x14ac:dyDescent="0.15">
      <c r="B39" s="193"/>
      <c r="C39" s="193"/>
      <c r="D39" s="203"/>
      <c r="E39" s="204"/>
      <c r="F39" s="225" t="str">
        <f>IF(E39+E40=0,"",IF(E39&gt;E40,D38,D40))</f>
        <v/>
      </c>
      <c r="G39" s="194"/>
      <c r="H39" s="193"/>
      <c r="I39" s="206"/>
      <c r="J39" s="193"/>
      <c r="K39" s="206"/>
      <c r="L39" s="19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193"/>
      <c r="Z39" s="193"/>
      <c r="AA39" s="193"/>
      <c r="AB39" s="193"/>
      <c r="AC39" s="193"/>
      <c r="AD39" s="193"/>
      <c r="AE39" s="193"/>
      <c r="AF39" s="193"/>
      <c r="AG39" s="194"/>
      <c r="AH39" s="193"/>
      <c r="AI39" s="193"/>
    </row>
    <row r="40" spans="1:186" ht="8.25" customHeight="1" x14ac:dyDescent="0.15">
      <c r="A40" s="222"/>
      <c r="B40" s="221">
        <f>IF(A40&gt;0,A40,INDEX('Classement pour tableau final'!$AB$11:$AB$266,MATCH(12,'Classement pour tableau final'!$Y$11:$Y$266,0)))</f>
        <v>12</v>
      </c>
      <c r="C40" s="193"/>
      <c r="D40" s="213" t="str">
        <f>IF('Infos générales'!$E$2="x",IF(B40&gt;0,VLOOKUP(B40,'Infos joueurs'!$A:$M,4,FALSE)&amp;" / "&amp;VLOOKUP(B40,'Infos joueurs'!$A:$M,9,FALSE),"12"),IF(B40&gt;0,VLOOKUP(B40,'Infos joueurs'!$A:$M,4,FALSE)&amp;" "&amp;VLOOKUP(B40,'Infos joueurs'!$A:$M,5,FALSE),"12"))</f>
        <v>Germanier Enzo</v>
      </c>
      <c r="E40" s="204"/>
      <c r="F40" s="193"/>
      <c r="G40" s="206"/>
      <c r="H40" s="193"/>
      <c r="I40" s="206"/>
      <c r="J40" s="193"/>
      <c r="K40" s="206"/>
      <c r="L40" s="193"/>
      <c r="W40" s="193"/>
      <c r="X40" s="193"/>
      <c r="Y40" s="193"/>
      <c r="Z40" s="193"/>
      <c r="AA40" s="193"/>
      <c r="AB40" s="193"/>
      <c r="AC40" s="193"/>
      <c r="AD40" s="193"/>
      <c r="AE40" s="193"/>
      <c r="AF40" s="193"/>
      <c r="AG40" s="194"/>
      <c r="AH40" s="193"/>
      <c r="AI40" s="193"/>
    </row>
    <row r="41" spans="1:186" ht="8.25" customHeight="1" x14ac:dyDescent="0.15">
      <c r="B41" s="193"/>
      <c r="C41" s="193"/>
      <c r="D41" s="203"/>
      <c r="E41" s="194"/>
      <c r="F41" s="193"/>
      <c r="G41" s="204"/>
      <c r="H41" s="226" t="str">
        <f>IF(G41+G42=0,"",IF(G41&gt;G42,F39,F43))</f>
        <v/>
      </c>
      <c r="I41" s="206"/>
      <c r="J41" s="193"/>
      <c r="K41" s="206"/>
      <c r="L41" s="193"/>
      <c r="M41" s="228"/>
      <c r="N41" s="224" t="str">
        <f>IF(E31+E32=0,"",IF(E31&lt;E32,D30,D32))</f>
        <v/>
      </c>
      <c r="O41" s="229"/>
      <c r="P41" s="229"/>
      <c r="Q41" s="229"/>
      <c r="R41" s="229"/>
      <c r="S41" s="229"/>
      <c r="T41" s="229"/>
      <c r="W41" s="229"/>
      <c r="X41" s="229"/>
      <c r="Y41" s="193"/>
      <c r="Z41" s="193"/>
      <c r="AA41" s="193"/>
      <c r="AB41" s="193"/>
      <c r="AC41" s="193"/>
      <c r="AD41" s="193"/>
      <c r="AE41" s="193"/>
      <c r="AF41" s="193"/>
      <c r="AG41" s="194"/>
      <c r="AH41" s="193"/>
      <c r="AI41" s="193"/>
    </row>
    <row r="42" spans="1:186" ht="8.25" customHeight="1" x14ac:dyDescent="0.15">
      <c r="A42" s="222"/>
      <c r="B42" s="221">
        <f>IF(A42&gt;0,A42,INDEX('Classement pour tableau final'!$AB$11:$AB$266,MATCH(13,'Classement pour tableau final'!$Y$11:$Y$266,0)))</f>
        <v>13</v>
      </c>
      <c r="C42" s="193"/>
      <c r="D42" s="213" t="str">
        <f>IF('Infos générales'!$E$2="x",IF(B42&gt;0,VLOOKUP(B42,'Infos joueurs'!$A:$M,4,FALSE)&amp;" / "&amp;VLOOKUP(B42,'Infos joueurs'!$A:$M,9,FALSE),"13"),IF(B42&gt;0,VLOOKUP(B42,'Infos joueurs'!$A:$M,4,FALSE)&amp;" "&amp;VLOOKUP(B42,'Infos joueurs'!$A:$M,5,FALSE),"13"))</f>
        <v>Heldner Mathis</v>
      </c>
      <c r="E42" s="194"/>
      <c r="F42" s="193"/>
      <c r="G42" s="204"/>
      <c r="H42" s="193"/>
      <c r="I42" s="194"/>
      <c r="J42" s="193"/>
      <c r="K42" s="206"/>
      <c r="L42" s="193"/>
      <c r="N42" s="203"/>
      <c r="O42" s="204"/>
      <c r="P42" s="225" t="str">
        <f>IF(O42+O43=0,"",IF(O42&gt;O43,N41,N43))</f>
        <v/>
      </c>
      <c r="Q42" s="229"/>
      <c r="R42" s="229"/>
      <c r="S42" s="229"/>
      <c r="T42" s="229"/>
      <c r="W42" s="193"/>
      <c r="X42" s="193"/>
      <c r="Y42" s="360">
        <v>1</v>
      </c>
      <c r="Z42" s="357" t="str">
        <f>IF(K45+K46=0,"",IF(K45&gt;K46,J37,J53))</f>
        <v/>
      </c>
      <c r="AA42" s="357"/>
      <c r="AB42" s="357"/>
      <c r="AC42" s="357"/>
      <c r="AD42" s="236"/>
      <c r="AE42" s="360">
        <v>9</v>
      </c>
      <c r="AF42" s="357" t="str">
        <f>IF(S48+S49=0,"",IF(S48&gt;S49,R44,R52))</f>
        <v/>
      </c>
      <c r="AG42" s="357"/>
      <c r="AH42" s="357"/>
      <c r="AI42" s="357"/>
    </row>
    <row r="43" spans="1:186" ht="8.25" customHeight="1" x14ac:dyDescent="0.15">
      <c r="B43" s="193"/>
      <c r="C43" s="193"/>
      <c r="D43" s="203"/>
      <c r="E43" s="204"/>
      <c r="F43" s="225" t="str">
        <f>IF(E43+E44=0,"",IF(E43&gt;E44,D42,D44))</f>
        <v/>
      </c>
      <c r="G43" s="206"/>
      <c r="H43" s="193"/>
      <c r="I43" s="194"/>
      <c r="J43" s="193"/>
      <c r="K43" s="206"/>
      <c r="L43" s="193"/>
      <c r="M43" s="228"/>
      <c r="N43" s="224" t="str">
        <f>IF(E35+E36=0,"",IF(E35&lt;E36,D34,D36))</f>
        <v/>
      </c>
      <c r="O43" s="204"/>
      <c r="P43" s="193"/>
      <c r="Q43" s="206"/>
      <c r="R43" s="193"/>
      <c r="S43" s="193"/>
      <c r="T43" s="193"/>
      <c r="W43" s="229"/>
      <c r="X43" s="229"/>
      <c r="Y43" s="360"/>
      <c r="Z43" s="358"/>
      <c r="AA43" s="358"/>
      <c r="AB43" s="358"/>
      <c r="AC43" s="358"/>
      <c r="AD43" s="236"/>
      <c r="AE43" s="360"/>
      <c r="AF43" s="358"/>
      <c r="AG43" s="358"/>
      <c r="AH43" s="358"/>
      <c r="AI43" s="358"/>
    </row>
    <row r="44" spans="1:186" ht="8.25" customHeight="1" x14ac:dyDescent="0.15">
      <c r="A44" s="222"/>
      <c r="B44" s="221">
        <f>IF(A44&gt;0,A44,INDEX('Classement pour tableau final'!$AB$11:$AB$266,MATCH(4,'Classement pour tableau final'!$Y$11:$Y$266,0)))</f>
        <v>4</v>
      </c>
      <c r="C44" s="193"/>
      <c r="D44" s="213" t="str">
        <f>IF('Infos générales'!$E$2="x",IF(B44&gt;0,VLOOKUP(B44,'Infos joueurs'!$A:$M,4,FALSE)&amp;" / "&amp;VLOOKUP(B44,'Infos joueurs'!$A:$M,9,FALSE),"4"),IF(B44&gt;0,VLOOKUP(B44,'Infos joueurs'!$A:$M,4,FALSE)&amp;" "&amp;VLOOKUP(B44,'Infos joueurs'!$A:$M,5,FALSE),"4"))</f>
        <v>Blazquez Esteban</v>
      </c>
      <c r="E44" s="204"/>
      <c r="F44" s="193"/>
      <c r="G44" s="194"/>
      <c r="H44" s="193"/>
      <c r="I44" s="194"/>
      <c r="J44" s="193"/>
      <c r="K44" s="206"/>
      <c r="L44" s="193"/>
      <c r="N44" s="203"/>
      <c r="O44" s="194"/>
      <c r="P44" s="193"/>
      <c r="Q44" s="204"/>
      <c r="R44" s="226" t="str">
        <f>IF(Q44+Q45=0,"",IF(Q44&gt;Q45,P42,P46))</f>
        <v/>
      </c>
      <c r="S44" s="212"/>
      <c r="T44" s="212"/>
      <c r="W44" s="193"/>
      <c r="X44" s="193"/>
      <c r="Y44" s="193"/>
      <c r="Z44" s="193"/>
      <c r="AA44" s="193"/>
      <c r="AB44" s="193"/>
      <c r="AC44" s="193"/>
      <c r="AD44" s="193"/>
      <c r="AE44" s="193"/>
      <c r="AF44" s="193"/>
      <c r="AG44" s="194"/>
      <c r="AH44" s="193"/>
      <c r="AI44" s="193"/>
    </row>
    <row r="45" spans="1:186" ht="8.25" customHeight="1" x14ac:dyDescent="0.15">
      <c r="B45" s="193"/>
      <c r="C45" s="193"/>
      <c r="D45" s="203"/>
      <c r="E45" s="194"/>
      <c r="F45" s="193"/>
      <c r="G45" s="194"/>
      <c r="H45" s="193"/>
      <c r="I45" s="194"/>
      <c r="J45" s="193"/>
      <c r="K45" s="204"/>
      <c r="L45" s="226" t="str">
        <f>IF(K45+K46=0,"",IF(K45&gt;K46,J37,J53))</f>
        <v/>
      </c>
      <c r="M45" s="228"/>
      <c r="N45" s="224" t="str">
        <f>IF(E39+E40=0,"",IF(E39&lt;E40,D38,D40))</f>
        <v/>
      </c>
      <c r="O45" s="194"/>
      <c r="P45" s="193"/>
      <c r="Q45" s="204"/>
      <c r="R45" s="193"/>
      <c r="S45" s="206"/>
      <c r="T45" s="193"/>
      <c r="W45" s="229"/>
      <c r="X45" s="229"/>
      <c r="Y45" s="193"/>
      <c r="Z45" s="193"/>
      <c r="AA45" s="193"/>
      <c r="AB45" s="193"/>
      <c r="AC45" s="193"/>
      <c r="AD45" s="193"/>
      <c r="AE45" s="193"/>
      <c r="AF45" s="193"/>
      <c r="AG45" s="194"/>
      <c r="AH45" s="193"/>
      <c r="AI45" s="193"/>
    </row>
    <row r="46" spans="1:186" ht="8.25" customHeight="1" x14ac:dyDescent="0.15">
      <c r="A46" s="222"/>
      <c r="B46" s="221">
        <f>IF(A46&gt;0,A46,INDEX('Classement pour tableau final'!$AB$11:$AB$266,MATCH(3,'Classement pour tableau final'!$Y$11:$Y$266,0)))</f>
        <v>3</v>
      </c>
      <c r="C46" s="193"/>
      <c r="D46" s="213" t="str">
        <f>IF('Infos générales'!$E$2="x",IF(B46&gt;0,VLOOKUP(B46,'Infos joueurs'!$A:$M,4,FALSE)&amp;" / "&amp;VLOOKUP(B46,'Infos joueurs'!$A:$M,9,FALSE),"3"),IF(B46&gt;0,VLOOKUP(B46,'Infos joueurs'!$A:$M,4,FALSE)&amp;" "&amp;VLOOKUP(B46,'Infos joueurs'!$A:$M,5,FALSE),"3"))</f>
        <v>Berisha Fatlum</v>
      </c>
      <c r="E46" s="194"/>
      <c r="F46" s="193"/>
      <c r="G46" s="194"/>
      <c r="H46" s="193"/>
      <c r="I46" s="194"/>
      <c r="J46" s="193"/>
      <c r="K46" s="204"/>
      <c r="L46" s="193"/>
      <c r="N46" s="203"/>
      <c r="O46" s="204"/>
      <c r="P46" s="225" t="str">
        <f>IF(O46+O47=0,"",IF(O46&gt;O47,N45,N47))</f>
        <v/>
      </c>
      <c r="Q46" s="206"/>
      <c r="R46" s="193"/>
      <c r="S46" s="206"/>
      <c r="T46" s="193"/>
      <c r="W46" s="193"/>
      <c r="X46" s="193"/>
      <c r="Y46" s="193"/>
      <c r="Z46" s="193"/>
      <c r="AA46" s="193"/>
      <c r="AB46" s="193"/>
      <c r="AC46" s="193"/>
      <c r="AD46" s="193"/>
      <c r="AE46" s="193"/>
      <c r="AF46" s="193"/>
      <c r="AG46" s="194"/>
      <c r="AH46" s="193"/>
      <c r="AI46" s="193"/>
      <c r="GB46" s="193"/>
      <c r="GC46" s="193"/>
      <c r="GD46" s="193"/>
    </row>
    <row r="47" spans="1:186" ht="8.25" customHeight="1" x14ac:dyDescent="0.15">
      <c r="B47" s="193"/>
      <c r="C47" s="193"/>
      <c r="D47" s="203"/>
      <c r="E47" s="204"/>
      <c r="F47" s="225" t="str">
        <f>IF(E47+E48=0,"",IF(E47&gt;E48,D46,D48))</f>
        <v/>
      </c>
      <c r="G47" s="194"/>
      <c r="H47" s="193"/>
      <c r="I47" s="194"/>
      <c r="J47" s="193"/>
      <c r="K47" s="206"/>
      <c r="L47" s="193"/>
      <c r="M47" s="228"/>
      <c r="N47" s="224" t="str">
        <f>IF(E43+E44=0,"",IF(E43&lt;E44,D42,D44))</f>
        <v/>
      </c>
      <c r="O47" s="204"/>
      <c r="P47" s="193"/>
      <c r="Q47" s="194"/>
      <c r="R47" s="193"/>
      <c r="S47" s="206"/>
      <c r="T47" s="193"/>
      <c r="W47" s="229"/>
      <c r="X47" s="229"/>
      <c r="GB47" s="193"/>
      <c r="GC47" s="193"/>
      <c r="GD47" s="193"/>
    </row>
    <row r="48" spans="1:186" ht="8.25" customHeight="1" x14ac:dyDescent="0.15">
      <c r="A48" s="222"/>
      <c r="B48" s="221">
        <f>IF(A48&gt;0,A48,INDEX('Classement pour tableau final'!$AB$11:$AB$266,MATCH(14,'Classement pour tableau final'!$Y$11:$Y$266,0)))</f>
        <v>14</v>
      </c>
      <c r="C48" s="193"/>
      <c r="D48" s="213" t="str">
        <f>IF('Infos générales'!$E$2="x",IF(B48&gt;0,VLOOKUP(B48,'Infos joueurs'!$A:$M,4,FALSE)&amp;" / "&amp;VLOOKUP(B48,'Infos joueurs'!$A:$M,9,FALSE),"14"),IF(B48&gt;0,VLOOKUP(B48,'Infos joueurs'!$A:$M,4,FALSE)&amp;" "&amp;VLOOKUP(B48,'Infos joueurs'!$A:$M,5,FALSE),"14"))</f>
        <v>Jacquod Thibaud</v>
      </c>
      <c r="E48" s="204"/>
      <c r="F48" s="193"/>
      <c r="G48" s="206"/>
      <c r="H48" s="193"/>
      <c r="I48" s="194"/>
      <c r="J48" s="193"/>
      <c r="K48" s="206"/>
      <c r="L48" s="193"/>
      <c r="N48" s="203"/>
      <c r="O48" s="194"/>
      <c r="P48" s="193"/>
      <c r="Q48" s="194"/>
      <c r="R48" s="193"/>
      <c r="S48" s="204"/>
      <c r="T48" s="226" t="str">
        <f>IF(S48+S49=0,"",IF(S48&gt;S49,R44,R52))</f>
        <v/>
      </c>
      <c r="W48" s="193"/>
      <c r="X48" s="193"/>
      <c r="Y48" s="360">
        <v>2</v>
      </c>
      <c r="Z48" s="357" t="str">
        <f>IF(K45+K46=0,"",IF(K45&lt;K46,J37,J53))</f>
        <v/>
      </c>
      <c r="AA48" s="357"/>
      <c r="AB48" s="357"/>
      <c r="AC48" s="357"/>
      <c r="AD48" s="236"/>
      <c r="AE48" s="360">
        <v>10</v>
      </c>
      <c r="AF48" s="357" t="str">
        <f>IF(S48+S49=0,"",IF(S48&lt;S49,R44,R52))</f>
        <v/>
      </c>
      <c r="AG48" s="357"/>
      <c r="AH48" s="357"/>
      <c r="AI48" s="357"/>
      <c r="GB48" s="193"/>
      <c r="GC48" s="193"/>
      <c r="GD48" s="193"/>
    </row>
    <row r="49" spans="1:186" ht="8.25" customHeight="1" x14ac:dyDescent="0.15">
      <c r="B49" s="193"/>
      <c r="C49" s="193"/>
      <c r="D49" s="203"/>
      <c r="E49" s="194"/>
      <c r="F49" s="193"/>
      <c r="G49" s="204"/>
      <c r="H49" s="226" t="str">
        <f>IF(G49+G50=0,"",IF(G49&gt;G50,F47,F51))</f>
        <v/>
      </c>
      <c r="I49" s="194"/>
      <c r="J49" s="193"/>
      <c r="K49" s="206"/>
      <c r="L49" s="193"/>
      <c r="M49" s="228"/>
      <c r="N49" s="224" t="str">
        <f>IF(E47+E48=0,"",IF(E47&lt;E48,D46,D48))</f>
        <v/>
      </c>
      <c r="O49" s="194"/>
      <c r="P49" s="193"/>
      <c r="Q49" s="194"/>
      <c r="R49" s="193"/>
      <c r="S49" s="204"/>
      <c r="T49" s="193"/>
      <c r="W49" s="229"/>
      <c r="X49" s="229"/>
      <c r="Y49" s="360"/>
      <c r="Z49" s="358"/>
      <c r="AA49" s="358"/>
      <c r="AB49" s="358"/>
      <c r="AC49" s="358"/>
      <c r="AD49" s="236"/>
      <c r="AE49" s="360"/>
      <c r="AF49" s="358"/>
      <c r="AG49" s="358"/>
      <c r="AH49" s="358"/>
      <c r="AI49" s="358"/>
      <c r="GB49" s="193"/>
      <c r="GC49" s="193"/>
      <c r="GD49" s="193"/>
    </row>
    <row r="50" spans="1:186" ht="8.25" customHeight="1" x14ac:dyDescent="0.15">
      <c r="A50" s="222"/>
      <c r="B50" s="221">
        <f>IF(A50&gt;0,A50,INDEX('Classement pour tableau final'!$AB$11:$AB$266,MATCH(11,'Classement pour tableau final'!$Y$11:$Y$266,0)))</f>
        <v>11</v>
      </c>
      <c r="C50" s="193"/>
      <c r="D50" s="213" t="str">
        <f>IF('Infos générales'!$E$2="x",IF(B50&gt;0,VLOOKUP(B50,'Infos joueurs'!$A:$M,4,FALSE)&amp;" / "&amp;VLOOKUP(B50,'Infos joueurs'!$A:$M,9,FALSE),"11"),IF(B50&gt;0,VLOOKUP(B50,'Infos joueurs'!$A:$M,4,FALSE)&amp;" "&amp;VLOOKUP(B50,'Infos joueurs'!$A:$M,5,FALSE),"11"))</f>
        <v>Gay Valentin</v>
      </c>
      <c r="E50" s="194"/>
      <c r="F50" s="193"/>
      <c r="G50" s="204"/>
      <c r="H50" s="193"/>
      <c r="I50" s="206"/>
      <c r="J50" s="193"/>
      <c r="K50" s="206"/>
      <c r="L50" s="193"/>
      <c r="N50" s="203"/>
      <c r="O50" s="204"/>
      <c r="P50" s="225" t="str">
        <f>IF(O50+O51=0,"",IF(O50&gt;O51,N49,N51))</f>
        <v/>
      </c>
      <c r="Q50" s="194"/>
      <c r="R50" s="193"/>
      <c r="S50" s="206"/>
      <c r="T50" s="193"/>
      <c r="W50" s="193"/>
      <c r="X50" s="193"/>
      <c r="Y50" s="193"/>
      <c r="Z50" s="193"/>
      <c r="AA50" s="193"/>
      <c r="AB50" s="193"/>
      <c r="AC50" s="193"/>
      <c r="AD50" s="193"/>
      <c r="AE50" s="193"/>
      <c r="AF50" s="193"/>
      <c r="AG50" s="194"/>
      <c r="AH50" s="193"/>
      <c r="AI50" s="193"/>
      <c r="GB50" s="193"/>
      <c r="GC50" s="193"/>
      <c r="GD50" s="193"/>
    </row>
    <row r="51" spans="1:186" ht="8.25" customHeight="1" x14ac:dyDescent="0.15">
      <c r="B51" s="193"/>
      <c r="C51" s="193"/>
      <c r="D51" s="203"/>
      <c r="E51" s="204"/>
      <c r="F51" s="225" t="str">
        <f>IF(E51+E52=0,"",IF(E51&gt;E52,D50,D52))</f>
        <v/>
      </c>
      <c r="G51" s="206"/>
      <c r="H51" s="193"/>
      <c r="I51" s="206"/>
      <c r="J51" s="193"/>
      <c r="K51" s="206"/>
      <c r="L51" s="193"/>
      <c r="M51" s="228"/>
      <c r="N51" s="224" t="str">
        <f>IF(E51+E52=0,"",IF(E51&lt;E52,D50,D52))</f>
        <v/>
      </c>
      <c r="O51" s="204"/>
      <c r="P51" s="193"/>
      <c r="Q51" s="206"/>
      <c r="R51" s="193"/>
      <c r="S51" s="206"/>
      <c r="T51" s="193"/>
      <c r="W51" s="229"/>
      <c r="X51" s="229"/>
      <c r="Y51" s="193"/>
      <c r="Z51" s="193"/>
      <c r="AA51" s="193"/>
      <c r="AB51" s="193"/>
      <c r="AC51" s="193"/>
      <c r="AD51" s="193"/>
      <c r="AE51" s="193"/>
      <c r="AF51" s="193"/>
      <c r="AG51" s="194"/>
      <c r="AH51" s="193"/>
      <c r="AI51" s="193"/>
      <c r="GB51" s="193"/>
      <c r="GC51" s="193"/>
      <c r="GD51" s="193"/>
    </row>
    <row r="52" spans="1:186" ht="8.25" customHeight="1" x14ac:dyDescent="0.15">
      <c r="A52" s="222"/>
      <c r="B52" s="221">
        <f>IF(A52&gt;0,A52,INDEX('Classement pour tableau final'!$AB$11:$AB$266,MATCH(6,'Classement pour tableau final'!$Y$11:$Y$266,0)))</f>
        <v>6</v>
      </c>
      <c r="C52" s="193"/>
      <c r="D52" s="213" t="str">
        <f>IF('Infos générales'!$E$2="x",IF(B52&gt;0,VLOOKUP(B52,'Infos joueurs'!$A:$M,4,FALSE)&amp;" / "&amp;VLOOKUP(B52,'Infos joueurs'!$A:$M,9,FALSE),"6"),IF(B52&gt;0,VLOOKUP(B52,'Infos joueurs'!$A:$M,4,FALSE)&amp;" "&amp;VLOOKUP(B52,'Infos joueurs'!$A:$M,5,FALSE),"6"))</f>
        <v>Clerc Manon</v>
      </c>
      <c r="E52" s="204"/>
      <c r="F52" s="193"/>
      <c r="G52" s="194"/>
      <c r="H52" s="193"/>
      <c r="I52" s="206"/>
      <c r="J52" s="193"/>
      <c r="K52" s="206"/>
      <c r="L52" s="193"/>
      <c r="N52" s="203"/>
      <c r="O52" s="194"/>
      <c r="P52" s="193"/>
      <c r="Q52" s="204"/>
      <c r="R52" s="226" t="str">
        <f>IF(Q52+Q53=0,"",IF(Q52&gt;Q53,P50,P54))</f>
        <v/>
      </c>
      <c r="S52" s="206"/>
      <c r="T52" s="193"/>
      <c r="W52" s="193"/>
      <c r="X52" s="193"/>
      <c r="GB52" s="193"/>
      <c r="GC52" s="193"/>
      <c r="GD52" s="193"/>
    </row>
    <row r="53" spans="1:186" ht="8.25" customHeight="1" x14ac:dyDescent="0.15">
      <c r="B53" s="193"/>
      <c r="C53" s="193"/>
      <c r="D53" s="203"/>
      <c r="E53" s="194"/>
      <c r="F53" s="193"/>
      <c r="G53" s="194"/>
      <c r="H53" s="193"/>
      <c r="I53" s="204"/>
      <c r="J53" s="226" t="str">
        <f>IF(I53+I54=0,"",IF(I53&gt;I54,H49,H57))</f>
        <v/>
      </c>
      <c r="K53" s="206"/>
      <c r="L53" s="193"/>
      <c r="M53" s="228"/>
      <c r="N53" s="224" t="str">
        <f>IF(E55+E56=0,"",IF(E55&lt;E56,D54,D56))</f>
        <v/>
      </c>
      <c r="O53" s="194"/>
      <c r="P53" s="193"/>
      <c r="Q53" s="204"/>
      <c r="R53" s="193"/>
      <c r="S53" s="193"/>
      <c r="T53" s="193"/>
      <c r="W53" s="229"/>
      <c r="X53" s="229"/>
      <c r="GB53" s="193"/>
      <c r="GC53" s="193"/>
      <c r="GD53" s="193"/>
    </row>
    <row r="54" spans="1:186" ht="8.25" customHeight="1" x14ac:dyDescent="0.15">
      <c r="A54" s="222"/>
      <c r="B54" s="221">
        <f>IF(A54&gt;0,A54,INDEX('Classement pour tableau final'!$AB$11:$AB$266,MATCH(7,'Classement pour tableau final'!$Y$11:$Y$266,0)))</f>
        <v>7</v>
      </c>
      <c r="C54" s="193"/>
      <c r="D54" s="213" t="str">
        <f>IF('Infos générales'!$E$2="x",IF(B54&gt;0,VLOOKUP(B54,'Infos joueurs'!$A:$M,4,FALSE)&amp;" / "&amp;VLOOKUP(B54,'Infos joueurs'!$A:$M,9,FALSE),"7"),IF(B54&gt;0,VLOOKUP(B54,'Infos joueurs'!$A:$M,4,FALSE)&amp;" "&amp;VLOOKUP(B54,'Infos joueurs'!$A:$M,5,FALSE),"7"))</f>
        <v>Debons Elie</v>
      </c>
      <c r="E54" s="194"/>
      <c r="F54" s="193"/>
      <c r="G54" s="194"/>
      <c r="H54" s="193"/>
      <c r="I54" s="204"/>
      <c r="J54" s="193"/>
      <c r="K54" s="193"/>
      <c r="L54" s="194"/>
      <c r="N54" s="203"/>
      <c r="O54" s="204"/>
      <c r="P54" s="225" t="str">
        <f>IF(O54+O55=0,"",IF(O54&gt;O55,N53,N55))</f>
        <v/>
      </c>
      <c r="Q54" s="206"/>
      <c r="R54" s="193"/>
      <c r="S54" s="193"/>
      <c r="T54" s="193"/>
      <c r="W54" s="193"/>
      <c r="X54" s="193"/>
      <c r="Y54" s="360">
        <v>3</v>
      </c>
      <c r="Z54" s="357" t="str">
        <f>IF(K71+K72=0,"",IF(K71&gt;K72,J70,J72))</f>
        <v/>
      </c>
      <c r="AA54" s="357"/>
      <c r="AB54" s="357"/>
      <c r="AC54" s="357"/>
      <c r="AD54" s="236"/>
      <c r="AE54" s="360">
        <v>11</v>
      </c>
      <c r="AF54" s="357" t="str">
        <f>IF(V65+V66=0,"",IF(V65&gt;V66,U64,U66))</f>
        <v/>
      </c>
      <c r="AG54" s="357"/>
      <c r="AH54" s="357"/>
      <c r="AI54" s="357"/>
      <c r="GB54" s="193"/>
      <c r="GC54" s="193"/>
      <c r="GD54" s="193"/>
    </row>
    <row r="55" spans="1:186" ht="8.25" customHeight="1" x14ac:dyDescent="0.15">
      <c r="B55" s="193"/>
      <c r="C55" s="193"/>
      <c r="D55" s="203"/>
      <c r="E55" s="204"/>
      <c r="F55" s="225" t="str">
        <f>IF(E55+E56=0,"",IF(E55&gt;E56,D54,D56))</f>
        <v/>
      </c>
      <c r="G55" s="194"/>
      <c r="H55" s="193"/>
      <c r="I55" s="206"/>
      <c r="J55" s="193"/>
      <c r="K55" s="193"/>
      <c r="L55" s="193"/>
      <c r="M55" s="228"/>
      <c r="N55" s="229" t="str">
        <f>IF(E59+E60=0,"",IF(E59&lt;E60,D58,D60))</f>
        <v/>
      </c>
      <c r="O55" s="207"/>
      <c r="P55" s="193"/>
      <c r="Q55" s="193"/>
      <c r="R55" s="193"/>
      <c r="S55" s="193"/>
      <c r="T55" s="193"/>
      <c r="W55" s="229"/>
      <c r="X55" s="229"/>
      <c r="Y55" s="360"/>
      <c r="Z55" s="358"/>
      <c r="AA55" s="358"/>
      <c r="AB55" s="358"/>
      <c r="AC55" s="358"/>
      <c r="AD55" s="236"/>
      <c r="AE55" s="360"/>
      <c r="AF55" s="358"/>
      <c r="AG55" s="358"/>
      <c r="AH55" s="358"/>
      <c r="AI55" s="358"/>
      <c r="GB55" s="193"/>
      <c r="GC55" s="193"/>
      <c r="GD55" s="193"/>
    </row>
    <row r="56" spans="1:186" ht="8.25" customHeight="1" x14ac:dyDescent="0.15">
      <c r="A56" s="222"/>
      <c r="B56" s="221">
        <f>IF(A56&gt;0,A56,INDEX('Classement pour tableau final'!$AB$11:$AB$266,MATCH(10,'Classement pour tableau final'!$Y$11:$Y$266,0)))</f>
        <v>10</v>
      </c>
      <c r="C56" s="193"/>
      <c r="D56" s="213" t="str">
        <f>IF('Infos générales'!$E$2="x",IF(B56&gt;0,VLOOKUP(B56,'Infos joueurs'!$A:$M,4,FALSE)&amp;" / "&amp;VLOOKUP(B56,'Infos joueurs'!$A:$M,9,FALSE),"10"),IF(B56&gt;0,VLOOKUP(B56,'Infos joueurs'!$A:$M,4,FALSE)&amp;" "&amp;VLOOKUP(B56,'Infos joueurs'!$A:$M,5,FALSE),"10"))</f>
        <v>Frezghi Tarik</v>
      </c>
      <c r="E56" s="204"/>
      <c r="F56" s="193"/>
      <c r="G56" s="206"/>
      <c r="H56" s="193"/>
      <c r="I56" s="206"/>
      <c r="J56" s="193"/>
      <c r="K56" s="193"/>
      <c r="L56" s="193"/>
      <c r="M56" s="196"/>
      <c r="N56" s="208"/>
      <c r="O56" s="209"/>
      <c r="R56" s="196"/>
      <c r="S56" s="196"/>
      <c r="T56" s="196"/>
      <c r="U56" s="196"/>
      <c r="V56" s="196"/>
      <c r="W56" s="196"/>
      <c r="X56" s="196"/>
      <c r="Y56" s="193"/>
      <c r="Z56" s="193"/>
      <c r="AA56" s="193"/>
      <c r="AB56" s="193"/>
      <c r="AC56" s="193"/>
      <c r="AD56" s="193"/>
      <c r="AE56" s="193"/>
      <c r="AF56" s="193"/>
      <c r="AG56" s="193"/>
      <c r="AH56" s="193"/>
      <c r="AI56" s="193"/>
      <c r="GB56" s="193"/>
      <c r="GC56" s="193"/>
      <c r="GD56" s="193"/>
    </row>
    <row r="57" spans="1:186" ht="8.25" customHeight="1" x14ac:dyDescent="0.25">
      <c r="B57" s="193"/>
      <c r="C57" s="193"/>
      <c r="D57" s="203"/>
      <c r="E57" s="194"/>
      <c r="F57" s="193"/>
      <c r="G57" s="204"/>
      <c r="H57" s="226" t="str">
        <f>IF(G57+G58=0,"",IF(G57&gt;G58,F55,F59))</f>
        <v/>
      </c>
      <c r="I57" s="206"/>
      <c r="J57" s="193"/>
      <c r="K57" s="193"/>
      <c r="L57" s="193"/>
      <c r="M57" s="193"/>
      <c r="N57" s="193"/>
      <c r="O57" s="193"/>
      <c r="P57" s="193"/>
      <c r="Q57" s="193"/>
      <c r="W57" s="195"/>
      <c r="X57" s="195"/>
      <c r="GB57" s="193"/>
      <c r="GC57" s="193"/>
      <c r="GD57" s="193"/>
    </row>
    <row r="58" spans="1:186" ht="8.25" customHeight="1" x14ac:dyDescent="0.15">
      <c r="A58" s="222"/>
      <c r="B58" s="221">
        <f>IF(A58&gt;0,A58,INDEX('Classement pour tableau final'!$AB$11:$AB$266,MATCH(15,'Classement pour tableau final'!$Y$11:$Y$266,0)))</f>
        <v>15</v>
      </c>
      <c r="C58" s="193"/>
      <c r="D58" s="213" t="str">
        <f>IF('Infos générales'!$E$2="x",IF(B58&gt;0,VLOOKUP(B58,'Infos joueurs'!$A:$M,4,FALSE)&amp;" / "&amp;VLOOKUP(B58,'Infos joueurs'!$A:$M,9,FALSE),"15"),IF(B58&gt;0,VLOOKUP(B58,'Infos joueurs'!$A:$M,4,FALSE)&amp;" "&amp;VLOOKUP(B58,'Infos joueurs'!$A:$M,5,FALSE),"15"))</f>
        <v>Jäger Joel</v>
      </c>
      <c r="E58" s="194"/>
      <c r="F58" s="193"/>
      <c r="G58" s="204"/>
      <c r="H58" s="193"/>
      <c r="I58" s="194"/>
      <c r="J58" s="193"/>
      <c r="K58" s="193"/>
      <c r="L58" s="193"/>
      <c r="M58" s="193"/>
      <c r="N58" s="193"/>
      <c r="O58" s="193"/>
      <c r="P58" s="193"/>
      <c r="Q58" s="193"/>
      <c r="W58" s="195"/>
      <c r="X58" s="195"/>
      <c r="GB58" s="193"/>
      <c r="GC58" s="193"/>
      <c r="GD58" s="193"/>
    </row>
    <row r="59" spans="1:186" ht="8.25" customHeight="1" x14ac:dyDescent="0.15">
      <c r="B59" s="193"/>
      <c r="C59" s="193"/>
      <c r="D59" s="203"/>
      <c r="E59" s="204"/>
      <c r="F59" s="225" t="str">
        <f>IF(E59+E60=0,"",IF(E59&gt;E60,D58,D60))</f>
        <v/>
      </c>
      <c r="G59" s="206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W59" s="195"/>
      <c r="X59" s="195"/>
      <c r="GB59" s="193"/>
      <c r="GC59" s="193"/>
      <c r="GD59" s="193"/>
    </row>
    <row r="60" spans="1:186" ht="8.25" customHeight="1" x14ac:dyDescent="0.15">
      <c r="A60" s="222"/>
      <c r="B60" s="221">
        <f>IF(A60&gt;0,A60,INDEX('Classement pour tableau final'!$AB$11:$AB$266,MATCH(2,'Classement pour tableau final'!$Y$11:$Y$266,0)))</f>
        <v>2</v>
      </c>
      <c r="C60" s="193"/>
      <c r="D60" s="213" t="str">
        <f>IF('Infos générales'!$E$2="x",IF(B60&gt;0,VLOOKUP(B60,'Infos joueurs'!$A:$M,4,FALSE)&amp;" / "&amp;VLOOKUP(B60,'Infos joueurs'!$A:$M,9,FALSE),"2"),IF(B60&gt;0,VLOOKUP(B60,'Infos joueurs'!$A:$M,4,FALSE)&amp;" "&amp;VLOOKUP(B60,'Infos joueurs'!$A:$M,5,FALSE),"2"))</f>
        <v>Bellon Antoine</v>
      </c>
      <c r="E60" s="204"/>
      <c r="F60" s="193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U60" s="350" t="s">
        <v>319</v>
      </c>
      <c r="V60" s="350"/>
      <c r="W60" s="223"/>
      <c r="X60" s="223"/>
      <c r="Y60" s="360">
        <v>4</v>
      </c>
      <c r="Z60" s="357" t="str">
        <f>IF(K71+K72=0,"",IF(K71&lt;K72,J70,J72))</f>
        <v/>
      </c>
      <c r="AA60" s="357"/>
      <c r="AB60" s="357"/>
      <c r="AC60" s="357"/>
      <c r="AD60" s="236"/>
      <c r="AE60" s="360">
        <v>12</v>
      </c>
      <c r="AF60" s="357" t="str">
        <f>IF(V65+V66=0,"",IF(V65&lt;V66,U64,U66))</f>
        <v/>
      </c>
      <c r="AG60" s="357"/>
      <c r="AH60" s="357"/>
      <c r="AI60" s="357"/>
      <c r="GB60" s="193"/>
      <c r="GC60" s="193"/>
      <c r="GD60" s="193"/>
    </row>
    <row r="61" spans="1:186" ht="8.25" customHeight="1" x14ac:dyDescent="0.25">
      <c r="A61" s="196"/>
      <c r="B61" s="196"/>
      <c r="C61" s="193"/>
      <c r="D61" s="203"/>
      <c r="E61" s="193"/>
      <c r="F61" s="193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U61" s="350"/>
      <c r="V61" s="350"/>
      <c r="W61" s="223"/>
      <c r="X61" s="223"/>
      <c r="Y61" s="360"/>
      <c r="Z61" s="358"/>
      <c r="AA61" s="358"/>
      <c r="AB61" s="358"/>
      <c r="AC61" s="358"/>
      <c r="AD61" s="236"/>
      <c r="AE61" s="360"/>
      <c r="AF61" s="358"/>
      <c r="AG61" s="358"/>
      <c r="AH61" s="358"/>
      <c r="AI61" s="358"/>
      <c r="GB61" s="193"/>
      <c r="GC61" s="193"/>
      <c r="GD61" s="193"/>
    </row>
    <row r="62" spans="1:186" ht="8.25" customHeight="1" x14ac:dyDescent="0.25">
      <c r="M62" s="193"/>
      <c r="N62" s="193"/>
      <c r="O62" s="193"/>
      <c r="P62" s="193"/>
      <c r="Q62" s="193"/>
      <c r="U62" s="223"/>
      <c r="V62" s="223"/>
      <c r="W62" s="223"/>
      <c r="X62" s="223"/>
      <c r="CU62" s="196"/>
      <c r="CV62" s="196"/>
      <c r="CW62" s="196"/>
      <c r="CX62" s="196"/>
      <c r="CY62" s="196"/>
      <c r="CZ62" s="196"/>
      <c r="DA62" s="196"/>
      <c r="DB62" s="196"/>
      <c r="GB62" s="193"/>
      <c r="GC62" s="193"/>
      <c r="GD62" s="193"/>
    </row>
    <row r="63" spans="1:186" ht="8.25" customHeight="1" x14ac:dyDescent="0.25">
      <c r="M63" s="193"/>
      <c r="N63" s="193"/>
      <c r="O63" s="193"/>
      <c r="P63" s="193"/>
      <c r="Q63" s="193"/>
      <c r="W63" s="195"/>
      <c r="X63" s="195"/>
      <c r="CU63" s="216"/>
      <c r="CV63" s="216"/>
      <c r="CW63" s="216"/>
      <c r="CX63" s="216"/>
      <c r="CY63" s="216"/>
      <c r="CZ63" s="216"/>
      <c r="DA63" s="216"/>
      <c r="DB63" s="196"/>
      <c r="GB63" s="193"/>
      <c r="GC63" s="193"/>
      <c r="GD63" s="193"/>
    </row>
    <row r="64" spans="1:186" ht="8.25" customHeight="1" x14ac:dyDescent="0.15">
      <c r="M64" s="193"/>
      <c r="N64" s="193"/>
      <c r="O64" s="193"/>
      <c r="P64" s="193"/>
      <c r="Q64" s="193"/>
      <c r="U64" s="224" t="str">
        <f>IF(Q44+Q45=0,"",IF(Q44&lt;Q45,P42,P46))</f>
        <v/>
      </c>
      <c r="W64" s="229"/>
      <c r="X64" s="229"/>
      <c r="CU64" s="216"/>
      <c r="CV64" s="216"/>
      <c r="CW64" s="216"/>
      <c r="CX64" s="216"/>
      <c r="CY64" s="216"/>
      <c r="CZ64" s="216"/>
      <c r="DA64" s="216"/>
      <c r="DB64" s="196"/>
      <c r="GB64" s="193"/>
      <c r="GC64" s="193"/>
      <c r="GD64" s="193"/>
    </row>
    <row r="65" spans="8:186" ht="8.25" customHeight="1" x14ac:dyDescent="0.15">
      <c r="I65" s="223"/>
      <c r="J65" s="223"/>
      <c r="K65" s="223"/>
      <c r="L65" s="223"/>
      <c r="M65" s="193"/>
      <c r="N65" s="193"/>
      <c r="O65" s="193"/>
      <c r="P65" s="193"/>
      <c r="Q65" s="193"/>
      <c r="U65" s="203"/>
      <c r="V65" s="204"/>
      <c r="W65" s="224" t="str">
        <f>IF(V65+V66=0,"",IF(V65&gt;V66,U64,U66))</f>
        <v/>
      </c>
      <c r="X65" s="229"/>
      <c r="CU65" s="196"/>
      <c r="CV65" s="196"/>
      <c r="CW65" s="196"/>
      <c r="CX65" s="196"/>
      <c r="CY65" s="196"/>
      <c r="CZ65" s="196"/>
      <c r="DA65" s="196"/>
      <c r="DB65" s="196"/>
      <c r="GB65" s="193"/>
      <c r="GC65" s="193"/>
      <c r="GD65" s="193"/>
    </row>
    <row r="66" spans="8:186" ht="8.25" customHeight="1" x14ac:dyDescent="0.15">
      <c r="H66" s="223"/>
      <c r="I66" s="223"/>
      <c r="J66" s="350" t="s">
        <v>327</v>
      </c>
      <c r="K66" s="350"/>
      <c r="L66" s="223"/>
      <c r="M66" s="193"/>
      <c r="N66" s="193"/>
      <c r="O66" s="193"/>
      <c r="P66" s="193"/>
      <c r="Q66" s="193"/>
      <c r="U66" s="224" t="str">
        <f>IF(Q52+Q53=0,"",IF(Q52&lt;Q53,P50,P54))</f>
        <v/>
      </c>
      <c r="V66" s="204"/>
      <c r="W66" s="193"/>
      <c r="X66" s="193"/>
      <c r="Y66" s="360">
        <v>5</v>
      </c>
      <c r="Z66" s="357" t="str">
        <f>IF(Q27+Q28=0,"",IF(Q27&gt;Q28,P25,P29))</f>
        <v/>
      </c>
      <c r="AA66" s="357"/>
      <c r="AB66" s="357"/>
      <c r="AC66" s="357"/>
      <c r="AD66" s="236"/>
      <c r="AE66" s="360">
        <v>13</v>
      </c>
      <c r="AF66" s="357" t="str">
        <f>IF(Q81+Q82=0,"",IF(Q81&gt;Q82,P79,P83))</f>
        <v/>
      </c>
      <c r="AG66" s="357"/>
      <c r="AH66" s="357"/>
      <c r="AI66" s="357"/>
      <c r="CU66" s="196"/>
      <c r="CV66" s="196"/>
      <c r="CW66" s="196"/>
      <c r="CX66" s="196"/>
      <c r="CY66" s="196"/>
      <c r="CZ66" s="196"/>
      <c r="DA66" s="196"/>
      <c r="DB66" s="196"/>
      <c r="GB66" s="193"/>
      <c r="GC66" s="193"/>
      <c r="GD66" s="193"/>
    </row>
    <row r="67" spans="8:186" ht="8.25" customHeight="1" x14ac:dyDescent="0.25">
      <c r="H67" s="223"/>
      <c r="I67" s="223"/>
      <c r="J67" s="350"/>
      <c r="K67" s="350"/>
      <c r="L67" s="223"/>
      <c r="M67" s="193"/>
      <c r="N67" s="193"/>
      <c r="O67" s="193"/>
      <c r="P67" s="193"/>
      <c r="Q67" s="193"/>
      <c r="W67" s="195"/>
      <c r="X67" s="195"/>
      <c r="Y67" s="360"/>
      <c r="Z67" s="358"/>
      <c r="AA67" s="358"/>
      <c r="AB67" s="358"/>
      <c r="AC67" s="358"/>
      <c r="AD67" s="236"/>
      <c r="AE67" s="360"/>
      <c r="AF67" s="358"/>
      <c r="AG67" s="358"/>
      <c r="AH67" s="358"/>
      <c r="AI67" s="358"/>
      <c r="CU67" s="196"/>
      <c r="CV67" s="196"/>
      <c r="CW67" s="196"/>
      <c r="CX67" s="196"/>
      <c r="CY67" s="196"/>
      <c r="CZ67" s="196"/>
      <c r="DA67" s="196"/>
      <c r="DB67" s="196"/>
      <c r="GB67" s="193"/>
      <c r="GC67" s="193"/>
      <c r="GD67" s="193"/>
    </row>
    <row r="68" spans="8:186" ht="8.25" customHeight="1" x14ac:dyDescent="0.25">
      <c r="K68" s="198"/>
      <c r="S68" s="223"/>
      <c r="W68" s="195"/>
      <c r="X68" s="195"/>
      <c r="CU68" s="216"/>
      <c r="CV68" s="216"/>
      <c r="CW68" s="216"/>
      <c r="CX68" s="216"/>
      <c r="CY68" s="216"/>
      <c r="CZ68" s="216"/>
      <c r="DA68" s="216"/>
      <c r="DB68" s="196"/>
      <c r="GB68" s="193"/>
      <c r="GC68" s="193"/>
      <c r="GD68" s="193"/>
    </row>
    <row r="69" spans="8:186" ht="8.25" customHeight="1" x14ac:dyDescent="0.25">
      <c r="K69" s="193"/>
      <c r="L69" s="193"/>
      <c r="M69" s="223"/>
      <c r="S69" s="223"/>
      <c r="U69" s="223"/>
      <c r="V69" s="223"/>
      <c r="W69" s="223"/>
      <c r="X69" s="223"/>
      <c r="CU69" s="216"/>
      <c r="CV69" s="216"/>
      <c r="CW69" s="216"/>
      <c r="CX69" s="216"/>
      <c r="CY69" s="216"/>
      <c r="CZ69" s="216"/>
      <c r="DA69" s="216"/>
      <c r="DB69" s="196"/>
      <c r="GB69" s="193"/>
      <c r="GC69" s="193"/>
      <c r="GD69" s="193"/>
    </row>
    <row r="70" spans="8:186" ht="8.25" customHeight="1" x14ac:dyDescent="0.15">
      <c r="H70" s="228"/>
      <c r="I70" s="228"/>
      <c r="J70" s="224" t="str">
        <f>IF(I37+I38=0,"",IF(I37&lt;I38,H33,H41))</f>
        <v/>
      </c>
      <c r="K70" s="224"/>
      <c r="L70" s="229"/>
      <c r="M70" s="223"/>
      <c r="S70" s="223"/>
      <c r="U70" s="223"/>
      <c r="V70" s="223"/>
      <c r="W70" s="223"/>
      <c r="X70" s="223"/>
      <c r="CU70" s="196"/>
      <c r="CV70" s="196"/>
      <c r="CW70" s="196"/>
      <c r="CX70" s="196"/>
      <c r="CY70" s="196"/>
      <c r="CZ70" s="196"/>
      <c r="DA70" s="196"/>
      <c r="DB70" s="196"/>
      <c r="GB70" s="193"/>
      <c r="GC70" s="193"/>
      <c r="GD70" s="193"/>
    </row>
    <row r="71" spans="8:186" ht="8.25" customHeight="1" x14ac:dyDescent="0.15">
      <c r="I71" s="196"/>
      <c r="J71" s="203"/>
      <c r="K71" s="204"/>
      <c r="L71" s="224" t="str">
        <f>IF(K71+K72=0,"",IF(K71&gt;K72,J70,J72))</f>
        <v/>
      </c>
      <c r="W71" s="195"/>
      <c r="X71" s="195"/>
      <c r="CU71" s="196"/>
      <c r="CV71" s="196"/>
      <c r="CW71" s="196"/>
      <c r="CX71" s="196"/>
      <c r="CY71" s="196"/>
      <c r="CZ71" s="196"/>
      <c r="DA71" s="196"/>
      <c r="DB71" s="196"/>
      <c r="GB71" s="193"/>
      <c r="GC71" s="193"/>
      <c r="GD71" s="193"/>
    </row>
    <row r="72" spans="8:186" ht="8.25" customHeight="1" x14ac:dyDescent="0.15">
      <c r="H72" s="228"/>
      <c r="I72" s="228"/>
      <c r="J72" s="229" t="str">
        <f>IF(I53+I54=0,"",IF(I53&lt;I54,H49,H57))</f>
        <v/>
      </c>
      <c r="K72" s="207"/>
      <c r="L72" s="193"/>
      <c r="M72" s="173"/>
      <c r="U72" s="229"/>
      <c r="V72" s="229"/>
      <c r="W72" s="193"/>
      <c r="X72" s="193"/>
      <c r="Y72" s="360">
        <v>6</v>
      </c>
      <c r="Z72" s="357" t="str">
        <f>IF(Q27+Q28=0,"",IF(Q27&lt;Q28,P25,P29))</f>
        <v/>
      </c>
      <c r="AA72" s="357"/>
      <c r="AB72" s="357"/>
      <c r="AC72" s="357"/>
      <c r="AD72" s="236"/>
      <c r="AE72" s="360">
        <v>14</v>
      </c>
      <c r="AF72" s="357" t="str">
        <f>IF(Q81+Q82=0,"",IF(Q81&lt;Q82,P79,P83))</f>
        <v/>
      </c>
      <c r="AG72" s="357"/>
      <c r="AH72" s="357"/>
      <c r="AI72" s="357"/>
      <c r="CU72" s="196"/>
      <c r="CV72" s="196"/>
      <c r="CW72" s="196"/>
      <c r="CX72" s="196"/>
      <c r="CY72" s="196"/>
      <c r="CZ72" s="196"/>
      <c r="DA72" s="196"/>
      <c r="DB72" s="196"/>
      <c r="GB72" s="193"/>
      <c r="GC72" s="193"/>
      <c r="GD72" s="193"/>
    </row>
    <row r="73" spans="8:186" ht="8.25" customHeight="1" x14ac:dyDescent="0.25">
      <c r="H73" s="196"/>
      <c r="I73" s="196"/>
      <c r="J73" s="208"/>
      <c r="K73" s="209"/>
      <c r="L73" s="196"/>
      <c r="U73" s="160"/>
      <c r="V73" s="160"/>
      <c r="W73" s="193"/>
      <c r="X73" s="193"/>
      <c r="Y73" s="360"/>
      <c r="Z73" s="358"/>
      <c r="AA73" s="358"/>
      <c r="AB73" s="358"/>
      <c r="AC73" s="358"/>
      <c r="AD73" s="236"/>
      <c r="AE73" s="360"/>
      <c r="AF73" s="358"/>
      <c r="AG73" s="358"/>
      <c r="AH73" s="358"/>
      <c r="AI73" s="358"/>
      <c r="CU73" s="216"/>
      <c r="CV73" s="216"/>
      <c r="CW73" s="216"/>
      <c r="CX73" s="216"/>
      <c r="CY73" s="216"/>
      <c r="CZ73" s="216"/>
      <c r="DA73" s="216"/>
      <c r="DB73" s="196"/>
      <c r="GB73" s="193"/>
      <c r="GC73" s="193"/>
      <c r="GD73" s="193"/>
    </row>
    <row r="74" spans="8:186" ht="8.25" customHeight="1" x14ac:dyDescent="0.25">
      <c r="M74" s="173"/>
      <c r="N74" s="350" t="s">
        <v>339</v>
      </c>
      <c r="O74" s="350"/>
      <c r="P74" s="223"/>
      <c r="Q74" s="223"/>
      <c r="R74" s="223"/>
      <c r="U74" s="160"/>
      <c r="V74" s="160"/>
      <c r="W74" s="193"/>
      <c r="X74" s="193"/>
      <c r="CU74" s="216"/>
      <c r="CV74" s="216"/>
      <c r="CW74" s="216"/>
      <c r="CX74" s="216"/>
      <c r="CY74" s="216"/>
      <c r="CZ74" s="216"/>
      <c r="DA74" s="216"/>
      <c r="DB74" s="196"/>
      <c r="GB74" s="193"/>
      <c r="GC74" s="193"/>
      <c r="GD74" s="193"/>
    </row>
    <row r="75" spans="8:186" ht="8.25" customHeight="1" x14ac:dyDescent="0.25">
      <c r="N75" s="350"/>
      <c r="O75" s="350"/>
      <c r="P75" s="223"/>
      <c r="Q75" s="223"/>
      <c r="R75" s="223"/>
      <c r="U75" s="193"/>
      <c r="V75" s="193"/>
      <c r="W75" s="193"/>
      <c r="X75" s="193"/>
      <c r="CU75" s="196"/>
      <c r="CV75" s="196"/>
      <c r="CW75" s="196"/>
      <c r="CX75" s="196"/>
      <c r="CY75" s="196"/>
      <c r="CZ75" s="196"/>
      <c r="DA75" s="196"/>
      <c r="DB75" s="196"/>
      <c r="GB75" s="193"/>
      <c r="GC75" s="193"/>
      <c r="GD75" s="193"/>
    </row>
    <row r="76" spans="8:186" ht="8.25" customHeight="1" x14ac:dyDescent="0.25">
      <c r="M76" s="173"/>
      <c r="N76" s="223"/>
      <c r="O76" s="223"/>
      <c r="P76" s="223"/>
      <c r="Q76" s="223"/>
      <c r="R76" s="223"/>
      <c r="U76" s="350" t="s">
        <v>321</v>
      </c>
      <c r="V76" s="350"/>
      <c r="W76" s="223"/>
      <c r="X76" s="223"/>
      <c r="CU76" s="196"/>
      <c r="CV76" s="196"/>
      <c r="CW76" s="196"/>
      <c r="CX76" s="196"/>
      <c r="CY76" s="196"/>
      <c r="CZ76" s="196"/>
      <c r="DA76" s="196"/>
      <c r="DB76" s="196"/>
      <c r="GB76" s="193"/>
      <c r="GC76" s="193"/>
      <c r="GD76" s="193"/>
    </row>
    <row r="77" spans="8:186" ht="8.25" customHeight="1" x14ac:dyDescent="0.25">
      <c r="U77" s="350"/>
      <c r="V77" s="350"/>
      <c r="W77" s="223"/>
      <c r="X77" s="223"/>
      <c r="CU77" s="196"/>
      <c r="CV77" s="196"/>
      <c r="CW77" s="196"/>
      <c r="CX77" s="196"/>
      <c r="CY77" s="196"/>
      <c r="CZ77" s="196"/>
      <c r="DA77" s="196"/>
      <c r="DB77" s="196"/>
      <c r="GB77" s="193"/>
      <c r="GC77" s="193"/>
      <c r="GD77" s="193"/>
    </row>
    <row r="78" spans="8:186" ht="8.25" customHeight="1" x14ac:dyDescent="0.15">
      <c r="M78" s="173"/>
      <c r="N78" s="224" t="str">
        <f>IF(O42+O43=0,"",IF(O42&lt;O43,N41,N43))</f>
        <v/>
      </c>
      <c r="O78" s="194"/>
      <c r="P78" s="193"/>
      <c r="Q78" s="193"/>
      <c r="R78" s="193"/>
      <c r="U78" s="223"/>
      <c r="V78" s="223"/>
      <c r="W78" s="223"/>
      <c r="X78" s="223"/>
      <c r="Y78" s="360">
        <v>7</v>
      </c>
      <c r="Z78" s="357" t="str">
        <f>IF(V27+V28=0,"",IF(V27&gt;V28,U26,U28))</f>
        <v/>
      </c>
      <c r="AA78" s="357"/>
      <c r="AB78" s="357"/>
      <c r="AC78" s="357"/>
      <c r="AD78" s="236"/>
      <c r="AE78" s="360">
        <v>15</v>
      </c>
      <c r="AF78" s="357" t="str">
        <f>IF(V81+V82=0,"",IF(V81&gt;V82,U80,U82))</f>
        <v/>
      </c>
      <c r="AG78" s="357"/>
      <c r="AH78" s="357"/>
      <c r="AI78" s="357"/>
      <c r="CU78" s="216"/>
      <c r="CV78" s="216"/>
      <c r="CW78" s="216"/>
      <c r="CX78" s="216"/>
      <c r="CY78" s="216"/>
      <c r="CZ78" s="216"/>
      <c r="DA78" s="216"/>
      <c r="DB78" s="196"/>
      <c r="GB78" s="193"/>
      <c r="GC78" s="193"/>
      <c r="GD78" s="193"/>
    </row>
    <row r="79" spans="8:186" ht="8.25" customHeight="1" x14ac:dyDescent="0.15">
      <c r="N79" s="203"/>
      <c r="O79" s="204"/>
      <c r="P79" s="224" t="str">
        <f>IF(O79+O80=0,"",IF(O79&gt;O80,N78,N80))</f>
        <v/>
      </c>
      <c r="Q79" s="229"/>
      <c r="R79" s="229"/>
      <c r="Y79" s="360"/>
      <c r="Z79" s="358"/>
      <c r="AA79" s="358"/>
      <c r="AB79" s="358"/>
      <c r="AC79" s="358"/>
      <c r="AD79" s="236"/>
      <c r="AE79" s="360"/>
      <c r="AF79" s="358"/>
      <c r="AG79" s="358"/>
      <c r="AH79" s="358"/>
      <c r="AI79" s="358"/>
      <c r="CU79" s="216"/>
      <c r="CV79" s="216"/>
      <c r="CW79" s="216"/>
      <c r="CX79" s="216"/>
      <c r="CY79" s="216"/>
      <c r="CZ79" s="216"/>
      <c r="DA79" s="216"/>
      <c r="DB79" s="196"/>
      <c r="GB79" s="193"/>
      <c r="GC79" s="193"/>
      <c r="GD79" s="193"/>
    </row>
    <row r="80" spans="8:186" ht="8.25" customHeight="1" x14ac:dyDescent="0.15">
      <c r="M80" s="193"/>
      <c r="N80" s="224" t="str">
        <f>IF(O46+O47=0,"",IF(O46&lt;O47,N45,N47))</f>
        <v/>
      </c>
      <c r="O80" s="204"/>
      <c r="P80" s="193"/>
      <c r="Q80" s="206"/>
      <c r="R80" s="193"/>
      <c r="S80" s="196"/>
      <c r="U80" s="230" t="str">
        <f>IF(O79+O80=0,"",IF(O79&lt;O80,N78,N80))</f>
        <v/>
      </c>
      <c r="V80" s="194"/>
      <c r="W80" s="193"/>
      <c r="X80" s="193"/>
      <c r="BG80" s="193"/>
      <c r="BH80" s="193"/>
      <c r="BI80" s="193"/>
      <c r="BJ80" s="194"/>
      <c r="CN80" s="194"/>
      <c r="CO80" s="193"/>
      <c r="CP80" s="193"/>
      <c r="CQ80" s="193"/>
      <c r="CR80" s="193"/>
      <c r="CS80" s="193"/>
      <c r="CU80" s="196"/>
      <c r="CV80" s="196"/>
      <c r="CW80" s="196"/>
      <c r="CX80" s="196"/>
      <c r="CY80" s="196"/>
      <c r="CZ80" s="196"/>
      <c r="DA80" s="196"/>
      <c r="DB80" s="196"/>
      <c r="GB80" s="193"/>
      <c r="GC80" s="193"/>
      <c r="GD80" s="193"/>
    </row>
    <row r="81" spans="1:186" ht="8.25" customHeight="1" x14ac:dyDescent="0.15">
      <c r="N81" s="203"/>
      <c r="O81" s="194"/>
      <c r="P81" s="193"/>
      <c r="Q81" s="204"/>
      <c r="R81" s="226" t="str">
        <f>IF(Q81+Q82=0,"",IF(Q81&gt;Q82,P79,P83))</f>
        <v/>
      </c>
      <c r="U81" s="203"/>
      <c r="V81" s="204"/>
      <c r="W81" s="224" t="str">
        <f>IF(V81+V82=0,"",IF(V81&gt;V82,U80,U82))</f>
        <v/>
      </c>
      <c r="X81" s="229"/>
      <c r="BV81" s="194"/>
      <c r="BW81" s="193"/>
      <c r="BX81" s="193"/>
      <c r="BY81" s="196"/>
      <c r="BZ81" s="196"/>
      <c r="CA81" s="196"/>
      <c r="CB81" s="196"/>
      <c r="CC81" s="196"/>
      <c r="CD81" s="196"/>
      <c r="CE81" s="196"/>
      <c r="CF81" s="196"/>
      <c r="CG81" s="196"/>
      <c r="CH81" s="196"/>
      <c r="CI81" s="196"/>
      <c r="CJ81" s="196"/>
      <c r="CK81" s="196"/>
      <c r="CL81" s="196"/>
      <c r="CM81" s="196"/>
      <c r="CN81" s="196"/>
      <c r="CO81" s="196"/>
      <c r="CP81" s="210"/>
      <c r="CQ81" s="196"/>
      <c r="CR81" s="196"/>
      <c r="CS81" s="196"/>
      <c r="CT81" s="196"/>
      <c r="CU81" s="196"/>
      <c r="CV81" s="196"/>
      <c r="CW81" s="196"/>
      <c r="CX81" s="196"/>
      <c r="CY81" s="196"/>
      <c r="CZ81" s="196"/>
      <c r="DA81" s="196"/>
      <c r="DB81" s="196"/>
      <c r="GB81" s="193"/>
      <c r="GC81" s="193"/>
      <c r="GD81" s="193"/>
    </row>
    <row r="82" spans="1:186" ht="8.25" customHeight="1" x14ac:dyDescent="0.15">
      <c r="N82" s="224" t="str">
        <f>IF(O50+O51=0,"",IF(O50&lt;O51,N49,N51))</f>
        <v/>
      </c>
      <c r="O82" s="194"/>
      <c r="P82" s="193"/>
      <c r="Q82" s="204"/>
      <c r="R82" s="193"/>
      <c r="U82" s="224" t="str">
        <f>IF(O83+O84=0,"",IF(O83&lt;O84,N82,N84))</f>
        <v/>
      </c>
      <c r="V82" s="204"/>
      <c r="W82" s="193"/>
      <c r="X82" s="193"/>
      <c r="BS82" s="193"/>
      <c r="BT82" s="193"/>
      <c r="BU82" s="193"/>
      <c r="BV82" s="194"/>
      <c r="BW82" s="193"/>
      <c r="BX82" s="193"/>
      <c r="BY82" s="196"/>
      <c r="BZ82" s="196"/>
      <c r="CA82" s="196"/>
      <c r="CB82" s="196"/>
      <c r="CC82" s="196"/>
      <c r="CD82" s="196"/>
      <c r="CE82" s="196"/>
      <c r="CF82" s="196"/>
      <c r="CG82" s="196"/>
      <c r="CH82" s="196"/>
      <c r="CI82" s="196"/>
      <c r="CJ82" s="196"/>
      <c r="CK82" s="196"/>
      <c r="CL82" s="196"/>
      <c r="CM82" s="196"/>
      <c r="CN82" s="196"/>
      <c r="CO82" s="196"/>
      <c r="CP82" s="210"/>
      <c r="CQ82" s="196"/>
      <c r="CR82" s="196"/>
      <c r="CS82" s="196"/>
      <c r="CT82" s="196"/>
      <c r="CU82" s="196"/>
      <c r="CV82" s="196"/>
      <c r="CW82" s="196"/>
      <c r="CX82" s="196"/>
      <c r="CY82" s="196"/>
      <c r="CZ82" s="196"/>
      <c r="DA82" s="196"/>
      <c r="DB82" s="196"/>
      <c r="GB82" s="193"/>
      <c r="GC82" s="193"/>
      <c r="GD82" s="193"/>
    </row>
    <row r="83" spans="1:186" ht="8.25" customHeight="1" x14ac:dyDescent="0.15">
      <c r="N83" s="203"/>
      <c r="O83" s="204"/>
      <c r="P83" s="225" t="str">
        <f>IF(O83+O84=0,"",IF(O83&gt;O84,N82,N84))</f>
        <v/>
      </c>
      <c r="Q83" s="206"/>
      <c r="R83" s="193"/>
      <c r="W83" s="195"/>
      <c r="X83" s="195"/>
      <c r="BS83" s="193"/>
      <c r="BT83" s="193"/>
      <c r="BU83" s="193"/>
      <c r="BV83" s="194"/>
      <c r="BW83" s="193"/>
      <c r="BX83" s="193"/>
      <c r="BY83" s="217"/>
      <c r="BZ83" s="217"/>
      <c r="CA83" s="217"/>
      <c r="CB83" s="214"/>
      <c r="CC83" s="216"/>
      <c r="CD83" s="216"/>
      <c r="CE83" s="216"/>
      <c r="CF83" s="216"/>
      <c r="CG83" s="216"/>
      <c r="CH83" s="216"/>
      <c r="CI83" s="216"/>
      <c r="CJ83" s="216"/>
      <c r="CK83" s="216"/>
      <c r="CL83" s="216"/>
      <c r="CM83" s="216"/>
      <c r="CN83" s="216"/>
      <c r="CO83" s="216"/>
      <c r="CP83" s="216"/>
      <c r="CQ83" s="216"/>
      <c r="CR83" s="216"/>
      <c r="CS83" s="216"/>
      <c r="CT83" s="216"/>
      <c r="CU83" s="216"/>
      <c r="CV83" s="216"/>
      <c r="CW83" s="216"/>
      <c r="CX83" s="216"/>
      <c r="CY83" s="216"/>
      <c r="CZ83" s="216"/>
      <c r="DA83" s="216"/>
      <c r="DB83" s="196"/>
      <c r="GB83" s="193"/>
      <c r="GC83" s="193"/>
      <c r="GD83" s="193"/>
    </row>
    <row r="84" spans="1:186" ht="8.25" customHeight="1" x14ac:dyDescent="0.15">
      <c r="N84" s="224" t="str">
        <f>IF(O54+O55=0,"",IF(O54&lt;O55,N53,N55))</f>
        <v/>
      </c>
      <c r="O84" s="204"/>
      <c r="P84" s="193"/>
      <c r="Q84" s="193"/>
      <c r="R84" s="193"/>
      <c r="Y84" s="360">
        <v>8</v>
      </c>
      <c r="Z84" s="357" t="str">
        <f>IF(V27+V28=0,"",IF(V27&lt;V28,U26,U28))</f>
        <v/>
      </c>
      <c r="AA84" s="357"/>
      <c r="AB84" s="357"/>
      <c r="AC84" s="357"/>
      <c r="AD84" s="236"/>
      <c r="AE84" s="360">
        <v>16</v>
      </c>
      <c r="AF84" s="357" t="str">
        <f>IF(V81+V82=0,"",IF(V81&lt;V82,U80,U82))</f>
        <v/>
      </c>
      <c r="AG84" s="357"/>
      <c r="AH84" s="357"/>
      <c r="AI84" s="357"/>
      <c r="BV84" s="194"/>
      <c r="BW84" s="193"/>
      <c r="BX84" s="193"/>
      <c r="BY84" s="217"/>
      <c r="BZ84" s="217"/>
      <c r="CA84" s="217"/>
      <c r="CB84" s="214"/>
      <c r="CC84" s="216"/>
      <c r="CD84" s="216"/>
      <c r="CE84" s="216"/>
      <c r="CF84" s="216"/>
      <c r="CG84" s="216"/>
      <c r="CH84" s="216"/>
      <c r="CI84" s="216"/>
      <c r="CJ84" s="216"/>
      <c r="CK84" s="216"/>
      <c r="CL84" s="216"/>
      <c r="CM84" s="216"/>
      <c r="CN84" s="216"/>
      <c r="CO84" s="216"/>
      <c r="CP84" s="216"/>
      <c r="CQ84" s="216"/>
      <c r="CR84" s="216"/>
      <c r="CS84" s="216"/>
      <c r="CT84" s="216"/>
      <c r="CU84" s="216"/>
      <c r="CV84" s="216"/>
      <c r="CW84" s="216"/>
      <c r="CX84" s="216"/>
      <c r="CY84" s="216"/>
      <c r="CZ84" s="216"/>
      <c r="DA84" s="216"/>
      <c r="DB84" s="196"/>
      <c r="GB84" s="193"/>
      <c r="GC84" s="193"/>
      <c r="GD84" s="193"/>
    </row>
    <row r="85" spans="1:186" ht="8.25" customHeight="1" x14ac:dyDescent="0.25">
      <c r="Y85" s="360"/>
      <c r="Z85" s="358"/>
      <c r="AA85" s="358"/>
      <c r="AB85" s="358"/>
      <c r="AC85" s="358"/>
      <c r="AD85" s="236"/>
      <c r="AE85" s="360"/>
      <c r="AF85" s="358"/>
      <c r="AG85" s="358"/>
      <c r="AH85" s="358"/>
      <c r="AI85" s="358"/>
      <c r="BV85" s="194"/>
      <c r="BW85" s="193"/>
      <c r="BX85" s="193"/>
      <c r="BY85" s="196"/>
      <c r="BZ85" s="196"/>
      <c r="CA85" s="196"/>
      <c r="CB85" s="196"/>
      <c r="CC85" s="196"/>
      <c r="CD85" s="196"/>
      <c r="CE85" s="196"/>
      <c r="CF85" s="210"/>
      <c r="CG85" s="196"/>
      <c r="CH85" s="196"/>
      <c r="CI85" s="196"/>
      <c r="CJ85" s="196"/>
      <c r="CK85" s="196"/>
      <c r="CL85" s="196"/>
      <c r="CM85" s="196"/>
      <c r="CN85" s="196"/>
      <c r="CO85" s="196"/>
      <c r="CP85" s="210"/>
      <c r="CQ85" s="196"/>
      <c r="CR85" s="196"/>
      <c r="CS85" s="196"/>
      <c r="CT85" s="196"/>
      <c r="CU85" s="196"/>
      <c r="CV85" s="196"/>
      <c r="CW85" s="196"/>
      <c r="CX85" s="196"/>
      <c r="CY85" s="196"/>
      <c r="CZ85" s="196"/>
      <c r="DA85" s="196"/>
      <c r="DB85" s="196"/>
      <c r="GB85" s="193"/>
      <c r="GC85" s="193"/>
      <c r="GD85" s="193"/>
    </row>
    <row r="86" spans="1:186" ht="8.25" customHeight="1" x14ac:dyDescent="0.25">
      <c r="A86" s="193"/>
      <c r="B86" s="193"/>
      <c r="C86" s="193"/>
      <c r="D86" s="193"/>
      <c r="E86" s="193"/>
      <c r="F86" s="193"/>
      <c r="G86" s="193"/>
      <c r="H86" s="193"/>
      <c r="I86" s="193"/>
      <c r="J86" s="193"/>
      <c r="K86" s="193"/>
      <c r="L86" s="193"/>
      <c r="M86" s="193"/>
      <c r="N86" s="193"/>
      <c r="O86" s="193"/>
      <c r="P86" s="193"/>
      <c r="Q86" s="193"/>
      <c r="R86" s="196"/>
      <c r="S86" s="193"/>
      <c r="T86" s="193"/>
      <c r="U86" s="193"/>
      <c r="V86" s="193"/>
      <c r="W86" s="194"/>
      <c r="X86" s="194"/>
      <c r="Y86" s="193"/>
      <c r="AO86" s="196"/>
      <c r="AP86" s="196"/>
      <c r="AQ86" s="196"/>
      <c r="AR86" s="196"/>
      <c r="AS86" s="196"/>
      <c r="AT86" s="196"/>
      <c r="AU86" s="196"/>
      <c r="AV86" s="196"/>
      <c r="AW86" s="196"/>
      <c r="AX86" s="196"/>
      <c r="AY86" s="196"/>
      <c r="AZ86" s="196"/>
      <c r="BA86" s="196"/>
      <c r="BB86" s="196"/>
      <c r="BC86" s="196"/>
      <c r="BD86" s="196"/>
      <c r="BE86" s="196"/>
      <c r="BF86" s="196"/>
      <c r="BG86" s="196"/>
      <c r="BH86" s="196"/>
      <c r="BI86" s="196"/>
      <c r="BJ86" s="196"/>
      <c r="BK86" s="196"/>
      <c r="BL86" s="196"/>
      <c r="BM86" s="196"/>
      <c r="BN86" s="196"/>
      <c r="BO86" s="196"/>
      <c r="BP86" s="196"/>
      <c r="BQ86" s="196"/>
      <c r="BR86" s="196"/>
      <c r="BS86" s="196"/>
      <c r="BT86" s="196"/>
      <c r="BU86" s="196"/>
      <c r="BV86" s="196"/>
      <c r="BW86" s="196"/>
      <c r="BX86" s="196"/>
      <c r="BY86" s="196"/>
      <c r="BZ86" s="196"/>
      <c r="CA86" s="196"/>
      <c r="CB86" s="196"/>
      <c r="CC86" s="196"/>
      <c r="CD86" s="196"/>
      <c r="CE86" s="196"/>
      <c r="CF86" s="196"/>
      <c r="CG86" s="196"/>
      <c r="CH86" s="196"/>
      <c r="CI86" s="196"/>
      <c r="CJ86" s="196"/>
    </row>
    <row r="87" spans="1:186" ht="8.25" customHeight="1" x14ac:dyDescent="0.25">
      <c r="B87" s="219"/>
      <c r="C87" s="219"/>
      <c r="M87" s="234"/>
      <c r="X87" s="234"/>
      <c r="Y87" s="234"/>
      <c r="Z87" s="196"/>
      <c r="AA87" s="196"/>
      <c r="AB87" s="196"/>
      <c r="AC87" s="196"/>
      <c r="AD87" s="196"/>
      <c r="AE87" s="196"/>
      <c r="AF87" s="196"/>
      <c r="AG87" s="196"/>
      <c r="AH87" s="196"/>
      <c r="AI87" s="196"/>
      <c r="AJ87" s="196"/>
      <c r="AK87" s="196"/>
      <c r="AL87" s="196"/>
      <c r="AM87" s="196"/>
    </row>
    <row r="88" spans="1:186" ht="8.25" customHeight="1" x14ac:dyDescent="0.25">
      <c r="A88" s="219"/>
      <c r="B88" s="219"/>
      <c r="C88" s="219"/>
      <c r="D88" s="219"/>
      <c r="E88" s="219"/>
      <c r="F88" s="219"/>
      <c r="G88" s="219"/>
      <c r="H88" s="234"/>
      <c r="I88" s="234"/>
      <c r="J88" s="234"/>
      <c r="K88" s="234"/>
      <c r="L88" s="234"/>
      <c r="M88" s="234"/>
      <c r="N88" s="219"/>
      <c r="O88" s="219"/>
      <c r="P88" s="219"/>
      <c r="Q88" s="219"/>
      <c r="R88" s="219"/>
      <c r="S88" s="219"/>
      <c r="T88" s="219"/>
      <c r="U88" s="234"/>
      <c r="V88" s="234"/>
      <c r="W88" s="234"/>
      <c r="X88" s="234"/>
      <c r="Y88" s="234"/>
      <c r="Z88" s="218"/>
      <c r="AA88" s="218"/>
      <c r="AB88" s="218"/>
      <c r="AC88" s="218"/>
      <c r="AD88" s="218"/>
      <c r="AE88" s="218"/>
      <c r="AF88" s="218"/>
      <c r="AG88" s="218"/>
      <c r="AH88" s="218"/>
      <c r="AI88" s="218"/>
      <c r="AJ88" s="218"/>
      <c r="AK88" s="218"/>
      <c r="AL88" s="218"/>
      <c r="AM88" s="218"/>
      <c r="DF88" s="193"/>
    </row>
    <row r="89" spans="1:186" ht="8.25" customHeight="1" x14ac:dyDescent="0.25">
      <c r="AI89" s="218"/>
      <c r="AJ89" s="218"/>
      <c r="AK89" s="218"/>
      <c r="AL89" s="218"/>
      <c r="AM89" s="218"/>
      <c r="DF89" s="193"/>
    </row>
    <row r="90" spans="1:186" ht="8.25" customHeight="1" x14ac:dyDescent="0.25">
      <c r="A90" s="219"/>
      <c r="B90" s="219"/>
      <c r="C90" s="219"/>
      <c r="D90" s="354">
        <f>'Infos générales'!$B$5</f>
        <v>0.54166666666666663</v>
      </c>
      <c r="E90" s="237"/>
      <c r="F90" s="355">
        <f>'Infos générales'!$B$6</f>
        <v>0.75</v>
      </c>
      <c r="G90" s="238"/>
      <c r="H90" s="356" t="str">
        <f>"Participants : "&amp;'Infos générales'!$B$8</f>
        <v>Participants : 32</v>
      </c>
      <c r="I90" s="356"/>
      <c r="J90" s="234"/>
      <c r="K90" s="234"/>
      <c r="M90" s="219"/>
      <c r="N90" s="193"/>
      <c r="O90" s="193"/>
      <c r="P90" s="354">
        <f>'Infos générales'!$B$5</f>
        <v>0.54166666666666663</v>
      </c>
      <c r="Q90" s="237"/>
      <c r="R90" s="355">
        <f>'Infos générales'!$B$6</f>
        <v>0.75</v>
      </c>
      <c r="S90" s="238"/>
      <c r="T90" s="356" t="str">
        <f>"Participants : "&amp;'Infos générales'!$B$8</f>
        <v>Participants : 32</v>
      </c>
      <c r="U90" s="356"/>
      <c r="V90" s="194"/>
      <c r="W90" s="193"/>
      <c r="X90" s="193"/>
      <c r="Y90" s="193"/>
      <c r="Z90" s="359">
        <f>'Infos générales'!$B$5</f>
        <v>0.54166666666666663</v>
      </c>
      <c r="AA90" s="359"/>
      <c r="AB90" s="237"/>
      <c r="AC90" s="361">
        <f>'Infos générales'!$B$6</f>
        <v>0.75</v>
      </c>
      <c r="AD90" s="361"/>
      <c r="AE90" s="361"/>
      <c r="AG90" s="356" t="str">
        <f>"Participants : "&amp;'Infos générales'!$B$8</f>
        <v>Participants : 32</v>
      </c>
      <c r="AH90" s="356"/>
      <c r="AQ90" s="219"/>
      <c r="AR90" s="219"/>
      <c r="AS90" s="219"/>
      <c r="AT90" s="219"/>
      <c r="AU90" s="219"/>
      <c r="AV90" s="219"/>
      <c r="AW90" s="219"/>
      <c r="AX90" s="234"/>
      <c r="AY90" s="234"/>
      <c r="AZ90" s="234"/>
      <c r="BA90" s="234"/>
      <c r="BB90" s="234"/>
      <c r="BC90" s="234"/>
      <c r="BD90" s="193"/>
      <c r="BE90" s="193"/>
      <c r="BF90" s="193"/>
      <c r="BG90" s="193"/>
      <c r="BH90" s="193"/>
      <c r="BI90" s="219"/>
      <c r="BJ90" s="219"/>
      <c r="BK90" s="219"/>
      <c r="BL90" s="219"/>
      <c r="BM90" s="219"/>
      <c r="BN90" s="219"/>
      <c r="BO90" s="219"/>
      <c r="BP90" s="234"/>
      <c r="BQ90" s="234"/>
      <c r="BR90" s="234"/>
      <c r="BS90" s="234"/>
      <c r="BT90" s="234"/>
      <c r="BU90" s="234"/>
      <c r="DF90" s="193"/>
    </row>
    <row r="91" spans="1:186" ht="8.25" customHeight="1" x14ac:dyDescent="0.25">
      <c r="A91" s="219"/>
      <c r="B91" s="219"/>
      <c r="C91" s="219"/>
      <c r="D91" s="354"/>
      <c r="E91" s="237"/>
      <c r="F91" s="355"/>
      <c r="G91" s="238"/>
      <c r="H91" s="356"/>
      <c r="I91" s="356"/>
      <c r="M91" s="219"/>
      <c r="N91" s="219"/>
      <c r="O91" s="219"/>
      <c r="P91" s="354"/>
      <c r="Q91" s="237"/>
      <c r="R91" s="355"/>
      <c r="S91" s="238"/>
      <c r="T91" s="356"/>
      <c r="U91" s="356"/>
      <c r="V91" s="219"/>
      <c r="W91" s="234"/>
      <c r="X91" s="193"/>
      <c r="Y91" s="193"/>
      <c r="Z91" s="359"/>
      <c r="AA91" s="359"/>
      <c r="AB91" s="237"/>
      <c r="AC91" s="361"/>
      <c r="AD91" s="361"/>
      <c r="AE91" s="361"/>
      <c r="AG91" s="356"/>
      <c r="AH91" s="356"/>
      <c r="AQ91" s="219"/>
      <c r="AR91" s="219"/>
      <c r="AS91" s="219"/>
      <c r="AT91" s="219"/>
      <c r="AU91" s="219"/>
      <c r="AV91" s="219"/>
      <c r="AW91" s="219"/>
      <c r="AX91" s="234"/>
      <c r="AY91" s="234"/>
      <c r="AZ91" s="234"/>
      <c r="BA91" s="234"/>
      <c r="BB91" s="234"/>
      <c r="BC91" s="234"/>
      <c r="BD91" s="193"/>
      <c r="BE91" s="193"/>
      <c r="BF91" s="193"/>
      <c r="BG91" s="193"/>
      <c r="BH91" s="193"/>
      <c r="BI91" s="219"/>
      <c r="BJ91" s="219"/>
      <c r="BK91" s="219"/>
      <c r="BL91" s="219"/>
      <c r="BM91" s="219"/>
      <c r="BN91" s="219"/>
      <c r="BO91" s="219"/>
      <c r="BP91" s="234"/>
      <c r="BQ91" s="234"/>
      <c r="BR91" s="234"/>
      <c r="BS91" s="234"/>
      <c r="BT91" s="234"/>
      <c r="BU91" s="234"/>
      <c r="DF91" s="193"/>
    </row>
    <row r="92" spans="1:186" ht="8.25" customHeight="1" x14ac:dyDescent="0.25">
      <c r="Z92" s="196"/>
      <c r="AA92" s="196"/>
      <c r="AB92" s="196"/>
      <c r="AC92" s="196"/>
      <c r="AD92" s="196"/>
      <c r="AE92" s="196"/>
      <c r="AF92" s="196"/>
      <c r="AG92" s="196"/>
      <c r="AH92" s="196"/>
      <c r="AI92" s="196"/>
      <c r="AJ92" s="196"/>
      <c r="AK92" s="196"/>
      <c r="AL92" s="196"/>
      <c r="AM92" s="196"/>
      <c r="DF92" s="193"/>
    </row>
    <row r="93" spans="1:186" ht="8.25" customHeight="1" x14ac:dyDescent="0.25">
      <c r="Z93" s="196"/>
      <c r="AA93" s="196"/>
      <c r="AB93" s="196"/>
      <c r="AC93" s="196"/>
      <c r="AD93" s="196"/>
      <c r="AE93" s="196"/>
      <c r="AF93" s="196"/>
      <c r="AG93" s="196"/>
      <c r="AH93" s="196"/>
      <c r="AI93" s="196"/>
      <c r="AJ93" s="196"/>
      <c r="AK93" s="196"/>
      <c r="AL93" s="196"/>
      <c r="AM93" s="196"/>
      <c r="DF93" s="193"/>
    </row>
    <row r="94" spans="1:186" ht="8.25" customHeight="1" x14ac:dyDescent="0.25">
      <c r="N94" s="232"/>
      <c r="O94" s="232"/>
      <c r="P94" s="232"/>
      <c r="Q94" s="232"/>
      <c r="R94" s="232"/>
      <c r="S94" s="232"/>
      <c r="T94" s="232"/>
      <c r="U94" s="232"/>
      <c r="V94" s="232"/>
      <c r="W94" s="232"/>
      <c r="X94" s="232"/>
      <c r="Y94" s="232"/>
      <c r="Z94" s="232"/>
      <c r="AA94" s="232"/>
      <c r="AB94" s="232"/>
      <c r="AC94" s="232"/>
      <c r="AD94" s="232"/>
      <c r="AE94" s="232"/>
      <c r="AF94" s="232"/>
      <c r="AG94" s="232"/>
      <c r="AH94" s="232"/>
      <c r="AI94" s="232"/>
      <c r="AJ94" s="232"/>
      <c r="AK94" s="232"/>
      <c r="AL94" s="232"/>
      <c r="AM94" s="232"/>
      <c r="AN94" s="232"/>
      <c r="AO94" s="232"/>
      <c r="AP94" s="232"/>
      <c r="AQ94" s="232"/>
      <c r="AR94" s="232"/>
      <c r="AS94" s="232"/>
      <c r="AT94" s="232"/>
      <c r="AU94" s="232"/>
      <c r="AV94" s="232"/>
      <c r="AW94" s="232"/>
      <c r="AX94" s="232"/>
      <c r="AY94" s="232"/>
      <c r="AZ94" s="232"/>
      <c r="BA94" s="232"/>
      <c r="BB94" s="232"/>
      <c r="BC94" s="232"/>
      <c r="BD94" s="232"/>
      <c r="BE94" s="232"/>
      <c r="BF94" s="232"/>
      <c r="BG94" s="232"/>
      <c r="BH94" s="232"/>
      <c r="BI94" s="232"/>
      <c r="BJ94" s="232"/>
      <c r="BK94" s="232"/>
      <c r="BL94" s="232"/>
      <c r="BM94" s="232"/>
      <c r="BN94" s="232"/>
      <c r="DF94" s="193"/>
    </row>
    <row r="95" spans="1:186" ht="8.25" customHeight="1" x14ac:dyDescent="0.25">
      <c r="N95" s="232"/>
      <c r="O95" s="232"/>
      <c r="P95" s="232"/>
      <c r="Q95" s="232"/>
      <c r="R95" s="232"/>
      <c r="S95" s="232"/>
      <c r="T95" s="232"/>
      <c r="U95" s="232"/>
      <c r="V95" s="232"/>
      <c r="W95" s="232"/>
      <c r="X95" s="232"/>
      <c r="Y95" s="232"/>
      <c r="Z95" s="232"/>
      <c r="AA95" s="232"/>
      <c r="AB95" s="232"/>
      <c r="AC95" s="232"/>
      <c r="AD95" s="232"/>
      <c r="AE95" s="232"/>
      <c r="AF95" s="232"/>
      <c r="AG95" s="232"/>
      <c r="AH95" s="232"/>
      <c r="AI95" s="232"/>
      <c r="AJ95" s="232"/>
      <c r="AK95" s="232"/>
      <c r="AL95" s="232"/>
      <c r="AM95" s="232"/>
      <c r="AN95" s="232"/>
      <c r="AO95" s="232"/>
      <c r="AP95" s="232"/>
      <c r="AQ95" s="232"/>
      <c r="AR95" s="232"/>
      <c r="AS95" s="232"/>
      <c r="AT95" s="232"/>
      <c r="AU95" s="232"/>
      <c r="AV95" s="232"/>
      <c r="AW95" s="232"/>
      <c r="AX95" s="232"/>
      <c r="AY95" s="232"/>
      <c r="AZ95" s="232"/>
      <c r="BA95" s="232"/>
      <c r="BB95" s="232"/>
      <c r="BC95" s="232"/>
      <c r="BD95" s="232"/>
      <c r="BE95" s="232"/>
      <c r="BF95" s="232"/>
      <c r="BG95" s="232"/>
      <c r="BH95" s="232"/>
      <c r="BI95" s="232"/>
      <c r="BJ95" s="232"/>
      <c r="BK95" s="232"/>
      <c r="BL95" s="232"/>
      <c r="BM95" s="232"/>
      <c r="BN95" s="232"/>
      <c r="DF95" s="193"/>
    </row>
    <row r="96" spans="1:186" ht="8.25" customHeight="1" x14ac:dyDescent="0.25">
      <c r="N96" s="232"/>
      <c r="O96" s="232"/>
      <c r="P96" s="232"/>
      <c r="Q96" s="232"/>
      <c r="R96" s="232"/>
      <c r="S96" s="232"/>
      <c r="T96" s="232"/>
      <c r="U96" s="232"/>
      <c r="V96" s="232"/>
      <c r="W96" s="232"/>
      <c r="X96" s="232"/>
      <c r="Y96" s="232"/>
      <c r="Z96" s="232"/>
      <c r="AA96" s="232"/>
      <c r="AB96" s="232"/>
      <c r="AC96" s="232"/>
      <c r="AD96" s="232"/>
      <c r="AE96" s="232"/>
      <c r="AF96" s="232"/>
      <c r="AG96" s="232"/>
      <c r="AH96" s="232"/>
      <c r="AI96" s="232"/>
      <c r="AJ96" s="232"/>
      <c r="AK96" s="232"/>
      <c r="AL96" s="232"/>
      <c r="AM96" s="232"/>
      <c r="AN96" s="232"/>
      <c r="AO96" s="232"/>
      <c r="AP96" s="232"/>
      <c r="AQ96" s="232"/>
      <c r="AR96" s="232"/>
      <c r="AS96" s="232"/>
      <c r="AT96" s="232"/>
      <c r="AU96" s="232"/>
      <c r="AV96" s="232"/>
      <c r="AW96" s="232"/>
      <c r="AX96" s="232"/>
      <c r="AY96" s="232"/>
      <c r="AZ96" s="232"/>
      <c r="BA96" s="232"/>
      <c r="BB96" s="232"/>
      <c r="BC96" s="232"/>
      <c r="BD96" s="232"/>
      <c r="BE96" s="232"/>
      <c r="BF96" s="232"/>
      <c r="BG96" s="232"/>
      <c r="BH96" s="232"/>
      <c r="BI96" s="232"/>
      <c r="BJ96" s="232"/>
      <c r="BK96" s="232"/>
      <c r="BL96" s="232"/>
      <c r="BM96" s="232"/>
      <c r="BN96" s="232"/>
      <c r="DF96" s="193"/>
    </row>
    <row r="97" spans="14:110" ht="8.25" customHeight="1" x14ac:dyDescent="0.25">
      <c r="N97" s="232"/>
      <c r="O97" s="232"/>
      <c r="P97" s="232"/>
      <c r="Q97" s="232"/>
      <c r="R97" s="232"/>
      <c r="S97" s="232"/>
      <c r="T97" s="232"/>
      <c r="U97" s="232"/>
      <c r="V97" s="232"/>
      <c r="W97" s="232"/>
      <c r="X97" s="232"/>
      <c r="Y97" s="232"/>
      <c r="Z97" s="232"/>
      <c r="AA97" s="232"/>
      <c r="AB97" s="232"/>
      <c r="AC97" s="232"/>
      <c r="AD97" s="232"/>
      <c r="AE97" s="232"/>
      <c r="AF97" s="232"/>
      <c r="AG97" s="232"/>
      <c r="AH97" s="232"/>
      <c r="AI97" s="232"/>
      <c r="AJ97" s="232"/>
      <c r="AK97" s="232"/>
      <c r="AL97" s="232"/>
      <c r="AM97" s="232"/>
      <c r="AN97" s="232"/>
      <c r="AO97" s="232"/>
      <c r="AP97" s="232"/>
      <c r="AQ97" s="232"/>
      <c r="AR97" s="232"/>
      <c r="AS97" s="232"/>
      <c r="AT97" s="232"/>
      <c r="AU97" s="232"/>
      <c r="AV97" s="232"/>
      <c r="AW97" s="232"/>
      <c r="AX97" s="232"/>
      <c r="AY97" s="232"/>
      <c r="AZ97" s="232"/>
      <c r="BA97" s="232"/>
      <c r="BB97" s="232"/>
      <c r="BC97" s="232"/>
      <c r="BD97" s="232"/>
      <c r="BE97" s="232"/>
      <c r="BF97" s="232"/>
      <c r="BG97" s="232"/>
      <c r="BH97" s="232"/>
      <c r="BI97" s="232"/>
      <c r="BJ97" s="232"/>
      <c r="BK97" s="232"/>
      <c r="BL97" s="232"/>
      <c r="BM97" s="232"/>
      <c r="BN97" s="232"/>
      <c r="DF97" s="193"/>
    </row>
    <row r="98" spans="14:110" ht="8.25" customHeight="1" x14ac:dyDescent="0.25">
      <c r="N98" s="233"/>
      <c r="O98" s="233"/>
      <c r="P98" s="233"/>
      <c r="Q98" s="233"/>
      <c r="R98" s="233"/>
      <c r="S98" s="233"/>
      <c r="T98" s="233"/>
      <c r="U98" s="233"/>
      <c r="V98" s="233"/>
      <c r="W98" s="233"/>
      <c r="X98" s="233"/>
      <c r="Y98" s="233"/>
      <c r="Z98" s="233"/>
      <c r="AA98" s="233"/>
      <c r="AB98" s="233"/>
      <c r="AC98" s="233"/>
      <c r="AD98" s="233"/>
      <c r="AE98" s="233"/>
      <c r="AF98" s="233"/>
      <c r="AG98" s="233"/>
      <c r="AH98" s="233"/>
      <c r="AI98" s="233"/>
      <c r="AJ98" s="233"/>
      <c r="AK98" s="233"/>
      <c r="AL98" s="233"/>
      <c r="AM98" s="233"/>
      <c r="AN98" s="233"/>
      <c r="AO98" s="233"/>
      <c r="AP98" s="233"/>
      <c r="AQ98" s="233"/>
      <c r="AR98" s="233"/>
      <c r="AS98" s="233"/>
      <c r="AT98" s="233"/>
      <c r="AU98" s="233"/>
      <c r="AV98" s="233"/>
      <c r="AW98" s="233"/>
      <c r="AX98" s="233"/>
      <c r="AY98" s="233"/>
      <c r="AZ98" s="233"/>
      <c r="BA98" s="233"/>
      <c r="BB98" s="233"/>
      <c r="BC98" s="233"/>
      <c r="BD98" s="233"/>
      <c r="BE98" s="233"/>
      <c r="BF98" s="233"/>
      <c r="BG98" s="233"/>
      <c r="BH98" s="233"/>
      <c r="BI98" s="233"/>
      <c r="BJ98" s="233"/>
      <c r="BK98" s="233"/>
      <c r="BL98" s="233"/>
      <c r="BM98" s="233"/>
      <c r="BN98" s="233"/>
      <c r="DF98" s="193"/>
    </row>
    <row r="99" spans="14:110" ht="8.25" customHeight="1" x14ac:dyDescent="0.25">
      <c r="N99" s="233"/>
      <c r="O99" s="233"/>
      <c r="P99" s="233"/>
      <c r="Q99" s="233"/>
      <c r="R99" s="233"/>
      <c r="S99" s="233"/>
      <c r="T99" s="233"/>
      <c r="U99" s="233"/>
      <c r="V99" s="233"/>
      <c r="W99" s="233"/>
      <c r="X99" s="233"/>
      <c r="Y99" s="233"/>
      <c r="Z99" s="233"/>
      <c r="AA99" s="233"/>
      <c r="AB99" s="233"/>
      <c r="AC99" s="233"/>
      <c r="AD99" s="233"/>
      <c r="AE99" s="233"/>
      <c r="AF99" s="233"/>
      <c r="AG99" s="233"/>
      <c r="AH99" s="233"/>
      <c r="AI99" s="233"/>
      <c r="AJ99" s="233"/>
      <c r="AK99" s="233"/>
      <c r="AL99" s="233"/>
      <c r="AM99" s="233"/>
      <c r="AN99" s="233"/>
      <c r="AO99" s="233"/>
      <c r="AP99" s="233"/>
      <c r="AQ99" s="233"/>
      <c r="AR99" s="233"/>
      <c r="AS99" s="233"/>
      <c r="AT99" s="233"/>
      <c r="AU99" s="233"/>
      <c r="AV99" s="233"/>
      <c r="AW99" s="233"/>
      <c r="AX99" s="233"/>
      <c r="AY99" s="233"/>
      <c r="AZ99" s="233"/>
      <c r="BA99" s="233"/>
      <c r="BB99" s="233"/>
      <c r="BC99" s="233"/>
      <c r="BD99" s="233"/>
      <c r="BE99" s="233"/>
      <c r="BF99" s="233"/>
      <c r="BG99" s="233"/>
      <c r="BH99" s="233"/>
      <c r="BI99" s="233"/>
      <c r="BJ99" s="233"/>
      <c r="BK99" s="233"/>
      <c r="BL99" s="233"/>
      <c r="BM99" s="233"/>
      <c r="BN99" s="233"/>
      <c r="DF99" s="193"/>
    </row>
    <row r="100" spans="14:110" ht="8.25" customHeight="1" x14ac:dyDescent="0.25">
      <c r="N100" s="233"/>
      <c r="O100" s="233"/>
      <c r="P100" s="233"/>
      <c r="Q100" s="233"/>
      <c r="R100" s="233"/>
      <c r="S100" s="233"/>
      <c r="T100" s="233"/>
      <c r="U100" s="233"/>
      <c r="V100" s="233"/>
      <c r="W100" s="233"/>
      <c r="X100" s="233"/>
      <c r="Y100" s="233"/>
      <c r="Z100" s="233"/>
      <c r="AA100" s="233"/>
      <c r="AB100" s="233"/>
      <c r="AC100" s="233"/>
      <c r="AD100" s="233"/>
      <c r="AE100" s="233"/>
      <c r="AF100" s="233"/>
      <c r="AG100" s="233"/>
      <c r="AH100" s="233"/>
      <c r="AI100" s="233"/>
      <c r="AJ100" s="233"/>
      <c r="AK100" s="233"/>
      <c r="AL100" s="233"/>
      <c r="AM100" s="233"/>
      <c r="AN100" s="233"/>
      <c r="AO100" s="233"/>
      <c r="AP100" s="233"/>
      <c r="AQ100" s="233"/>
      <c r="AR100" s="233"/>
      <c r="AS100" s="233"/>
      <c r="AT100" s="233"/>
      <c r="AU100" s="233"/>
      <c r="AV100" s="233"/>
      <c r="AW100" s="233"/>
      <c r="AX100" s="233"/>
      <c r="AY100" s="233"/>
      <c r="AZ100" s="233"/>
      <c r="BA100" s="233"/>
      <c r="BB100" s="233"/>
      <c r="BC100" s="233"/>
      <c r="BD100" s="233"/>
      <c r="BE100" s="233"/>
      <c r="BF100" s="233"/>
      <c r="BG100" s="233"/>
      <c r="BH100" s="233"/>
      <c r="BI100" s="233"/>
      <c r="BJ100" s="233"/>
      <c r="BK100" s="233"/>
      <c r="BL100" s="233"/>
      <c r="BM100" s="233"/>
      <c r="BN100" s="233"/>
      <c r="DF100" s="193"/>
    </row>
    <row r="101" spans="14:110" ht="8.25" customHeight="1" x14ac:dyDescent="0.25">
      <c r="N101" s="233"/>
      <c r="O101" s="233"/>
      <c r="P101" s="233"/>
      <c r="Q101" s="233"/>
      <c r="R101" s="233"/>
      <c r="S101" s="233"/>
      <c r="T101" s="233"/>
      <c r="U101" s="233"/>
      <c r="V101" s="233"/>
      <c r="W101" s="233"/>
      <c r="X101" s="233"/>
      <c r="Y101" s="233"/>
      <c r="Z101" s="233"/>
      <c r="AA101" s="233"/>
      <c r="AB101" s="233"/>
      <c r="AC101" s="233"/>
      <c r="AD101" s="233"/>
      <c r="AE101" s="233"/>
      <c r="AF101" s="233"/>
      <c r="AG101" s="233"/>
      <c r="AH101" s="233"/>
      <c r="AI101" s="233"/>
      <c r="AJ101" s="233"/>
      <c r="AK101" s="233"/>
      <c r="AL101" s="233"/>
      <c r="AM101" s="233"/>
      <c r="AN101" s="233"/>
      <c r="AO101" s="233"/>
      <c r="AP101" s="233"/>
      <c r="AQ101" s="233"/>
      <c r="AR101" s="233"/>
      <c r="AS101" s="233"/>
      <c r="AT101" s="233"/>
      <c r="AU101" s="233"/>
      <c r="AV101" s="233"/>
      <c r="AW101" s="233"/>
      <c r="AX101" s="233"/>
      <c r="AY101" s="233"/>
      <c r="AZ101" s="233"/>
      <c r="BA101" s="233"/>
      <c r="BB101" s="233"/>
      <c r="BC101" s="233"/>
      <c r="BD101" s="233"/>
      <c r="BE101" s="233"/>
      <c r="BF101" s="233"/>
      <c r="BG101" s="233"/>
      <c r="BH101" s="233"/>
      <c r="BI101" s="233"/>
      <c r="BJ101" s="233"/>
      <c r="BK101" s="233"/>
      <c r="BL101" s="233"/>
      <c r="BM101" s="233"/>
      <c r="BN101" s="233"/>
      <c r="DF101" s="193"/>
    </row>
    <row r="102" spans="14:110" ht="8.25" customHeight="1" x14ac:dyDescent="0.25">
      <c r="DF102" s="193"/>
    </row>
    <row r="103" spans="14:110" ht="8.25" customHeight="1" x14ac:dyDescent="0.25">
      <c r="N103" s="205"/>
      <c r="O103" s="205"/>
      <c r="P103" s="205"/>
      <c r="Q103" s="205"/>
      <c r="R103" s="205"/>
      <c r="S103" s="205"/>
      <c r="T103" s="205"/>
      <c r="U103" s="205"/>
      <c r="V103" s="205"/>
      <c r="W103" s="205"/>
      <c r="X103" s="205"/>
      <c r="Y103" s="205"/>
      <c r="Z103" s="205"/>
      <c r="AA103" s="205"/>
      <c r="AB103" s="205"/>
      <c r="AC103" s="205"/>
      <c r="AD103" s="205"/>
      <c r="AE103" s="205"/>
      <c r="AF103" s="205"/>
      <c r="AG103" s="205"/>
      <c r="AH103" s="205"/>
      <c r="AI103" s="205"/>
      <c r="AJ103" s="205"/>
      <c r="AK103" s="205"/>
      <c r="AL103" s="205"/>
      <c r="AM103" s="205"/>
      <c r="AN103" s="205"/>
      <c r="AO103" s="205"/>
      <c r="AP103" s="205"/>
      <c r="AQ103" s="205"/>
      <c r="AR103" s="205"/>
      <c r="AS103" s="205"/>
      <c r="AT103" s="205"/>
      <c r="AU103" s="205"/>
      <c r="AV103" s="205"/>
      <c r="AW103" s="205"/>
      <c r="AX103" s="205"/>
      <c r="AY103" s="205"/>
      <c r="AZ103" s="205"/>
      <c r="BA103" s="205"/>
      <c r="BB103" s="205"/>
      <c r="BC103" s="205"/>
      <c r="BD103" s="205"/>
      <c r="BE103" s="205"/>
      <c r="BF103" s="205"/>
      <c r="BG103" s="205"/>
      <c r="BH103" s="205"/>
      <c r="BI103" s="205"/>
      <c r="BJ103" s="205"/>
      <c r="BK103" s="205"/>
      <c r="BL103" s="205"/>
      <c r="BM103" s="205"/>
      <c r="BN103" s="205"/>
      <c r="BO103" s="205"/>
      <c r="DF103" s="193"/>
    </row>
    <row r="104" spans="14:110" ht="8.25" customHeight="1" x14ac:dyDescent="0.25">
      <c r="N104" s="205"/>
      <c r="O104" s="205"/>
      <c r="P104" s="205"/>
      <c r="Q104" s="205"/>
      <c r="R104" s="205"/>
      <c r="S104" s="205"/>
      <c r="T104" s="205"/>
      <c r="U104" s="205"/>
      <c r="V104" s="205"/>
      <c r="W104" s="205"/>
      <c r="X104" s="205"/>
      <c r="Y104" s="205"/>
      <c r="Z104" s="205"/>
      <c r="AA104" s="205"/>
      <c r="AB104" s="205"/>
      <c r="AC104" s="205"/>
      <c r="AD104" s="205"/>
      <c r="AE104" s="205"/>
      <c r="AF104" s="205"/>
      <c r="AG104" s="205"/>
      <c r="AH104" s="205"/>
      <c r="AI104" s="205"/>
      <c r="AJ104" s="205"/>
      <c r="AK104" s="205"/>
      <c r="AL104" s="205"/>
      <c r="AM104" s="205"/>
      <c r="AN104" s="205"/>
      <c r="AO104" s="205"/>
      <c r="AP104" s="205"/>
      <c r="AQ104" s="205"/>
      <c r="AR104" s="205"/>
      <c r="AS104" s="205"/>
      <c r="AT104" s="205"/>
      <c r="AU104" s="205"/>
      <c r="AV104" s="205"/>
      <c r="AW104" s="205"/>
      <c r="AX104" s="205"/>
      <c r="AY104" s="205"/>
      <c r="AZ104" s="205"/>
      <c r="BA104" s="205"/>
      <c r="BB104" s="205"/>
      <c r="BC104" s="205"/>
      <c r="BD104" s="205"/>
      <c r="BE104" s="205"/>
      <c r="BF104" s="205"/>
      <c r="BG104" s="205"/>
      <c r="BH104" s="205"/>
      <c r="BI104" s="205"/>
      <c r="BJ104" s="205"/>
      <c r="BK104" s="205"/>
      <c r="BL104" s="205"/>
      <c r="BM104" s="205"/>
      <c r="BN104" s="205"/>
      <c r="BO104" s="205"/>
      <c r="DF104" s="193"/>
    </row>
    <row r="105" spans="14:110" ht="8.25" customHeight="1" x14ac:dyDescent="0.25">
      <c r="N105" s="205"/>
      <c r="O105" s="205"/>
      <c r="P105" s="205"/>
      <c r="Q105" s="205"/>
      <c r="R105" s="205"/>
      <c r="S105" s="205"/>
      <c r="T105" s="205"/>
      <c r="U105" s="205"/>
      <c r="V105" s="205"/>
      <c r="W105" s="205"/>
      <c r="X105" s="205"/>
      <c r="Y105" s="205"/>
      <c r="Z105" s="205"/>
      <c r="AA105" s="205"/>
      <c r="AB105" s="205"/>
      <c r="AC105" s="205"/>
      <c r="AD105" s="205"/>
      <c r="AE105" s="205"/>
      <c r="AF105" s="205"/>
      <c r="AG105" s="205"/>
      <c r="AH105" s="205"/>
      <c r="AI105" s="205"/>
      <c r="AJ105" s="205"/>
      <c r="AK105" s="205"/>
      <c r="AL105" s="205"/>
      <c r="AM105" s="205"/>
      <c r="AN105" s="205"/>
      <c r="AO105" s="205"/>
      <c r="AP105" s="205"/>
      <c r="AQ105" s="205"/>
      <c r="AR105" s="205"/>
      <c r="AS105" s="205"/>
      <c r="AT105" s="205"/>
      <c r="AU105" s="205"/>
      <c r="AV105" s="205"/>
      <c r="AW105" s="205"/>
      <c r="AX105" s="205"/>
      <c r="AY105" s="205"/>
      <c r="AZ105" s="205"/>
      <c r="BA105" s="205"/>
      <c r="BB105" s="205"/>
      <c r="BC105" s="205"/>
      <c r="BD105" s="205"/>
      <c r="BE105" s="205"/>
      <c r="BF105" s="205"/>
      <c r="BG105" s="205"/>
      <c r="BH105" s="205"/>
      <c r="BI105" s="205"/>
      <c r="BJ105" s="205"/>
      <c r="BK105" s="205"/>
      <c r="BL105" s="205"/>
      <c r="BM105" s="205"/>
      <c r="BN105" s="205"/>
      <c r="BO105" s="205"/>
      <c r="DF105" s="193"/>
    </row>
    <row r="106" spans="14:110" ht="8.25" customHeight="1" x14ac:dyDescent="0.25">
      <c r="N106" s="205"/>
      <c r="O106" s="205"/>
      <c r="P106" s="205"/>
      <c r="Q106" s="205"/>
      <c r="R106" s="205"/>
      <c r="S106" s="205"/>
      <c r="T106" s="205"/>
      <c r="U106" s="205"/>
      <c r="V106" s="205"/>
      <c r="W106" s="205"/>
      <c r="X106" s="205"/>
      <c r="Y106" s="205"/>
      <c r="Z106" s="205"/>
      <c r="AA106" s="205"/>
      <c r="AB106" s="205"/>
      <c r="AC106" s="205"/>
      <c r="AD106" s="205"/>
      <c r="AE106" s="205"/>
      <c r="AF106" s="205"/>
      <c r="AG106" s="205"/>
      <c r="AH106" s="205"/>
      <c r="AI106" s="205"/>
      <c r="AJ106" s="205"/>
      <c r="AK106" s="205"/>
      <c r="AL106" s="205"/>
      <c r="AM106" s="205"/>
      <c r="AN106" s="205"/>
      <c r="AO106" s="205"/>
      <c r="AP106" s="205"/>
      <c r="AQ106" s="205"/>
      <c r="AR106" s="205"/>
      <c r="AS106" s="205"/>
      <c r="AT106" s="205"/>
      <c r="AU106" s="205"/>
      <c r="AV106" s="205"/>
      <c r="AW106" s="205"/>
      <c r="AX106" s="205"/>
      <c r="AY106" s="205"/>
      <c r="AZ106" s="205"/>
      <c r="BA106" s="205"/>
      <c r="BB106" s="205"/>
      <c r="BC106" s="205"/>
      <c r="BD106" s="205"/>
      <c r="BE106" s="205"/>
      <c r="BF106" s="205"/>
      <c r="BG106" s="205"/>
      <c r="BH106" s="205"/>
      <c r="BI106" s="205"/>
      <c r="BJ106" s="205"/>
      <c r="BK106" s="205"/>
      <c r="BL106" s="205"/>
      <c r="BM106" s="205"/>
      <c r="BN106" s="205"/>
      <c r="BO106" s="205"/>
      <c r="DF106" s="193"/>
    </row>
    <row r="107" spans="14:110" ht="8.25" customHeight="1" x14ac:dyDescent="0.25">
      <c r="DF107" s="193"/>
    </row>
    <row r="108" spans="14:110" ht="8.25" customHeight="1" x14ac:dyDescent="0.25">
      <c r="DF108" s="193"/>
    </row>
    <row r="109" spans="14:110" ht="8.25" customHeight="1" x14ac:dyDescent="0.25">
      <c r="DF109" s="193"/>
    </row>
    <row r="110" spans="14:110" ht="8.25" customHeight="1" x14ac:dyDescent="0.25">
      <c r="N110" s="236"/>
      <c r="O110" s="236"/>
      <c r="P110" s="236"/>
      <c r="Q110" s="236"/>
      <c r="R110" s="236"/>
      <c r="S110" s="236"/>
      <c r="T110" s="236"/>
      <c r="U110" s="236"/>
      <c r="V110" s="236"/>
      <c r="W110" s="236"/>
      <c r="X110" s="236"/>
      <c r="Y110" s="236"/>
      <c r="Z110" s="236"/>
      <c r="AA110" s="236"/>
      <c r="AB110" s="236"/>
      <c r="AC110" s="236"/>
      <c r="AD110" s="236"/>
      <c r="AE110" s="236"/>
      <c r="AF110" s="236"/>
      <c r="AG110" s="236"/>
      <c r="AH110" s="236"/>
      <c r="AI110" s="236"/>
      <c r="AJ110" s="193"/>
      <c r="AK110" s="193"/>
      <c r="DF110" s="193"/>
    </row>
    <row r="111" spans="14:110" ht="8.25" customHeight="1" x14ac:dyDescent="0.25">
      <c r="N111" s="236"/>
      <c r="O111" s="236"/>
      <c r="P111" s="236"/>
      <c r="Q111" s="236"/>
      <c r="R111" s="236"/>
      <c r="S111" s="236"/>
      <c r="T111" s="236"/>
      <c r="U111" s="236"/>
      <c r="V111" s="236"/>
      <c r="W111" s="236"/>
      <c r="X111" s="236"/>
      <c r="Y111" s="236"/>
      <c r="Z111" s="236"/>
      <c r="AA111" s="236"/>
      <c r="AB111" s="236"/>
      <c r="AC111" s="236"/>
      <c r="AD111" s="236"/>
      <c r="AE111" s="236"/>
      <c r="AF111" s="236"/>
      <c r="AG111" s="236"/>
      <c r="AH111" s="236"/>
      <c r="AI111" s="236"/>
      <c r="AJ111" s="193"/>
      <c r="AK111" s="193"/>
      <c r="DF111" s="193"/>
    </row>
    <row r="112" spans="14:110" ht="8.25" customHeight="1" x14ac:dyDescent="0.25">
      <c r="N112" s="193"/>
      <c r="O112" s="193"/>
      <c r="P112" s="193"/>
      <c r="Q112" s="193"/>
      <c r="R112" s="193"/>
      <c r="S112" s="193"/>
      <c r="T112" s="193"/>
      <c r="U112" s="194"/>
      <c r="V112" s="193"/>
      <c r="W112" s="193"/>
      <c r="X112" s="193"/>
      <c r="Y112" s="193"/>
      <c r="Z112" s="193"/>
      <c r="AA112" s="193"/>
      <c r="AB112" s="193"/>
      <c r="AC112" s="193"/>
      <c r="AD112" s="194"/>
      <c r="AE112" s="193"/>
      <c r="AF112" s="193"/>
      <c r="AG112" s="193"/>
      <c r="AH112" s="193"/>
      <c r="AI112" s="193"/>
      <c r="AJ112" s="193"/>
      <c r="AK112" s="193"/>
      <c r="DF112" s="193"/>
    </row>
    <row r="113" spans="14:110" ht="8.25" customHeight="1" x14ac:dyDescent="0.25">
      <c r="N113" s="193"/>
      <c r="O113" s="193"/>
      <c r="P113" s="193"/>
      <c r="Q113" s="193"/>
      <c r="R113" s="193"/>
      <c r="S113" s="193"/>
      <c r="T113" s="193"/>
      <c r="U113" s="194"/>
      <c r="V113" s="193"/>
      <c r="W113" s="193"/>
      <c r="X113" s="193"/>
      <c r="Y113" s="193"/>
      <c r="Z113" s="193"/>
      <c r="AA113" s="193"/>
      <c r="AB113" s="193"/>
      <c r="AC113" s="193"/>
      <c r="AD113" s="194"/>
      <c r="AE113" s="193"/>
      <c r="AF113" s="193"/>
      <c r="AG113" s="193"/>
      <c r="AH113" s="193"/>
      <c r="AI113" s="193"/>
      <c r="AJ113" s="193"/>
      <c r="AK113" s="193"/>
      <c r="DF113" s="193"/>
    </row>
    <row r="114" spans="14:110" ht="8.25" customHeight="1" x14ac:dyDescent="0.25">
      <c r="N114" s="193"/>
      <c r="O114" s="193"/>
      <c r="P114" s="193"/>
      <c r="Q114" s="193"/>
      <c r="R114" s="193"/>
      <c r="S114" s="193"/>
      <c r="T114" s="193"/>
      <c r="U114" s="194"/>
      <c r="V114" s="193"/>
      <c r="W114" s="193"/>
      <c r="X114" s="193"/>
      <c r="Y114" s="193"/>
      <c r="Z114" s="193"/>
      <c r="AA114" s="193"/>
      <c r="AB114" s="193"/>
      <c r="AC114" s="193"/>
      <c r="AD114" s="194"/>
      <c r="AE114" s="193"/>
      <c r="AF114" s="193"/>
      <c r="AG114" s="193"/>
      <c r="AH114" s="193"/>
      <c r="AI114" s="193"/>
      <c r="AJ114" s="193"/>
      <c r="AK114" s="193"/>
      <c r="DF114" s="193"/>
    </row>
    <row r="115" spans="14:110" ht="8.25" customHeight="1" x14ac:dyDescent="0.25">
      <c r="N115" s="236"/>
      <c r="O115" s="236"/>
      <c r="P115" s="236"/>
      <c r="Q115" s="236"/>
      <c r="R115" s="236"/>
      <c r="S115" s="236"/>
      <c r="T115" s="236"/>
      <c r="U115" s="236"/>
      <c r="V115" s="236"/>
      <c r="W115" s="236"/>
      <c r="X115" s="236"/>
      <c r="Y115" s="236"/>
      <c r="Z115" s="236"/>
      <c r="AA115" s="236"/>
      <c r="AB115" s="236"/>
      <c r="AC115" s="236"/>
      <c r="AD115" s="236"/>
      <c r="AE115" s="236"/>
      <c r="AF115" s="236"/>
      <c r="AG115" s="236"/>
      <c r="AH115" s="236"/>
      <c r="AI115" s="236"/>
      <c r="AJ115" s="193"/>
      <c r="AK115" s="193"/>
      <c r="DF115" s="193"/>
    </row>
    <row r="116" spans="14:110" ht="8.25" customHeight="1" x14ac:dyDescent="0.25">
      <c r="N116" s="236"/>
      <c r="O116" s="236"/>
      <c r="P116" s="236"/>
      <c r="Q116" s="236"/>
      <c r="R116" s="236"/>
      <c r="S116" s="236"/>
      <c r="T116" s="236"/>
      <c r="U116" s="236"/>
      <c r="V116" s="236"/>
      <c r="W116" s="236"/>
      <c r="X116" s="236"/>
      <c r="Y116" s="236"/>
      <c r="Z116" s="236"/>
      <c r="AA116" s="236"/>
      <c r="AB116" s="236"/>
      <c r="AC116" s="236"/>
      <c r="AD116" s="236"/>
      <c r="AE116" s="236"/>
      <c r="AF116" s="236"/>
      <c r="AG116" s="236"/>
      <c r="AH116" s="236"/>
      <c r="AI116" s="236"/>
      <c r="AJ116" s="193"/>
      <c r="AK116" s="193"/>
      <c r="DF116" s="193"/>
    </row>
    <row r="117" spans="14:110" ht="8.25" customHeight="1" x14ac:dyDescent="0.25">
      <c r="N117" s="193"/>
      <c r="O117" s="193"/>
      <c r="P117" s="193"/>
      <c r="Q117" s="193"/>
      <c r="R117" s="193"/>
      <c r="S117" s="193"/>
      <c r="T117" s="193"/>
      <c r="U117" s="194"/>
      <c r="V117" s="193"/>
      <c r="W117" s="193"/>
      <c r="X117" s="193"/>
      <c r="Y117" s="193"/>
      <c r="Z117" s="193"/>
      <c r="AA117" s="193"/>
      <c r="AB117" s="193"/>
      <c r="AC117" s="193"/>
      <c r="AD117" s="194"/>
      <c r="AE117" s="193"/>
      <c r="AF117" s="193"/>
      <c r="AG117" s="193"/>
      <c r="AH117" s="193"/>
      <c r="AI117" s="193"/>
      <c r="AJ117" s="193"/>
      <c r="AK117" s="193"/>
      <c r="DF117" s="193"/>
    </row>
    <row r="118" spans="14:110" ht="8.25" customHeight="1" x14ac:dyDescent="0.25">
      <c r="N118" s="193"/>
      <c r="O118" s="193"/>
      <c r="P118" s="193"/>
      <c r="Q118" s="193"/>
      <c r="R118" s="193"/>
      <c r="S118" s="193"/>
      <c r="T118" s="193"/>
      <c r="U118" s="194"/>
      <c r="V118" s="193"/>
      <c r="W118" s="193"/>
      <c r="X118" s="193"/>
      <c r="Y118" s="193"/>
      <c r="Z118" s="193"/>
      <c r="AA118" s="193"/>
      <c r="AB118" s="193"/>
      <c r="AC118" s="193"/>
      <c r="AD118" s="194"/>
      <c r="AE118" s="193"/>
      <c r="AF118" s="193"/>
      <c r="AG118" s="193"/>
      <c r="AH118" s="193"/>
      <c r="AI118" s="193"/>
      <c r="AJ118" s="193"/>
      <c r="AK118" s="193"/>
      <c r="DF118" s="193"/>
    </row>
    <row r="119" spans="14:110" ht="8.25" customHeight="1" x14ac:dyDescent="0.25">
      <c r="N119" s="193"/>
      <c r="O119" s="193"/>
      <c r="P119" s="193"/>
      <c r="Q119" s="193"/>
      <c r="R119" s="193"/>
      <c r="S119" s="193"/>
      <c r="T119" s="193"/>
      <c r="U119" s="194"/>
      <c r="V119" s="193"/>
      <c r="W119" s="193"/>
      <c r="X119" s="193"/>
      <c r="Y119" s="193"/>
      <c r="Z119" s="193"/>
      <c r="AA119" s="193"/>
      <c r="AB119" s="193"/>
      <c r="AC119" s="193"/>
      <c r="AD119" s="194"/>
      <c r="AE119" s="193"/>
      <c r="AF119" s="193"/>
      <c r="AG119" s="193"/>
      <c r="AH119" s="193"/>
      <c r="AI119" s="193"/>
      <c r="AJ119" s="193"/>
      <c r="AK119" s="193"/>
      <c r="DF119" s="193"/>
    </row>
    <row r="120" spans="14:110" ht="8.25" customHeight="1" x14ac:dyDescent="0.25">
      <c r="N120" s="236"/>
      <c r="O120" s="236"/>
      <c r="P120" s="236"/>
      <c r="Q120" s="236"/>
      <c r="R120" s="236"/>
      <c r="S120" s="236"/>
      <c r="T120" s="236"/>
      <c r="U120" s="236"/>
      <c r="V120" s="236"/>
      <c r="W120" s="236"/>
      <c r="X120" s="236"/>
      <c r="Y120" s="236"/>
      <c r="Z120" s="236"/>
      <c r="AA120" s="236"/>
      <c r="AB120" s="236"/>
      <c r="AC120" s="236"/>
      <c r="AD120" s="236"/>
      <c r="AE120" s="236"/>
      <c r="AF120" s="236"/>
      <c r="AG120" s="236"/>
      <c r="AH120" s="236"/>
      <c r="AI120" s="236"/>
      <c r="AJ120" s="193"/>
      <c r="AK120" s="193"/>
      <c r="DF120" s="193"/>
    </row>
    <row r="121" spans="14:110" ht="8.25" customHeight="1" x14ac:dyDescent="0.25">
      <c r="N121" s="236"/>
      <c r="O121" s="236"/>
      <c r="P121" s="236"/>
      <c r="Q121" s="236"/>
      <c r="R121" s="236"/>
      <c r="S121" s="236"/>
      <c r="T121" s="236"/>
      <c r="U121" s="236"/>
      <c r="V121" s="236"/>
      <c r="W121" s="236"/>
      <c r="X121" s="236"/>
      <c r="Y121" s="236"/>
      <c r="Z121" s="236"/>
      <c r="AA121" s="236"/>
      <c r="AB121" s="236"/>
      <c r="AC121" s="236"/>
      <c r="AD121" s="236"/>
      <c r="AE121" s="236"/>
      <c r="AF121" s="236"/>
      <c r="AG121" s="236"/>
      <c r="AH121" s="236"/>
      <c r="AI121" s="236"/>
      <c r="AJ121" s="193"/>
      <c r="AK121" s="193"/>
      <c r="DF121" s="193"/>
    </row>
    <row r="122" spans="14:110" ht="8.25" customHeight="1" x14ac:dyDescent="0.25">
      <c r="N122" s="193"/>
      <c r="O122" s="193"/>
      <c r="P122" s="193"/>
      <c r="Q122" s="193"/>
      <c r="R122" s="193"/>
      <c r="S122" s="193"/>
      <c r="T122" s="193"/>
      <c r="U122" s="194"/>
      <c r="V122" s="193"/>
      <c r="W122" s="193"/>
      <c r="X122" s="193"/>
      <c r="Y122" s="193"/>
      <c r="Z122" s="193"/>
      <c r="AA122" s="193"/>
      <c r="AB122" s="193"/>
      <c r="AC122" s="193"/>
      <c r="AD122" s="194"/>
      <c r="AE122" s="193"/>
      <c r="AF122" s="193"/>
      <c r="AG122" s="193"/>
      <c r="AH122" s="193"/>
      <c r="AI122" s="193"/>
      <c r="AJ122" s="193"/>
      <c r="AK122" s="193"/>
      <c r="DF122" s="193"/>
    </row>
    <row r="123" spans="14:110" ht="8.25" customHeight="1" x14ac:dyDescent="0.25">
      <c r="N123" s="193"/>
      <c r="O123" s="193"/>
      <c r="P123" s="193"/>
      <c r="Q123" s="193"/>
      <c r="R123" s="193"/>
      <c r="S123" s="193"/>
      <c r="T123" s="193"/>
      <c r="U123" s="194"/>
      <c r="V123" s="193"/>
      <c r="W123" s="193"/>
      <c r="X123" s="193"/>
      <c r="Y123" s="193"/>
      <c r="Z123" s="193"/>
      <c r="AA123" s="193"/>
      <c r="AB123" s="193"/>
      <c r="AC123" s="193"/>
      <c r="AD123" s="194"/>
      <c r="AE123" s="193"/>
      <c r="AF123" s="193"/>
      <c r="AG123" s="193"/>
      <c r="AH123" s="193"/>
      <c r="AI123" s="193"/>
      <c r="AJ123" s="193"/>
      <c r="AK123" s="193"/>
      <c r="DF123" s="193"/>
    </row>
    <row r="124" spans="14:110" ht="8.25" customHeight="1" x14ac:dyDescent="0.25">
      <c r="N124" s="193"/>
      <c r="O124" s="193"/>
      <c r="P124" s="193"/>
      <c r="Q124" s="193"/>
      <c r="R124" s="193"/>
      <c r="S124" s="193"/>
      <c r="T124" s="193"/>
      <c r="U124" s="194"/>
      <c r="V124" s="193"/>
      <c r="W124" s="193"/>
      <c r="X124" s="193"/>
      <c r="Y124" s="193"/>
      <c r="Z124" s="193"/>
      <c r="AA124" s="193"/>
      <c r="AB124" s="193"/>
      <c r="AC124" s="193"/>
      <c r="AD124" s="194"/>
      <c r="AE124" s="193"/>
      <c r="AF124" s="193"/>
      <c r="AG124" s="193"/>
      <c r="AH124" s="193"/>
      <c r="AI124" s="193"/>
      <c r="AJ124" s="193"/>
      <c r="AK124" s="193"/>
      <c r="DF124" s="193"/>
    </row>
    <row r="125" spans="14:110" ht="8.25" customHeight="1" x14ac:dyDescent="0.25">
      <c r="N125" s="236"/>
      <c r="O125" s="236"/>
      <c r="P125" s="236"/>
      <c r="Q125" s="236"/>
      <c r="R125" s="236"/>
      <c r="S125" s="236"/>
      <c r="T125" s="236"/>
      <c r="U125" s="236"/>
      <c r="V125" s="236"/>
      <c r="W125" s="236"/>
      <c r="X125" s="236"/>
      <c r="Y125" s="236"/>
      <c r="Z125" s="236"/>
      <c r="AA125" s="236"/>
      <c r="AB125" s="236"/>
      <c r="AC125" s="236"/>
      <c r="AD125" s="236"/>
      <c r="AE125" s="236"/>
      <c r="AF125" s="236"/>
      <c r="AG125" s="236"/>
      <c r="AH125" s="236"/>
      <c r="AI125" s="236"/>
      <c r="AJ125" s="193"/>
      <c r="AK125" s="193"/>
      <c r="DF125" s="193"/>
    </row>
    <row r="126" spans="14:110" ht="8.25" customHeight="1" x14ac:dyDescent="0.25">
      <c r="N126" s="236"/>
      <c r="O126" s="236"/>
      <c r="P126" s="236"/>
      <c r="Q126" s="236"/>
      <c r="R126" s="236"/>
      <c r="S126" s="236"/>
      <c r="T126" s="236"/>
      <c r="U126" s="236"/>
      <c r="V126" s="236"/>
      <c r="W126" s="236"/>
      <c r="X126" s="236"/>
      <c r="Y126" s="236"/>
      <c r="Z126" s="236"/>
      <c r="AA126" s="236"/>
      <c r="AB126" s="236"/>
      <c r="AC126" s="236"/>
      <c r="AD126" s="236"/>
      <c r="AE126" s="236"/>
      <c r="AF126" s="236"/>
      <c r="AG126" s="236"/>
      <c r="AH126" s="236"/>
      <c r="AI126" s="236"/>
      <c r="AJ126" s="193"/>
      <c r="AK126" s="193"/>
    </row>
    <row r="127" spans="14:110" ht="8.25" customHeight="1" x14ac:dyDescent="0.25">
      <c r="N127" s="193"/>
      <c r="O127" s="193"/>
      <c r="P127" s="193"/>
      <c r="Q127" s="193"/>
      <c r="R127" s="193"/>
      <c r="S127" s="193"/>
      <c r="T127" s="193"/>
      <c r="U127" s="194"/>
      <c r="V127" s="193"/>
      <c r="W127" s="193"/>
      <c r="X127" s="193"/>
      <c r="Y127" s="193"/>
      <c r="Z127" s="193"/>
      <c r="AA127" s="193"/>
      <c r="AB127" s="193"/>
      <c r="AC127" s="193"/>
      <c r="AD127" s="194"/>
      <c r="AE127" s="193"/>
      <c r="AF127" s="193"/>
      <c r="AG127" s="193"/>
      <c r="AH127" s="193"/>
      <c r="AI127" s="193"/>
      <c r="AJ127" s="193"/>
      <c r="AK127" s="193"/>
    </row>
    <row r="128" spans="14:110" ht="8.25" customHeight="1" x14ac:dyDescent="0.25">
      <c r="N128" s="193"/>
      <c r="O128" s="193"/>
      <c r="P128" s="193"/>
      <c r="Q128" s="193"/>
      <c r="R128" s="193"/>
      <c r="S128" s="193"/>
      <c r="T128" s="193"/>
      <c r="U128" s="194"/>
      <c r="V128" s="193"/>
      <c r="W128" s="193"/>
      <c r="X128" s="193"/>
      <c r="Y128" s="193"/>
      <c r="Z128" s="193"/>
      <c r="AA128" s="193"/>
      <c r="AB128" s="193"/>
      <c r="AC128" s="193"/>
      <c r="AD128" s="194"/>
      <c r="AE128" s="193"/>
      <c r="AF128" s="193"/>
      <c r="AG128" s="193"/>
      <c r="AH128" s="193"/>
      <c r="AI128" s="193"/>
      <c r="AJ128" s="193"/>
      <c r="AK128" s="193"/>
    </row>
    <row r="129" spans="1:39" ht="8.25" customHeight="1" x14ac:dyDescent="0.25">
      <c r="N129" s="193"/>
      <c r="O129" s="193"/>
      <c r="P129" s="193"/>
      <c r="Q129" s="193"/>
      <c r="R129" s="193"/>
      <c r="S129" s="193"/>
      <c r="T129" s="193"/>
      <c r="U129" s="194"/>
      <c r="V129" s="193"/>
      <c r="W129" s="193"/>
      <c r="X129" s="193"/>
      <c r="Y129" s="193"/>
      <c r="Z129" s="193"/>
      <c r="AA129" s="193"/>
      <c r="AB129" s="193"/>
      <c r="AC129" s="193"/>
      <c r="AD129" s="194"/>
      <c r="AE129" s="193"/>
      <c r="AF129" s="193"/>
      <c r="AG129" s="193"/>
      <c r="AH129" s="193"/>
      <c r="AI129" s="193"/>
      <c r="AJ129" s="193"/>
      <c r="AK129" s="193"/>
    </row>
    <row r="130" spans="1:39" ht="8.25" customHeight="1" x14ac:dyDescent="0.25">
      <c r="N130" s="236"/>
      <c r="O130" s="236"/>
      <c r="P130" s="236"/>
      <c r="Q130" s="236"/>
      <c r="R130" s="236"/>
      <c r="S130" s="236"/>
      <c r="T130" s="236"/>
      <c r="U130" s="236"/>
      <c r="V130" s="236"/>
      <c r="W130" s="236"/>
      <c r="X130" s="236"/>
      <c r="Y130" s="236"/>
      <c r="Z130" s="236"/>
      <c r="AA130" s="236"/>
      <c r="AB130" s="236"/>
      <c r="AC130" s="236"/>
      <c r="AD130" s="236"/>
      <c r="AE130" s="236"/>
      <c r="AF130" s="236"/>
      <c r="AG130" s="236"/>
      <c r="AH130" s="236"/>
      <c r="AI130" s="236"/>
      <c r="AJ130" s="193"/>
      <c r="AK130" s="193"/>
    </row>
    <row r="131" spans="1:39" ht="8.25" customHeight="1" x14ac:dyDescent="0.25">
      <c r="N131" s="236"/>
      <c r="O131" s="236"/>
      <c r="P131" s="236"/>
      <c r="Q131" s="236"/>
      <c r="R131" s="236"/>
      <c r="S131" s="236"/>
      <c r="T131" s="236"/>
      <c r="U131" s="236"/>
      <c r="V131" s="236"/>
      <c r="W131" s="236"/>
      <c r="X131" s="236"/>
      <c r="Y131" s="236"/>
      <c r="Z131" s="236"/>
      <c r="AA131" s="236"/>
      <c r="AB131" s="236"/>
      <c r="AC131" s="236"/>
      <c r="AD131" s="236"/>
      <c r="AE131" s="236"/>
      <c r="AF131" s="236"/>
      <c r="AG131" s="236"/>
      <c r="AH131" s="236"/>
      <c r="AI131" s="236"/>
      <c r="AJ131" s="193"/>
      <c r="AK131" s="193"/>
    </row>
    <row r="132" spans="1:39" ht="8.25" customHeight="1" x14ac:dyDescent="0.25">
      <c r="N132" s="193"/>
      <c r="O132" s="193"/>
      <c r="P132" s="193"/>
      <c r="Q132" s="193"/>
      <c r="R132" s="193"/>
      <c r="S132" s="193"/>
      <c r="T132" s="193"/>
      <c r="U132" s="194"/>
      <c r="V132" s="193"/>
      <c r="W132" s="193"/>
      <c r="X132" s="193"/>
      <c r="Y132" s="193"/>
      <c r="Z132" s="193"/>
      <c r="AA132" s="193"/>
      <c r="AB132" s="193"/>
      <c r="AC132" s="193"/>
      <c r="AD132" s="194"/>
      <c r="AE132" s="193"/>
      <c r="AF132" s="193"/>
      <c r="AG132" s="193"/>
      <c r="AH132" s="193"/>
      <c r="AI132" s="193"/>
      <c r="AJ132" s="193"/>
      <c r="AK132" s="193"/>
      <c r="AM132" s="196"/>
    </row>
    <row r="133" spans="1:39" ht="8.25" customHeight="1" x14ac:dyDescent="0.25">
      <c r="N133" s="193"/>
      <c r="O133" s="193"/>
      <c r="P133" s="193"/>
      <c r="Q133" s="193"/>
      <c r="R133" s="193"/>
      <c r="S133" s="193"/>
      <c r="T133" s="193"/>
      <c r="U133" s="194"/>
      <c r="V133" s="193"/>
      <c r="W133" s="193"/>
      <c r="X133" s="193"/>
      <c r="Y133" s="193"/>
      <c r="Z133" s="193"/>
      <c r="AA133" s="193"/>
      <c r="AB133" s="193"/>
      <c r="AC133" s="193"/>
      <c r="AD133" s="194"/>
      <c r="AE133" s="193"/>
      <c r="AF133" s="193"/>
      <c r="AG133" s="193"/>
      <c r="AH133" s="193"/>
      <c r="AI133" s="193"/>
      <c r="AJ133" s="193"/>
      <c r="AK133" s="193"/>
      <c r="AM133" s="196"/>
    </row>
    <row r="134" spans="1:39" ht="8.25" customHeight="1" x14ac:dyDescent="0.25">
      <c r="N134" s="193"/>
      <c r="O134" s="193"/>
      <c r="P134" s="193"/>
      <c r="Q134" s="193"/>
      <c r="R134" s="193"/>
      <c r="S134" s="193"/>
      <c r="T134" s="193"/>
      <c r="U134" s="194"/>
      <c r="V134" s="193"/>
      <c r="W134" s="193"/>
      <c r="X134" s="193"/>
      <c r="Y134" s="193"/>
      <c r="Z134" s="193"/>
      <c r="AA134" s="193"/>
      <c r="AB134" s="193"/>
      <c r="AC134" s="193"/>
      <c r="AD134" s="194"/>
      <c r="AE134" s="193"/>
      <c r="AF134" s="193"/>
      <c r="AG134" s="193"/>
      <c r="AH134" s="193"/>
      <c r="AI134" s="193"/>
      <c r="AJ134" s="193"/>
      <c r="AK134" s="193"/>
      <c r="AM134" s="196"/>
    </row>
    <row r="135" spans="1:39" ht="8.25" customHeight="1" x14ac:dyDescent="0.25">
      <c r="N135" s="236"/>
      <c r="O135" s="236"/>
      <c r="P135" s="236"/>
      <c r="Q135" s="236"/>
      <c r="R135" s="236"/>
      <c r="S135" s="236"/>
      <c r="T135" s="236"/>
      <c r="U135" s="236"/>
      <c r="V135" s="236"/>
      <c r="W135" s="236"/>
      <c r="X135" s="236"/>
      <c r="Y135" s="236"/>
      <c r="Z135" s="236"/>
      <c r="AA135" s="236"/>
      <c r="AB135" s="236"/>
      <c r="AC135" s="236"/>
      <c r="AD135" s="236"/>
      <c r="AE135" s="236"/>
      <c r="AF135" s="236"/>
      <c r="AG135" s="236"/>
      <c r="AH135" s="236"/>
      <c r="AI135" s="236"/>
      <c r="AJ135" s="193"/>
      <c r="AK135" s="193"/>
      <c r="AM135" s="196"/>
    </row>
    <row r="136" spans="1:39" ht="8.25" customHeight="1" x14ac:dyDescent="0.25">
      <c r="N136" s="236"/>
      <c r="O136" s="236"/>
      <c r="P136" s="236"/>
      <c r="Q136" s="236"/>
      <c r="R136" s="236"/>
      <c r="S136" s="236"/>
      <c r="T136" s="236"/>
      <c r="U136" s="236"/>
      <c r="V136" s="236"/>
      <c r="W136" s="236"/>
      <c r="X136" s="236"/>
      <c r="Y136" s="236"/>
      <c r="Z136" s="236"/>
      <c r="AA136" s="236"/>
      <c r="AB136" s="236"/>
      <c r="AC136" s="236"/>
      <c r="AD136" s="236"/>
      <c r="AE136" s="236"/>
      <c r="AF136" s="236"/>
      <c r="AG136" s="236"/>
      <c r="AH136" s="236"/>
      <c r="AI136" s="236"/>
      <c r="AJ136" s="193"/>
      <c r="AK136" s="193"/>
      <c r="AM136" s="196"/>
    </row>
    <row r="137" spans="1:39" ht="8.25" customHeight="1" x14ac:dyDescent="0.25">
      <c r="N137" s="193"/>
      <c r="O137" s="193"/>
      <c r="P137" s="193"/>
      <c r="Q137" s="193"/>
      <c r="R137" s="193"/>
      <c r="S137" s="193"/>
      <c r="T137" s="193"/>
      <c r="U137" s="194"/>
      <c r="V137" s="193"/>
      <c r="W137" s="193"/>
      <c r="X137" s="193"/>
      <c r="Y137" s="193"/>
      <c r="Z137" s="193"/>
      <c r="AA137" s="193"/>
      <c r="AB137" s="193"/>
      <c r="AC137" s="193"/>
      <c r="AD137" s="194"/>
      <c r="AE137" s="193"/>
      <c r="AF137" s="193"/>
      <c r="AG137" s="193"/>
      <c r="AH137" s="193"/>
      <c r="AI137" s="193"/>
      <c r="AJ137" s="193"/>
      <c r="AK137" s="193"/>
      <c r="AM137" s="196"/>
    </row>
    <row r="138" spans="1:39" ht="8.25" customHeight="1" x14ac:dyDescent="0.25">
      <c r="N138" s="193"/>
      <c r="O138" s="193"/>
      <c r="P138" s="193"/>
      <c r="Q138" s="193"/>
      <c r="R138" s="193"/>
      <c r="S138" s="193"/>
      <c r="T138" s="193"/>
      <c r="U138" s="194"/>
      <c r="V138" s="193"/>
      <c r="W138" s="193"/>
      <c r="X138" s="193"/>
      <c r="Y138" s="193"/>
      <c r="Z138" s="193"/>
      <c r="AA138" s="193"/>
      <c r="AB138" s="193"/>
      <c r="AC138" s="193"/>
      <c r="AD138" s="194"/>
      <c r="AE138" s="193"/>
      <c r="AF138" s="193"/>
      <c r="AG138" s="193"/>
      <c r="AH138" s="193"/>
      <c r="AI138" s="193"/>
      <c r="AJ138" s="193"/>
      <c r="AK138" s="193"/>
      <c r="AM138" s="196"/>
    </row>
    <row r="139" spans="1:39" ht="8.25" customHeight="1" x14ac:dyDescent="0.25">
      <c r="N139" s="193"/>
      <c r="O139" s="193"/>
      <c r="P139" s="193"/>
      <c r="Q139" s="193"/>
      <c r="R139" s="193"/>
      <c r="S139" s="193"/>
      <c r="T139" s="193"/>
      <c r="U139" s="194"/>
      <c r="V139" s="193"/>
      <c r="W139" s="193"/>
      <c r="X139" s="193"/>
      <c r="Y139" s="193"/>
      <c r="Z139" s="193"/>
      <c r="AA139" s="193"/>
      <c r="AB139" s="193"/>
      <c r="AC139" s="193"/>
      <c r="AD139" s="194"/>
      <c r="AE139" s="193"/>
      <c r="AF139" s="193"/>
      <c r="AG139" s="193"/>
      <c r="AH139" s="193"/>
      <c r="AI139" s="193"/>
      <c r="AJ139" s="193"/>
      <c r="AK139" s="193"/>
      <c r="AM139" s="196"/>
    </row>
    <row r="140" spans="1:39" ht="8.25" customHeight="1" x14ac:dyDescent="0.25">
      <c r="N140" s="236"/>
      <c r="O140" s="236"/>
      <c r="P140" s="236"/>
      <c r="Q140" s="236"/>
      <c r="R140" s="236"/>
      <c r="S140" s="236"/>
      <c r="T140" s="236"/>
      <c r="U140" s="236"/>
      <c r="V140" s="236"/>
      <c r="W140" s="236"/>
      <c r="X140" s="236"/>
      <c r="Y140" s="236"/>
      <c r="Z140" s="236"/>
      <c r="AA140" s="236"/>
      <c r="AB140" s="236"/>
      <c r="AC140" s="236"/>
      <c r="AD140" s="236"/>
      <c r="AE140" s="236"/>
      <c r="AF140" s="236"/>
      <c r="AG140" s="236"/>
      <c r="AH140" s="236"/>
      <c r="AI140" s="236"/>
      <c r="AJ140" s="193"/>
      <c r="AK140" s="193"/>
      <c r="AM140" s="218"/>
    </row>
    <row r="141" spans="1:39" ht="8.25" customHeight="1" x14ac:dyDescent="0.25">
      <c r="N141" s="236"/>
      <c r="O141" s="236"/>
      <c r="P141" s="236"/>
      <c r="Q141" s="236"/>
      <c r="R141" s="236"/>
      <c r="S141" s="236"/>
      <c r="T141" s="236"/>
      <c r="U141" s="236"/>
      <c r="V141" s="236"/>
      <c r="W141" s="236"/>
      <c r="X141" s="236"/>
      <c r="Y141" s="236"/>
      <c r="Z141" s="236"/>
      <c r="AA141" s="236"/>
      <c r="AB141" s="236"/>
      <c r="AC141" s="236"/>
      <c r="AD141" s="236"/>
      <c r="AE141" s="236"/>
      <c r="AF141" s="236"/>
      <c r="AG141" s="236"/>
      <c r="AH141" s="236"/>
      <c r="AI141" s="236"/>
      <c r="AJ141" s="193"/>
      <c r="AK141" s="193"/>
      <c r="AM141" s="218"/>
    </row>
    <row r="142" spans="1:39" ht="8.25" customHeight="1" x14ac:dyDescent="0.25">
      <c r="N142" s="193"/>
      <c r="O142" s="193"/>
      <c r="P142" s="193"/>
      <c r="Q142" s="193"/>
      <c r="R142" s="193"/>
      <c r="S142" s="193"/>
      <c r="T142" s="193"/>
      <c r="U142" s="194"/>
      <c r="V142" s="193"/>
      <c r="W142" s="193"/>
      <c r="X142" s="193"/>
      <c r="Y142" s="193"/>
      <c r="Z142" s="193"/>
      <c r="AA142" s="193"/>
      <c r="AB142" s="193"/>
      <c r="AC142" s="193"/>
      <c r="AD142" s="194"/>
      <c r="AE142" s="193"/>
      <c r="AF142" s="193"/>
      <c r="AG142" s="193"/>
      <c r="AH142" s="193"/>
      <c r="AI142" s="193"/>
      <c r="AJ142" s="193"/>
      <c r="AK142" s="193"/>
      <c r="AM142" s="218"/>
    </row>
    <row r="143" spans="1:39" ht="8.25" customHeight="1" x14ac:dyDescent="0.25">
      <c r="A143" s="193"/>
      <c r="B143" s="193"/>
      <c r="N143" s="193"/>
      <c r="O143" s="193"/>
      <c r="P143" s="193"/>
      <c r="Q143" s="193"/>
      <c r="R143" s="193"/>
      <c r="S143" s="193"/>
      <c r="T143" s="193"/>
      <c r="U143" s="194"/>
      <c r="V143" s="193"/>
      <c r="W143" s="193"/>
      <c r="X143" s="193"/>
      <c r="Y143" s="193"/>
      <c r="Z143" s="193"/>
      <c r="AA143" s="193"/>
      <c r="AB143" s="193"/>
      <c r="AC143" s="193"/>
      <c r="AD143" s="194"/>
      <c r="AE143" s="193"/>
      <c r="AF143" s="193"/>
      <c r="AG143" s="193"/>
      <c r="AH143" s="193"/>
      <c r="AI143" s="193"/>
      <c r="AJ143" s="193"/>
      <c r="AK143" s="193"/>
      <c r="AM143" s="196"/>
    </row>
    <row r="144" spans="1:39" ht="8.25" customHeight="1" x14ac:dyDescent="0.25">
      <c r="A144" s="193"/>
      <c r="B144" s="193"/>
      <c r="N144" s="193"/>
      <c r="O144" s="193"/>
      <c r="P144" s="193"/>
      <c r="Q144" s="193"/>
      <c r="R144" s="193"/>
      <c r="S144" s="193"/>
      <c r="T144" s="193"/>
      <c r="U144" s="194"/>
      <c r="V144" s="193"/>
      <c r="W144" s="193"/>
      <c r="X144" s="193"/>
      <c r="Y144" s="193"/>
      <c r="Z144" s="193"/>
      <c r="AA144" s="193"/>
      <c r="AB144" s="193"/>
      <c r="AC144" s="193"/>
      <c r="AD144" s="194"/>
      <c r="AE144" s="193"/>
      <c r="AF144" s="193"/>
      <c r="AG144" s="193"/>
      <c r="AH144" s="193"/>
      <c r="AI144" s="193"/>
      <c r="AJ144" s="193"/>
      <c r="AK144" s="193"/>
      <c r="AM144" s="196"/>
    </row>
    <row r="145" spans="1:39" ht="8.25" customHeight="1" x14ac:dyDescent="0.25">
      <c r="A145" s="193"/>
      <c r="B145" s="193"/>
      <c r="N145" s="236"/>
      <c r="O145" s="236"/>
      <c r="P145" s="236"/>
      <c r="Q145" s="236"/>
      <c r="R145" s="236"/>
      <c r="S145" s="236"/>
      <c r="T145" s="236"/>
      <c r="U145" s="236"/>
      <c r="V145" s="236"/>
      <c r="W145" s="236"/>
      <c r="X145" s="236"/>
      <c r="Y145" s="236"/>
      <c r="Z145" s="236"/>
      <c r="AA145" s="236"/>
      <c r="AB145" s="236"/>
      <c r="AC145" s="236"/>
      <c r="AD145" s="236"/>
      <c r="AE145" s="236"/>
      <c r="AF145" s="236"/>
      <c r="AG145" s="236"/>
      <c r="AH145" s="236"/>
      <c r="AI145" s="236"/>
      <c r="AJ145" s="193"/>
      <c r="AK145" s="193"/>
      <c r="AM145" s="196"/>
    </row>
    <row r="146" spans="1:39" ht="8.25" customHeight="1" x14ac:dyDescent="0.25">
      <c r="A146" s="193"/>
      <c r="B146" s="193"/>
      <c r="N146" s="236"/>
      <c r="O146" s="236"/>
      <c r="P146" s="236"/>
      <c r="Q146" s="236"/>
      <c r="R146" s="236"/>
      <c r="S146" s="236"/>
      <c r="T146" s="236"/>
      <c r="U146" s="236"/>
      <c r="V146" s="236"/>
      <c r="W146" s="236"/>
      <c r="X146" s="236"/>
      <c r="Y146" s="236"/>
      <c r="Z146" s="236"/>
      <c r="AA146" s="236"/>
      <c r="AB146" s="236"/>
      <c r="AC146" s="236"/>
      <c r="AD146" s="236"/>
      <c r="AE146" s="236"/>
      <c r="AF146" s="236"/>
      <c r="AG146" s="236"/>
      <c r="AH146" s="236"/>
      <c r="AI146" s="236"/>
      <c r="AJ146" s="193"/>
      <c r="AK146" s="193"/>
      <c r="AM146" s="218"/>
    </row>
    <row r="147" spans="1:39" ht="8.25" customHeight="1" x14ac:dyDescent="0.25">
      <c r="A147" s="193"/>
      <c r="B147" s="193"/>
      <c r="N147" s="193"/>
      <c r="O147" s="193"/>
      <c r="P147" s="193"/>
      <c r="Q147" s="193"/>
      <c r="R147" s="193"/>
      <c r="S147" s="193"/>
      <c r="T147" s="193"/>
      <c r="U147" s="193"/>
      <c r="V147" s="193"/>
      <c r="W147" s="193"/>
      <c r="X147" s="193"/>
      <c r="Y147" s="193"/>
      <c r="Z147" s="194"/>
      <c r="AA147" s="193"/>
      <c r="AB147" s="193"/>
      <c r="AC147" s="193"/>
      <c r="AD147" s="193"/>
      <c r="AE147" s="193"/>
      <c r="AF147" s="193"/>
      <c r="AG147" s="193"/>
      <c r="AH147" s="193"/>
      <c r="AI147" s="193"/>
      <c r="AJ147" s="193"/>
      <c r="AK147" s="193"/>
      <c r="AM147" s="218"/>
    </row>
    <row r="148" spans="1:39" ht="8.25" customHeight="1" x14ac:dyDescent="0.25">
      <c r="A148" s="193"/>
      <c r="B148" s="193"/>
      <c r="W148" s="195"/>
      <c r="X148" s="195"/>
      <c r="AH148" s="218"/>
      <c r="AI148" s="218"/>
      <c r="AJ148" s="218"/>
      <c r="AK148" s="218"/>
      <c r="AL148" s="218"/>
      <c r="AM148" s="218"/>
    </row>
    <row r="149" spans="1:39" ht="8.25" customHeight="1" x14ac:dyDescent="0.25">
      <c r="A149" s="193"/>
      <c r="B149" s="193"/>
      <c r="N149" s="193"/>
      <c r="O149" s="193"/>
      <c r="P149" s="193"/>
      <c r="Q149" s="193"/>
      <c r="R149" s="193"/>
      <c r="S149" s="193"/>
      <c r="T149" s="193"/>
      <c r="U149" s="193"/>
      <c r="V149" s="193"/>
      <c r="W149" s="194"/>
      <c r="X149" s="194"/>
      <c r="Y149" s="193"/>
      <c r="Z149" s="196"/>
      <c r="AA149" s="196"/>
      <c r="AB149" s="196"/>
      <c r="AC149" s="196"/>
      <c r="AD149" s="196"/>
      <c r="AE149" s="196"/>
      <c r="AF149" s="196"/>
      <c r="AG149" s="196"/>
      <c r="AH149" s="196"/>
      <c r="AI149" s="196"/>
      <c r="AJ149" s="196"/>
      <c r="AK149" s="196"/>
      <c r="AL149" s="196"/>
      <c r="AM149" s="196"/>
    </row>
    <row r="150" spans="1:39" ht="8.25" customHeight="1" x14ac:dyDescent="0.25">
      <c r="A150" s="193"/>
      <c r="B150" s="193"/>
      <c r="C150" s="193"/>
      <c r="D150" s="193"/>
      <c r="E150" s="193"/>
      <c r="F150" s="193"/>
      <c r="G150" s="193"/>
      <c r="H150" s="193"/>
      <c r="I150" s="193"/>
      <c r="J150" s="193"/>
      <c r="K150" s="193"/>
      <c r="L150" s="193"/>
      <c r="M150" s="193"/>
      <c r="N150" s="193"/>
      <c r="O150" s="193"/>
      <c r="P150" s="193"/>
      <c r="Q150" s="193"/>
      <c r="R150" s="193"/>
      <c r="S150" s="193"/>
      <c r="T150" s="193"/>
      <c r="U150" s="193"/>
      <c r="V150" s="193"/>
      <c r="W150" s="194"/>
      <c r="X150" s="194"/>
      <c r="Y150" s="193"/>
      <c r="Z150" s="196"/>
      <c r="AA150" s="196"/>
      <c r="AB150" s="196"/>
      <c r="AC150" s="196"/>
      <c r="AD150" s="196"/>
      <c r="AE150" s="196"/>
      <c r="AF150" s="196"/>
      <c r="AG150" s="196"/>
      <c r="AH150" s="196"/>
      <c r="AI150" s="196"/>
      <c r="AJ150" s="196"/>
      <c r="AK150" s="196"/>
      <c r="AL150" s="196"/>
      <c r="AM150" s="196"/>
    </row>
    <row r="151" spans="1:39" ht="8.25" customHeight="1" x14ac:dyDescent="0.25">
      <c r="A151" s="193"/>
      <c r="B151" s="193"/>
      <c r="C151" s="193"/>
      <c r="D151" s="193"/>
      <c r="E151" s="193"/>
      <c r="F151" s="193"/>
      <c r="G151" s="193"/>
      <c r="H151" s="193"/>
      <c r="I151" s="193"/>
      <c r="J151" s="193"/>
      <c r="K151" s="193"/>
      <c r="L151" s="193"/>
      <c r="M151" s="193"/>
      <c r="N151" s="193"/>
      <c r="O151" s="193"/>
      <c r="P151" s="193"/>
      <c r="Q151" s="193"/>
      <c r="R151" s="193"/>
      <c r="S151" s="193"/>
      <c r="T151" s="193"/>
      <c r="U151" s="193"/>
      <c r="V151" s="193"/>
      <c r="W151" s="194"/>
      <c r="X151" s="194"/>
      <c r="Y151" s="193"/>
      <c r="Z151" s="196"/>
      <c r="AA151" s="196"/>
      <c r="AB151" s="196"/>
      <c r="AC151" s="196"/>
      <c r="AD151" s="196"/>
      <c r="AE151" s="196"/>
      <c r="AF151" s="196"/>
      <c r="AG151" s="196"/>
      <c r="AH151" s="196"/>
      <c r="AI151" s="196"/>
      <c r="AJ151" s="196"/>
      <c r="AK151" s="196"/>
      <c r="AL151" s="196"/>
      <c r="AM151" s="196"/>
    </row>
    <row r="152" spans="1:39" ht="8.25" customHeight="1" x14ac:dyDescent="0.25">
      <c r="A152" s="193"/>
      <c r="B152" s="193"/>
      <c r="C152" s="193"/>
      <c r="D152" s="193"/>
      <c r="E152" s="193"/>
      <c r="F152" s="193"/>
      <c r="G152" s="193"/>
      <c r="H152" s="193"/>
      <c r="I152" s="193"/>
      <c r="J152" s="193"/>
      <c r="K152" s="193"/>
      <c r="L152" s="193"/>
      <c r="M152" s="193"/>
      <c r="N152" s="193"/>
      <c r="O152" s="193"/>
      <c r="P152" s="193"/>
      <c r="Q152" s="193"/>
      <c r="R152" s="193"/>
      <c r="S152" s="193"/>
      <c r="T152" s="193"/>
      <c r="U152" s="193"/>
      <c r="V152" s="193"/>
      <c r="W152" s="194"/>
      <c r="X152" s="194"/>
      <c r="Y152" s="193"/>
      <c r="Z152" s="196"/>
      <c r="AA152" s="196"/>
      <c r="AB152" s="196"/>
      <c r="AC152" s="196"/>
      <c r="AD152" s="196"/>
      <c r="AE152" s="196"/>
      <c r="AF152" s="196"/>
      <c r="AG152" s="196"/>
      <c r="AH152" s="196"/>
      <c r="AI152" s="196"/>
      <c r="AJ152" s="196"/>
      <c r="AK152" s="196"/>
      <c r="AL152" s="196"/>
      <c r="AM152" s="196"/>
    </row>
    <row r="153" spans="1:39" ht="8.25" customHeight="1" x14ac:dyDescent="0.25">
      <c r="A153" s="193"/>
      <c r="B153" s="193"/>
      <c r="C153" s="193"/>
      <c r="D153" s="193"/>
      <c r="E153" s="193"/>
      <c r="F153" s="193"/>
      <c r="G153" s="193"/>
      <c r="H153" s="193"/>
      <c r="I153" s="193"/>
      <c r="J153" s="193"/>
      <c r="K153" s="193"/>
      <c r="L153" s="193"/>
      <c r="M153" s="193"/>
      <c r="N153" s="193"/>
      <c r="O153" s="193"/>
      <c r="P153" s="193"/>
      <c r="Q153" s="193"/>
      <c r="R153" s="193"/>
      <c r="S153" s="193"/>
      <c r="T153" s="193"/>
      <c r="U153" s="193"/>
      <c r="V153" s="193"/>
      <c r="W153" s="194"/>
      <c r="X153" s="194"/>
      <c r="Y153" s="193"/>
      <c r="Z153" s="196"/>
      <c r="AA153" s="196"/>
      <c r="AB153" s="196"/>
      <c r="AC153" s="196"/>
      <c r="AD153" s="196"/>
      <c r="AE153" s="196"/>
      <c r="AF153" s="196"/>
      <c r="AG153" s="196"/>
      <c r="AH153" s="196"/>
      <c r="AI153" s="196"/>
      <c r="AJ153" s="196"/>
      <c r="AK153" s="196"/>
      <c r="AL153" s="196"/>
      <c r="AM153" s="196"/>
    </row>
    <row r="154" spans="1:39" ht="8.25" customHeight="1" x14ac:dyDescent="0.25">
      <c r="A154" s="193"/>
      <c r="B154" s="193"/>
      <c r="C154" s="193"/>
      <c r="D154" s="193"/>
      <c r="E154" s="193"/>
      <c r="F154" s="193"/>
      <c r="G154" s="193"/>
      <c r="H154" s="193"/>
      <c r="I154" s="193"/>
      <c r="J154" s="193"/>
      <c r="K154" s="193"/>
      <c r="L154" s="193"/>
      <c r="M154" s="193"/>
      <c r="N154" s="193"/>
      <c r="O154" s="193"/>
      <c r="P154" s="193"/>
      <c r="Q154" s="193"/>
      <c r="R154" s="193"/>
      <c r="S154" s="193"/>
      <c r="T154" s="193"/>
      <c r="U154" s="193"/>
      <c r="V154" s="193"/>
      <c r="W154" s="194"/>
      <c r="X154" s="194"/>
      <c r="Y154" s="193"/>
      <c r="Z154" s="196"/>
      <c r="AA154" s="196"/>
      <c r="AB154" s="196"/>
      <c r="AC154" s="196"/>
      <c r="AD154" s="196"/>
      <c r="AE154" s="196"/>
      <c r="AF154" s="196"/>
      <c r="AG154" s="196"/>
      <c r="AH154" s="196"/>
      <c r="AI154" s="196"/>
      <c r="AJ154" s="196"/>
      <c r="AK154" s="196"/>
      <c r="AL154" s="196"/>
      <c r="AM154" s="196"/>
    </row>
    <row r="155" spans="1:39" ht="8.25" customHeight="1" x14ac:dyDescent="0.25">
      <c r="A155" s="193"/>
      <c r="B155" s="193"/>
      <c r="C155" s="193"/>
      <c r="D155" s="193"/>
      <c r="E155" s="193"/>
      <c r="F155" s="193"/>
      <c r="G155" s="193"/>
      <c r="H155" s="193"/>
      <c r="I155" s="193"/>
      <c r="J155" s="193"/>
      <c r="K155" s="193"/>
      <c r="L155" s="193"/>
      <c r="M155" s="193"/>
      <c r="N155" s="193"/>
      <c r="O155" s="193"/>
      <c r="P155" s="193"/>
      <c r="Q155" s="193"/>
      <c r="R155" s="193"/>
      <c r="S155" s="193"/>
      <c r="T155" s="193"/>
      <c r="U155" s="193"/>
      <c r="V155" s="193"/>
      <c r="W155" s="194"/>
      <c r="X155" s="194"/>
      <c r="Y155" s="193"/>
      <c r="Z155" s="196"/>
      <c r="AA155" s="196"/>
      <c r="AB155" s="196"/>
      <c r="AC155" s="196"/>
      <c r="AD155" s="196"/>
      <c r="AE155" s="196"/>
      <c r="AF155" s="196"/>
      <c r="AG155" s="196"/>
      <c r="AH155" s="196"/>
      <c r="AI155" s="196"/>
      <c r="AJ155" s="196"/>
      <c r="AK155" s="196"/>
      <c r="AL155" s="196"/>
      <c r="AM155" s="196"/>
    </row>
    <row r="156" spans="1:39" ht="8.25" customHeight="1" x14ac:dyDescent="0.25">
      <c r="A156" s="193"/>
      <c r="B156" s="193"/>
      <c r="C156" s="193"/>
      <c r="D156" s="193"/>
      <c r="E156" s="193"/>
      <c r="F156" s="193"/>
      <c r="G156" s="193"/>
      <c r="H156" s="193"/>
      <c r="I156" s="193"/>
      <c r="J156" s="193"/>
      <c r="K156" s="193"/>
      <c r="L156" s="193"/>
      <c r="M156" s="193"/>
      <c r="N156" s="193"/>
      <c r="O156" s="193"/>
      <c r="P156" s="193"/>
      <c r="Q156" s="193"/>
      <c r="R156" s="193"/>
      <c r="S156" s="193"/>
      <c r="T156" s="193"/>
      <c r="U156" s="193"/>
      <c r="V156" s="193"/>
      <c r="W156" s="194"/>
      <c r="X156" s="194"/>
      <c r="Y156" s="193"/>
      <c r="Z156" s="218"/>
      <c r="AA156" s="218"/>
      <c r="AB156" s="218"/>
      <c r="AC156" s="218"/>
      <c r="AD156" s="218"/>
      <c r="AE156" s="218"/>
      <c r="AF156" s="218"/>
      <c r="AG156" s="218"/>
      <c r="AH156" s="218"/>
      <c r="AI156" s="218"/>
      <c r="AJ156" s="218"/>
      <c r="AK156" s="218"/>
      <c r="AL156" s="218"/>
      <c r="AM156" s="218"/>
    </row>
    <row r="157" spans="1:39" ht="8.25" customHeight="1" x14ac:dyDescent="0.25">
      <c r="A157" s="193"/>
      <c r="B157" s="193"/>
      <c r="C157" s="193"/>
      <c r="D157" s="193"/>
      <c r="E157" s="193"/>
      <c r="F157" s="193"/>
      <c r="G157" s="193"/>
      <c r="H157" s="193"/>
      <c r="I157" s="193"/>
      <c r="J157" s="193"/>
      <c r="K157" s="193"/>
      <c r="L157" s="193"/>
      <c r="M157" s="193"/>
      <c r="N157" s="193"/>
      <c r="O157" s="193"/>
      <c r="P157" s="193"/>
      <c r="Q157" s="193"/>
      <c r="R157" s="193"/>
      <c r="S157" s="193"/>
      <c r="T157" s="193"/>
      <c r="U157" s="193"/>
      <c r="V157" s="193"/>
      <c r="W157" s="194"/>
      <c r="X157" s="194"/>
      <c r="Y157" s="193"/>
      <c r="Z157" s="218"/>
      <c r="AA157" s="218"/>
      <c r="AB157" s="218"/>
      <c r="AC157" s="218"/>
      <c r="AD157" s="218"/>
      <c r="AE157" s="218"/>
      <c r="AF157" s="218"/>
      <c r="AG157" s="218"/>
      <c r="AH157" s="218"/>
      <c r="AI157" s="218"/>
      <c r="AJ157" s="218"/>
      <c r="AK157" s="218"/>
      <c r="AL157" s="218"/>
      <c r="AM157" s="218"/>
    </row>
    <row r="158" spans="1:39" ht="8.25" customHeight="1" x14ac:dyDescent="0.25">
      <c r="A158" s="193"/>
      <c r="B158" s="193"/>
      <c r="C158" s="193"/>
      <c r="D158" s="193"/>
      <c r="E158" s="193"/>
      <c r="F158" s="193"/>
      <c r="G158" s="193"/>
      <c r="H158" s="193"/>
      <c r="I158" s="193"/>
      <c r="J158" s="193"/>
      <c r="K158" s="193"/>
      <c r="L158" s="193"/>
      <c r="M158" s="193"/>
      <c r="N158" s="193"/>
      <c r="O158" s="193"/>
      <c r="P158" s="193"/>
      <c r="Q158" s="193"/>
      <c r="R158" s="193"/>
      <c r="S158" s="193"/>
      <c r="T158" s="193"/>
      <c r="U158" s="193"/>
      <c r="V158" s="193"/>
      <c r="W158" s="194"/>
      <c r="X158" s="194"/>
      <c r="Y158" s="193"/>
      <c r="Z158" s="218"/>
      <c r="AA158" s="218"/>
      <c r="AB158" s="218"/>
      <c r="AC158" s="218"/>
      <c r="AD158" s="218"/>
      <c r="AE158" s="218"/>
      <c r="AF158" s="218"/>
      <c r="AG158" s="218"/>
      <c r="AH158" s="218"/>
      <c r="AI158" s="218"/>
      <c r="AJ158" s="218"/>
      <c r="AK158" s="218"/>
      <c r="AL158" s="218"/>
      <c r="AM158" s="218"/>
    </row>
    <row r="159" spans="1:39" ht="8.25" customHeight="1" x14ac:dyDescent="0.25">
      <c r="A159" s="193"/>
      <c r="B159" s="193"/>
      <c r="C159" s="193"/>
      <c r="D159" s="193"/>
      <c r="E159" s="193"/>
      <c r="F159" s="193"/>
      <c r="G159" s="193"/>
      <c r="H159" s="193"/>
      <c r="I159" s="193"/>
      <c r="J159" s="193"/>
      <c r="K159" s="193"/>
      <c r="L159" s="193"/>
      <c r="M159" s="193"/>
      <c r="N159" s="193"/>
      <c r="O159" s="193"/>
      <c r="P159" s="193"/>
      <c r="Q159" s="193"/>
      <c r="R159" s="193"/>
      <c r="S159" s="193"/>
      <c r="T159" s="193"/>
      <c r="U159" s="193"/>
      <c r="V159" s="193"/>
      <c r="W159" s="194"/>
      <c r="X159" s="194"/>
      <c r="Y159" s="193"/>
      <c r="Z159" s="196"/>
      <c r="AA159" s="196"/>
      <c r="AB159" s="196"/>
      <c r="AC159" s="196"/>
      <c r="AD159" s="196"/>
      <c r="AE159" s="196"/>
      <c r="AF159" s="196"/>
      <c r="AG159" s="196"/>
      <c r="AH159" s="196"/>
      <c r="AI159" s="196"/>
      <c r="AJ159" s="196"/>
      <c r="AK159" s="196"/>
      <c r="AL159" s="196"/>
      <c r="AM159" s="196"/>
    </row>
    <row r="160" spans="1:39" ht="8.25" customHeight="1" x14ac:dyDescent="0.25">
      <c r="A160" s="193"/>
      <c r="B160" s="193"/>
      <c r="C160" s="193"/>
      <c r="D160" s="193"/>
      <c r="E160" s="193"/>
      <c r="F160" s="193"/>
      <c r="G160" s="193"/>
      <c r="H160" s="193"/>
      <c r="I160" s="193"/>
      <c r="J160" s="193"/>
      <c r="K160" s="193"/>
      <c r="L160" s="193"/>
      <c r="M160" s="193"/>
      <c r="N160" s="193"/>
      <c r="O160" s="193"/>
      <c r="P160" s="193"/>
      <c r="Q160" s="193"/>
      <c r="R160" s="193"/>
      <c r="S160" s="193"/>
      <c r="T160" s="193"/>
      <c r="U160" s="193"/>
      <c r="V160" s="193"/>
      <c r="W160" s="194"/>
      <c r="X160" s="194"/>
      <c r="Y160" s="193"/>
      <c r="Z160" s="196"/>
      <c r="AA160" s="196"/>
      <c r="AB160" s="196"/>
      <c r="AC160" s="196"/>
      <c r="AD160" s="196"/>
      <c r="AE160" s="196"/>
      <c r="AF160" s="196"/>
      <c r="AG160" s="196"/>
      <c r="AH160" s="196"/>
      <c r="AI160" s="196"/>
      <c r="AJ160" s="196"/>
      <c r="AK160" s="196"/>
      <c r="AL160" s="196"/>
      <c r="AM160" s="196"/>
    </row>
    <row r="161" spans="1:39" ht="8.25" customHeight="1" x14ac:dyDescent="0.25">
      <c r="A161" s="193"/>
      <c r="B161" s="193"/>
      <c r="C161" s="193"/>
      <c r="D161" s="193"/>
      <c r="E161" s="193"/>
      <c r="F161" s="193"/>
      <c r="G161" s="193"/>
      <c r="H161" s="193"/>
      <c r="I161" s="193"/>
      <c r="J161" s="193"/>
      <c r="K161" s="193"/>
      <c r="L161" s="193"/>
      <c r="M161" s="193"/>
      <c r="N161" s="193"/>
      <c r="O161" s="193"/>
      <c r="P161" s="193"/>
      <c r="Q161" s="193"/>
      <c r="R161" s="193"/>
      <c r="S161" s="193"/>
      <c r="T161" s="193"/>
      <c r="U161" s="193"/>
      <c r="V161" s="193"/>
      <c r="W161" s="194"/>
      <c r="X161" s="194"/>
      <c r="Y161" s="193"/>
      <c r="Z161" s="196"/>
      <c r="AA161" s="196"/>
      <c r="AB161" s="196"/>
      <c r="AC161" s="196"/>
      <c r="AD161" s="196"/>
      <c r="AE161" s="196"/>
      <c r="AF161" s="196"/>
      <c r="AG161" s="196"/>
      <c r="AH161" s="196"/>
      <c r="AI161" s="196"/>
      <c r="AJ161" s="196"/>
      <c r="AK161" s="196"/>
      <c r="AL161" s="196"/>
      <c r="AM161" s="196"/>
    </row>
    <row r="162" spans="1:39" ht="8.25" customHeight="1" x14ac:dyDescent="0.25">
      <c r="A162" s="193"/>
      <c r="B162" s="193"/>
      <c r="C162" s="193"/>
      <c r="D162" s="193"/>
      <c r="E162" s="193"/>
      <c r="F162" s="193"/>
      <c r="G162" s="193"/>
      <c r="H162" s="193"/>
      <c r="I162" s="193"/>
      <c r="J162" s="193"/>
      <c r="K162" s="193"/>
      <c r="L162" s="193"/>
      <c r="M162" s="193"/>
      <c r="N162" s="193"/>
      <c r="O162" s="193"/>
      <c r="P162" s="193"/>
      <c r="Q162" s="193"/>
      <c r="R162" s="193"/>
      <c r="S162" s="193"/>
      <c r="T162" s="193"/>
      <c r="U162" s="193"/>
      <c r="V162" s="193"/>
      <c r="W162" s="194"/>
      <c r="X162" s="194"/>
      <c r="Y162" s="193"/>
      <c r="Z162" s="218"/>
      <c r="AA162" s="218"/>
      <c r="AB162" s="218"/>
      <c r="AC162" s="218"/>
      <c r="AD162" s="218"/>
      <c r="AE162" s="218"/>
      <c r="AF162" s="218"/>
      <c r="AG162" s="218"/>
      <c r="AH162" s="218"/>
      <c r="AI162" s="218"/>
      <c r="AJ162" s="218"/>
      <c r="AK162" s="218"/>
      <c r="AL162" s="218"/>
      <c r="AM162" s="218"/>
    </row>
    <row r="163" spans="1:39" ht="8.25" customHeight="1" x14ac:dyDescent="0.25">
      <c r="A163" s="193"/>
      <c r="B163" s="193"/>
      <c r="C163" s="193"/>
      <c r="D163" s="193"/>
      <c r="E163" s="193"/>
      <c r="F163" s="193"/>
      <c r="G163" s="193"/>
      <c r="H163" s="193"/>
      <c r="I163" s="193"/>
      <c r="J163" s="193"/>
      <c r="K163" s="193"/>
      <c r="L163" s="193"/>
      <c r="M163" s="193"/>
      <c r="N163" s="193"/>
      <c r="O163" s="193"/>
      <c r="P163" s="193"/>
      <c r="Q163" s="193"/>
      <c r="R163" s="193"/>
      <c r="S163" s="193"/>
      <c r="T163" s="193"/>
      <c r="U163" s="193"/>
      <c r="V163" s="193"/>
      <c r="W163" s="194"/>
      <c r="X163" s="194"/>
      <c r="Y163" s="193"/>
      <c r="Z163" s="218"/>
      <c r="AA163" s="218"/>
      <c r="AB163" s="218"/>
      <c r="AC163" s="218"/>
      <c r="AD163" s="218"/>
      <c r="AE163" s="218"/>
      <c r="AF163" s="218"/>
      <c r="AG163" s="218"/>
      <c r="AH163" s="218"/>
      <c r="AI163" s="218"/>
      <c r="AJ163" s="218"/>
      <c r="AK163" s="218"/>
      <c r="AL163" s="218"/>
      <c r="AM163" s="218"/>
    </row>
    <row r="164" spans="1:39" ht="8.25" customHeight="1" x14ac:dyDescent="0.25">
      <c r="A164" s="193"/>
      <c r="B164" s="193"/>
      <c r="C164" s="193"/>
      <c r="D164" s="193"/>
      <c r="E164" s="193"/>
      <c r="F164" s="193"/>
      <c r="G164" s="193"/>
      <c r="H164" s="193"/>
      <c r="I164" s="193"/>
      <c r="J164" s="193"/>
      <c r="K164" s="193"/>
      <c r="L164" s="193"/>
      <c r="M164" s="193"/>
      <c r="N164" s="193"/>
      <c r="O164" s="193"/>
      <c r="P164" s="193"/>
      <c r="Q164" s="193"/>
      <c r="R164" s="193"/>
      <c r="S164" s="193"/>
      <c r="T164" s="193"/>
      <c r="U164" s="193"/>
      <c r="V164" s="193"/>
      <c r="W164" s="194"/>
      <c r="X164" s="194"/>
      <c r="Y164" s="193"/>
      <c r="Z164" s="218"/>
      <c r="AA164" s="218"/>
      <c r="AB164" s="218"/>
      <c r="AC164" s="218"/>
      <c r="AD164" s="218"/>
      <c r="AE164" s="218"/>
      <c r="AF164" s="218"/>
      <c r="AG164" s="218"/>
      <c r="AH164" s="218"/>
      <c r="AI164" s="218"/>
      <c r="AJ164" s="218"/>
      <c r="AK164" s="218"/>
      <c r="AL164" s="218"/>
      <c r="AM164" s="218"/>
    </row>
    <row r="165" spans="1:39" ht="8.25" customHeight="1" x14ac:dyDescent="0.25">
      <c r="A165" s="193"/>
      <c r="B165" s="193"/>
      <c r="C165" s="193"/>
      <c r="D165" s="193"/>
      <c r="E165" s="193"/>
      <c r="F165" s="193"/>
      <c r="G165" s="193"/>
      <c r="H165" s="193"/>
      <c r="I165" s="193"/>
      <c r="J165" s="193"/>
      <c r="K165" s="193"/>
      <c r="L165" s="193"/>
      <c r="M165" s="193"/>
      <c r="N165" s="193"/>
      <c r="O165" s="193"/>
      <c r="P165" s="193"/>
      <c r="Q165" s="193"/>
      <c r="R165" s="193"/>
      <c r="S165" s="193"/>
      <c r="T165" s="193"/>
      <c r="U165" s="193"/>
      <c r="V165" s="193"/>
      <c r="W165" s="194"/>
      <c r="X165" s="194"/>
      <c r="Y165" s="193"/>
      <c r="Z165" s="196"/>
      <c r="AA165" s="196"/>
      <c r="AB165" s="196"/>
      <c r="AC165" s="196"/>
      <c r="AD165" s="196"/>
      <c r="AE165" s="196"/>
      <c r="AF165" s="196"/>
      <c r="AG165" s="196"/>
      <c r="AH165" s="196"/>
      <c r="AI165" s="196"/>
      <c r="AJ165" s="196"/>
      <c r="AK165" s="196"/>
      <c r="AL165" s="196"/>
      <c r="AM165" s="196"/>
    </row>
    <row r="166" spans="1:39" ht="8.25" customHeight="1" x14ac:dyDescent="0.25">
      <c r="A166" s="193"/>
      <c r="B166" s="193"/>
      <c r="C166" s="193"/>
      <c r="D166" s="193"/>
      <c r="E166" s="193"/>
      <c r="F166" s="193"/>
      <c r="G166" s="193"/>
      <c r="H166" s="193"/>
      <c r="I166" s="193"/>
      <c r="J166" s="193"/>
      <c r="K166" s="193"/>
      <c r="L166" s="193"/>
      <c r="M166" s="193"/>
      <c r="N166" s="193"/>
      <c r="O166" s="193"/>
      <c r="P166" s="193"/>
      <c r="Q166" s="193"/>
      <c r="R166" s="193"/>
      <c r="S166" s="193"/>
      <c r="T166" s="193"/>
      <c r="U166" s="193"/>
      <c r="V166" s="193"/>
      <c r="W166" s="194"/>
      <c r="X166" s="194"/>
      <c r="Y166" s="193"/>
      <c r="Z166" s="196"/>
      <c r="AA166" s="196"/>
      <c r="AB166" s="196"/>
      <c r="AC166" s="196"/>
      <c r="AD166" s="196"/>
      <c r="AE166" s="196"/>
      <c r="AF166" s="196"/>
      <c r="AG166" s="196"/>
      <c r="AH166" s="196"/>
      <c r="AI166" s="196"/>
      <c r="AJ166" s="196"/>
      <c r="AK166" s="196"/>
      <c r="AL166" s="196"/>
      <c r="AM166" s="196"/>
    </row>
    <row r="167" spans="1:39" ht="8.25" customHeight="1" x14ac:dyDescent="0.25">
      <c r="A167" s="193"/>
      <c r="B167" s="193"/>
      <c r="C167" s="193"/>
      <c r="D167" s="193"/>
      <c r="E167" s="193"/>
      <c r="F167" s="193"/>
      <c r="G167" s="193"/>
      <c r="H167" s="193"/>
      <c r="I167" s="193"/>
      <c r="J167" s="193"/>
      <c r="K167" s="193"/>
      <c r="L167" s="193"/>
      <c r="M167" s="193"/>
      <c r="N167" s="193"/>
      <c r="O167" s="193"/>
      <c r="P167" s="193"/>
      <c r="Q167" s="193"/>
      <c r="R167" s="193"/>
      <c r="S167" s="193"/>
      <c r="T167" s="193"/>
      <c r="U167" s="193"/>
      <c r="V167" s="193"/>
      <c r="W167" s="194"/>
      <c r="X167" s="194"/>
      <c r="Y167" s="193"/>
      <c r="Z167" s="196"/>
      <c r="AA167" s="196"/>
      <c r="AB167" s="196"/>
      <c r="AC167" s="196"/>
      <c r="AD167" s="196"/>
      <c r="AE167" s="196"/>
      <c r="AF167" s="196"/>
      <c r="AG167" s="196"/>
      <c r="AH167" s="196"/>
      <c r="AI167" s="196"/>
      <c r="AJ167" s="196"/>
      <c r="AK167" s="196"/>
      <c r="AL167" s="196"/>
      <c r="AM167" s="196"/>
    </row>
    <row r="168" spans="1:39" ht="8.25" customHeight="1" x14ac:dyDescent="0.25">
      <c r="A168" s="193"/>
      <c r="B168" s="193"/>
      <c r="C168" s="193"/>
      <c r="D168" s="193"/>
      <c r="E168" s="193"/>
      <c r="F168" s="193"/>
      <c r="G168" s="193"/>
      <c r="H168" s="193"/>
      <c r="I168" s="193"/>
      <c r="J168" s="193"/>
      <c r="K168" s="193"/>
      <c r="L168" s="193"/>
      <c r="M168" s="193"/>
      <c r="N168" s="193"/>
      <c r="O168" s="193"/>
      <c r="P168" s="193"/>
      <c r="Q168" s="193"/>
      <c r="R168" s="193"/>
      <c r="S168" s="193"/>
      <c r="T168" s="193"/>
      <c r="U168" s="193"/>
      <c r="V168" s="193"/>
      <c r="W168" s="194"/>
      <c r="X168" s="194"/>
      <c r="Y168" s="193"/>
      <c r="Z168" s="218"/>
      <c r="AA168" s="218"/>
      <c r="AB168" s="218"/>
      <c r="AC168" s="218"/>
      <c r="AD168" s="218"/>
      <c r="AE168" s="218"/>
      <c r="AF168" s="218"/>
      <c r="AG168" s="218"/>
      <c r="AH168" s="218"/>
      <c r="AI168" s="218"/>
      <c r="AJ168" s="218"/>
      <c r="AK168" s="218"/>
      <c r="AL168" s="218"/>
      <c r="AM168" s="218"/>
    </row>
    <row r="169" spans="1:39" ht="8.25" customHeight="1" x14ac:dyDescent="0.25">
      <c r="A169" s="193"/>
      <c r="B169" s="193"/>
      <c r="C169" s="193"/>
      <c r="D169" s="193"/>
      <c r="E169" s="193"/>
      <c r="F169" s="193"/>
      <c r="G169" s="193"/>
      <c r="H169" s="193"/>
      <c r="I169" s="193"/>
      <c r="J169" s="193"/>
      <c r="K169" s="193"/>
      <c r="L169" s="193"/>
      <c r="M169" s="193"/>
      <c r="N169" s="193"/>
      <c r="O169" s="193"/>
      <c r="P169" s="193"/>
      <c r="Q169" s="193"/>
      <c r="R169" s="193"/>
      <c r="S169" s="193"/>
      <c r="T169" s="193"/>
      <c r="U169" s="193"/>
      <c r="V169" s="193"/>
      <c r="W169" s="194"/>
      <c r="X169" s="194"/>
      <c r="Y169" s="193"/>
      <c r="Z169" s="218"/>
      <c r="AA169" s="218"/>
      <c r="AB169" s="218"/>
      <c r="AC169" s="218"/>
      <c r="AD169" s="218"/>
      <c r="AE169" s="218"/>
      <c r="AF169" s="218"/>
      <c r="AG169" s="218"/>
      <c r="AH169" s="218"/>
      <c r="AI169" s="218"/>
      <c r="AJ169" s="218"/>
      <c r="AK169" s="218"/>
      <c r="AL169" s="218"/>
      <c r="AM169" s="218"/>
    </row>
    <row r="170" spans="1:39" ht="8.25" customHeight="1" x14ac:dyDescent="0.25">
      <c r="A170" s="193"/>
      <c r="B170" s="193"/>
      <c r="C170" s="193"/>
      <c r="D170" s="193"/>
      <c r="E170" s="193"/>
      <c r="F170" s="193"/>
      <c r="G170" s="193"/>
      <c r="H170" s="193"/>
      <c r="I170" s="193"/>
      <c r="J170" s="193"/>
      <c r="K170" s="193"/>
      <c r="L170" s="193"/>
      <c r="M170" s="193"/>
      <c r="N170" s="193"/>
      <c r="O170" s="193"/>
      <c r="P170" s="193"/>
      <c r="Q170" s="193"/>
      <c r="R170" s="193"/>
      <c r="S170" s="193"/>
      <c r="T170" s="193"/>
      <c r="U170" s="193"/>
      <c r="V170" s="193"/>
      <c r="W170" s="194"/>
      <c r="X170" s="194"/>
      <c r="Y170" s="193"/>
      <c r="Z170" s="218"/>
      <c r="AA170" s="218"/>
      <c r="AB170" s="218"/>
      <c r="AC170" s="218"/>
      <c r="AD170" s="218"/>
      <c r="AE170" s="218"/>
      <c r="AF170" s="218"/>
      <c r="AG170" s="218"/>
      <c r="AH170" s="218"/>
      <c r="AI170" s="218"/>
      <c r="AJ170" s="218"/>
      <c r="AK170" s="218"/>
      <c r="AL170" s="218"/>
      <c r="AM170" s="218"/>
    </row>
    <row r="171" spans="1:39" ht="8.25" customHeight="1" x14ac:dyDescent="0.25">
      <c r="A171" s="193"/>
      <c r="B171" s="193"/>
      <c r="C171" s="193"/>
      <c r="D171" s="193"/>
      <c r="E171" s="193"/>
      <c r="F171" s="193"/>
      <c r="G171" s="193"/>
      <c r="H171" s="193"/>
      <c r="I171" s="193"/>
      <c r="J171" s="193"/>
      <c r="K171" s="193"/>
      <c r="L171" s="193"/>
      <c r="M171" s="193"/>
      <c r="N171" s="193"/>
      <c r="O171" s="193"/>
      <c r="P171" s="193"/>
      <c r="Q171" s="193"/>
      <c r="R171" s="193"/>
      <c r="S171" s="193"/>
      <c r="T171" s="193"/>
      <c r="U171" s="193"/>
      <c r="V171" s="193"/>
      <c r="W171" s="194"/>
      <c r="X171" s="194"/>
      <c r="Y171" s="193"/>
      <c r="Z171" s="196"/>
      <c r="AA171" s="196"/>
      <c r="AB171" s="196"/>
      <c r="AC171" s="196"/>
      <c r="AD171" s="196"/>
      <c r="AE171" s="196"/>
      <c r="AF171" s="196"/>
      <c r="AG171" s="196"/>
      <c r="AH171" s="196"/>
      <c r="AI171" s="196"/>
      <c r="AJ171" s="196"/>
      <c r="AK171" s="196"/>
      <c r="AL171" s="196"/>
      <c r="AM171" s="196"/>
    </row>
    <row r="172" spans="1:39" ht="8.25" customHeight="1" x14ac:dyDescent="0.25">
      <c r="A172" s="193"/>
      <c r="B172" s="193"/>
      <c r="C172" s="193"/>
      <c r="D172" s="193"/>
      <c r="E172" s="193"/>
      <c r="F172" s="193"/>
      <c r="G172" s="193"/>
      <c r="H172" s="193"/>
      <c r="I172" s="193"/>
      <c r="J172" s="193"/>
      <c r="K172" s="193"/>
      <c r="L172" s="193"/>
      <c r="M172" s="193"/>
      <c r="N172" s="193"/>
      <c r="O172" s="193"/>
      <c r="P172" s="193"/>
      <c r="Q172" s="193"/>
      <c r="R172" s="193"/>
      <c r="S172" s="193"/>
      <c r="T172" s="193"/>
      <c r="U172" s="193"/>
      <c r="V172" s="193"/>
      <c r="W172" s="194"/>
      <c r="X172" s="194"/>
      <c r="Y172" s="193"/>
      <c r="Z172" s="196"/>
      <c r="AA172" s="196"/>
      <c r="AB172" s="196"/>
      <c r="AC172" s="196"/>
      <c r="AD172" s="196"/>
      <c r="AE172" s="196"/>
      <c r="AF172" s="196"/>
      <c r="AG172" s="196"/>
      <c r="AH172" s="196"/>
      <c r="AI172" s="196"/>
      <c r="AJ172" s="196"/>
      <c r="AK172" s="196"/>
      <c r="AL172" s="196"/>
      <c r="AM172" s="196"/>
    </row>
    <row r="173" spans="1:39" ht="8.25" customHeight="1" x14ac:dyDescent="0.25">
      <c r="A173" s="193"/>
      <c r="B173" s="193"/>
      <c r="C173" s="193"/>
      <c r="D173" s="193"/>
      <c r="E173" s="193"/>
      <c r="F173" s="193"/>
      <c r="G173" s="193"/>
      <c r="H173" s="193"/>
      <c r="I173" s="193"/>
      <c r="J173" s="193"/>
      <c r="K173" s="193"/>
      <c r="L173" s="193"/>
      <c r="M173" s="193"/>
      <c r="N173" s="193"/>
      <c r="O173" s="193"/>
      <c r="P173" s="193"/>
      <c r="Q173" s="193"/>
      <c r="R173" s="193"/>
      <c r="S173" s="193"/>
      <c r="T173" s="193"/>
      <c r="U173" s="193"/>
      <c r="V173" s="193"/>
      <c r="W173" s="194"/>
      <c r="X173" s="194"/>
      <c r="Y173" s="193"/>
      <c r="Z173" s="196"/>
      <c r="AA173" s="196"/>
      <c r="AB173" s="196"/>
      <c r="AC173" s="196"/>
      <c r="AD173" s="196"/>
      <c r="AE173" s="196"/>
      <c r="AF173" s="196"/>
      <c r="AG173" s="196"/>
      <c r="AH173" s="196"/>
      <c r="AI173" s="196"/>
      <c r="AJ173" s="196"/>
      <c r="AK173" s="196"/>
      <c r="AL173" s="196"/>
      <c r="AM173" s="196"/>
    </row>
    <row r="174" spans="1:39" ht="8.25" customHeight="1" x14ac:dyDescent="0.25">
      <c r="A174" s="193"/>
      <c r="B174" s="193"/>
      <c r="C174" s="193"/>
      <c r="D174" s="193"/>
      <c r="E174" s="193"/>
      <c r="F174" s="193"/>
      <c r="G174" s="193"/>
      <c r="H174" s="193"/>
      <c r="I174" s="193"/>
      <c r="J174" s="193"/>
      <c r="K174" s="193"/>
      <c r="L174" s="193"/>
      <c r="M174" s="193"/>
      <c r="N174" s="193"/>
      <c r="O174" s="193"/>
      <c r="P174" s="193"/>
      <c r="Q174" s="193"/>
      <c r="R174" s="193"/>
      <c r="S174" s="193"/>
      <c r="T174" s="193"/>
      <c r="U174" s="193"/>
      <c r="V174" s="193"/>
      <c r="W174" s="194"/>
      <c r="X174" s="194"/>
      <c r="Y174" s="193"/>
      <c r="Z174" s="196"/>
      <c r="AA174" s="196"/>
      <c r="AB174" s="196"/>
      <c r="AC174" s="196"/>
      <c r="AD174" s="196"/>
      <c r="AE174" s="196"/>
      <c r="AF174" s="196"/>
      <c r="AG174" s="196"/>
      <c r="AH174" s="196"/>
      <c r="AI174" s="196"/>
      <c r="AJ174" s="196"/>
      <c r="AK174" s="196"/>
      <c r="AL174" s="196"/>
      <c r="AM174" s="196"/>
    </row>
    <row r="175" spans="1:39" ht="8.25" customHeight="1" x14ac:dyDescent="0.25">
      <c r="A175" s="193"/>
      <c r="B175" s="193"/>
      <c r="C175" s="193"/>
      <c r="D175" s="193"/>
      <c r="E175" s="193"/>
      <c r="F175" s="193"/>
      <c r="G175" s="193"/>
      <c r="H175" s="193"/>
      <c r="I175" s="193"/>
      <c r="J175" s="193"/>
      <c r="K175" s="193"/>
      <c r="L175" s="193"/>
      <c r="M175" s="193"/>
      <c r="N175" s="193"/>
      <c r="O175" s="193"/>
      <c r="P175" s="193"/>
      <c r="Q175" s="193"/>
      <c r="R175" s="193"/>
      <c r="S175" s="193"/>
      <c r="T175" s="193"/>
      <c r="U175" s="193"/>
      <c r="V175" s="193"/>
      <c r="W175" s="194"/>
      <c r="X175" s="194"/>
      <c r="Y175" s="193"/>
      <c r="Z175" s="196"/>
      <c r="AA175" s="196"/>
      <c r="AB175" s="196"/>
      <c r="AC175" s="196"/>
      <c r="AD175" s="196"/>
      <c r="AE175" s="196"/>
      <c r="AF175" s="196"/>
      <c r="AG175" s="196"/>
      <c r="AH175" s="196"/>
      <c r="AI175" s="196"/>
      <c r="AJ175" s="196"/>
      <c r="AK175" s="196"/>
      <c r="AL175" s="196"/>
      <c r="AM175" s="196"/>
    </row>
    <row r="176" spans="1:39" ht="8.25" customHeight="1" x14ac:dyDescent="0.25">
      <c r="A176" s="193"/>
      <c r="B176" s="193"/>
      <c r="C176" s="193"/>
      <c r="D176" s="193"/>
      <c r="E176" s="193"/>
      <c r="F176" s="193"/>
      <c r="G176" s="193"/>
      <c r="H176" s="193"/>
      <c r="I176" s="193"/>
      <c r="J176" s="193"/>
      <c r="K176" s="193"/>
      <c r="L176" s="193"/>
      <c r="M176" s="193"/>
      <c r="N176" s="193"/>
      <c r="O176" s="193"/>
      <c r="P176" s="193"/>
      <c r="Q176" s="193"/>
      <c r="R176" s="193"/>
      <c r="S176" s="193"/>
      <c r="T176" s="193"/>
      <c r="U176" s="193"/>
      <c r="V176" s="193"/>
      <c r="W176" s="194"/>
      <c r="X176" s="194"/>
      <c r="Y176" s="193"/>
    </row>
    <row r="177" spans="1:25" ht="8.25" customHeight="1" x14ac:dyDescent="0.25">
      <c r="A177" s="193"/>
      <c r="B177" s="193"/>
      <c r="C177" s="193"/>
      <c r="D177" s="193"/>
      <c r="E177" s="193"/>
      <c r="F177" s="193"/>
      <c r="G177" s="193"/>
      <c r="H177" s="193"/>
      <c r="I177" s="193"/>
      <c r="J177" s="193"/>
      <c r="K177" s="193"/>
      <c r="L177" s="193"/>
      <c r="M177" s="193"/>
      <c r="N177" s="193"/>
      <c r="O177" s="193"/>
      <c r="P177" s="193"/>
      <c r="Q177" s="193"/>
      <c r="R177" s="193"/>
      <c r="S177" s="193"/>
      <c r="T177" s="193"/>
      <c r="U177" s="193"/>
      <c r="V177" s="193"/>
      <c r="W177" s="194"/>
      <c r="X177" s="194"/>
      <c r="Y177" s="193"/>
    </row>
    <row r="178" spans="1:25" ht="8.25" customHeight="1" x14ac:dyDescent="0.25">
      <c r="A178" s="193"/>
      <c r="B178" s="193"/>
      <c r="C178" s="193"/>
      <c r="D178" s="193"/>
      <c r="E178" s="193"/>
      <c r="F178" s="193"/>
      <c r="G178" s="193"/>
      <c r="H178" s="193"/>
      <c r="I178" s="193"/>
      <c r="J178" s="193"/>
      <c r="K178" s="193"/>
      <c r="L178" s="193"/>
      <c r="M178" s="193"/>
      <c r="N178" s="193"/>
      <c r="O178" s="193"/>
      <c r="P178" s="193"/>
      <c r="Q178" s="193"/>
      <c r="R178" s="193"/>
      <c r="S178" s="193"/>
      <c r="T178" s="193"/>
      <c r="U178" s="193"/>
      <c r="V178" s="193"/>
      <c r="W178" s="194"/>
      <c r="X178" s="194"/>
      <c r="Y178" s="193"/>
    </row>
    <row r="179" spans="1:25" ht="8.25" customHeight="1" x14ac:dyDescent="0.25">
      <c r="A179" s="193"/>
      <c r="B179" s="193"/>
      <c r="C179" s="193"/>
      <c r="D179" s="193"/>
      <c r="E179" s="193"/>
      <c r="F179" s="193"/>
      <c r="G179" s="193"/>
      <c r="H179" s="193"/>
      <c r="I179" s="193"/>
      <c r="J179" s="193"/>
      <c r="K179" s="193"/>
      <c r="L179" s="193"/>
      <c r="M179" s="193"/>
      <c r="N179" s="193"/>
      <c r="O179" s="193"/>
      <c r="P179" s="193"/>
      <c r="Q179" s="193"/>
      <c r="R179" s="193"/>
      <c r="S179" s="193"/>
      <c r="T179" s="193"/>
      <c r="U179" s="193"/>
      <c r="V179" s="193"/>
      <c r="W179" s="194"/>
      <c r="X179" s="194"/>
      <c r="Y179" s="193"/>
    </row>
    <row r="180" spans="1:25" ht="8.25" customHeight="1" x14ac:dyDescent="0.25">
      <c r="A180" s="193"/>
      <c r="B180" s="193"/>
      <c r="C180" s="193"/>
      <c r="D180" s="193"/>
      <c r="E180" s="193"/>
      <c r="F180" s="193"/>
      <c r="G180" s="193"/>
      <c r="H180" s="193"/>
      <c r="I180" s="193"/>
      <c r="J180" s="193"/>
      <c r="K180" s="193"/>
      <c r="L180" s="193"/>
      <c r="M180" s="193"/>
      <c r="N180" s="193"/>
      <c r="O180" s="193"/>
      <c r="P180" s="193"/>
      <c r="Q180" s="193"/>
      <c r="R180" s="193"/>
      <c r="S180" s="193"/>
      <c r="T180" s="193"/>
      <c r="U180" s="193"/>
      <c r="V180" s="193"/>
      <c r="W180" s="194"/>
      <c r="X180" s="194"/>
      <c r="Y180" s="193"/>
    </row>
    <row r="181" spans="1:25" ht="8.25" customHeight="1" x14ac:dyDescent="0.25">
      <c r="A181" s="193"/>
      <c r="B181" s="193"/>
      <c r="C181" s="193"/>
      <c r="D181" s="193"/>
      <c r="E181" s="193"/>
      <c r="F181" s="193"/>
      <c r="G181" s="193"/>
      <c r="H181" s="193"/>
      <c r="I181" s="193"/>
      <c r="J181" s="193"/>
      <c r="K181" s="193"/>
      <c r="L181" s="193"/>
      <c r="M181" s="193"/>
      <c r="N181" s="193"/>
      <c r="O181" s="193"/>
      <c r="P181" s="193"/>
      <c r="Q181" s="193"/>
      <c r="R181" s="193"/>
      <c r="S181" s="193"/>
      <c r="T181" s="193"/>
      <c r="U181" s="193"/>
      <c r="V181" s="193"/>
      <c r="W181" s="194"/>
      <c r="X181" s="194"/>
      <c r="Y181" s="193"/>
    </row>
    <row r="182" spans="1:25" ht="8.25" customHeight="1" x14ac:dyDescent="0.25">
      <c r="A182" s="193"/>
      <c r="B182" s="193"/>
      <c r="C182" s="193"/>
      <c r="D182" s="193"/>
      <c r="E182" s="193"/>
      <c r="F182" s="193"/>
      <c r="G182" s="193"/>
      <c r="H182" s="193"/>
      <c r="I182" s="193"/>
      <c r="J182" s="193"/>
      <c r="K182" s="193"/>
      <c r="L182" s="193"/>
      <c r="M182" s="193"/>
      <c r="N182" s="193"/>
      <c r="O182" s="193"/>
      <c r="P182" s="193"/>
      <c r="Q182" s="193"/>
      <c r="R182" s="193"/>
      <c r="S182" s="193"/>
      <c r="T182" s="193"/>
      <c r="U182" s="193"/>
      <c r="V182" s="193"/>
      <c r="W182" s="194"/>
      <c r="X182" s="194"/>
      <c r="Y182" s="193"/>
    </row>
    <row r="183" spans="1:25" ht="8.25" customHeight="1" x14ac:dyDescent="0.25">
      <c r="A183" s="193"/>
      <c r="B183" s="193"/>
      <c r="C183" s="193"/>
      <c r="D183" s="193"/>
      <c r="E183" s="193"/>
      <c r="F183" s="193"/>
      <c r="G183" s="193"/>
      <c r="H183" s="193"/>
      <c r="I183" s="193"/>
      <c r="J183" s="193"/>
      <c r="K183" s="193"/>
      <c r="L183" s="193"/>
      <c r="M183" s="193"/>
      <c r="N183" s="193"/>
      <c r="O183" s="193"/>
      <c r="P183" s="193"/>
      <c r="Q183" s="193"/>
      <c r="R183" s="193"/>
      <c r="S183" s="193"/>
      <c r="T183" s="193"/>
      <c r="U183" s="193"/>
      <c r="V183" s="193"/>
      <c r="W183" s="194"/>
      <c r="X183" s="194"/>
      <c r="Y183" s="193"/>
    </row>
    <row r="184" spans="1:25" ht="8.25" customHeight="1" x14ac:dyDescent="0.25">
      <c r="A184" s="193"/>
      <c r="B184" s="193"/>
      <c r="C184" s="193"/>
      <c r="D184" s="193"/>
      <c r="E184" s="193"/>
      <c r="F184" s="193"/>
      <c r="G184" s="193"/>
      <c r="H184" s="193"/>
      <c r="I184" s="193"/>
      <c r="J184" s="193"/>
      <c r="K184" s="193"/>
      <c r="L184" s="193"/>
      <c r="M184" s="193"/>
      <c r="N184" s="193"/>
      <c r="O184" s="193"/>
      <c r="P184" s="193"/>
      <c r="Q184" s="193"/>
      <c r="R184" s="193"/>
      <c r="S184" s="193"/>
      <c r="T184" s="193"/>
      <c r="U184" s="193"/>
      <c r="V184" s="193"/>
      <c r="W184" s="194"/>
      <c r="X184" s="194"/>
      <c r="Y184" s="193"/>
    </row>
    <row r="185" spans="1:25" ht="8.25" customHeight="1" x14ac:dyDescent="0.25">
      <c r="A185" s="193"/>
      <c r="B185" s="193"/>
      <c r="C185" s="193"/>
      <c r="D185" s="193"/>
      <c r="E185" s="193"/>
      <c r="F185" s="193"/>
      <c r="G185" s="193"/>
      <c r="H185" s="193"/>
      <c r="I185" s="193"/>
      <c r="J185" s="193"/>
      <c r="K185" s="193"/>
      <c r="L185" s="193"/>
      <c r="M185" s="193"/>
      <c r="N185" s="193"/>
      <c r="O185" s="193"/>
      <c r="P185" s="193"/>
      <c r="Q185" s="193"/>
      <c r="R185" s="193"/>
      <c r="S185" s="193"/>
      <c r="T185" s="193"/>
      <c r="U185" s="193"/>
      <c r="V185" s="193"/>
      <c r="W185" s="194"/>
      <c r="X185" s="194"/>
      <c r="Y185" s="193"/>
    </row>
    <row r="186" spans="1:25" ht="8.25" customHeight="1" x14ac:dyDescent="0.25">
      <c r="A186" s="193"/>
      <c r="B186" s="193"/>
      <c r="C186" s="193"/>
      <c r="D186" s="193"/>
      <c r="E186" s="193"/>
      <c r="F186" s="193"/>
      <c r="G186" s="193"/>
      <c r="H186" s="193"/>
      <c r="I186" s="193"/>
      <c r="J186" s="193"/>
      <c r="K186" s="193"/>
      <c r="L186" s="193"/>
      <c r="M186" s="193"/>
      <c r="N186" s="193"/>
      <c r="O186" s="193"/>
      <c r="P186" s="193"/>
      <c r="Q186" s="193"/>
      <c r="R186" s="193"/>
      <c r="S186" s="193"/>
      <c r="T186" s="193"/>
      <c r="U186" s="193"/>
      <c r="V186" s="193"/>
      <c r="W186" s="194"/>
      <c r="X186" s="194"/>
      <c r="Y186" s="193"/>
    </row>
    <row r="187" spans="1:25" ht="8.25" customHeight="1" x14ac:dyDescent="0.25">
      <c r="A187" s="193"/>
      <c r="B187" s="193"/>
      <c r="C187" s="193"/>
      <c r="D187" s="193"/>
      <c r="E187" s="193"/>
      <c r="F187" s="193"/>
      <c r="G187" s="193"/>
      <c r="H187" s="193"/>
      <c r="I187" s="193"/>
      <c r="J187" s="193"/>
      <c r="K187" s="193"/>
      <c r="L187" s="193"/>
      <c r="M187" s="193"/>
      <c r="N187" s="193"/>
      <c r="O187" s="193"/>
      <c r="P187" s="193"/>
      <c r="Q187" s="193"/>
      <c r="R187" s="193"/>
      <c r="S187" s="193"/>
      <c r="T187" s="193"/>
      <c r="U187" s="193"/>
      <c r="V187" s="193"/>
      <c r="W187" s="194"/>
      <c r="X187" s="194"/>
      <c r="Y187" s="193"/>
    </row>
    <row r="188" spans="1:25" ht="8.25" customHeight="1" x14ac:dyDescent="0.25">
      <c r="A188" s="193"/>
      <c r="B188" s="193"/>
      <c r="C188" s="193"/>
      <c r="D188" s="193"/>
      <c r="E188" s="193"/>
      <c r="F188" s="193"/>
      <c r="G188" s="193"/>
      <c r="H188" s="193"/>
      <c r="I188" s="193"/>
      <c r="J188" s="193"/>
      <c r="K188" s="193"/>
      <c r="L188" s="193"/>
      <c r="M188" s="193"/>
      <c r="N188" s="193"/>
      <c r="O188" s="193"/>
      <c r="P188" s="193"/>
      <c r="Q188" s="193"/>
      <c r="R188" s="193"/>
      <c r="S188" s="193"/>
      <c r="T188" s="193"/>
      <c r="U188" s="193"/>
      <c r="V188" s="193"/>
      <c r="W188" s="194"/>
      <c r="X188" s="194"/>
      <c r="Y188" s="193"/>
    </row>
    <row r="189" spans="1:25" ht="8.25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  <c r="J189" s="193"/>
      <c r="K189" s="193"/>
      <c r="L189" s="193"/>
      <c r="M189" s="193"/>
      <c r="N189" s="193"/>
      <c r="O189" s="193"/>
      <c r="P189" s="193"/>
      <c r="Q189" s="193"/>
      <c r="R189" s="193"/>
      <c r="S189" s="193"/>
      <c r="T189" s="193"/>
      <c r="U189" s="193"/>
      <c r="V189" s="193"/>
      <c r="W189" s="194"/>
      <c r="X189" s="194"/>
      <c r="Y189" s="193"/>
    </row>
    <row r="190" spans="1:25" ht="8.25" customHeight="1" x14ac:dyDescent="0.25">
      <c r="A190" s="193"/>
      <c r="B190" s="193"/>
      <c r="C190" s="193"/>
      <c r="D190" s="193"/>
      <c r="E190" s="193"/>
      <c r="F190" s="193"/>
      <c r="G190" s="193"/>
      <c r="H190" s="193"/>
      <c r="I190" s="193"/>
      <c r="J190" s="193"/>
      <c r="K190" s="193"/>
      <c r="L190" s="193"/>
      <c r="M190" s="193"/>
      <c r="N190" s="193"/>
      <c r="O190" s="193"/>
      <c r="P190" s="193"/>
      <c r="Q190" s="193"/>
      <c r="R190" s="193"/>
      <c r="S190" s="193"/>
      <c r="T190" s="193"/>
      <c r="U190" s="193"/>
      <c r="V190" s="193"/>
      <c r="W190" s="194"/>
      <c r="X190" s="194"/>
      <c r="Y190" s="193"/>
    </row>
    <row r="191" spans="1:25" ht="8.25" customHeight="1" x14ac:dyDescent="0.25">
      <c r="A191" s="193"/>
      <c r="B191" s="193"/>
      <c r="C191" s="193"/>
      <c r="D191" s="193"/>
      <c r="E191" s="193"/>
      <c r="F191" s="193"/>
      <c r="G191" s="193"/>
      <c r="H191" s="193"/>
      <c r="I191" s="193"/>
      <c r="J191" s="193"/>
      <c r="K191" s="193"/>
      <c r="L191" s="193"/>
      <c r="M191" s="193"/>
      <c r="N191" s="193"/>
      <c r="O191" s="193"/>
      <c r="P191" s="193"/>
      <c r="Q191" s="193"/>
      <c r="R191" s="193"/>
      <c r="S191" s="193"/>
      <c r="T191" s="193"/>
      <c r="U191" s="193"/>
      <c r="V191" s="193"/>
      <c r="W191" s="194"/>
      <c r="X191" s="194"/>
      <c r="Y191" s="193"/>
    </row>
    <row r="192" spans="1:25" ht="8.25" customHeight="1" x14ac:dyDescent="0.25">
      <c r="A192" s="193"/>
      <c r="B192" s="193"/>
      <c r="C192" s="193"/>
      <c r="D192" s="193"/>
      <c r="E192" s="193"/>
      <c r="F192" s="193"/>
      <c r="G192" s="193"/>
      <c r="H192" s="193"/>
      <c r="I192" s="193"/>
      <c r="J192" s="193"/>
      <c r="K192" s="193"/>
      <c r="L192" s="193"/>
      <c r="M192" s="193"/>
      <c r="N192" s="193"/>
      <c r="O192" s="193"/>
      <c r="P192" s="193"/>
      <c r="Q192" s="193"/>
      <c r="R192" s="193"/>
      <c r="S192" s="193"/>
      <c r="T192" s="193"/>
      <c r="U192" s="193"/>
      <c r="V192" s="193"/>
      <c r="W192" s="194"/>
      <c r="X192" s="194"/>
      <c r="Y192" s="193"/>
    </row>
    <row r="193" spans="1:25" ht="8.25" customHeight="1" x14ac:dyDescent="0.25">
      <c r="A193" s="193"/>
      <c r="B193" s="193"/>
      <c r="C193" s="193"/>
      <c r="D193" s="193"/>
      <c r="E193" s="193"/>
      <c r="F193" s="193"/>
      <c r="G193" s="193"/>
      <c r="H193" s="193"/>
      <c r="I193" s="193"/>
      <c r="J193" s="193"/>
      <c r="K193" s="193"/>
      <c r="L193" s="193"/>
      <c r="M193" s="193"/>
      <c r="N193" s="193"/>
      <c r="O193" s="193"/>
      <c r="P193" s="193"/>
      <c r="Q193" s="193"/>
      <c r="R193" s="193"/>
      <c r="S193" s="193"/>
      <c r="T193" s="193"/>
      <c r="U193" s="193"/>
      <c r="V193" s="193"/>
      <c r="W193" s="194"/>
      <c r="X193" s="194"/>
      <c r="Y193" s="193"/>
    </row>
    <row r="194" spans="1:25" ht="8.25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  <c r="J194" s="193"/>
      <c r="K194" s="193"/>
      <c r="L194" s="193"/>
      <c r="M194" s="193"/>
      <c r="N194" s="193"/>
      <c r="O194" s="193"/>
      <c r="P194" s="193"/>
      <c r="Q194" s="193"/>
      <c r="R194" s="193"/>
      <c r="S194" s="193"/>
      <c r="T194" s="193"/>
      <c r="U194" s="193"/>
      <c r="V194" s="193"/>
      <c r="W194" s="194"/>
      <c r="X194" s="194"/>
      <c r="Y194" s="193"/>
    </row>
    <row r="195" spans="1:25" ht="8.25" customHeight="1" x14ac:dyDescent="0.25">
      <c r="A195" s="193"/>
      <c r="B195" s="193"/>
      <c r="C195" s="193"/>
      <c r="D195" s="193"/>
      <c r="E195" s="193"/>
      <c r="F195" s="193"/>
      <c r="G195" s="193"/>
      <c r="H195" s="193"/>
      <c r="I195" s="193"/>
      <c r="J195" s="193"/>
      <c r="K195" s="193"/>
      <c r="L195" s="193"/>
      <c r="M195" s="193"/>
      <c r="N195" s="193"/>
      <c r="O195" s="193"/>
      <c r="P195" s="193"/>
      <c r="Q195" s="193"/>
      <c r="R195" s="193"/>
      <c r="S195" s="193"/>
      <c r="T195" s="193"/>
      <c r="U195" s="193"/>
      <c r="V195" s="193"/>
      <c r="W195" s="194"/>
      <c r="X195" s="194"/>
      <c r="Y195" s="193"/>
    </row>
    <row r="196" spans="1:25" ht="8.25" customHeight="1" x14ac:dyDescent="0.25">
      <c r="A196" s="193"/>
      <c r="B196" s="193"/>
      <c r="C196" s="193"/>
      <c r="D196" s="193"/>
      <c r="E196" s="193"/>
      <c r="F196" s="193"/>
      <c r="G196" s="193"/>
      <c r="H196" s="193"/>
      <c r="I196" s="193"/>
      <c r="J196" s="193"/>
      <c r="K196" s="193"/>
      <c r="L196" s="193"/>
      <c r="M196" s="193"/>
      <c r="N196" s="193"/>
      <c r="O196" s="193"/>
      <c r="P196" s="193"/>
      <c r="Q196" s="193"/>
      <c r="R196" s="193"/>
      <c r="S196" s="193"/>
      <c r="T196" s="193"/>
      <c r="U196" s="193"/>
      <c r="V196" s="193"/>
      <c r="W196" s="194"/>
      <c r="X196" s="194"/>
      <c r="Y196" s="193"/>
    </row>
    <row r="197" spans="1:25" ht="8.25" customHeight="1" x14ac:dyDescent="0.25">
      <c r="A197" s="193"/>
      <c r="B197" s="193"/>
      <c r="C197" s="193"/>
      <c r="D197" s="193"/>
      <c r="E197" s="193"/>
      <c r="F197" s="193"/>
      <c r="G197" s="193"/>
      <c r="H197" s="193"/>
      <c r="I197" s="193"/>
      <c r="J197" s="193"/>
      <c r="K197" s="193"/>
      <c r="L197" s="193"/>
      <c r="M197" s="193"/>
      <c r="N197" s="193"/>
      <c r="O197" s="193"/>
      <c r="P197" s="193"/>
      <c r="Q197" s="193"/>
      <c r="R197" s="193"/>
      <c r="S197" s="193"/>
      <c r="T197" s="193"/>
      <c r="U197" s="193"/>
      <c r="V197" s="193"/>
      <c r="W197" s="194"/>
      <c r="X197" s="194"/>
      <c r="Y197" s="193"/>
    </row>
    <row r="198" spans="1:25" ht="8.25" customHeight="1" x14ac:dyDescent="0.25">
      <c r="A198" s="193"/>
      <c r="B198" s="193"/>
      <c r="C198" s="193"/>
      <c r="D198" s="193"/>
      <c r="E198" s="193"/>
      <c r="F198" s="193"/>
      <c r="G198" s="193"/>
      <c r="H198" s="193"/>
      <c r="I198" s="193"/>
      <c r="J198" s="193"/>
      <c r="K198" s="193"/>
      <c r="L198" s="193"/>
      <c r="M198" s="193"/>
      <c r="N198" s="193"/>
      <c r="O198" s="193"/>
      <c r="P198" s="193"/>
      <c r="Q198" s="193"/>
      <c r="R198" s="193"/>
      <c r="S198" s="193"/>
      <c r="T198" s="193"/>
      <c r="U198" s="193"/>
      <c r="V198" s="193"/>
      <c r="W198" s="194"/>
      <c r="X198" s="194"/>
      <c r="Y198" s="193"/>
    </row>
    <row r="199" spans="1:25" ht="8.25" customHeight="1" x14ac:dyDescent="0.25">
      <c r="A199" s="193"/>
      <c r="B199" s="193"/>
      <c r="C199" s="193"/>
      <c r="D199" s="193"/>
      <c r="E199" s="193"/>
      <c r="F199" s="193"/>
      <c r="G199" s="193"/>
      <c r="H199" s="193"/>
      <c r="I199" s="193"/>
      <c r="J199" s="193"/>
      <c r="K199" s="193"/>
      <c r="L199" s="193"/>
      <c r="M199" s="193"/>
      <c r="N199" s="193"/>
      <c r="O199" s="193"/>
      <c r="P199" s="193"/>
      <c r="Q199" s="193"/>
      <c r="R199" s="193"/>
      <c r="S199" s="193"/>
      <c r="T199" s="193"/>
      <c r="U199" s="193"/>
      <c r="V199" s="193"/>
      <c r="W199" s="194"/>
      <c r="X199" s="194"/>
      <c r="Y199" s="193"/>
    </row>
    <row r="200" spans="1:25" ht="8.25" customHeight="1" x14ac:dyDescent="0.25">
      <c r="A200" s="193"/>
      <c r="B200" s="193"/>
      <c r="C200" s="193"/>
      <c r="D200" s="193"/>
      <c r="E200" s="193"/>
      <c r="F200" s="193"/>
      <c r="G200" s="193"/>
      <c r="H200" s="193"/>
      <c r="I200" s="193"/>
      <c r="J200" s="193"/>
      <c r="K200" s="193"/>
      <c r="L200" s="193"/>
      <c r="M200" s="193"/>
      <c r="N200" s="193"/>
      <c r="O200" s="193"/>
      <c r="P200" s="193"/>
      <c r="Q200" s="193"/>
      <c r="R200" s="193"/>
      <c r="S200" s="193"/>
      <c r="T200" s="193"/>
      <c r="U200" s="193"/>
      <c r="V200" s="193"/>
      <c r="W200" s="194"/>
      <c r="X200" s="194"/>
      <c r="Y200" s="193"/>
    </row>
    <row r="201" spans="1:25" ht="8.25" customHeight="1" x14ac:dyDescent="0.25">
      <c r="A201" s="193"/>
      <c r="B201" s="193"/>
      <c r="C201" s="193"/>
      <c r="D201" s="193"/>
      <c r="E201" s="193"/>
      <c r="F201" s="193"/>
      <c r="G201" s="193"/>
      <c r="H201" s="193"/>
      <c r="I201" s="193"/>
      <c r="J201" s="193"/>
      <c r="K201" s="193"/>
      <c r="L201" s="193"/>
      <c r="M201" s="193"/>
      <c r="N201" s="193"/>
      <c r="O201" s="193"/>
      <c r="P201" s="193"/>
      <c r="Q201" s="193"/>
      <c r="R201" s="193"/>
      <c r="S201" s="193"/>
      <c r="T201" s="193"/>
      <c r="U201" s="193"/>
      <c r="V201" s="193"/>
      <c r="W201" s="194"/>
      <c r="X201" s="194"/>
      <c r="Y201" s="193"/>
    </row>
    <row r="202" spans="1:25" ht="8.25" customHeight="1" x14ac:dyDescent="0.25">
      <c r="A202" s="193"/>
      <c r="B202" s="193"/>
      <c r="C202" s="193"/>
      <c r="D202" s="193"/>
      <c r="E202" s="193"/>
      <c r="F202" s="193"/>
      <c r="G202" s="193"/>
      <c r="H202" s="193"/>
      <c r="I202" s="193"/>
      <c r="J202" s="193"/>
      <c r="K202" s="193"/>
      <c r="L202" s="193"/>
      <c r="M202" s="193"/>
      <c r="N202" s="193"/>
      <c r="O202" s="193"/>
      <c r="P202" s="193"/>
      <c r="Q202" s="193"/>
      <c r="R202" s="193"/>
      <c r="S202" s="193"/>
      <c r="T202" s="193"/>
      <c r="U202" s="193"/>
      <c r="V202" s="193"/>
      <c r="W202" s="194"/>
      <c r="X202" s="194"/>
      <c r="Y202" s="193"/>
    </row>
    <row r="203" spans="1:25" ht="8.25" customHeight="1" x14ac:dyDescent="0.25">
      <c r="A203" s="193"/>
      <c r="B203" s="193"/>
      <c r="C203" s="193"/>
      <c r="D203" s="193"/>
      <c r="E203" s="193"/>
      <c r="F203" s="193"/>
      <c r="G203" s="193"/>
      <c r="H203" s="193"/>
      <c r="I203" s="193"/>
      <c r="J203" s="193"/>
      <c r="K203" s="193"/>
      <c r="L203" s="193"/>
      <c r="M203" s="193"/>
      <c r="N203" s="193"/>
      <c r="O203" s="193"/>
      <c r="P203" s="193"/>
      <c r="Q203" s="193"/>
      <c r="R203" s="193"/>
      <c r="S203" s="193"/>
      <c r="T203" s="193"/>
      <c r="U203" s="193"/>
      <c r="V203" s="193"/>
      <c r="W203" s="194"/>
      <c r="X203" s="194"/>
      <c r="Y203" s="193"/>
    </row>
    <row r="204" spans="1:25" ht="8.25" customHeight="1" x14ac:dyDescent="0.25">
      <c r="A204" s="193"/>
      <c r="B204" s="193"/>
      <c r="C204" s="193"/>
      <c r="D204" s="193"/>
      <c r="E204" s="193"/>
      <c r="F204" s="193"/>
      <c r="G204" s="193"/>
      <c r="H204" s="193"/>
      <c r="I204" s="193"/>
      <c r="J204" s="193"/>
      <c r="K204" s="193"/>
      <c r="L204" s="193"/>
      <c r="M204" s="193"/>
      <c r="N204" s="193"/>
      <c r="O204" s="193"/>
      <c r="P204" s="193"/>
      <c r="Q204" s="193"/>
      <c r="R204" s="193"/>
      <c r="S204" s="193"/>
      <c r="T204" s="193"/>
      <c r="U204" s="193"/>
      <c r="V204" s="193"/>
      <c r="W204" s="194"/>
      <c r="X204" s="194"/>
      <c r="Y204" s="193"/>
    </row>
    <row r="205" spans="1:25" ht="8.25" customHeight="1" x14ac:dyDescent="0.25">
      <c r="A205" s="193"/>
      <c r="B205" s="193"/>
      <c r="C205" s="193"/>
      <c r="D205" s="193"/>
      <c r="E205" s="193"/>
      <c r="F205" s="193"/>
      <c r="G205" s="193"/>
      <c r="H205" s="193"/>
      <c r="I205" s="193"/>
      <c r="J205" s="193"/>
      <c r="K205" s="193"/>
      <c r="L205" s="193"/>
      <c r="M205" s="193"/>
      <c r="N205" s="193"/>
      <c r="O205" s="193"/>
      <c r="P205" s="193"/>
      <c r="Q205" s="193"/>
      <c r="R205" s="193"/>
      <c r="S205" s="193"/>
      <c r="T205" s="193"/>
      <c r="U205" s="193"/>
      <c r="V205" s="193"/>
      <c r="W205" s="194"/>
      <c r="X205" s="194"/>
      <c r="Y205" s="193"/>
    </row>
    <row r="206" spans="1:25" ht="8.25" customHeight="1" x14ac:dyDescent="0.25">
      <c r="A206" s="193"/>
      <c r="B206" s="193"/>
      <c r="C206" s="193"/>
      <c r="D206" s="193"/>
      <c r="E206" s="193"/>
      <c r="F206" s="193"/>
      <c r="G206" s="193"/>
      <c r="H206" s="193"/>
      <c r="I206" s="193"/>
      <c r="J206" s="193"/>
      <c r="K206" s="193"/>
      <c r="L206" s="193"/>
      <c r="M206" s="193"/>
      <c r="N206" s="193"/>
      <c r="O206" s="193"/>
      <c r="P206" s="193"/>
      <c r="Q206" s="193"/>
      <c r="R206" s="193"/>
      <c r="S206" s="193"/>
      <c r="T206" s="193"/>
      <c r="U206" s="193"/>
      <c r="V206" s="193"/>
      <c r="W206" s="194"/>
      <c r="X206" s="194"/>
      <c r="Y206" s="193"/>
    </row>
    <row r="207" spans="1:25" ht="8.25" customHeight="1" x14ac:dyDescent="0.25">
      <c r="A207" s="193"/>
      <c r="B207" s="193"/>
      <c r="C207" s="193"/>
      <c r="D207" s="193"/>
      <c r="E207" s="193"/>
      <c r="F207" s="193"/>
      <c r="G207" s="193"/>
      <c r="H207" s="193"/>
      <c r="I207" s="193"/>
      <c r="J207" s="193"/>
      <c r="K207" s="193"/>
      <c r="L207" s="193"/>
      <c r="M207" s="193"/>
      <c r="N207" s="193"/>
      <c r="O207" s="193"/>
      <c r="P207" s="193"/>
      <c r="Q207" s="193"/>
      <c r="R207" s="193"/>
      <c r="S207" s="193"/>
      <c r="T207" s="193"/>
      <c r="U207" s="193"/>
      <c r="V207" s="193"/>
      <c r="W207" s="194"/>
      <c r="X207" s="194"/>
      <c r="Y207" s="193"/>
    </row>
    <row r="208" spans="1:25" ht="8.25" customHeight="1" x14ac:dyDescent="0.25">
      <c r="A208" s="193"/>
      <c r="B208" s="193"/>
      <c r="C208" s="193"/>
      <c r="D208" s="193"/>
      <c r="E208" s="193"/>
      <c r="F208" s="193"/>
      <c r="G208" s="193"/>
      <c r="H208" s="193"/>
      <c r="I208" s="193"/>
      <c r="J208" s="193"/>
      <c r="K208" s="193"/>
      <c r="L208" s="193"/>
      <c r="M208" s="193"/>
      <c r="N208" s="193"/>
      <c r="O208" s="193"/>
      <c r="P208" s="193"/>
      <c r="Q208" s="193"/>
      <c r="R208" s="193"/>
      <c r="S208" s="193"/>
      <c r="T208" s="193"/>
      <c r="U208" s="193"/>
      <c r="V208" s="193"/>
      <c r="W208" s="194"/>
      <c r="X208" s="194"/>
      <c r="Y208" s="193"/>
    </row>
    <row r="209" spans="1:25" ht="8.25" customHeight="1" x14ac:dyDescent="0.25">
      <c r="A209" s="193"/>
      <c r="B209" s="193"/>
      <c r="C209" s="193"/>
      <c r="D209" s="193"/>
      <c r="E209" s="193"/>
      <c r="F209" s="193"/>
      <c r="G209" s="193"/>
      <c r="H209" s="193"/>
      <c r="I209" s="193"/>
      <c r="J209" s="193"/>
      <c r="K209" s="193"/>
      <c r="L209" s="193"/>
      <c r="M209" s="193"/>
      <c r="N209" s="193"/>
      <c r="O209" s="193"/>
      <c r="P209" s="193"/>
      <c r="Q209" s="193"/>
      <c r="R209" s="193"/>
      <c r="S209" s="193"/>
      <c r="T209" s="193"/>
      <c r="U209" s="193"/>
      <c r="V209" s="193"/>
      <c r="W209" s="194"/>
      <c r="X209" s="194"/>
      <c r="Y209" s="193"/>
    </row>
    <row r="210" spans="1:25" ht="8.25" customHeight="1" x14ac:dyDescent="0.25">
      <c r="A210" s="193"/>
      <c r="B210" s="193"/>
      <c r="C210" s="193"/>
      <c r="D210" s="193"/>
      <c r="E210" s="193"/>
      <c r="F210" s="193"/>
      <c r="G210" s="193"/>
      <c r="H210" s="193"/>
      <c r="I210" s="193"/>
      <c r="J210" s="193"/>
      <c r="K210" s="193"/>
      <c r="L210" s="193"/>
      <c r="M210" s="193"/>
      <c r="N210" s="193"/>
      <c r="O210" s="193"/>
      <c r="P210" s="193"/>
      <c r="Q210" s="193"/>
      <c r="R210" s="193"/>
      <c r="S210" s="193"/>
      <c r="T210" s="193"/>
      <c r="U210" s="193"/>
      <c r="V210" s="193"/>
      <c r="W210" s="194"/>
      <c r="X210" s="194"/>
      <c r="Y210" s="193"/>
    </row>
    <row r="211" spans="1:25" ht="8.25" customHeight="1" x14ac:dyDescent="0.25">
      <c r="A211" s="193"/>
      <c r="B211" s="193"/>
      <c r="C211" s="193"/>
      <c r="D211" s="193"/>
      <c r="E211" s="193"/>
      <c r="F211" s="193"/>
      <c r="G211" s="193"/>
      <c r="H211" s="193"/>
      <c r="I211" s="193"/>
      <c r="J211" s="193"/>
      <c r="K211" s="193"/>
      <c r="L211" s="193"/>
      <c r="M211" s="193"/>
      <c r="N211" s="193"/>
      <c r="O211" s="193"/>
      <c r="P211" s="193"/>
      <c r="Q211" s="193"/>
      <c r="R211" s="193"/>
      <c r="S211" s="193"/>
      <c r="T211" s="193"/>
      <c r="U211" s="193"/>
      <c r="V211" s="193"/>
      <c r="W211" s="194"/>
      <c r="X211" s="194"/>
      <c r="Y211" s="193"/>
    </row>
    <row r="212" spans="1:25" ht="8.25" customHeight="1" x14ac:dyDescent="0.25">
      <c r="A212" s="193"/>
      <c r="B212" s="193"/>
      <c r="C212" s="193"/>
      <c r="D212" s="193"/>
      <c r="E212" s="193"/>
      <c r="F212" s="193"/>
      <c r="G212" s="193"/>
      <c r="H212" s="193"/>
      <c r="I212" s="193"/>
      <c r="J212" s="193"/>
      <c r="K212" s="193"/>
      <c r="L212" s="193"/>
      <c r="M212" s="193"/>
      <c r="N212" s="193"/>
      <c r="O212" s="193"/>
      <c r="P212" s="193"/>
      <c r="Q212" s="193"/>
      <c r="R212" s="193"/>
      <c r="S212" s="193"/>
      <c r="T212" s="193"/>
      <c r="U212" s="193"/>
      <c r="V212" s="193"/>
      <c r="W212" s="194"/>
      <c r="X212" s="194"/>
      <c r="Y212" s="193"/>
    </row>
    <row r="213" spans="1:25" ht="8.25" customHeight="1" x14ac:dyDescent="0.25">
      <c r="A213" s="193"/>
      <c r="B213" s="193"/>
      <c r="C213" s="193"/>
      <c r="D213" s="193"/>
      <c r="E213" s="193"/>
      <c r="F213" s="193"/>
      <c r="G213" s="193"/>
      <c r="H213" s="193"/>
      <c r="I213" s="193"/>
      <c r="J213" s="193"/>
      <c r="K213" s="193"/>
      <c r="L213" s="193"/>
      <c r="M213" s="193"/>
      <c r="N213" s="193"/>
      <c r="O213" s="193"/>
      <c r="P213" s="193"/>
      <c r="Q213" s="193"/>
      <c r="R213" s="193"/>
      <c r="S213" s="193"/>
      <c r="T213" s="193"/>
      <c r="U213" s="193"/>
      <c r="V213" s="193"/>
      <c r="W213" s="194"/>
      <c r="X213" s="194"/>
      <c r="Y213" s="193"/>
    </row>
    <row r="214" spans="1:25" ht="8.25" customHeight="1" x14ac:dyDescent="0.25">
      <c r="A214" s="193"/>
      <c r="B214" s="193"/>
      <c r="C214" s="193"/>
      <c r="D214" s="193"/>
      <c r="E214" s="193"/>
      <c r="F214" s="193"/>
      <c r="G214" s="193"/>
      <c r="H214" s="193"/>
      <c r="I214" s="193"/>
      <c r="J214" s="193"/>
      <c r="K214" s="193"/>
      <c r="L214" s="193"/>
      <c r="M214" s="193"/>
      <c r="N214" s="193"/>
      <c r="O214" s="193"/>
      <c r="P214" s="193"/>
      <c r="Q214" s="193"/>
      <c r="R214" s="193"/>
      <c r="S214" s="193"/>
      <c r="T214" s="193"/>
      <c r="U214" s="193"/>
      <c r="V214" s="193"/>
      <c r="W214" s="194"/>
      <c r="X214" s="194"/>
      <c r="Y214" s="193"/>
    </row>
    <row r="215" spans="1:25" ht="8.25" customHeight="1" x14ac:dyDescent="0.25">
      <c r="A215" s="193"/>
      <c r="B215" s="193"/>
      <c r="C215" s="193"/>
      <c r="D215" s="193"/>
      <c r="E215" s="193"/>
      <c r="F215" s="193"/>
      <c r="G215" s="193"/>
      <c r="H215" s="193"/>
      <c r="I215" s="193"/>
      <c r="J215" s="193"/>
      <c r="K215" s="193"/>
      <c r="L215" s="193"/>
      <c r="M215" s="193"/>
      <c r="N215" s="193"/>
      <c r="O215" s="193"/>
      <c r="P215" s="193"/>
      <c r="Q215" s="193"/>
      <c r="R215" s="193"/>
      <c r="S215" s="193"/>
      <c r="T215" s="193"/>
      <c r="U215" s="193"/>
      <c r="V215" s="193"/>
      <c r="W215" s="194"/>
      <c r="X215" s="194"/>
      <c r="Y215" s="193"/>
    </row>
    <row r="216" spans="1:25" ht="8.25" customHeight="1" x14ac:dyDescent="0.25">
      <c r="A216" s="193"/>
      <c r="B216" s="193"/>
      <c r="C216" s="193"/>
      <c r="D216" s="193"/>
      <c r="E216" s="193"/>
      <c r="F216" s="193"/>
      <c r="G216" s="193"/>
      <c r="H216" s="193"/>
      <c r="I216" s="193"/>
      <c r="J216" s="193"/>
      <c r="K216" s="193"/>
      <c r="L216" s="193"/>
      <c r="M216" s="193"/>
      <c r="N216" s="193"/>
      <c r="O216" s="193"/>
      <c r="P216" s="193"/>
      <c r="Q216" s="193"/>
      <c r="R216" s="193"/>
      <c r="S216" s="193"/>
      <c r="T216" s="193"/>
      <c r="U216" s="193"/>
      <c r="V216" s="193"/>
      <c r="W216" s="194"/>
      <c r="X216" s="194"/>
      <c r="Y216" s="193"/>
    </row>
    <row r="217" spans="1:25" ht="8.25" customHeight="1" x14ac:dyDescent="0.25">
      <c r="A217" s="193"/>
      <c r="B217" s="193"/>
      <c r="C217" s="193"/>
      <c r="D217" s="193"/>
      <c r="E217" s="193"/>
      <c r="F217" s="193"/>
      <c r="G217" s="193"/>
      <c r="H217" s="193"/>
      <c r="I217" s="193"/>
      <c r="J217" s="193"/>
      <c r="K217" s="193"/>
      <c r="L217" s="193"/>
      <c r="M217" s="193"/>
      <c r="N217" s="193"/>
      <c r="O217" s="193"/>
      <c r="P217" s="193"/>
      <c r="Q217" s="193"/>
      <c r="R217" s="193"/>
      <c r="S217" s="193"/>
      <c r="T217" s="193"/>
      <c r="U217" s="193"/>
      <c r="V217" s="193"/>
      <c r="W217" s="194"/>
      <c r="X217" s="194"/>
      <c r="Y217" s="193"/>
    </row>
    <row r="218" spans="1:25" ht="8.25" customHeight="1" x14ac:dyDescent="0.25">
      <c r="A218" s="193"/>
      <c r="B218" s="193"/>
      <c r="C218" s="193"/>
      <c r="D218" s="193"/>
      <c r="E218" s="193"/>
      <c r="F218" s="193"/>
      <c r="G218" s="193"/>
      <c r="H218" s="193"/>
      <c r="I218" s="193"/>
      <c r="J218" s="193"/>
      <c r="K218" s="193"/>
      <c r="L218" s="193"/>
      <c r="M218" s="193"/>
      <c r="N218" s="193"/>
      <c r="O218" s="193"/>
      <c r="P218" s="193"/>
      <c r="Q218" s="193"/>
      <c r="R218" s="193"/>
      <c r="S218" s="193"/>
      <c r="T218" s="193"/>
      <c r="U218" s="193"/>
      <c r="V218" s="193"/>
      <c r="W218" s="194"/>
      <c r="X218" s="194"/>
      <c r="Y218" s="193"/>
    </row>
    <row r="219" spans="1:25" ht="8.25" customHeight="1" x14ac:dyDescent="0.25">
      <c r="A219" s="193"/>
      <c r="B219" s="193"/>
      <c r="C219" s="193"/>
      <c r="D219" s="193"/>
      <c r="E219" s="193"/>
      <c r="F219" s="193"/>
      <c r="G219" s="193"/>
      <c r="H219" s="193"/>
      <c r="I219" s="193"/>
      <c r="J219" s="193"/>
      <c r="K219" s="193"/>
      <c r="L219" s="193"/>
      <c r="M219" s="193"/>
      <c r="N219" s="193"/>
      <c r="O219" s="193"/>
      <c r="P219" s="193"/>
      <c r="Q219" s="193"/>
      <c r="R219" s="193"/>
      <c r="S219" s="193"/>
      <c r="T219" s="193"/>
      <c r="U219" s="193"/>
      <c r="V219" s="193"/>
      <c r="W219" s="194"/>
      <c r="X219" s="194"/>
      <c r="Y219" s="193"/>
    </row>
    <row r="220" spans="1:25" ht="8.25" customHeight="1" x14ac:dyDescent="0.25">
      <c r="A220" s="193"/>
      <c r="B220" s="193"/>
      <c r="C220" s="193"/>
      <c r="D220" s="193"/>
      <c r="E220" s="193"/>
      <c r="F220" s="193"/>
      <c r="G220" s="193"/>
      <c r="H220" s="193"/>
      <c r="I220" s="193"/>
      <c r="J220" s="193"/>
      <c r="K220" s="193"/>
      <c r="L220" s="193"/>
      <c r="M220" s="193"/>
      <c r="N220" s="193"/>
      <c r="O220" s="193"/>
      <c r="P220" s="193"/>
      <c r="Q220" s="193"/>
      <c r="R220" s="193"/>
      <c r="S220" s="193"/>
      <c r="T220" s="193"/>
      <c r="U220" s="193"/>
      <c r="V220" s="193"/>
      <c r="W220" s="194"/>
      <c r="X220" s="194"/>
      <c r="Y220" s="193"/>
    </row>
    <row r="221" spans="1:25" ht="8.25" customHeight="1" x14ac:dyDescent="0.25">
      <c r="A221" s="193"/>
      <c r="B221" s="193"/>
      <c r="C221" s="193"/>
      <c r="D221" s="193"/>
      <c r="E221" s="193"/>
      <c r="F221" s="193"/>
      <c r="G221" s="193"/>
      <c r="H221" s="193"/>
      <c r="I221" s="193"/>
      <c r="J221" s="193"/>
      <c r="K221" s="193"/>
      <c r="L221" s="193"/>
      <c r="M221" s="193"/>
      <c r="N221" s="193"/>
      <c r="O221" s="193"/>
      <c r="P221" s="193"/>
      <c r="Q221" s="193"/>
      <c r="R221" s="193"/>
      <c r="S221" s="193"/>
      <c r="T221" s="193"/>
      <c r="U221" s="193"/>
      <c r="V221" s="193"/>
      <c r="W221" s="194"/>
      <c r="X221" s="194"/>
      <c r="Y221" s="193"/>
    </row>
    <row r="222" spans="1:25" ht="8.25" customHeight="1" x14ac:dyDescent="0.25">
      <c r="A222" s="193"/>
      <c r="B222" s="193"/>
      <c r="C222" s="193"/>
      <c r="D222" s="193"/>
      <c r="E222" s="193"/>
      <c r="F222" s="193"/>
      <c r="G222" s="193"/>
      <c r="H222" s="193"/>
      <c r="I222" s="193"/>
      <c r="J222" s="193"/>
      <c r="K222" s="193"/>
      <c r="L222" s="193"/>
      <c r="M222" s="193"/>
      <c r="N222" s="193"/>
      <c r="O222" s="193"/>
      <c r="P222" s="193"/>
      <c r="Q222" s="193"/>
      <c r="R222" s="193"/>
      <c r="S222" s="193"/>
      <c r="T222" s="193"/>
      <c r="U222" s="193"/>
      <c r="V222" s="193"/>
      <c r="W222" s="194"/>
      <c r="X222" s="194"/>
      <c r="Y222" s="193"/>
    </row>
    <row r="223" spans="1:25" ht="8.25" customHeight="1" x14ac:dyDescent="0.25">
      <c r="A223" s="193"/>
      <c r="B223" s="193"/>
      <c r="C223" s="193"/>
      <c r="D223" s="193"/>
      <c r="E223" s="193"/>
      <c r="F223" s="193"/>
      <c r="G223" s="193"/>
      <c r="H223" s="193"/>
      <c r="I223" s="193"/>
      <c r="J223" s="193"/>
      <c r="K223" s="193"/>
      <c r="L223" s="193"/>
      <c r="M223" s="193"/>
      <c r="N223" s="193"/>
      <c r="O223" s="193"/>
      <c r="P223" s="193"/>
      <c r="Q223" s="193"/>
      <c r="R223" s="193"/>
      <c r="S223" s="193"/>
      <c r="T223" s="193"/>
      <c r="U223" s="193"/>
      <c r="V223" s="193"/>
      <c r="W223" s="194"/>
      <c r="X223" s="194"/>
      <c r="Y223" s="193"/>
    </row>
    <row r="224" spans="1:25" ht="8.25" customHeight="1" x14ac:dyDescent="0.25">
      <c r="A224" s="193"/>
      <c r="B224" s="193"/>
      <c r="C224" s="193"/>
      <c r="D224" s="193"/>
      <c r="E224" s="193"/>
      <c r="F224" s="193"/>
      <c r="G224" s="193"/>
      <c r="H224" s="193"/>
      <c r="I224" s="193"/>
      <c r="J224" s="193"/>
      <c r="K224" s="193"/>
      <c r="L224" s="193"/>
      <c r="M224" s="193"/>
      <c r="N224" s="193"/>
      <c r="O224" s="193"/>
      <c r="P224" s="193"/>
      <c r="Q224" s="193"/>
      <c r="R224" s="193"/>
      <c r="S224" s="193"/>
      <c r="T224" s="193"/>
      <c r="U224" s="193"/>
      <c r="V224" s="193"/>
      <c r="W224" s="194"/>
      <c r="X224" s="194"/>
      <c r="Y224" s="193"/>
    </row>
    <row r="225" spans="1:25" ht="8.25" customHeight="1" x14ac:dyDescent="0.25">
      <c r="A225" s="193"/>
      <c r="B225" s="193"/>
      <c r="C225" s="193"/>
      <c r="D225" s="193"/>
      <c r="E225" s="193"/>
      <c r="F225" s="193"/>
      <c r="G225" s="193"/>
      <c r="H225" s="193"/>
      <c r="I225" s="193"/>
      <c r="J225" s="193"/>
      <c r="K225" s="193"/>
      <c r="L225" s="193"/>
      <c r="M225" s="193"/>
      <c r="N225" s="193"/>
      <c r="O225" s="193"/>
      <c r="P225" s="193"/>
      <c r="Q225" s="193"/>
      <c r="R225" s="193"/>
      <c r="S225" s="193"/>
      <c r="T225" s="193"/>
      <c r="U225" s="193"/>
      <c r="V225" s="193"/>
      <c r="W225" s="194"/>
      <c r="X225" s="194"/>
      <c r="Y225" s="193"/>
    </row>
    <row r="226" spans="1:25" ht="8.25" customHeight="1" x14ac:dyDescent="0.25">
      <c r="A226" s="193"/>
      <c r="B226" s="193"/>
      <c r="C226" s="193"/>
      <c r="D226" s="193"/>
      <c r="E226" s="193"/>
      <c r="F226" s="193"/>
      <c r="G226" s="193"/>
      <c r="H226" s="193"/>
      <c r="I226" s="193"/>
      <c r="J226" s="193"/>
      <c r="K226" s="193"/>
      <c r="L226" s="193"/>
      <c r="M226" s="193"/>
      <c r="N226" s="193"/>
      <c r="O226" s="193"/>
      <c r="P226" s="193"/>
      <c r="Q226" s="193"/>
      <c r="R226" s="193"/>
      <c r="S226" s="193"/>
      <c r="T226" s="193"/>
      <c r="U226" s="193"/>
      <c r="V226" s="193"/>
      <c r="W226" s="194"/>
      <c r="X226" s="194"/>
      <c r="Y226" s="193"/>
    </row>
    <row r="227" spans="1:25" ht="8.25" customHeight="1" x14ac:dyDescent="0.25">
      <c r="A227" s="193"/>
      <c r="B227" s="193"/>
      <c r="C227" s="193"/>
      <c r="D227" s="193"/>
      <c r="E227" s="193"/>
      <c r="F227" s="193"/>
      <c r="G227" s="193"/>
      <c r="H227" s="193"/>
      <c r="I227" s="193"/>
      <c r="J227" s="193"/>
      <c r="K227" s="193"/>
      <c r="L227" s="193"/>
      <c r="M227" s="193"/>
      <c r="N227" s="193"/>
      <c r="O227" s="193"/>
      <c r="P227" s="193"/>
      <c r="Q227" s="193"/>
      <c r="R227" s="193"/>
      <c r="S227" s="193"/>
      <c r="T227" s="193"/>
      <c r="U227" s="193"/>
      <c r="V227" s="193"/>
      <c r="W227" s="194"/>
      <c r="X227" s="194"/>
      <c r="Y227" s="193"/>
    </row>
    <row r="228" spans="1:25" ht="8.25" customHeight="1" x14ac:dyDescent="0.25">
      <c r="A228" s="193"/>
      <c r="B228" s="193"/>
      <c r="C228" s="193"/>
      <c r="D228" s="193"/>
      <c r="E228" s="193"/>
      <c r="F228" s="193"/>
      <c r="G228" s="193"/>
      <c r="H228" s="193"/>
      <c r="I228" s="193"/>
      <c r="J228" s="193"/>
      <c r="K228" s="193"/>
      <c r="L228" s="193"/>
      <c r="M228" s="193"/>
      <c r="N228" s="193"/>
      <c r="O228" s="193"/>
      <c r="P228" s="193"/>
      <c r="Q228" s="193"/>
      <c r="R228" s="193"/>
      <c r="S228" s="193"/>
      <c r="T228" s="193"/>
      <c r="U228" s="193"/>
      <c r="V228" s="193"/>
      <c r="W228" s="194"/>
      <c r="X228" s="194"/>
      <c r="Y228" s="193"/>
    </row>
    <row r="229" spans="1:25" ht="8.25" customHeight="1" x14ac:dyDescent="0.25">
      <c r="A229" s="193"/>
      <c r="B229" s="193"/>
      <c r="C229" s="193"/>
      <c r="D229" s="193"/>
      <c r="E229" s="193"/>
      <c r="F229" s="193"/>
      <c r="G229" s="193"/>
      <c r="H229" s="193"/>
      <c r="I229" s="193"/>
      <c r="J229" s="193"/>
      <c r="K229" s="193"/>
      <c r="L229" s="193"/>
      <c r="M229" s="193"/>
      <c r="N229" s="193"/>
      <c r="O229" s="193"/>
      <c r="P229" s="193"/>
      <c r="Q229" s="193"/>
      <c r="R229" s="193"/>
      <c r="S229" s="193"/>
      <c r="T229" s="193"/>
      <c r="U229" s="193"/>
      <c r="V229" s="193"/>
      <c r="W229" s="194"/>
      <c r="X229" s="194"/>
      <c r="Y229" s="193"/>
    </row>
    <row r="230" spans="1:25" ht="8.25" customHeight="1" x14ac:dyDescent="0.25">
      <c r="A230" s="193"/>
      <c r="B230" s="193"/>
      <c r="C230" s="193"/>
      <c r="D230" s="193"/>
      <c r="E230" s="193"/>
      <c r="F230" s="193"/>
      <c r="G230" s="193"/>
      <c r="H230" s="193"/>
      <c r="I230" s="193"/>
      <c r="J230" s="193"/>
      <c r="K230" s="193"/>
      <c r="L230" s="193"/>
      <c r="M230" s="193"/>
      <c r="N230" s="193"/>
      <c r="O230" s="193"/>
      <c r="P230" s="193"/>
      <c r="Q230" s="193"/>
      <c r="R230" s="193"/>
      <c r="S230" s="193"/>
      <c r="T230" s="193"/>
      <c r="U230" s="193"/>
      <c r="V230" s="193"/>
      <c r="W230" s="194"/>
      <c r="X230" s="194"/>
      <c r="Y230" s="193"/>
    </row>
    <row r="231" spans="1:25" ht="8.25" customHeight="1" x14ac:dyDescent="0.25">
      <c r="A231" s="193"/>
      <c r="B231" s="193"/>
      <c r="C231" s="193"/>
      <c r="D231" s="193"/>
      <c r="E231" s="193"/>
      <c r="F231" s="193"/>
      <c r="G231" s="193"/>
      <c r="H231" s="193"/>
      <c r="I231" s="193"/>
      <c r="J231" s="193"/>
      <c r="K231" s="193"/>
      <c r="L231" s="193"/>
      <c r="M231" s="193"/>
      <c r="N231" s="193"/>
      <c r="O231" s="193"/>
      <c r="P231" s="193"/>
      <c r="Q231" s="193"/>
      <c r="R231" s="193"/>
      <c r="S231" s="193"/>
      <c r="T231" s="193"/>
      <c r="U231" s="193"/>
      <c r="V231" s="193"/>
      <c r="W231" s="194"/>
      <c r="X231" s="194"/>
      <c r="Y231" s="193"/>
    </row>
    <row r="232" spans="1:25" ht="8.25" customHeight="1" x14ac:dyDescent="0.25">
      <c r="A232" s="193"/>
      <c r="B232" s="193"/>
      <c r="C232" s="193"/>
      <c r="D232" s="193"/>
      <c r="E232" s="193"/>
      <c r="F232" s="193"/>
      <c r="G232" s="193"/>
      <c r="H232" s="193"/>
      <c r="I232" s="193"/>
      <c r="J232" s="193"/>
      <c r="K232" s="193"/>
      <c r="L232" s="193"/>
      <c r="M232" s="193"/>
      <c r="N232" s="193"/>
      <c r="O232" s="193"/>
      <c r="P232" s="193"/>
      <c r="Q232" s="193"/>
      <c r="R232" s="193"/>
      <c r="S232" s="193"/>
      <c r="T232" s="193"/>
      <c r="U232" s="193"/>
      <c r="V232" s="193"/>
      <c r="W232" s="194"/>
      <c r="X232" s="194"/>
      <c r="Y232" s="193"/>
    </row>
    <row r="233" spans="1:25" ht="8.25" customHeight="1" x14ac:dyDescent="0.25">
      <c r="A233" s="193"/>
      <c r="B233" s="193"/>
      <c r="C233" s="193"/>
      <c r="D233" s="193"/>
      <c r="E233" s="193"/>
      <c r="F233" s="193"/>
      <c r="G233" s="193"/>
      <c r="H233" s="193"/>
      <c r="I233" s="193"/>
      <c r="J233" s="193"/>
      <c r="K233" s="193"/>
      <c r="L233" s="193"/>
      <c r="M233" s="193"/>
      <c r="N233" s="193"/>
      <c r="O233" s="193"/>
      <c r="P233" s="193"/>
      <c r="Q233" s="193"/>
      <c r="R233" s="193"/>
      <c r="S233" s="193"/>
      <c r="T233" s="193"/>
      <c r="U233" s="193"/>
      <c r="V233" s="193"/>
      <c r="W233" s="194"/>
      <c r="X233" s="194"/>
      <c r="Y233" s="193"/>
    </row>
    <row r="234" spans="1:25" ht="8.25" customHeight="1" x14ac:dyDescent="0.25">
      <c r="A234" s="193"/>
      <c r="B234" s="193"/>
      <c r="C234" s="193"/>
      <c r="D234" s="193"/>
      <c r="E234" s="193"/>
      <c r="F234" s="193"/>
      <c r="G234" s="193"/>
      <c r="H234" s="193"/>
      <c r="I234" s="193"/>
      <c r="J234" s="193"/>
      <c r="K234" s="193"/>
      <c r="L234" s="193"/>
      <c r="M234" s="193"/>
      <c r="N234" s="193"/>
      <c r="O234" s="193"/>
      <c r="P234" s="193"/>
      <c r="Q234" s="193"/>
      <c r="R234" s="193"/>
      <c r="S234" s="193"/>
      <c r="T234" s="193"/>
      <c r="U234" s="193"/>
      <c r="V234" s="193"/>
      <c r="W234" s="194"/>
      <c r="X234" s="194"/>
      <c r="Y234" s="193"/>
    </row>
    <row r="235" spans="1:25" ht="8.25" customHeight="1" x14ac:dyDescent="0.25">
      <c r="A235" s="193"/>
      <c r="B235" s="193"/>
      <c r="C235" s="193"/>
      <c r="D235" s="193"/>
      <c r="E235" s="193"/>
      <c r="F235" s="193"/>
      <c r="G235" s="193"/>
      <c r="H235" s="193"/>
      <c r="I235" s="193"/>
      <c r="J235" s="193"/>
      <c r="K235" s="193"/>
      <c r="L235" s="193"/>
      <c r="M235" s="193"/>
      <c r="N235" s="193"/>
      <c r="O235" s="193"/>
      <c r="P235" s="193"/>
      <c r="Q235" s="193"/>
      <c r="R235" s="193"/>
      <c r="S235" s="193"/>
      <c r="T235" s="193"/>
      <c r="U235" s="193"/>
      <c r="V235" s="193"/>
      <c r="W235" s="194"/>
      <c r="X235" s="194"/>
      <c r="Y235" s="193"/>
    </row>
    <row r="236" spans="1:25" ht="8.25" customHeight="1" x14ac:dyDescent="0.25">
      <c r="A236" s="193"/>
      <c r="B236" s="193"/>
      <c r="C236" s="193"/>
      <c r="D236" s="193"/>
      <c r="E236" s="193"/>
      <c r="F236" s="193"/>
      <c r="G236" s="193"/>
      <c r="H236" s="193"/>
      <c r="I236" s="193"/>
      <c r="J236" s="193"/>
      <c r="K236" s="193"/>
      <c r="L236" s="193"/>
      <c r="M236" s="193"/>
      <c r="N236" s="193"/>
      <c r="O236" s="193"/>
      <c r="P236" s="193"/>
      <c r="Q236" s="193"/>
      <c r="R236" s="193"/>
      <c r="S236" s="193"/>
      <c r="T236" s="193"/>
      <c r="U236" s="193"/>
      <c r="V236" s="193"/>
      <c r="W236" s="194"/>
      <c r="X236" s="194"/>
      <c r="Y236" s="193"/>
    </row>
    <row r="237" spans="1:25" ht="8.25" customHeight="1" x14ac:dyDescent="0.25">
      <c r="A237" s="193"/>
      <c r="B237" s="193"/>
      <c r="C237" s="193"/>
      <c r="D237" s="193"/>
      <c r="E237" s="193"/>
      <c r="F237" s="193"/>
      <c r="G237" s="193"/>
      <c r="H237" s="193"/>
      <c r="I237" s="193"/>
      <c r="J237" s="193"/>
      <c r="K237" s="193"/>
      <c r="L237" s="193"/>
      <c r="M237" s="193"/>
      <c r="N237" s="193"/>
      <c r="O237" s="193"/>
      <c r="P237" s="193"/>
      <c r="Q237" s="193"/>
      <c r="R237" s="193"/>
      <c r="S237" s="193"/>
      <c r="T237" s="193"/>
      <c r="U237" s="193"/>
      <c r="V237" s="193"/>
      <c r="W237" s="194"/>
      <c r="X237" s="194"/>
      <c r="Y237" s="193"/>
    </row>
    <row r="238" spans="1:25" ht="8.25" customHeight="1" x14ac:dyDescent="0.25">
      <c r="A238" s="193"/>
      <c r="B238" s="193"/>
      <c r="C238" s="193"/>
      <c r="D238" s="193"/>
      <c r="E238" s="193"/>
      <c r="F238" s="193"/>
      <c r="G238" s="193"/>
      <c r="H238" s="193"/>
      <c r="I238" s="193"/>
      <c r="J238" s="193"/>
      <c r="K238" s="193"/>
      <c r="L238" s="193"/>
      <c r="M238" s="193"/>
      <c r="N238" s="193"/>
      <c r="O238" s="193"/>
      <c r="P238" s="193"/>
      <c r="Q238" s="193"/>
      <c r="R238" s="193"/>
      <c r="S238" s="193"/>
      <c r="T238" s="193"/>
      <c r="U238" s="193"/>
      <c r="V238" s="193"/>
      <c r="W238" s="194"/>
      <c r="X238" s="194"/>
      <c r="Y238" s="193"/>
    </row>
    <row r="239" spans="1:25" ht="8.25" customHeight="1" x14ac:dyDescent="0.25">
      <c r="A239" s="193"/>
      <c r="B239" s="193"/>
      <c r="C239" s="193"/>
      <c r="D239" s="193"/>
      <c r="E239" s="193"/>
      <c r="F239" s="193"/>
      <c r="G239" s="193"/>
      <c r="H239" s="193"/>
      <c r="I239" s="193"/>
      <c r="J239" s="193"/>
      <c r="K239" s="193"/>
      <c r="L239" s="193"/>
      <c r="M239" s="193"/>
      <c r="N239" s="193"/>
      <c r="O239" s="193"/>
      <c r="P239" s="193"/>
      <c r="Q239" s="193"/>
      <c r="R239" s="193"/>
      <c r="S239" s="193"/>
      <c r="T239" s="193"/>
      <c r="U239" s="193"/>
      <c r="V239" s="193"/>
      <c r="W239" s="194"/>
      <c r="X239" s="194"/>
      <c r="Y239" s="193"/>
    </row>
    <row r="240" spans="1:25" ht="8.25" customHeight="1" x14ac:dyDescent="0.25">
      <c r="A240" s="193"/>
      <c r="B240" s="193"/>
      <c r="C240" s="193"/>
      <c r="D240" s="193"/>
      <c r="E240" s="193"/>
      <c r="F240" s="193"/>
      <c r="G240" s="193"/>
      <c r="H240" s="193"/>
      <c r="I240" s="193"/>
      <c r="J240" s="193"/>
      <c r="K240" s="193"/>
      <c r="L240" s="193"/>
      <c r="M240" s="193"/>
      <c r="N240" s="193"/>
      <c r="O240" s="193"/>
      <c r="P240" s="193"/>
      <c r="Q240" s="193"/>
      <c r="R240" s="193"/>
      <c r="S240" s="193"/>
      <c r="T240" s="193"/>
      <c r="U240" s="193"/>
      <c r="V240" s="193"/>
      <c r="W240" s="194"/>
      <c r="X240" s="194"/>
      <c r="Y240" s="193"/>
    </row>
    <row r="241" spans="1:25" ht="8.25" customHeight="1" x14ac:dyDescent="0.25">
      <c r="A241" s="193"/>
      <c r="B241" s="193"/>
      <c r="C241" s="193"/>
      <c r="D241" s="193"/>
      <c r="E241" s="193"/>
      <c r="F241" s="193"/>
      <c r="G241" s="193"/>
      <c r="H241" s="193"/>
      <c r="I241" s="193"/>
      <c r="J241" s="193"/>
      <c r="K241" s="193"/>
      <c r="L241" s="193"/>
      <c r="M241" s="193"/>
      <c r="N241" s="193"/>
      <c r="O241" s="193"/>
      <c r="P241" s="193"/>
      <c r="Q241" s="193"/>
      <c r="R241" s="193"/>
      <c r="S241" s="193"/>
      <c r="T241" s="193"/>
      <c r="U241" s="193"/>
      <c r="V241" s="193"/>
      <c r="W241" s="194"/>
      <c r="X241" s="194"/>
      <c r="Y241" s="193"/>
    </row>
    <row r="242" spans="1:25" ht="8.25" customHeight="1" x14ac:dyDescent="0.25">
      <c r="A242" s="193"/>
      <c r="B242" s="193"/>
      <c r="C242" s="193"/>
      <c r="D242" s="193"/>
      <c r="E242" s="193"/>
      <c r="F242" s="193"/>
      <c r="G242" s="193"/>
      <c r="H242" s="193"/>
      <c r="I242" s="193"/>
      <c r="J242" s="193"/>
      <c r="K242" s="193"/>
      <c r="L242" s="193"/>
      <c r="M242" s="193"/>
      <c r="N242" s="193"/>
      <c r="O242" s="193"/>
      <c r="P242" s="193"/>
      <c r="Q242" s="193"/>
      <c r="R242" s="193"/>
      <c r="S242" s="193"/>
      <c r="T242" s="193"/>
      <c r="U242" s="193"/>
      <c r="V242" s="193"/>
      <c r="W242" s="194"/>
      <c r="X242" s="194"/>
      <c r="Y242" s="193"/>
    </row>
    <row r="243" spans="1:25" ht="8.25" customHeight="1" x14ac:dyDescent="0.25">
      <c r="A243" s="193"/>
      <c r="B243" s="193"/>
      <c r="C243" s="193"/>
      <c r="D243" s="193"/>
      <c r="E243" s="193"/>
      <c r="F243" s="193"/>
      <c r="G243" s="193"/>
      <c r="H243" s="193"/>
      <c r="I243" s="193"/>
      <c r="J243" s="193"/>
      <c r="K243" s="193"/>
      <c r="L243" s="193"/>
      <c r="M243" s="193"/>
      <c r="N243" s="193"/>
      <c r="O243" s="193"/>
      <c r="P243" s="193"/>
      <c r="Q243" s="193"/>
      <c r="R243" s="193"/>
      <c r="S243" s="193"/>
      <c r="T243" s="193"/>
      <c r="U243" s="193"/>
      <c r="V243" s="193"/>
      <c r="W243" s="194"/>
      <c r="X243" s="194"/>
      <c r="Y243" s="193"/>
    </row>
    <row r="244" spans="1:25" ht="8.25" customHeight="1" x14ac:dyDescent="0.25">
      <c r="A244" s="193"/>
      <c r="B244" s="193"/>
      <c r="C244" s="193"/>
      <c r="D244" s="193"/>
      <c r="E244" s="193"/>
      <c r="F244" s="193"/>
      <c r="G244" s="193"/>
      <c r="H244" s="193"/>
      <c r="I244" s="193"/>
      <c r="J244" s="193"/>
      <c r="K244" s="193"/>
      <c r="L244" s="193"/>
      <c r="M244" s="193"/>
      <c r="N244" s="193"/>
      <c r="O244" s="193"/>
      <c r="P244" s="193"/>
      <c r="Q244" s="193"/>
      <c r="R244" s="193"/>
      <c r="S244" s="193"/>
      <c r="T244" s="193"/>
      <c r="U244" s="193"/>
      <c r="V244" s="193"/>
      <c r="W244" s="194"/>
      <c r="X244" s="194"/>
      <c r="Y244" s="193"/>
    </row>
    <row r="245" spans="1:25" ht="8.25" customHeight="1" x14ac:dyDescent="0.25">
      <c r="A245" s="193"/>
      <c r="B245" s="193"/>
      <c r="C245" s="193"/>
      <c r="D245" s="193"/>
      <c r="E245" s="193"/>
      <c r="F245" s="193"/>
      <c r="G245" s="193"/>
      <c r="H245" s="193"/>
      <c r="I245" s="193"/>
      <c r="J245" s="193"/>
      <c r="K245" s="193"/>
      <c r="L245" s="193"/>
      <c r="M245" s="193"/>
      <c r="N245" s="193"/>
      <c r="O245" s="193"/>
      <c r="P245" s="193"/>
      <c r="Q245" s="193"/>
      <c r="R245" s="193"/>
      <c r="S245" s="193"/>
      <c r="T245" s="193"/>
      <c r="U245" s="193"/>
      <c r="V245" s="193"/>
      <c r="W245" s="194"/>
      <c r="X245" s="194"/>
      <c r="Y245" s="193"/>
    </row>
    <row r="246" spans="1:25" ht="8.25" customHeight="1" x14ac:dyDescent="0.25">
      <c r="A246" s="193"/>
      <c r="B246" s="193"/>
      <c r="C246" s="193"/>
      <c r="D246" s="193"/>
      <c r="E246" s="193"/>
      <c r="F246" s="193"/>
      <c r="G246" s="193"/>
      <c r="H246" s="193"/>
      <c r="I246" s="193"/>
      <c r="J246" s="193"/>
      <c r="K246" s="193"/>
      <c r="L246" s="193"/>
      <c r="M246" s="193"/>
      <c r="N246" s="193"/>
      <c r="O246" s="193"/>
      <c r="P246" s="193"/>
      <c r="Q246" s="193"/>
      <c r="R246" s="193"/>
      <c r="S246" s="193"/>
      <c r="T246" s="193"/>
      <c r="U246" s="193"/>
      <c r="V246" s="193"/>
      <c r="W246" s="194"/>
      <c r="X246" s="194"/>
      <c r="Y246" s="193"/>
    </row>
    <row r="247" spans="1:25" ht="8.25" customHeight="1" x14ac:dyDescent="0.25">
      <c r="A247" s="193"/>
      <c r="B247" s="193"/>
      <c r="C247" s="193"/>
      <c r="D247" s="193"/>
      <c r="E247" s="193"/>
      <c r="F247" s="193"/>
      <c r="G247" s="193"/>
      <c r="H247" s="193"/>
      <c r="I247" s="193"/>
      <c r="J247" s="193"/>
      <c r="K247" s="193"/>
      <c r="L247" s="193"/>
      <c r="M247" s="193"/>
      <c r="N247" s="193"/>
      <c r="O247" s="193"/>
      <c r="P247" s="193"/>
      <c r="Q247" s="193"/>
      <c r="R247" s="193"/>
      <c r="S247" s="193"/>
      <c r="T247" s="193"/>
      <c r="U247" s="193"/>
      <c r="V247" s="193"/>
      <c r="W247" s="194"/>
      <c r="X247" s="194"/>
      <c r="Y247" s="193"/>
    </row>
    <row r="248" spans="1:25" ht="8.25" customHeight="1" x14ac:dyDescent="0.25">
      <c r="A248" s="193"/>
      <c r="B248" s="193"/>
      <c r="C248" s="193"/>
      <c r="D248" s="193"/>
      <c r="E248" s="193"/>
      <c r="F248" s="193"/>
      <c r="G248" s="193"/>
      <c r="H248" s="193"/>
      <c r="I248" s="193"/>
      <c r="J248" s="193"/>
      <c r="K248" s="193"/>
      <c r="L248" s="193"/>
      <c r="M248" s="193"/>
      <c r="N248" s="193"/>
      <c r="O248" s="193"/>
      <c r="P248" s="193"/>
      <c r="Q248" s="193"/>
      <c r="R248" s="193"/>
      <c r="S248" s="193"/>
      <c r="T248" s="193"/>
      <c r="U248" s="193"/>
      <c r="V248" s="193"/>
      <c r="W248" s="194"/>
      <c r="X248" s="194"/>
      <c r="Y248" s="193"/>
    </row>
    <row r="249" spans="1:25" ht="8.25" customHeight="1" x14ac:dyDescent="0.25">
      <c r="A249" s="193"/>
      <c r="B249" s="193"/>
      <c r="C249" s="193"/>
      <c r="D249" s="193"/>
      <c r="E249" s="193"/>
      <c r="F249" s="193"/>
      <c r="G249" s="193"/>
      <c r="H249" s="193"/>
      <c r="I249" s="193"/>
      <c r="J249" s="193"/>
      <c r="K249" s="193"/>
      <c r="L249" s="193"/>
      <c r="M249" s="193"/>
      <c r="N249" s="193"/>
      <c r="O249" s="193"/>
      <c r="P249" s="193"/>
      <c r="Q249" s="193"/>
      <c r="R249" s="193"/>
      <c r="S249" s="193"/>
      <c r="T249" s="193"/>
      <c r="U249" s="193"/>
      <c r="V249" s="193"/>
      <c r="W249" s="194"/>
      <c r="X249" s="194"/>
      <c r="Y249" s="193"/>
    </row>
    <row r="250" spans="1:25" ht="8.25" customHeight="1" x14ac:dyDescent="0.25">
      <c r="A250" s="193"/>
      <c r="B250" s="193"/>
      <c r="C250" s="193"/>
      <c r="D250" s="193"/>
      <c r="E250" s="193"/>
      <c r="F250" s="193"/>
      <c r="G250" s="193"/>
      <c r="H250" s="193"/>
      <c r="I250" s="193"/>
      <c r="J250" s="193"/>
      <c r="K250" s="193"/>
      <c r="L250" s="193"/>
      <c r="M250" s="193"/>
      <c r="N250" s="193"/>
      <c r="O250" s="193"/>
      <c r="P250" s="193"/>
      <c r="Q250" s="193"/>
      <c r="R250" s="193"/>
      <c r="S250" s="193"/>
      <c r="T250" s="193"/>
      <c r="U250" s="193"/>
      <c r="V250" s="193"/>
      <c r="W250" s="194"/>
      <c r="X250" s="194"/>
      <c r="Y250" s="193"/>
    </row>
    <row r="251" spans="1:25" ht="8.25" customHeight="1" x14ac:dyDescent="0.25">
      <c r="A251" s="193"/>
      <c r="B251" s="193"/>
      <c r="C251" s="193"/>
      <c r="D251" s="193"/>
      <c r="E251" s="193"/>
      <c r="F251" s="193"/>
      <c r="G251" s="193"/>
      <c r="H251" s="193"/>
      <c r="I251" s="193"/>
      <c r="J251" s="193"/>
      <c r="K251" s="193"/>
      <c r="L251" s="193"/>
      <c r="M251" s="193"/>
      <c r="N251" s="193"/>
      <c r="O251" s="193"/>
      <c r="P251" s="193"/>
      <c r="Q251" s="193"/>
      <c r="R251" s="193"/>
      <c r="S251" s="193"/>
      <c r="T251" s="193"/>
      <c r="U251" s="193"/>
      <c r="V251" s="193"/>
      <c r="W251" s="194"/>
      <c r="X251" s="194"/>
      <c r="Y251" s="193"/>
    </row>
    <row r="252" spans="1:25" ht="8.25" customHeight="1" x14ac:dyDescent="0.25">
      <c r="A252" s="193"/>
      <c r="B252" s="193"/>
      <c r="C252" s="193"/>
      <c r="D252" s="193"/>
      <c r="E252" s="193"/>
      <c r="F252" s="193"/>
      <c r="G252" s="193"/>
      <c r="H252" s="193"/>
      <c r="I252" s="193"/>
      <c r="J252" s="193"/>
      <c r="K252" s="193"/>
      <c r="L252" s="193"/>
      <c r="M252" s="193"/>
      <c r="N252" s="193"/>
      <c r="O252" s="193"/>
      <c r="P252" s="193"/>
      <c r="Q252" s="193"/>
      <c r="R252" s="193"/>
      <c r="S252" s="193"/>
      <c r="T252" s="193"/>
      <c r="U252" s="193"/>
      <c r="V252" s="193"/>
      <c r="W252" s="194"/>
      <c r="X252" s="194"/>
      <c r="Y252" s="193"/>
    </row>
    <row r="253" spans="1:25" ht="8.25" customHeight="1" x14ac:dyDescent="0.25">
      <c r="A253" s="193"/>
      <c r="B253" s="193"/>
      <c r="C253" s="193"/>
      <c r="D253" s="193"/>
      <c r="E253" s="193"/>
      <c r="F253" s="193"/>
      <c r="G253" s="193"/>
      <c r="H253" s="193"/>
      <c r="I253" s="193"/>
      <c r="J253" s="193"/>
      <c r="K253" s="193"/>
      <c r="L253" s="193"/>
      <c r="M253" s="193"/>
      <c r="N253" s="193"/>
      <c r="O253" s="193"/>
      <c r="P253" s="193"/>
      <c r="Q253" s="193"/>
      <c r="R253" s="193"/>
      <c r="S253" s="193"/>
      <c r="T253" s="193"/>
      <c r="U253" s="193"/>
      <c r="V253" s="193"/>
      <c r="W253" s="194"/>
      <c r="X253" s="194"/>
      <c r="Y253" s="193"/>
    </row>
    <row r="254" spans="1:25" ht="8.25" customHeight="1" x14ac:dyDescent="0.25">
      <c r="A254" s="193"/>
      <c r="B254" s="193"/>
      <c r="C254" s="193"/>
      <c r="D254" s="193"/>
      <c r="E254" s="193"/>
      <c r="F254" s="193"/>
      <c r="G254" s="193"/>
      <c r="H254" s="193"/>
      <c r="I254" s="193"/>
      <c r="J254" s="193"/>
      <c r="K254" s="193"/>
      <c r="L254" s="193"/>
      <c r="M254" s="193"/>
      <c r="N254" s="193"/>
      <c r="O254" s="193"/>
      <c r="P254" s="193"/>
      <c r="Q254" s="193"/>
      <c r="R254" s="193"/>
      <c r="S254" s="193"/>
      <c r="T254" s="193"/>
      <c r="U254" s="193"/>
      <c r="V254" s="193"/>
      <c r="W254" s="194"/>
      <c r="X254" s="194"/>
      <c r="Y254" s="193"/>
    </row>
    <row r="255" spans="1:25" ht="8.25" customHeight="1" x14ac:dyDescent="0.25">
      <c r="A255" s="193"/>
      <c r="B255" s="193"/>
      <c r="C255" s="193"/>
      <c r="D255" s="193"/>
      <c r="E255" s="193"/>
      <c r="F255" s="193"/>
      <c r="G255" s="193"/>
      <c r="H255" s="193"/>
      <c r="I255" s="193"/>
      <c r="J255" s="193"/>
      <c r="K255" s="193"/>
      <c r="L255" s="193"/>
      <c r="M255" s="193"/>
      <c r="N255" s="193"/>
      <c r="O255" s="193"/>
      <c r="P255" s="193"/>
      <c r="Q255" s="193"/>
      <c r="R255" s="193"/>
      <c r="S255" s="193"/>
      <c r="T255" s="193"/>
      <c r="U255" s="193"/>
      <c r="V255" s="193"/>
      <c r="W255" s="194"/>
      <c r="X255" s="194"/>
      <c r="Y255" s="193"/>
    </row>
    <row r="256" spans="1:25" ht="8.25" customHeight="1" x14ac:dyDescent="0.25">
      <c r="A256" s="193"/>
      <c r="B256" s="193"/>
      <c r="C256" s="193"/>
      <c r="D256" s="193"/>
      <c r="E256" s="193"/>
      <c r="F256" s="193"/>
      <c r="G256" s="193"/>
      <c r="H256" s="193"/>
      <c r="I256" s="193"/>
      <c r="J256" s="193"/>
      <c r="K256" s="193"/>
      <c r="L256" s="193"/>
      <c r="M256" s="193"/>
      <c r="N256" s="193"/>
      <c r="O256" s="193"/>
      <c r="P256" s="193"/>
      <c r="Q256" s="193"/>
      <c r="R256" s="193"/>
      <c r="S256" s="193"/>
      <c r="T256" s="193"/>
      <c r="U256" s="193"/>
      <c r="V256" s="193"/>
      <c r="W256" s="194"/>
      <c r="X256" s="194"/>
      <c r="Y256" s="193"/>
    </row>
    <row r="257" spans="1:25" ht="8.25" customHeight="1" x14ac:dyDescent="0.25">
      <c r="A257" s="193"/>
      <c r="B257" s="193"/>
      <c r="C257" s="193"/>
      <c r="D257" s="193"/>
      <c r="E257" s="193"/>
      <c r="F257" s="193"/>
      <c r="G257" s="193"/>
      <c r="H257" s="193"/>
      <c r="I257" s="193"/>
      <c r="J257" s="193"/>
      <c r="K257" s="193"/>
      <c r="L257" s="193"/>
      <c r="M257" s="193"/>
      <c r="N257" s="193"/>
      <c r="O257" s="193"/>
      <c r="P257" s="193"/>
      <c r="Q257" s="193"/>
      <c r="R257" s="193"/>
      <c r="S257" s="193"/>
      <c r="T257" s="193"/>
      <c r="U257" s="193"/>
      <c r="V257" s="193"/>
      <c r="W257" s="194"/>
      <c r="X257" s="194"/>
      <c r="Y257" s="193"/>
    </row>
    <row r="258" spans="1:25" ht="8.25" customHeight="1" x14ac:dyDescent="0.25">
      <c r="A258" s="193"/>
      <c r="B258" s="193"/>
      <c r="C258" s="193"/>
      <c r="D258" s="193"/>
      <c r="E258" s="193"/>
      <c r="F258" s="193"/>
      <c r="G258" s="193"/>
      <c r="H258" s="193"/>
      <c r="I258" s="193"/>
      <c r="J258" s="193"/>
      <c r="K258" s="193"/>
      <c r="L258" s="193"/>
      <c r="M258" s="193"/>
      <c r="N258" s="193"/>
      <c r="O258" s="193"/>
      <c r="P258" s="193"/>
      <c r="Q258" s="193"/>
      <c r="R258" s="193"/>
      <c r="S258" s="193"/>
      <c r="T258" s="193"/>
      <c r="U258" s="193"/>
      <c r="V258" s="193"/>
      <c r="W258" s="194"/>
      <c r="X258" s="194"/>
      <c r="Y258" s="193"/>
    </row>
    <row r="259" spans="1:25" ht="8.25" customHeight="1" x14ac:dyDescent="0.25">
      <c r="A259" s="193"/>
      <c r="B259" s="193"/>
      <c r="C259" s="193"/>
      <c r="D259" s="193"/>
      <c r="E259" s="193"/>
      <c r="F259" s="193"/>
      <c r="G259" s="193"/>
      <c r="H259" s="193"/>
      <c r="I259" s="193"/>
      <c r="J259" s="193"/>
      <c r="K259" s="193"/>
      <c r="L259" s="193"/>
      <c r="M259" s="193"/>
      <c r="N259" s="193"/>
      <c r="O259" s="193"/>
      <c r="P259" s="193"/>
      <c r="Q259" s="193"/>
      <c r="R259" s="193"/>
      <c r="S259" s="193"/>
      <c r="T259" s="193"/>
      <c r="U259" s="193"/>
      <c r="V259" s="193"/>
      <c r="W259" s="194"/>
      <c r="X259" s="194"/>
      <c r="Y259" s="193"/>
    </row>
    <row r="260" spans="1:25" ht="8.25" customHeight="1" x14ac:dyDescent="0.25">
      <c r="A260" s="193"/>
      <c r="B260" s="193"/>
      <c r="C260" s="193"/>
      <c r="D260" s="193"/>
      <c r="E260" s="193"/>
      <c r="F260" s="193"/>
      <c r="G260" s="193"/>
      <c r="H260" s="193"/>
      <c r="I260" s="193"/>
      <c r="J260" s="193"/>
      <c r="K260" s="193"/>
      <c r="L260" s="193"/>
      <c r="M260" s="193"/>
      <c r="N260" s="193"/>
      <c r="O260" s="193"/>
      <c r="P260" s="193"/>
      <c r="Q260" s="193"/>
      <c r="R260" s="193"/>
      <c r="S260" s="193"/>
      <c r="T260" s="193"/>
      <c r="U260" s="193"/>
      <c r="V260" s="193"/>
      <c r="W260" s="194"/>
      <c r="X260" s="194"/>
      <c r="Y260" s="193"/>
    </row>
    <row r="261" spans="1:25" ht="8.25" customHeight="1" x14ac:dyDescent="0.25">
      <c r="A261" s="193"/>
      <c r="B261" s="193"/>
      <c r="C261" s="193"/>
      <c r="D261" s="193"/>
      <c r="E261" s="193"/>
      <c r="F261" s="193"/>
      <c r="G261" s="193"/>
      <c r="H261" s="193"/>
      <c r="I261" s="193"/>
      <c r="J261" s="193"/>
      <c r="K261" s="193"/>
      <c r="L261" s="193"/>
      <c r="M261" s="193"/>
      <c r="N261" s="193"/>
      <c r="O261" s="193"/>
      <c r="P261" s="193"/>
      <c r="Q261" s="193"/>
      <c r="R261" s="193"/>
      <c r="S261" s="193"/>
      <c r="T261" s="193"/>
      <c r="U261" s="193"/>
      <c r="V261" s="193"/>
      <c r="W261" s="194"/>
      <c r="X261" s="194"/>
      <c r="Y261" s="193"/>
    </row>
    <row r="262" spans="1:25" ht="8.25" customHeight="1" x14ac:dyDescent="0.25">
      <c r="A262" s="193"/>
      <c r="B262" s="193"/>
      <c r="C262" s="193"/>
      <c r="D262" s="193"/>
      <c r="E262" s="193"/>
      <c r="F262" s="193"/>
      <c r="G262" s="193"/>
      <c r="H262" s="193"/>
      <c r="I262" s="193"/>
      <c r="J262" s="193"/>
      <c r="K262" s="193"/>
      <c r="L262" s="193"/>
      <c r="M262" s="193"/>
      <c r="N262" s="193"/>
      <c r="O262" s="193"/>
      <c r="P262" s="193"/>
      <c r="Q262" s="193"/>
      <c r="R262" s="193"/>
      <c r="S262" s="193"/>
      <c r="T262" s="193"/>
      <c r="U262" s="193"/>
      <c r="V262" s="193"/>
      <c r="W262" s="194"/>
      <c r="X262" s="194"/>
      <c r="Y262" s="193"/>
    </row>
    <row r="263" spans="1:25" ht="8.25" customHeight="1" x14ac:dyDescent="0.25">
      <c r="A263" s="193"/>
      <c r="B263" s="193"/>
      <c r="C263" s="193"/>
      <c r="D263" s="193"/>
      <c r="E263" s="193"/>
      <c r="F263" s="193"/>
      <c r="G263" s="193"/>
      <c r="H263" s="193"/>
      <c r="I263" s="193"/>
      <c r="J263" s="193"/>
      <c r="K263" s="193"/>
      <c r="L263" s="193"/>
      <c r="M263" s="193"/>
      <c r="N263" s="193"/>
      <c r="O263" s="193"/>
      <c r="P263" s="193"/>
      <c r="Q263" s="193"/>
      <c r="R263" s="193"/>
      <c r="S263" s="193"/>
      <c r="T263" s="193"/>
      <c r="U263" s="193"/>
      <c r="V263" s="193"/>
      <c r="W263" s="194"/>
      <c r="X263" s="194"/>
      <c r="Y263" s="193"/>
    </row>
    <row r="264" spans="1:25" ht="8.25" customHeight="1" x14ac:dyDescent="0.25">
      <c r="A264" s="193"/>
      <c r="B264" s="193"/>
      <c r="C264" s="193"/>
      <c r="D264" s="193"/>
      <c r="E264" s="193"/>
      <c r="F264" s="193"/>
      <c r="G264" s="193"/>
      <c r="H264" s="193"/>
      <c r="I264" s="193"/>
      <c r="J264" s="193"/>
      <c r="K264" s="193"/>
      <c r="L264" s="193"/>
      <c r="M264" s="193"/>
      <c r="N264" s="193"/>
      <c r="O264" s="193"/>
      <c r="P264" s="193"/>
      <c r="Q264" s="193"/>
      <c r="R264" s="193"/>
      <c r="S264" s="193"/>
      <c r="T264" s="193"/>
      <c r="U264" s="193"/>
      <c r="V264" s="193"/>
      <c r="W264" s="194"/>
      <c r="X264" s="194"/>
      <c r="Y264" s="193"/>
    </row>
    <row r="265" spans="1:25" ht="8.25" customHeight="1" x14ac:dyDescent="0.25">
      <c r="A265" s="193"/>
      <c r="B265" s="193"/>
      <c r="C265" s="193"/>
      <c r="D265" s="193"/>
      <c r="E265" s="193"/>
      <c r="F265" s="193"/>
      <c r="G265" s="193"/>
      <c r="H265" s="193"/>
      <c r="I265" s="193"/>
      <c r="J265" s="193"/>
      <c r="K265" s="193"/>
      <c r="L265" s="193"/>
      <c r="M265" s="193"/>
      <c r="N265" s="193"/>
      <c r="O265" s="193"/>
      <c r="P265" s="193"/>
      <c r="Q265" s="193"/>
      <c r="R265" s="193"/>
      <c r="S265" s="193"/>
      <c r="T265" s="193"/>
      <c r="U265" s="193"/>
      <c r="V265" s="193"/>
      <c r="W265" s="194"/>
      <c r="X265" s="194"/>
      <c r="Y265" s="193"/>
    </row>
    <row r="266" spans="1:25" ht="8.25" customHeight="1" x14ac:dyDescent="0.25">
      <c r="A266" s="193"/>
      <c r="B266" s="193"/>
      <c r="C266" s="193"/>
      <c r="D266" s="193"/>
      <c r="E266" s="193"/>
      <c r="F266" s="193"/>
      <c r="G266" s="193"/>
      <c r="H266" s="193"/>
      <c r="I266" s="193"/>
      <c r="J266" s="193"/>
      <c r="K266" s="193"/>
      <c r="L266" s="193"/>
      <c r="M266" s="193"/>
      <c r="N266" s="193"/>
      <c r="O266" s="193"/>
      <c r="P266" s="193"/>
      <c r="Q266" s="193"/>
      <c r="R266" s="193"/>
      <c r="S266" s="193"/>
      <c r="T266" s="193"/>
      <c r="U266" s="193"/>
      <c r="V266" s="193"/>
      <c r="W266" s="194"/>
      <c r="X266" s="194"/>
      <c r="Y266" s="193"/>
    </row>
    <row r="267" spans="1:25" ht="8.25" customHeight="1" x14ac:dyDescent="0.25">
      <c r="A267" s="193"/>
      <c r="B267" s="193"/>
      <c r="C267" s="193"/>
      <c r="D267" s="193"/>
      <c r="E267" s="193"/>
      <c r="F267" s="193"/>
      <c r="G267" s="193"/>
      <c r="H267" s="193"/>
      <c r="I267" s="193"/>
      <c r="J267" s="193"/>
      <c r="K267" s="193"/>
      <c r="L267" s="193"/>
      <c r="M267" s="193"/>
      <c r="N267" s="193"/>
      <c r="O267" s="193"/>
      <c r="P267" s="193"/>
      <c r="Q267" s="193"/>
      <c r="R267" s="193"/>
      <c r="S267" s="193"/>
      <c r="T267" s="193"/>
      <c r="U267" s="193"/>
      <c r="V267" s="193"/>
      <c r="W267" s="194"/>
      <c r="X267" s="194"/>
      <c r="Y267" s="193"/>
    </row>
    <row r="268" spans="1:25" ht="8.25" customHeight="1" x14ac:dyDescent="0.25">
      <c r="A268" s="193"/>
      <c r="B268" s="193"/>
      <c r="C268" s="193"/>
      <c r="D268" s="193"/>
      <c r="E268" s="193"/>
      <c r="F268" s="193"/>
      <c r="G268" s="193"/>
      <c r="H268" s="193"/>
      <c r="I268" s="193"/>
      <c r="J268" s="193"/>
      <c r="K268" s="193"/>
      <c r="L268" s="193"/>
      <c r="M268" s="193"/>
      <c r="N268" s="193"/>
      <c r="O268" s="193"/>
      <c r="P268" s="193"/>
      <c r="Q268" s="193"/>
      <c r="R268" s="193"/>
      <c r="S268" s="193"/>
      <c r="T268" s="193"/>
      <c r="U268" s="193"/>
      <c r="V268" s="193"/>
      <c r="W268" s="194"/>
      <c r="X268" s="194"/>
      <c r="Y268" s="193"/>
    </row>
    <row r="269" spans="1:25" ht="8.25" customHeight="1" x14ac:dyDescent="0.25">
      <c r="A269" s="193"/>
      <c r="B269" s="193"/>
      <c r="C269" s="193"/>
      <c r="D269" s="193"/>
      <c r="E269" s="193"/>
      <c r="F269" s="193"/>
      <c r="G269" s="193"/>
      <c r="H269" s="193"/>
      <c r="I269" s="193"/>
      <c r="J269" s="193"/>
      <c r="K269" s="193"/>
      <c r="L269" s="193"/>
      <c r="M269" s="193"/>
      <c r="N269" s="193"/>
      <c r="O269" s="193"/>
      <c r="P269" s="193"/>
      <c r="Q269" s="193"/>
      <c r="R269" s="193"/>
      <c r="S269" s="193"/>
      <c r="T269" s="193"/>
      <c r="U269" s="193"/>
      <c r="V269" s="193"/>
      <c r="W269" s="194"/>
      <c r="X269" s="194"/>
      <c r="Y269" s="193"/>
    </row>
    <row r="270" spans="1:25" ht="8.25" customHeight="1" x14ac:dyDescent="0.25">
      <c r="A270" s="193"/>
      <c r="B270" s="193"/>
      <c r="C270" s="193"/>
      <c r="D270" s="193"/>
      <c r="E270" s="193"/>
      <c r="F270" s="193"/>
      <c r="G270" s="193"/>
      <c r="H270" s="193"/>
      <c r="I270" s="193"/>
      <c r="J270" s="193"/>
      <c r="K270" s="193"/>
      <c r="L270" s="193"/>
      <c r="M270" s="193"/>
      <c r="N270" s="193"/>
      <c r="O270" s="193"/>
      <c r="P270" s="193"/>
      <c r="Q270" s="193"/>
      <c r="R270" s="193"/>
      <c r="S270" s="193"/>
      <c r="T270" s="193"/>
      <c r="U270" s="193"/>
      <c r="V270" s="193"/>
      <c r="W270" s="194"/>
      <c r="X270" s="194"/>
      <c r="Y270" s="193"/>
    </row>
    <row r="271" spans="1:25" ht="8.25" customHeight="1" x14ac:dyDescent="0.25">
      <c r="A271" s="193"/>
      <c r="B271" s="193"/>
      <c r="C271" s="193"/>
      <c r="D271" s="193"/>
      <c r="E271" s="193"/>
      <c r="F271" s="193"/>
      <c r="G271" s="193"/>
      <c r="H271" s="193"/>
      <c r="I271" s="193"/>
      <c r="J271" s="193"/>
      <c r="K271" s="193"/>
      <c r="L271" s="193"/>
      <c r="M271" s="193"/>
      <c r="N271" s="193"/>
      <c r="O271" s="193"/>
      <c r="P271" s="193"/>
      <c r="Q271" s="193"/>
      <c r="R271" s="193"/>
      <c r="S271" s="193"/>
      <c r="T271" s="193"/>
      <c r="U271" s="193"/>
      <c r="V271" s="193"/>
      <c r="W271" s="194"/>
      <c r="X271" s="194"/>
      <c r="Y271" s="193"/>
    </row>
    <row r="272" spans="1:25" ht="8.25" customHeight="1" x14ac:dyDescent="0.25">
      <c r="A272" s="193"/>
      <c r="B272" s="193"/>
      <c r="C272" s="193"/>
      <c r="D272" s="193"/>
      <c r="E272" s="193"/>
      <c r="F272" s="193"/>
      <c r="G272" s="193"/>
      <c r="H272" s="193"/>
      <c r="I272" s="193"/>
      <c r="J272" s="193"/>
      <c r="K272" s="193"/>
      <c r="L272" s="193"/>
      <c r="M272" s="193"/>
      <c r="N272" s="193"/>
      <c r="O272" s="193"/>
      <c r="P272" s="193"/>
      <c r="Q272" s="193"/>
      <c r="R272" s="193"/>
      <c r="S272" s="193"/>
      <c r="T272" s="193"/>
      <c r="U272" s="193"/>
      <c r="V272" s="193"/>
      <c r="W272" s="194"/>
      <c r="X272" s="194"/>
      <c r="Y272" s="193"/>
    </row>
    <row r="273" spans="1:25" ht="8.25" customHeight="1" x14ac:dyDescent="0.25">
      <c r="A273" s="193"/>
      <c r="B273" s="193"/>
      <c r="C273" s="193"/>
      <c r="D273" s="193"/>
      <c r="E273" s="193"/>
      <c r="F273" s="193"/>
      <c r="G273" s="193"/>
      <c r="H273" s="193"/>
      <c r="I273" s="193"/>
      <c r="J273" s="193"/>
      <c r="K273" s="193"/>
      <c r="L273" s="193"/>
      <c r="M273" s="193"/>
      <c r="N273" s="193"/>
      <c r="O273" s="193"/>
      <c r="P273" s="193"/>
      <c r="Q273" s="193"/>
      <c r="R273" s="193"/>
      <c r="S273" s="193"/>
      <c r="T273" s="193"/>
      <c r="U273" s="193"/>
      <c r="V273" s="193"/>
      <c r="W273" s="194"/>
      <c r="X273" s="194"/>
      <c r="Y273" s="193"/>
    </row>
    <row r="274" spans="1:25" ht="8.25" customHeight="1" x14ac:dyDescent="0.25">
      <c r="A274" s="193"/>
      <c r="B274" s="193"/>
      <c r="C274" s="193"/>
      <c r="D274" s="193"/>
      <c r="E274" s="193"/>
      <c r="F274" s="193"/>
      <c r="G274" s="193"/>
      <c r="H274" s="193"/>
      <c r="I274" s="193"/>
      <c r="J274" s="193"/>
      <c r="K274" s="193"/>
      <c r="L274" s="193"/>
      <c r="M274" s="193"/>
      <c r="N274" s="193"/>
      <c r="O274" s="193"/>
      <c r="P274" s="193"/>
      <c r="Q274" s="193"/>
      <c r="R274" s="193"/>
      <c r="S274" s="193"/>
      <c r="T274" s="193"/>
      <c r="U274" s="193"/>
      <c r="V274" s="193"/>
      <c r="W274" s="194"/>
      <c r="X274" s="194"/>
      <c r="Y274" s="193"/>
    </row>
    <row r="275" spans="1:25" ht="8.25" customHeight="1" x14ac:dyDescent="0.25">
      <c r="A275" s="193"/>
      <c r="B275" s="193"/>
      <c r="C275" s="193"/>
      <c r="D275" s="193"/>
      <c r="E275" s="193"/>
      <c r="F275" s="193"/>
      <c r="G275" s="193"/>
      <c r="H275" s="193"/>
      <c r="I275" s="193"/>
      <c r="J275" s="193"/>
      <c r="K275" s="193"/>
      <c r="L275" s="193"/>
      <c r="M275" s="193"/>
      <c r="N275" s="193"/>
      <c r="O275" s="193"/>
      <c r="P275" s="193"/>
      <c r="Q275" s="193"/>
      <c r="R275" s="193"/>
      <c r="S275" s="193"/>
      <c r="T275" s="193"/>
      <c r="U275" s="193"/>
      <c r="V275" s="193"/>
      <c r="W275" s="194"/>
      <c r="X275" s="194"/>
      <c r="Y275" s="193"/>
    </row>
    <row r="276" spans="1:25" ht="8.25" customHeight="1" x14ac:dyDescent="0.25">
      <c r="A276" s="193"/>
      <c r="B276" s="193"/>
      <c r="C276" s="193"/>
      <c r="D276" s="193"/>
      <c r="E276" s="193"/>
      <c r="F276" s="193"/>
      <c r="G276" s="193"/>
      <c r="H276" s="193"/>
      <c r="I276" s="193"/>
      <c r="J276" s="193"/>
      <c r="K276" s="193"/>
      <c r="L276" s="193"/>
      <c r="M276" s="193"/>
      <c r="N276" s="193"/>
      <c r="O276" s="193"/>
      <c r="P276" s="193"/>
      <c r="Q276" s="193"/>
      <c r="R276" s="193"/>
      <c r="S276" s="193"/>
      <c r="T276" s="193"/>
      <c r="U276" s="193"/>
      <c r="V276" s="193"/>
      <c r="W276" s="194"/>
      <c r="X276" s="194"/>
      <c r="Y276" s="193"/>
    </row>
    <row r="277" spans="1:25" ht="8.25" customHeight="1" x14ac:dyDescent="0.25">
      <c r="A277" s="193"/>
      <c r="B277" s="193"/>
      <c r="C277" s="193"/>
      <c r="D277" s="193"/>
      <c r="E277" s="193"/>
      <c r="F277" s="193"/>
      <c r="G277" s="193"/>
      <c r="H277" s="193"/>
      <c r="I277" s="193"/>
      <c r="J277" s="193"/>
      <c r="K277" s="193"/>
      <c r="L277" s="193"/>
      <c r="M277" s="193"/>
      <c r="N277" s="193"/>
      <c r="O277" s="193"/>
      <c r="P277" s="193"/>
      <c r="Q277" s="193"/>
      <c r="R277" s="193"/>
      <c r="S277" s="193"/>
      <c r="T277" s="193"/>
      <c r="U277" s="193"/>
      <c r="V277" s="193"/>
      <c r="W277" s="194"/>
      <c r="X277" s="194"/>
      <c r="Y277" s="193"/>
    </row>
    <row r="278" spans="1:25" ht="8.25" customHeight="1" x14ac:dyDescent="0.25">
      <c r="A278" s="193"/>
      <c r="B278" s="193"/>
      <c r="C278" s="193"/>
      <c r="D278" s="193"/>
      <c r="E278" s="193"/>
      <c r="F278" s="193"/>
      <c r="G278" s="193"/>
      <c r="H278" s="193"/>
      <c r="I278" s="193"/>
      <c r="J278" s="193"/>
      <c r="K278" s="193"/>
      <c r="L278" s="193"/>
      <c r="M278" s="193"/>
      <c r="N278" s="193"/>
      <c r="O278" s="193"/>
      <c r="P278" s="193"/>
      <c r="Q278" s="193"/>
      <c r="R278" s="193"/>
      <c r="S278" s="193"/>
      <c r="T278" s="193"/>
      <c r="U278" s="193"/>
      <c r="V278" s="193"/>
      <c r="W278" s="194"/>
      <c r="X278" s="194"/>
      <c r="Y278" s="193"/>
    </row>
    <row r="279" spans="1:25" ht="8.25" customHeight="1" x14ac:dyDescent="0.25">
      <c r="A279" s="193"/>
      <c r="B279" s="193"/>
      <c r="C279" s="193"/>
      <c r="D279" s="193"/>
      <c r="E279" s="193"/>
      <c r="F279" s="193"/>
      <c r="G279" s="193"/>
      <c r="H279" s="193"/>
      <c r="I279" s="193"/>
      <c r="J279" s="193"/>
      <c r="K279" s="193"/>
      <c r="L279" s="193"/>
      <c r="M279" s="193"/>
      <c r="N279" s="193"/>
      <c r="O279" s="193"/>
      <c r="P279" s="193"/>
      <c r="Q279" s="193"/>
      <c r="R279" s="193"/>
      <c r="S279" s="193"/>
      <c r="T279" s="193"/>
      <c r="U279" s="193"/>
      <c r="V279" s="193"/>
      <c r="W279" s="194"/>
      <c r="X279" s="194"/>
      <c r="Y279" s="193"/>
    </row>
    <row r="280" spans="1:25" ht="8.25" customHeight="1" x14ac:dyDescent="0.25">
      <c r="A280" s="193"/>
      <c r="B280" s="193"/>
      <c r="C280" s="193"/>
      <c r="D280" s="193"/>
      <c r="E280" s="193"/>
      <c r="F280" s="193"/>
      <c r="G280" s="193"/>
      <c r="H280" s="193"/>
      <c r="I280" s="193"/>
      <c r="J280" s="193"/>
      <c r="K280" s="193"/>
      <c r="L280" s="193"/>
      <c r="M280" s="193"/>
      <c r="N280" s="193"/>
      <c r="O280" s="193"/>
      <c r="P280" s="193"/>
      <c r="Q280" s="193"/>
      <c r="R280" s="193"/>
      <c r="S280" s="193"/>
      <c r="T280" s="193"/>
      <c r="U280" s="193"/>
      <c r="V280" s="193"/>
      <c r="W280" s="194"/>
      <c r="X280" s="194"/>
      <c r="Y280" s="193"/>
    </row>
    <row r="281" spans="1:25" ht="8.25" customHeight="1" x14ac:dyDescent="0.25">
      <c r="A281" s="193"/>
      <c r="B281" s="193"/>
      <c r="C281" s="193"/>
      <c r="D281" s="193"/>
      <c r="E281" s="193"/>
      <c r="F281" s="193"/>
      <c r="G281" s="193"/>
      <c r="H281" s="193"/>
      <c r="I281" s="193"/>
      <c r="J281" s="193"/>
      <c r="K281" s="193"/>
      <c r="L281" s="193"/>
      <c r="M281" s="193"/>
      <c r="N281" s="193"/>
      <c r="O281" s="193"/>
      <c r="P281" s="193"/>
      <c r="Q281" s="193"/>
      <c r="R281" s="193"/>
      <c r="S281" s="193"/>
      <c r="T281" s="193"/>
      <c r="U281" s="193"/>
      <c r="V281" s="193"/>
      <c r="W281" s="194"/>
      <c r="X281" s="194"/>
      <c r="Y281" s="193"/>
    </row>
    <row r="282" spans="1:25" ht="8.25" customHeight="1" x14ac:dyDescent="0.25">
      <c r="A282" s="193"/>
      <c r="B282" s="193"/>
      <c r="C282" s="193"/>
      <c r="D282" s="193"/>
      <c r="E282" s="193"/>
      <c r="F282" s="193"/>
      <c r="G282" s="193"/>
      <c r="H282" s="193"/>
      <c r="I282" s="193"/>
      <c r="J282" s="193"/>
      <c r="K282" s="193"/>
      <c r="L282" s="193"/>
      <c r="M282" s="193"/>
      <c r="N282" s="193"/>
      <c r="O282" s="193"/>
      <c r="P282" s="193"/>
      <c r="Q282" s="193"/>
      <c r="R282" s="193"/>
      <c r="S282" s="193"/>
      <c r="T282" s="193"/>
      <c r="U282" s="193"/>
      <c r="V282" s="193"/>
      <c r="W282" s="194"/>
      <c r="X282" s="194"/>
      <c r="Y282" s="193"/>
    </row>
    <row r="283" spans="1:25" ht="8.25" customHeight="1" x14ac:dyDescent="0.25">
      <c r="A283" s="193"/>
      <c r="B283" s="193"/>
      <c r="C283" s="193"/>
      <c r="D283" s="193"/>
      <c r="E283" s="193"/>
      <c r="F283" s="193"/>
      <c r="G283" s="193"/>
      <c r="H283" s="193"/>
      <c r="I283" s="193"/>
      <c r="J283" s="193"/>
      <c r="K283" s="193"/>
      <c r="L283" s="193"/>
      <c r="M283" s="193"/>
      <c r="N283" s="193"/>
      <c r="O283" s="193"/>
      <c r="P283" s="193"/>
      <c r="Q283" s="193"/>
      <c r="R283" s="193"/>
      <c r="S283" s="193"/>
      <c r="T283" s="193"/>
      <c r="U283" s="193"/>
      <c r="V283" s="193"/>
      <c r="W283" s="194"/>
      <c r="X283" s="194"/>
      <c r="Y283" s="193"/>
    </row>
    <row r="284" spans="1:25" ht="8.25" customHeight="1" x14ac:dyDescent="0.25">
      <c r="A284" s="193"/>
      <c r="B284" s="193"/>
      <c r="C284" s="193"/>
      <c r="D284" s="193"/>
      <c r="E284" s="193"/>
      <c r="F284" s="193"/>
      <c r="G284" s="193"/>
      <c r="H284" s="193"/>
      <c r="I284" s="193"/>
      <c r="J284" s="193"/>
      <c r="K284" s="193"/>
      <c r="L284" s="193"/>
      <c r="M284" s="193"/>
      <c r="N284" s="193"/>
      <c r="O284" s="193"/>
      <c r="P284" s="193"/>
      <c r="Q284" s="193"/>
      <c r="R284" s="193"/>
      <c r="S284" s="193"/>
      <c r="T284" s="193"/>
      <c r="U284" s="193"/>
      <c r="V284" s="193"/>
      <c r="W284" s="194"/>
      <c r="X284" s="194"/>
      <c r="Y284" s="193"/>
    </row>
    <row r="285" spans="1:25" ht="8.25" customHeight="1" x14ac:dyDescent="0.25">
      <c r="A285" s="193"/>
      <c r="B285" s="193"/>
      <c r="C285" s="193"/>
      <c r="D285" s="193"/>
      <c r="E285" s="193"/>
      <c r="F285" s="193"/>
      <c r="G285" s="193"/>
      <c r="H285" s="193"/>
      <c r="I285" s="193"/>
      <c r="J285" s="193"/>
      <c r="K285" s="193"/>
      <c r="L285" s="193"/>
      <c r="M285" s="193"/>
      <c r="N285" s="193"/>
      <c r="O285" s="193"/>
      <c r="P285" s="193"/>
      <c r="Q285" s="193"/>
      <c r="R285" s="193"/>
      <c r="S285" s="193"/>
      <c r="T285" s="193"/>
      <c r="U285" s="193"/>
      <c r="V285" s="193"/>
      <c r="W285" s="194"/>
      <c r="X285" s="194"/>
      <c r="Y285" s="193"/>
    </row>
    <row r="286" spans="1:25" ht="8.25" customHeight="1" x14ac:dyDescent="0.25">
      <c r="A286" s="193"/>
      <c r="B286" s="193"/>
      <c r="C286" s="193"/>
      <c r="D286" s="193"/>
      <c r="E286" s="193"/>
      <c r="F286" s="193"/>
      <c r="G286" s="193"/>
      <c r="H286" s="193"/>
      <c r="I286" s="193"/>
      <c r="J286" s="193"/>
      <c r="K286" s="193"/>
      <c r="L286" s="193"/>
      <c r="M286" s="193"/>
      <c r="N286" s="193"/>
      <c r="O286" s="193"/>
      <c r="P286" s="193"/>
      <c r="Q286" s="193"/>
      <c r="R286" s="193"/>
      <c r="S286" s="193"/>
      <c r="T286" s="193"/>
      <c r="U286" s="193"/>
      <c r="V286" s="193"/>
      <c r="W286" s="194"/>
      <c r="X286" s="194"/>
      <c r="Y286" s="193"/>
    </row>
    <row r="287" spans="1:25" ht="8.25" customHeight="1" x14ac:dyDescent="0.25">
      <c r="A287" s="193"/>
      <c r="B287" s="193"/>
      <c r="C287" s="193"/>
      <c r="D287" s="193"/>
      <c r="E287" s="193"/>
      <c r="F287" s="193"/>
      <c r="G287" s="193"/>
      <c r="H287" s="193"/>
      <c r="I287" s="193"/>
      <c r="J287" s="193"/>
      <c r="K287" s="193"/>
      <c r="L287" s="193"/>
      <c r="M287" s="193"/>
      <c r="N287" s="193"/>
      <c r="O287" s="193"/>
      <c r="P287" s="193"/>
      <c r="Q287" s="193"/>
      <c r="R287" s="193"/>
      <c r="S287" s="193"/>
      <c r="T287" s="193"/>
      <c r="U287" s="193"/>
      <c r="V287" s="193"/>
      <c r="W287" s="194"/>
      <c r="X287" s="194"/>
      <c r="Y287" s="193"/>
    </row>
    <row r="288" spans="1:25" ht="8.25" customHeight="1" x14ac:dyDescent="0.25">
      <c r="A288" s="193"/>
      <c r="B288" s="193"/>
      <c r="C288" s="193"/>
      <c r="D288" s="193"/>
      <c r="E288" s="193"/>
      <c r="F288" s="193"/>
      <c r="G288" s="193"/>
      <c r="H288" s="193"/>
      <c r="I288" s="193"/>
      <c r="J288" s="193"/>
      <c r="K288" s="193"/>
      <c r="L288" s="193"/>
      <c r="M288" s="193"/>
      <c r="N288" s="193"/>
      <c r="O288" s="193"/>
      <c r="P288" s="193"/>
      <c r="Q288" s="193"/>
      <c r="R288" s="193"/>
      <c r="S288" s="193"/>
      <c r="T288" s="193"/>
      <c r="U288" s="193"/>
      <c r="V288" s="193"/>
      <c r="W288" s="194"/>
      <c r="X288" s="194"/>
      <c r="Y288" s="193"/>
    </row>
    <row r="289" spans="1:25" ht="8.25" customHeight="1" x14ac:dyDescent="0.25">
      <c r="A289" s="193"/>
      <c r="B289" s="193"/>
      <c r="C289" s="193"/>
      <c r="D289" s="193"/>
      <c r="E289" s="193"/>
      <c r="F289" s="193"/>
      <c r="G289" s="193"/>
      <c r="H289" s="193"/>
      <c r="I289" s="193"/>
      <c r="J289" s="193"/>
      <c r="K289" s="193"/>
      <c r="L289" s="193"/>
      <c r="M289" s="193"/>
      <c r="N289" s="193"/>
      <c r="O289" s="193"/>
      <c r="P289" s="193"/>
      <c r="Q289" s="193"/>
      <c r="R289" s="193"/>
      <c r="S289" s="193"/>
      <c r="T289" s="193"/>
      <c r="U289" s="193"/>
      <c r="V289" s="193"/>
      <c r="W289" s="194"/>
      <c r="X289" s="194"/>
      <c r="Y289" s="193"/>
    </row>
    <row r="290" spans="1:25" ht="8.25" customHeight="1" x14ac:dyDescent="0.25">
      <c r="A290" s="193"/>
      <c r="B290" s="193"/>
      <c r="C290" s="193"/>
      <c r="D290" s="193"/>
      <c r="E290" s="193"/>
      <c r="F290" s="193"/>
      <c r="G290" s="193"/>
      <c r="H290" s="193"/>
      <c r="I290" s="193"/>
      <c r="J290" s="193"/>
      <c r="K290" s="193"/>
      <c r="L290" s="193"/>
      <c r="M290" s="193"/>
      <c r="N290" s="193"/>
      <c r="O290" s="193"/>
      <c r="P290" s="193"/>
      <c r="Q290" s="193"/>
      <c r="R290" s="193"/>
      <c r="S290" s="193"/>
      <c r="T290" s="193"/>
      <c r="U290" s="193"/>
      <c r="V290" s="193"/>
      <c r="W290" s="194"/>
      <c r="X290" s="194"/>
      <c r="Y290" s="193"/>
    </row>
    <row r="291" spans="1:25" ht="8.25" customHeight="1" x14ac:dyDescent="0.25">
      <c r="A291" s="193"/>
      <c r="B291" s="193"/>
      <c r="C291" s="193"/>
      <c r="D291" s="193"/>
      <c r="E291" s="193"/>
      <c r="F291" s="193"/>
      <c r="G291" s="193"/>
      <c r="H291" s="193"/>
      <c r="I291" s="193"/>
      <c r="J291" s="193"/>
      <c r="K291" s="193"/>
      <c r="L291" s="193"/>
      <c r="M291" s="193"/>
      <c r="N291" s="193"/>
      <c r="O291" s="193"/>
      <c r="P291" s="193"/>
      <c r="Q291" s="193"/>
      <c r="R291" s="193"/>
      <c r="S291" s="193"/>
      <c r="T291" s="193"/>
      <c r="U291" s="193"/>
      <c r="V291" s="193"/>
      <c r="W291" s="194"/>
      <c r="X291" s="194"/>
      <c r="Y291" s="193"/>
    </row>
    <row r="292" spans="1:25" ht="8.25" customHeight="1" x14ac:dyDescent="0.25">
      <c r="A292" s="193"/>
      <c r="B292" s="193"/>
      <c r="C292" s="193"/>
      <c r="D292" s="193"/>
      <c r="E292" s="193"/>
      <c r="F292" s="193"/>
      <c r="G292" s="193"/>
      <c r="H292" s="193"/>
      <c r="I292" s="193"/>
      <c r="J292" s="193"/>
      <c r="K292" s="193"/>
      <c r="L292" s="193"/>
      <c r="M292" s="193"/>
      <c r="N292" s="193"/>
      <c r="O292" s="193"/>
      <c r="P292" s="193"/>
      <c r="Q292" s="193"/>
      <c r="R292" s="193"/>
      <c r="S292" s="193"/>
      <c r="T292" s="193"/>
      <c r="U292" s="193"/>
      <c r="V292" s="193"/>
      <c r="W292" s="194"/>
      <c r="X292" s="194"/>
      <c r="Y292" s="193"/>
    </row>
    <row r="293" spans="1:25" ht="8.25" customHeight="1" x14ac:dyDescent="0.25">
      <c r="A293" s="193"/>
      <c r="B293" s="193"/>
      <c r="C293" s="193"/>
      <c r="D293" s="193"/>
      <c r="E293" s="193"/>
      <c r="F293" s="193"/>
      <c r="G293" s="193"/>
      <c r="H293" s="193"/>
      <c r="I293" s="193"/>
      <c r="J293" s="193"/>
      <c r="K293" s="193"/>
      <c r="L293" s="193"/>
      <c r="M293" s="193"/>
      <c r="N293" s="193"/>
      <c r="O293" s="193"/>
      <c r="P293" s="193"/>
      <c r="Q293" s="193"/>
      <c r="R293" s="193"/>
      <c r="S293" s="193"/>
      <c r="T293" s="193"/>
      <c r="U293" s="193"/>
      <c r="V293" s="193"/>
      <c r="W293" s="194"/>
      <c r="X293" s="194"/>
      <c r="Y293" s="193"/>
    </row>
    <row r="294" spans="1:25" ht="8.25" customHeight="1" x14ac:dyDescent="0.25">
      <c r="A294" s="193"/>
      <c r="B294" s="193"/>
      <c r="C294" s="193"/>
      <c r="D294" s="193"/>
      <c r="E294" s="193"/>
      <c r="F294" s="193"/>
      <c r="G294" s="193"/>
      <c r="H294" s="193"/>
      <c r="I294" s="193"/>
      <c r="J294" s="193"/>
      <c r="K294" s="193"/>
      <c r="L294" s="193"/>
      <c r="M294" s="193"/>
      <c r="N294" s="193"/>
      <c r="O294" s="193"/>
      <c r="P294" s="193"/>
      <c r="Q294" s="193"/>
      <c r="R294" s="193"/>
      <c r="S294" s="193"/>
      <c r="T294" s="193"/>
      <c r="U294" s="193"/>
      <c r="V294" s="193"/>
      <c r="W294" s="194"/>
      <c r="X294" s="194"/>
      <c r="Y294" s="193"/>
    </row>
    <row r="295" spans="1:25" ht="8.25" customHeight="1" x14ac:dyDescent="0.25">
      <c r="A295" s="193"/>
      <c r="B295" s="193"/>
      <c r="C295" s="193"/>
      <c r="D295" s="193"/>
      <c r="E295" s="193"/>
      <c r="F295" s="193"/>
      <c r="G295" s="193"/>
      <c r="H295" s="193"/>
      <c r="I295" s="193"/>
      <c r="J295" s="193"/>
      <c r="K295" s="193"/>
      <c r="L295" s="193"/>
      <c r="M295" s="193"/>
      <c r="N295" s="193"/>
      <c r="O295" s="193"/>
      <c r="P295" s="193"/>
      <c r="Q295" s="193"/>
      <c r="R295" s="193"/>
      <c r="S295" s="193"/>
      <c r="T295" s="193"/>
      <c r="U295" s="193"/>
      <c r="V295" s="193"/>
      <c r="W295" s="194"/>
      <c r="X295" s="194"/>
      <c r="Y295" s="193"/>
    </row>
    <row r="296" spans="1:25" ht="8.25" customHeight="1" x14ac:dyDescent="0.25">
      <c r="A296" s="193"/>
      <c r="B296" s="193"/>
      <c r="C296" s="193"/>
      <c r="D296" s="193"/>
      <c r="E296" s="193"/>
      <c r="F296" s="193"/>
      <c r="G296" s="193"/>
      <c r="H296" s="193"/>
      <c r="I296" s="193"/>
      <c r="J296" s="193"/>
      <c r="K296" s="193"/>
      <c r="L296" s="193"/>
      <c r="M296" s="193"/>
      <c r="N296" s="193"/>
      <c r="O296" s="193"/>
      <c r="P296" s="193"/>
      <c r="Q296" s="193"/>
      <c r="R296" s="193"/>
      <c r="S296" s="193"/>
      <c r="T296" s="193"/>
      <c r="U296" s="193"/>
      <c r="V296" s="193"/>
      <c r="W296" s="194"/>
      <c r="X296" s="194"/>
      <c r="Y296" s="193"/>
    </row>
    <row r="297" spans="1:25" ht="8.25" customHeight="1" x14ac:dyDescent="0.25">
      <c r="A297" s="193"/>
      <c r="B297" s="193"/>
      <c r="C297" s="193"/>
      <c r="D297" s="193"/>
      <c r="E297" s="193"/>
      <c r="F297" s="193"/>
      <c r="G297" s="193"/>
      <c r="H297" s="193"/>
      <c r="I297" s="193"/>
      <c r="J297" s="193"/>
      <c r="K297" s="193"/>
      <c r="L297" s="193"/>
      <c r="M297" s="193"/>
      <c r="N297" s="193"/>
      <c r="O297" s="193"/>
      <c r="P297" s="193"/>
      <c r="Q297" s="193"/>
      <c r="R297" s="193"/>
      <c r="S297" s="193"/>
      <c r="T297" s="193"/>
      <c r="U297" s="193"/>
      <c r="V297" s="193"/>
      <c r="W297" s="194"/>
      <c r="X297" s="194"/>
      <c r="Y297" s="193"/>
    </row>
    <row r="298" spans="1:25" ht="8.25" customHeight="1" x14ac:dyDescent="0.25">
      <c r="A298" s="193"/>
      <c r="B298" s="193"/>
      <c r="C298" s="193"/>
      <c r="D298" s="193"/>
      <c r="E298" s="193"/>
      <c r="F298" s="193"/>
      <c r="G298" s="193"/>
      <c r="H298" s="193"/>
      <c r="I298" s="193"/>
      <c r="J298" s="193"/>
      <c r="K298" s="193"/>
      <c r="L298" s="193"/>
      <c r="M298" s="193"/>
      <c r="N298" s="193"/>
      <c r="O298" s="193"/>
      <c r="P298" s="193"/>
      <c r="Q298" s="193"/>
      <c r="R298" s="193"/>
      <c r="S298" s="193"/>
      <c r="T298" s="193"/>
      <c r="U298" s="193"/>
      <c r="V298" s="193"/>
      <c r="W298" s="194"/>
      <c r="X298" s="194"/>
      <c r="Y298" s="193"/>
    </row>
    <row r="299" spans="1:25" ht="8.25" customHeight="1" x14ac:dyDescent="0.25">
      <c r="A299" s="193"/>
      <c r="B299" s="193"/>
      <c r="C299" s="193"/>
      <c r="D299" s="193"/>
      <c r="E299" s="193"/>
      <c r="F299" s="193"/>
      <c r="G299" s="193"/>
      <c r="H299" s="193"/>
      <c r="I299" s="193"/>
      <c r="J299" s="193"/>
      <c r="K299" s="193"/>
      <c r="L299" s="193"/>
      <c r="M299" s="193"/>
      <c r="N299" s="193"/>
      <c r="O299" s="193"/>
      <c r="P299" s="193"/>
      <c r="Q299" s="193"/>
      <c r="R299" s="193"/>
      <c r="S299" s="193"/>
      <c r="T299" s="193"/>
      <c r="U299" s="193"/>
      <c r="V299" s="193"/>
      <c r="W299" s="194"/>
      <c r="X299" s="194"/>
      <c r="Y299" s="193"/>
    </row>
    <row r="300" spans="1:25" ht="8.25" customHeight="1" x14ac:dyDescent="0.25">
      <c r="A300" s="193"/>
      <c r="B300" s="193"/>
      <c r="C300" s="193"/>
      <c r="D300" s="193"/>
      <c r="E300" s="193"/>
      <c r="F300" s="193"/>
      <c r="G300" s="193"/>
      <c r="H300" s="193"/>
      <c r="I300" s="193"/>
      <c r="J300" s="193"/>
      <c r="K300" s="193"/>
      <c r="L300" s="193"/>
      <c r="M300" s="193"/>
      <c r="N300" s="193"/>
      <c r="O300" s="193"/>
      <c r="P300" s="193"/>
      <c r="Q300" s="193"/>
      <c r="R300" s="193"/>
      <c r="S300" s="193"/>
      <c r="T300" s="193"/>
      <c r="U300" s="193"/>
      <c r="V300" s="193"/>
      <c r="W300" s="194"/>
      <c r="X300" s="194"/>
      <c r="Y300" s="193"/>
    </row>
    <row r="301" spans="1:25" ht="8.25" customHeight="1" x14ac:dyDescent="0.25">
      <c r="A301" s="193"/>
      <c r="B301" s="193"/>
      <c r="C301" s="193"/>
      <c r="D301" s="193"/>
      <c r="E301" s="193"/>
      <c r="F301" s="193"/>
      <c r="G301" s="193"/>
      <c r="H301" s="193"/>
      <c r="I301" s="193"/>
      <c r="J301" s="193"/>
      <c r="K301" s="193"/>
      <c r="L301" s="193"/>
      <c r="M301" s="193"/>
      <c r="N301" s="193"/>
      <c r="O301" s="193"/>
      <c r="P301" s="193"/>
      <c r="Q301" s="193"/>
      <c r="R301" s="193"/>
      <c r="S301" s="193"/>
      <c r="T301" s="193"/>
      <c r="U301" s="193"/>
      <c r="V301" s="193"/>
      <c r="W301" s="194"/>
      <c r="X301" s="194"/>
      <c r="Y301" s="193"/>
    </row>
    <row r="302" spans="1:25" ht="8.25" customHeight="1" x14ac:dyDescent="0.25">
      <c r="A302" s="193"/>
      <c r="B302" s="193"/>
      <c r="C302" s="193"/>
      <c r="D302" s="193"/>
      <c r="E302" s="193"/>
      <c r="F302" s="193"/>
      <c r="G302" s="193"/>
      <c r="H302" s="193"/>
      <c r="I302" s="193"/>
      <c r="J302" s="193"/>
      <c r="K302" s="193"/>
      <c r="L302" s="193"/>
      <c r="M302" s="193"/>
      <c r="N302" s="193"/>
      <c r="O302" s="193"/>
      <c r="P302" s="193"/>
      <c r="Q302" s="193"/>
      <c r="R302" s="193"/>
      <c r="S302" s="193"/>
      <c r="T302" s="193"/>
      <c r="U302" s="193"/>
      <c r="V302" s="193"/>
      <c r="W302" s="194"/>
      <c r="X302" s="194"/>
      <c r="Y302" s="193"/>
    </row>
    <row r="303" spans="1:25" ht="8.25" customHeight="1" x14ac:dyDescent="0.25">
      <c r="A303" s="193"/>
      <c r="B303" s="193"/>
      <c r="C303" s="193"/>
      <c r="D303" s="193"/>
      <c r="E303" s="193"/>
      <c r="F303" s="193"/>
      <c r="G303" s="193"/>
      <c r="H303" s="193"/>
      <c r="I303" s="193"/>
      <c r="J303" s="193"/>
      <c r="K303" s="193"/>
      <c r="L303" s="193"/>
      <c r="M303" s="193"/>
      <c r="N303" s="193"/>
      <c r="O303" s="193"/>
      <c r="P303" s="193"/>
      <c r="Q303" s="193"/>
      <c r="R303" s="193"/>
      <c r="S303" s="193"/>
      <c r="T303" s="193"/>
      <c r="U303" s="193"/>
      <c r="V303" s="193"/>
      <c r="W303" s="194"/>
      <c r="X303" s="194"/>
      <c r="Y303" s="193"/>
    </row>
    <row r="304" spans="1:25" ht="8.25" customHeight="1" x14ac:dyDescent="0.25">
      <c r="A304" s="193"/>
      <c r="B304" s="193"/>
      <c r="C304" s="193"/>
      <c r="D304" s="193"/>
      <c r="E304" s="193"/>
      <c r="F304" s="193"/>
      <c r="G304" s="193"/>
      <c r="H304" s="193"/>
      <c r="I304" s="193"/>
      <c r="J304" s="193"/>
      <c r="K304" s="193"/>
      <c r="L304" s="193"/>
      <c r="M304" s="193"/>
      <c r="N304" s="193"/>
      <c r="O304" s="193"/>
      <c r="P304" s="193"/>
      <c r="Q304" s="193"/>
      <c r="R304" s="193"/>
      <c r="S304" s="193"/>
      <c r="T304" s="193"/>
      <c r="U304" s="193"/>
      <c r="V304" s="193"/>
      <c r="W304" s="194"/>
      <c r="X304" s="194"/>
      <c r="Y304" s="193"/>
    </row>
    <row r="305" spans="1:25" ht="8.25" customHeight="1" x14ac:dyDescent="0.25">
      <c r="A305" s="193"/>
      <c r="B305" s="193"/>
      <c r="C305" s="193"/>
      <c r="D305" s="193"/>
      <c r="E305" s="193"/>
      <c r="F305" s="193"/>
      <c r="G305" s="193"/>
      <c r="H305" s="193"/>
      <c r="I305" s="193"/>
      <c r="J305" s="193"/>
      <c r="K305" s="193"/>
      <c r="L305" s="193"/>
      <c r="M305" s="193"/>
      <c r="N305" s="193"/>
      <c r="O305" s="193"/>
      <c r="P305" s="193"/>
      <c r="Q305" s="193"/>
      <c r="R305" s="193"/>
      <c r="S305" s="193"/>
      <c r="T305" s="193"/>
      <c r="U305" s="193"/>
      <c r="V305" s="193"/>
      <c r="W305" s="194"/>
      <c r="X305" s="194"/>
      <c r="Y305" s="193"/>
    </row>
    <row r="306" spans="1:25" ht="8.25" customHeight="1" x14ac:dyDescent="0.25">
      <c r="A306" s="193"/>
      <c r="B306" s="193"/>
      <c r="C306" s="193"/>
      <c r="D306" s="193"/>
      <c r="E306" s="193"/>
      <c r="F306" s="193"/>
      <c r="G306" s="193"/>
      <c r="H306" s="193"/>
      <c r="I306" s="193"/>
      <c r="J306" s="193"/>
      <c r="K306" s="193"/>
      <c r="L306" s="193"/>
      <c r="M306" s="193"/>
      <c r="N306" s="193"/>
      <c r="O306" s="193"/>
      <c r="P306" s="193"/>
      <c r="Q306" s="193"/>
      <c r="R306" s="193"/>
      <c r="S306" s="193"/>
      <c r="T306" s="193"/>
      <c r="U306" s="193"/>
      <c r="V306" s="193"/>
      <c r="W306" s="194"/>
      <c r="X306" s="194"/>
      <c r="Y306" s="193"/>
    </row>
    <row r="307" spans="1:25" ht="8.25" customHeight="1" x14ac:dyDescent="0.25">
      <c r="A307" s="193"/>
      <c r="B307" s="193"/>
      <c r="C307" s="193"/>
      <c r="D307" s="193"/>
      <c r="E307" s="193"/>
      <c r="F307" s="193"/>
      <c r="G307" s="193"/>
      <c r="H307" s="193"/>
      <c r="I307" s="193"/>
      <c r="J307" s="193"/>
      <c r="K307" s="193"/>
      <c r="L307" s="193"/>
      <c r="M307" s="193"/>
      <c r="N307" s="193"/>
      <c r="O307" s="193"/>
      <c r="P307" s="193"/>
      <c r="Q307" s="193"/>
      <c r="R307" s="193"/>
      <c r="S307" s="193"/>
      <c r="T307" s="193"/>
      <c r="U307" s="193"/>
      <c r="V307" s="193"/>
      <c r="W307" s="194"/>
      <c r="X307" s="194"/>
      <c r="Y307" s="193"/>
    </row>
    <row r="308" spans="1:25" ht="8.25" customHeight="1" x14ac:dyDescent="0.25">
      <c r="A308" s="193"/>
      <c r="B308" s="193"/>
      <c r="C308" s="193"/>
      <c r="D308" s="193"/>
      <c r="E308" s="193"/>
      <c r="F308" s="193"/>
      <c r="G308" s="193"/>
      <c r="H308" s="193"/>
      <c r="I308" s="193"/>
      <c r="J308" s="193"/>
      <c r="K308" s="193"/>
      <c r="L308" s="193"/>
      <c r="M308" s="193"/>
      <c r="N308" s="193"/>
      <c r="O308" s="193"/>
      <c r="P308" s="193"/>
      <c r="Q308" s="193"/>
      <c r="R308" s="193"/>
      <c r="S308" s="193"/>
      <c r="T308" s="193"/>
      <c r="U308" s="193"/>
      <c r="V308" s="193"/>
      <c r="W308" s="194"/>
      <c r="X308" s="194"/>
      <c r="Y308" s="193"/>
    </row>
    <row r="309" spans="1:25" ht="8.25" customHeight="1" x14ac:dyDescent="0.25">
      <c r="A309" s="193"/>
      <c r="B309" s="193"/>
      <c r="C309" s="193"/>
      <c r="D309" s="193"/>
      <c r="E309" s="193"/>
      <c r="F309" s="193"/>
      <c r="G309" s="193"/>
      <c r="H309" s="193"/>
      <c r="I309" s="193"/>
      <c r="J309" s="193"/>
      <c r="K309" s="193"/>
      <c r="L309" s="193"/>
      <c r="M309" s="193"/>
      <c r="N309" s="193"/>
      <c r="O309" s="193"/>
      <c r="P309" s="193"/>
      <c r="Q309" s="193"/>
      <c r="R309" s="193"/>
      <c r="S309" s="193"/>
      <c r="T309" s="193"/>
      <c r="U309" s="193"/>
      <c r="V309" s="193"/>
      <c r="W309" s="194"/>
      <c r="X309" s="194"/>
      <c r="Y309" s="193"/>
    </row>
    <row r="310" spans="1:25" ht="8.25" customHeight="1" x14ac:dyDescent="0.25">
      <c r="A310" s="193"/>
      <c r="B310" s="193"/>
      <c r="C310" s="193"/>
      <c r="D310" s="193"/>
      <c r="E310" s="193"/>
      <c r="F310" s="193"/>
      <c r="G310" s="193"/>
      <c r="H310" s="193"/>
      <c r="I310" s="193"/>
      <c r="J310" s="193"/>
      <c r="K310" s="193"/>
      <c r="L310" s="193"/>
      <c r="M310" s="193"/>
      <c r="N310" s="193"/>
      <c r="O310" s="193"/>
      <c r="P310" s="193"/>
      <c r="Q310" s="193"/>
      <c r="R310" s="193"/>
      <c r="S310" s="193"/>
      <c r="T310" s="193"/>
      <c r="U310" s="193"/>
      <c r="V310" s="193"/>
      <c r="W310" s="194"/>
      <c r="X310" s="194"/>
      <c r="Y310" s="193"/>
    </row>
    <row r="311" spans="1:25" ht="8.25" customHeight="1" x14ac:dyDescent="0.25">
      <c r="A311" s="193"/>
      <c r="B311" s="193"/>
      <c r="C311" s="193"/>
      <c r="D311" s="193"/>
      <c r="E311" s="193"/>
      <c r="F311" s="193"/>
      <c r="G311" s="193"/>
      <c r="H311" s="193"/>
      <c r="I311" s="193"/>
      <c r="J311" s="193"/>
      <c r="K311" s="193"/>
      <c r="L311" s="193"/>
      <c r="M311" s="193"/>
      <c r="N311" s="193"/>
      <c r="O311" s="193"/>
      <c r="P311" s="193"/>
      <c r="Q311" s="193"/>
      <c r="R311" s="193"/>
      <c r="S311" s="193"/>
      <c r="T311" s="193"/>
      <c r="U311" s="193"/>
      <c r="V311" s="193"/>
      <c r="W311" s="194"/>
      <c r="X311" s="194"/>
      <c r="Y311" s="193"/>
    </row>
    <row r="312" spans="1:25" ht="8.25" customHeight="1" x14ac:dyDescent="0.25">
      <c r="A312" s="193"/>
      <c r="B312" s="193"/>
      <c r="C312" s="193"/>
      <c r="D312" s="193"/>
      <c r="E312" s="193"/>
      <c r="F312" s="193"/>
      <c r="G312" s="193"/>
      <c r="H312" s="193"/>
      <c r="I312" s="193"/>
      <c r="J312" s="193"/>
      <c r="K312" s="193"/>
      <c r="L312" s="193"/>
      <c r="M312" s="193"/>
      <c r="N312" s="193"/>
      <c r="O312" s="193"/>
      <c r="P312" s="193"/>
      <c r="Q312" s="193"/>
      <c r="R312" s="193"/>
      <c r="S312" s="193"/>
      <c r="T312" s="193"/>
      <c r="U312" s="193"/>
      <c r="V312" s="193"/>
      <c r="W312" s="194"/>
      <c r="X312" s="194"/>
      <c r="Y312" s="193"/>
    </row>
    <row r="313" spans="1:25" ht="8.25" customHeight="1" x14ac:dyDescent="0.25">
      <c r="A313" s="193"/>
      <c r="B313" s="193"/>
      <c r="C313" s="193"/>
      <c r="D313" s="193"/>
      <c r="E313" s="193"/>
      <c r="F313" s="193"/>
      <c r="G313" s="193"/>
      <c r="H313" s="193"/>
      <c r="I313" s="193"/>
      <c r="J313" s="193"/>
      <c r="K313" s="193"/>
      <c r="L313" s="193"/>
      <c r="M313" s="193"/>
      <c r="N313" s="193"/>
      <c r="O313" s="193"/>
      <c r="P313" s="193"/>
      <c r="Q313" s="193"/>
      <c r="R313" s="193"/>
      <c r="S313" s="193"/>
      <c r="T313" s="193"/>
      <c r="U313" s="193"/>
      <c r="V313" s="193"/>
      <c r="W313" s="194"/>
      <c r="X313" s="194"/>
      <c r="Y313" s="193"/>
    </row>
    <row r="314" spans="1:25" ht="8.25" customHeight="1" x14ac:dyDescent="0.25">
      <c r="A314" s="193"/>
      <c r="B314" s="193"/>
      <c r="C314" s="193"/>
      <c r="D314" s="193"/>
      <c r="E314" s="193"/>
      <c r="F314" s="193"/>
      <c r="G314" s="193"/>
      <c r="H314" s="193"/>
      <c r="I314" s="193"/>
      <c r="J314" s="193"/>
      <c r="K314" s="193"/>
      <c r="L314" s="193"/>
      <c r="M314" s="193"/>
      <c r="N314" s="193"/>
      <c r="O314" s="193"/>
      <c r="P314" s="193"/>
      <c r="Q314" s="193"/>
      <c r="R314" s="193"/>
      <c r="S314" s="193"/>
      <c r="T314" s="193"/>
      <c r="U314" s="193"/>
      <c r="V314" s="193"/>
      <c r="W314" s="194"/>
      <c r="X314" s="194"/>
      <c r="Y314" s="193"/>
    </row>
    <row r="315" spans="1:25" ht="8.25" customHeight="1" x14ac:dyDescent="0.25">
      <c r="A315" s="193"/>
      <c r="B315" s="193"/>
      <c r="C315" s="193"/>
      <c r="D315" s="193"/>
      <c r="E315" s="193"/>
      <c r="F315" s="193"/>
      <c r="G315" s="193"/>
      <c r="H315" s="193"/>
      <c r="I315" s="193"/>
      <c r="J315" s="193"/>
      <c r="K315" s="193"/>
      <c r="L315" s="193"/>
      <c r="M315" s="193"/>
      <c r="N315" s="193"/>
      <c r="O315" s="193"/>
      <c r="P315" s="193"/>
      <c r="Q315" s="193"/>
      <c r="R315" s="193"/>
      <c r="S315" s="193"/>
      <c r="T315" s="193"/>
      <c r="U315" s="193"/>
      <c r="V315" s="193"/>
      <c r="W315" s="194"/>
      <c r="X315" s="194"/>
      <c r="Y315" s="193"/>
    </row>
    <row r="316" spans="1:25" ht="8.25" customHeight="1" x14ac:dyDescent="0.25">
      <c r="A316" s="193"/>
      <c r="B316" s="193"/>
      <c r="C316" s="193"/>
      <c r="D316" s="193"/>
      <c r="E316" s="193"/>
      <c r="F316" s="193"/>
      <c r="G316" s="193"/>
      <c r="H316" s="193"/>
      <c r="I316" s="193"/>
      <c r="J316" s="193"/>
      <c r="K316" s="193"/>
      <c r="L316" s="193"/>
      <c r="M316" s="193"/>
      <c r="N316" s="193"/>
      <c r="O316" s="193"/>
      <c r="P316" s="193"/>
      <c r="Q316" s="193"/>
      <c r="R316" s="193"/>
      <c r="S316" s="193"/>
      <c r="T316" s="193"/>
      <c r="U316" s="193"/>
      <c r="V316" s="193"/>
      <c r="W316" s="194"/>
      <c r="X316" s="194"/>
      <c r="Y316" s="193"/>
    </row>
    <row r="317" spans="1:25" ht="8.25" customHeight="1" x14ac:dyDescent="0.25">
      <c r="A317" s="193"/>
      <c r="B317" s="193"/>
      <c r="C317" s="193"/>
      <c r="D317" s="193"/>
      <c r="E317" s="193"/>
      <c r="F317" s="193"/>
      <c r="G317" s="193"/>
      <c r="H317" s="193"/>
      <c r="I317" s="193"/>
      <c r="J317" s="193"/>
      <c r="K317" s="193"/>
      <c r="L317" s="193"/>
      <c r="M317" s="193"/>
      <c r="N317" s="193"/>
      <c r="O317" s="193"/>
      <c r="P317" s="193"/>
      <c r="Q317" s="193"/>
      <c r="R317" s="193"/>
      <c r="S317" s="193"/>
      <c r="T317" s="193"/>
      <c r="U317" s="193"/>
      <c r="V317" s="193"/>
      <c r="W317" s="194"/>
      <c r="X317" s="194"/>
      <c r="Y317" s="193"/>
    </row>
    <row r="318" spans="1:25" ht="8.25" customHeight="1" x14ac:dyDescent="0.25">
      <c r="A318" s="193"/>
      <c r="B318" s="193"/>
      <c r="C318" s="193"/>
      <c r="D318" s="193"/>
      <c r="E318" s="193"/>
      <c r="F318" s="193"/>
      <c r="G318" s="193"/>
      <c r="H318" s="193"/>
      <c r="I318" s="193"/>
      <c r="J318" s="193"/>
      <c r="K318" s="193"/>
      <c r="L318" s="193"/>
      <c r="M318" s="193"/>
      <c r="N318" s="193"/>
      <c r="O318" s="193"/>
      <c r="P318" s="193"/>
      <c r="Q318" s="193"/>
      <c r="R318" s="193"/>
      <c r="S318" s="193"/>
      <c r="T318" s="193"/>
      <c r="U318" s="193"/>
      <c r="V318" s="193"/>
      <c r="W318" s="194"/>
      <c r="X318" s="194"/>
      <c r="Y318" s="193"/>
    </row>
    <row r="319" spans="1:25" ht="8.25" customHeight="1" x14ac:dyDescent="0.25">
      <c r="A319" s="193"/>
      <c r="B319" s="193"/>
      <c r="C319" s="193"/>
      <c r="D319" s="193"/>
      <c r="E319" s="193"/>
      <c r="F319" s="193"/>
      <c r="G319" s="193"/>
      <c r="H319" s="193"/>
      <c r="I319" s="193"/>
      <c r="J319" s="193"/>
      <c r="K319" s="193"/>
      <c r="L319" s="193"/>
      <c r="M319" s="193"/>
      <c r="N319" s="193"/>
      <c r="O319" s="193"/>
      <c r="P319" s="193"/>
      <c r="Q319" s="193"/>
      <c r="R319" s="193"/>
      <c r="S319" s="193"/>
      <c r="T319" s="193"/>
      <c r="U319" s="193"/>
      <c r="V319" s="193"/>
      <c r="W319" s="194"/>
      <c r="X319" s="194"/>
      <c r="Y319" s="193"/>
    </row>
    <row r="320" spans="1:25" ht="8.25" customHeight="1" x14ac:dyDescent="0.25">
      <c r="A320" s="193"/>
      <c r="B320" s="193"/>
      <c r="C320" s="193"/>
      <c r="D320" s="193"/>
      <c r="E320" s="193"/>
      <c r="F320" s="193"/>
      <c r="G320" s="193"/>
      <c r="H320" s="193"/>
      <c r="I320" s="193"/>
      <c r="J320" s="193"/>
      <c r="K320" s="193"/>
      <c r="L320" s="193"/>
      <c r="M320" s="193"/>
      <c r="N320" s="193"/>
      <c r="O320" s="193"/>
      <c r="P320" s="193"/>
      <c r="Q320" s="193"/>
      <c r="R320" s="193"/>
      <c r="S320" s="193"/>
      <c r="T320" s="193"/>
      <c r="U320" s="193"/>
      <c r="V320" s="193"/>
      <c r="W320" s="194"/>
      <c r="X320" s="194"/>
      <c r="Y320" s="193"/>
    </row>
    <row r="321" spans="1:25" ht="8.25" customHeight="1" x14ac:dyDescent="0.25">
      <c r="A321" s="193"/>
      <c r="B321" s="193"/>
      <c r="C321" s="193"/>
      <c r="D321" s="193"/>
      <c r="E321" s="193"/>
      <c r="F321" s="193"/>
      <c r="G321" s="193"/>
      <c r="H321" s="193"/>
      <c r="I321" s="193"/>
      <c r="J321" s="193"/>
      <c r="K321" s="193"/>
      <c r="L321" s="193"/>
      <c r="M321" s="193"/>
      <c r="N321" s="193"/>
      <c r="O321" s="193"/>
      <c r="P321" s="193"/>
      <c r="Q321" s="193"/>
      <c r="R321" s="193"/>
      <c r="S321" s="193"/>
      <c r="T321" s="193"/>
      <c r="U321" s="193"/>
      <c r="V321" s="193"/>
      <c r="W321" s="194"/>
      <c r="X321" s="194"/>
      <c r="Y321" s="193"/>
    </row>
    <row r="322" spans="1:25" ht="8.25" customHeight="1" x14ac:dyDescent="0.25">
      <c r="A322" s="193"/>
      <c r="B322" s="193"/>
      <c r="C322" s="193"/>
      <c r="D322" s="193"/>
      <c r="E322" s="193"/>
      <c r="F322" s="193"/>
      <c r="G322" s="193"/>
      <c r="H322" s="193"/>
      <c r="I322" s="193"/>
      <c r="J322" s="193"/>
      <c r="K322" s="193"/>
      <c r="L322" s="193"/>
      <c r="M322" s="193"/>
      <c r="N322" s="193"/>
      <c r="O322" s="193"/>
      <c r="P322" s="193"/>
      <c r="Q322" s="193"/>
      <c r="R322" s="193"/>
      <c r="S322" s="193"/>
      <c r="T322" s="193"/>
      <c r="U322" s="193"/>
      <c r="V322" s="193"/>
      <c r="W322" s="194"/>
      <c r="X322" s="194"/>
      <c r="Y322" s="193"/>
    </row>
    <row r="323" spans="1:25" ht="8.25" customHeight="1" x14ac:dyDescent="0.25">
      <c r="A323" s="193"/>
      <c r="B323" s="193"/>
      <c r="C323" s="193"/>
      <c r="D323" s="193"/>
      <c r="E323" s="193"/>
      <c r="F323" s="193"/>
      <c r="G323" s="193"/>
      <c r="H323" s="193"/>
      <c r="I323" s="193"/>
      <c r="J323" s="193"/>
      <c r="K323" s="193"/>
      <c r="L323" s="193"/>
      <c r="M323" s="193"/>
      <c r="N323" s="193"/>
      <c r="O323" s="193"/>
      <c r="P323" s="193"/>
      <c r="Q323" s="193"/>
      <c r="R323" s="193"/>
      <c r="S323" s="193"/>
      <c r="T323" s="193"/>
      <c r="U323" s="193"/>
      <c r="V323" s="193"/>
      <c r="W323" s="194"/>
      <c r="X323" s="194"/>
      <c r="Y323" s="193"/>
    </row>
    <row r="324" spans="1:25" ht="8.25" customHeight="1" x14ac:dyDescent="0.25">
      <c r="A324" s="193"/>
      <c r="B324" s="193"/>
      <c r="C324" s="193"/>
      <c r="D324" s="193"/>
      <c r="E324" s="193"/>
      <c r="F324" s="193"/>
      <c r="G324" s="193"/>
      <c r="H324" s="193"/>
      <c r="I324" s="193"/>
      <c r="J324" s="193"/>
      <c r="K324" s="193"/>
      <c r="L324" s="193"/>
      <c r="M324" s="193"/>
      <c r="N324" s="193"/>
      <c r="O324" s="193"/>
      <c r="P324" s="193"/>
      <c r="Q324" s="193"/>
      <c r="R324" s="193"/>
      <c r="S324" s="193"/>
      <c r="T324" s="193"/>
      <c r="U324" s="193"/>
      <c r="V324" s="193"/>
      <c r="W324" s="194"/>
      <c r="X324" s="194"/>
      <c r="Y324" s="193"/>
    </row>
    <row r="325" spans="1:25" ht="8.25" customHeight="1" x14ac:dyDescent="0.25">
      <c r="A325" s="193"/>
      <c r="B325" s="193"/>
      <c r="C325" s="193"/>
      <c r="D325" s="193"/>
      <c r="E325" s="193"/>
      <c r="F325" s="193"/>
      <c r="G325" s="193"/>
      <c r="H325" s="193"/>
      <c r="I325" s="193"/>
      <c r="J325" s="193"/>
      <c r="K325" s="193"/>
      <c r="L325" s="193"/>
      <c r="M325" s="193"/>
      <c r="N325" s="193"/>
      <c r="O325" s="193"/>
      <c r="P325" s="193"/>
      <c r="Q325" s="193"/>
      <c r="R325" s="193"/>
      <c r="S325" s="193"/>
      <c r="T325" s="193"/>
      <c r="U325" s="193"/>
      <c r="V325" s="193"/>
      <c r="W325" s="194"/>
      <c r="X325" s="194"/>
      <c r="Y325" s="193"/>
    </row>
  </sheetData>
  <sheetProtection selectLockedCells="1"/>
  <mergeCells count="72">
    <mergeCell ref="AG90:AH91"/>
    <mergeCell ref="Z90:AA91"/>
    <mergeCell ref="AC90:AE91"/>
    <mergeCell ref="AH60:AI61"/>
    <mergeCell ref="AH66:AI67"/>
    <mergeCell ref="AH72:AI73"/>
    <mergeCell ref="AH78:AI79"/>
    <mergeCell ref="AH84:AI85"/>
    <mergeCell ref="AF60:AG61"/>
    <mergeCell ref="AF66:AG67"/>
    <mergeCell ref="AF72:AG73"/>
    <mergeCell ref="AF78:AG79"/>
    <mergeCell ref="AF84:AG85"/>
    <mergeCell ref="D2:M4"/>
    <mergeCell ref="D5:M7"/>
    <mergeCell ref="Z10:AI12"/>
    <mergeCell ref="N2:W4"/>
    <mergeCell ref="N5:W7"/>
    <mergeCell ref="U60:V61"/>
    <mergeCell ref="N37:O38"/>
    <mergeCell ref="J66:K67"/>
    <mergeCell ref="U76:V77"/>
    <mergeCell ref="N74:O75"/>
    <mergeCell ref="D26:E27"/>
    <mergeCell ref="N20:O21"/>
    <mergeCell ref="U22:V23"/>
    <mergeCell ref="Z13:AI15"/>
    <mergeCell ref="Z42:AA43"/>
    <mergeCell ref="Y42:Y43"/>
    <mergeCell ref="AH42:AI43"/>
    <mergeCell ref="AB42:AC43"/>
    <mergeCell ref="AF42:AG43"/>
    <mergeCell ref="AF48:AG49"/>
    <mergeCell ref="Z30:AI32"/>
    <mergeCell ref="AE42:AE43"/>
    <mergeCell ref="AF54:AG55"/>
    <mergeCell ref="Z48:AA49"/>
    <mergeCell ref="Z54:AA55"/>
    <mergeCell ref="AH48:AI49"/>
    <mergeCell ref="AH54:AI55"/>
    <mergeCell ref="AB48:AC49"/>
    <mergeCell ref="AB54:AC55"/>
    <mergeCell ref="Y48:Y49"/>
    <mergeCell ref="Y54:Y55"/>
    <mergeCell ref="AE48:AE49"/>
    <mergeCell ref="AE54:AE55"/>
    <mergeCell ref="Y60:Y61"/>
    <mergeCell ref="Z60:AA61"/>
    <mergeCell ref="AB60:AC61"/>
    <mergeCell ref="Y66:Y67"/>
    <mergeCell ref="AE60:AE61"/>
    <mergeCell ref="AE66:AE67"/>
    <mergeCell ref="Y72:Y73"/>
    <mergeCell ref="Y78:Y79"/>
    <mergeCell ref="AE72:AE73"/>
    <mergeCell ref="AE78:AE79"/>
    <mergeCell ref="Z78:AA79"/>
    <mergeCell ref="Z66:AA67"/>
    <mergeCell ref="Z72:AA73"/>
    <mergeCell ref="AB72:AC73"/>
    <mergeCell ref="AB78:AC79"/>
    <mergeCell ref="AB66:AC67"/>
    <mergeCell ref="Y84:Y85"/>
    <mergeCell ref="AE84:AE85"/>
    <mergeCell ref="F90:F91"/>
    <mergeCell ref="D90:D91"/>
    <mergeCell ref="H90:I91"/>
    <mergeCell ref="P90:P91"/>
    <mergeCell ref="Z84:AA85"/>
    <mergeCell ref="AB84:AC85"/>
    <mergeCell ref="R90:R91"/>
    <mergeCell ref="T90:U91"/>
  </mergeCells>
  <pageMargins left="0.25" right="0.25" top="0.75" bottom="0.75" header="0.3" footer="0.3"/>
  <pageSetup paperSize="9" fitToWidth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00B050"/>
  </sheetPr>
  <dimension ref="A1:IF365"/>
  <sheetViews>
    <sheetView topLeftCell="C1" zoomScaleNormal="100" workbookViewId="0">
      <selection activeCell="D6" sqref="D6"/>
    </sheetView>
  </sheetViews>
  <sheetFormatPr baseColWidth="10" defaultColWidth="11.42578125" defaultRowHeight="9" customHeight="1" outlineLevelCol="1" x14ac:dyDescent="0.25"/>
  <cols>
    <col min="1" max="2" width="2.42578125" style="151" hidden="1" customWidth="1" outlineLevel="1"/>
    <col min="3" max="3" width="2.42578125" style="151" customWidth="1" collapsed="1"/>
    <col min="4" max="4" width="13.7109375" style="151" customWidth="1"/>
    <col min="5" max="5" width="2.42578125" style="151" customWidth="1"/>
    <col min="6" max="6" width="13.7109375" style="151" customWidth="1"/>
    <col min="7" max="7" width="2.42578125" style="151" customWidth="1"/>
    <col min="8" max="8" width="13.7109375" style="151" customWidth="1"/>
    <col min="9" max="9" width="2.42578125" style="151" customWidth="1"/>
    <col min="10" max="10" width="13.7109375" style="151" customWidth="1"/>
    <col min="11" max="11" width="2.42578125" style="151" customWidth="1"/>
    <col min="12" max="12" width="13.7109375" style="151" customWidth="1"/>
    <col min="13" max="13" width="2.42578125" style="161" customWidth="1"/>
    <col min="14" max="14" width="13.7109375" style="151" customWidth="1"/>
    <col min="15" max="15" width="2.42578125" style="151" customWidth="1"/>
    <col min="16" max="16" width="13.7109375" style="151" customWidth="1"/>
    <col min="17" max="17" width="2.42578125" style="151" customWidth="1"/>
    <col min="18" max="18" width="13.7109375" style="151" customWidth="1"/>
    <col min="19" max="19" width="2.42578125" style="151" customWidth="1"/>
    <col min="20" max="20" width="13.7109375" style="151" customWidth="1"/>
    <col min="21" max="21" width="2.42578125" style="151" customWidth="1"/>
    <col min="22" max="23" width="13.7109375" style="151" customWidth="1"/>
    <col min="24" max="24" width="2.42578125" style="151" customWidth="1"/>
    <col min="25" max="25" width="13.7109375" style="188" customWidth="1"/>
    <col min="26" max="26" width="3.7109375" style="188" customWidth="1"/>
    <col min="27" max="27" width="3.7109375" style="151" customWidth="1"/>
    <col min="28" max="28" width="11.42578125" style="151" customWidth="1"/>
    <col min="29" max="29" width="11.42578125" style="151"/>
    <col min="30" max="31" width="11.42578125" style="151" customWidth="1"/>
    <col min="32" max="32" width="3.7109375" style="151" customWidth="1"/>
    <col min="33" max="16384" width="11.42578125" style="151"/>
  </cols>
  <sheetData>
    <row r="1" spans="1:240" ht="9" customHeight="1" x14ac:dyDescent="0.25">
      <c r="M1" s="151"/>
      <c r="AG1" s="175"/>
      <c r="IB1" s="164"/>
      <c r="IC1" s="164"/>
      <c r="ID1" s="164"/>
      <c r="IE1" s="164"/>
      <c r="IF1" s="164"/>
    </row>
    <row r="2" spans="1:240" ht="9" customHeight="1" x14ac:dyDescent="0.25">
      <c r="C2" s="166"/>
      <c r="D2" s="362" t="str">
        <f>'Infos générales'!$B$1</f>
        <v>Tournoi non-licencié AVTT</v>
      </c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 t="str">
        <f>'Infos générales'!$B$1</f>
        <v>Tournoi non-licencié AVTT</v>
      </c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192"/>
      <c r="AG2" s="175"/>
      <c r="AI2" s="166"/>
      <c r="AJ2" s="166"/>
      <c r="AK2" s="166"/>
      <c r="AL2" s="166"/>
      <c r="AM2" s="166"/>
      <c r="AN2" s="166"/>
      <c r="AO2" s="166"/>
      <c r="AP2" s="166"/>
      <c r="AQ2" s="166"/>
      <c r="AR2" s="166"/>
      <c r="AS2" s="166"/>
      <c r="AT2" s="166"/>
      <c r="AU2" s="166"/>
      <c r="AV2" s="166"/>
      <c r="AW2" s="166"/>
      <c r="AX2" s="166"/>
      <c r="BF2" s="166"/>
      <c r="BG2" s="166"/>
      <c r="BH2" s="166"/>
      <c r="BI2" s="166"/>
      <c r="BJ2" s="166"/>
      <c r="BK2" s="166"/>
      <c r="BL2" s="166"/>
      <c r="BM2" s="166"/>
      <c r="BN2" s="166"/>
      <c r="BO2" s="166"/>
      <c r="BP2" s="166"/>
      <c r="BQ2" s="166"/>
      <c r="BR2" s="166"/>
      <c r="BS2" s="166"/>
      <c r="BT2" s="166"/>
      <c r="BU2" s="166"/>
      <c r="BV2" s="166"/>
      <c r="BW2" s="166"/>
      <c r="BX2" s="166"/>
      <c r="BY2" s="166"/>
      <c r="BZ2" s="166"/>
      <c r="CA2" s="166"/>
      <c r="CB2" s="166"/>
      <c r="CC2" s="166"/>
      <c r="CD2" s="166"/>
      <c r="CE2" s="166"/>
      <c r="CF2" s="166"/>
      <c r="CG2" s="166"/>
      <c r="IB2" s="150"/>
      <c r="IC2" s="150"/>
      <c r="ID2" s="150"/>
      <c r="IE2" s="150"/>
    </row>
    <row r="3" spans="1:240" ht="9" customHeight="1" x14ac:dyDescent="0.25">
      <c r="B3" s="166"/>
      <c r="C3" s="166"/>
      <c r="D3" s="362"/>
      <c r="E3" s="362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  <c r="Y3" s="362"/>
      <c r="Z3" s="192"/>
      <c r="AG3" s="175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  <c r="AW3" s="166"/>
      <c r="AX3" s="166"/>
      <c r="BF3" s="166"/>
      <c r="BG3" s="166"/>
      <c r="BH3" s="166"/>
      <c r="BI3" s="166"/>
      <c r="BJ3" s="166"/>
      <c r="BK3" s="166"/>
      <c r="BL3" s="166"/>
      <c r="BM3" s="166"/>
      <c r="BN3" s="166"/>
      <c r="BO3" s="166"/>
      <c r="BP3" s="166"/>
      <c r="BQ3" s="166"/>
      <c r="BR3" s="166"/>
      <c r="BS3" s="166"/>
      <c r="BT3" s="166"/>
      <c r="BU3" s="166"/>
      <c r="BV3" s="166"/>
      <c r="BW3" s="166"/>
      <c r="BX3" s="166"/>
      <c r="BY3" s="166"/>
      <c r="BZ3" s="166"/>
      <c r="CA3" s="166"/>
      <c r="CB3" s="166"/>
      <c r="CC3" s="166"/>
      <c r="CD3" s="166"/>
      <c r="CE3" s="166"/>
      <c r="CF3" s="166"/>
      <c r="CG3" s="166"/>
      <c r="IB3" s="150"/>
      <c r="IC3" s="150"/>
      <c r="ID3" s="150"/>
      <c r="IE3" s="150"/>
    </row>
    <row r="4" spans="1:240" ht="9" customHeight="1" x14ac:dyDescent="0.25">
      <c r="B4" s="166"/>
      <c r="C4" s="166"/>
      <c r="D4" s="364">
        <f>'Infos générales'!$B$4</f>
        <v>43330</v>
      </c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>
        <f>'Infos générales'!$B$4</f>
        <v>43330</v>
      </c>
      <c r="P4" s="364"/>
      <c r="Q4" s="364"/>
      <c r="R4" s="364"/>
      <c r="S4" s="364"/>
      <c r="T4" s="364"/>
      <c r="U4" s="364"/>
      <c r="V4" s="364"/>
      <c r="W4" s="364"/>
      <c r="X4" s="364"/>
      <c r="Y4" s="364"/>
      <c r="Z4" s="241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BF4" s="166"/>
      <c r="BG4" s="166"/>
      <c r="BH4" s="166"/>
      <c r="BI4" s="166"/>
      <c r="BJ4" s="166"/>
      <c r="BK4" s="166"/>
      <c r="BL4" s="166"/>
      <c r="BM4" s="166"/>
      <c r="BN4" s="166"/>
      <c r="BO4" s="166"/>
      <c r="BP4" s="166"/>
      <c r="BQ4" s="166"/>
      <c r="BR4" s="166"/>
      <c r="BS4" s="166"/>
      <c r="BT4" s="166"/>
      <c r="BU4" s="166"/>
      <c r="BV4" s="166"/>
      <c r="BW4" s="166"/>
      <c r="BX4" s="166"/>
      <c r="BY4" s="166"/>
      <c r="BZ4" s="166"/>
      <c r="CA4" s="166"/>
      <c r="CB4" s="166"/>
      <c r="CC4" s="166"/>
      <c r="CD4" s="166"/>
      <c r="CE4" s="166"/>
      <c r="CF4" s="166"/>
      <c r="CG4" s="166"/>
      <c r="DS4" s="150"/>
      <c r="DT4" s="150"/>
      <c r="DU4" s="150"/>
      <c r="DV4" s="150"/>
      <c r="DW4" s="150"/>
      <c r="DX4" s="150"/>
      <c r="DY4" s="150"/>
      <c r="DZ4" s="150"/>
      <c r="EA4" s="150"/>
      <c r="EB4" s="163"/>
      <c r="EC4" s="150"/>
      <c r="ED4" s="150"/>
      <c r="EE4" s="150"/>
      <c r="EF4" s="150"/>
      <c r="EG4" s="150"/>
      <c r="EH4" s="150"/>
      <c r="EI4" s="150"/>
      <c r="EJ4" s="150"/>
      <c r="EK4" s="150"/>
      <c r="EL4" s="163"/>
      <c r="EM4" s="150"/>
      <c r="EN4" s="150"/>
      <c r="EO4" s="150"/>
      <c r="EP4" s="150"/>
      <c r="EQ4" s="150"/>
      <c r="ER4" s="150"/>
      <c r="ES4" s="150"/>
      <c r="IB4" s="150"/>
      <c r="IC4" s="150"/>
      <c r="ID4" s="150"/>
      <c r="IE4" s="150"/>
    </row>
    <row r="5" spans="1:240" ht="9" customHeight="1" x14ac:dyDescent="0.25">
      <c r="B5" s="161"/>
      <c r="C5" s="161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4"/>
      <c r="T5" s="364"/>
      <c r="U5" s="364"/>
      <c r="V5" s="364"/>
      <c r="W5" s="364"/>
      <c r="X5" s="364"/>
      <c r="Y5" s="364"/>
      <c r="Z5" s="241"/>
      <c r="DS5" s="150"/>
      <c r="DT5" s="150"/>
      <c r="DU5" s="150"/>
      <c r="DV5" s="150"/>
      <c r="DW5" s="150"/>
      <c r="DX5" s="150"/>
      <c r="DY5" s="150"/>
      <c r="DZ5" s="150"/>
      <c r="EA5" s="150"/>
      <c r="EB5" s="163"/>
      <c r="EC5" s="150"/>
      <c r="ED5" s="150"/>
      <c r="EE5" s="150"/>
      <c r="EF5" s="150"/>
      <c r="EG5" s="150"/>
      <c r="EH5" s="150"/>
      <c r="EI5" s="150"/>
      <c r="EJ5" s="150"/>
      <c r="EK5" s="150"/>
      <c r="EL5" s="163"/>
      <c r="EM5" s="150"/>
      <c r="EN5" s="150"/>
      <c r="EO5" s="150"/>
      <c r="EP5" s="150"/>
      <c r="EQ5" s="150"/>
      <c r="ER5" s="150"/>
      <c r="ES5" s="150"/>
    </row>
    <row r="6" spans="1:240" ht="9" customHeight="1" x14ac:dyDescent="0.25">
      <c r="B6" s="161"/>
      <c r="C6" s="161"/>
      <c r="D6" s="161"/>
      <c r="E6" s="161"/>
      <c r="F6" s="161"/>
      <c r="G6" s="161"/>
      <c r="H6" s="161"/>
      <c r="I6" s="161"/>
      <c r="J6" s="161"/>
      <c r="K6" s="161"/>
      <c r="L6" s="161"/>
      <c r="N6" s="161"/>
      <c r="P6" s="154"/>
      <c r="Q6" s="154"/>
      <c r="R6" s="154"/>
      <c r="S6" s="154"/>
      <c r="T6" s="154"/>
      <c r="U6" s="154"/>
      <c r="V6" s="154"/>
      <c r="W6" s="154"/>
      <c r="DS6" s="150"/>
      <c r="DT6" s="150"/>
      <c r="DU6" s="150"/>
      <c r="DV6" s="150"/>
      <c r="DW6" s="150"/>
      <c r="DX6" s="150"/>
      <c r="DY6" s="150"/>
      <c r="DZ6" s="150"/>
      <c r="EA6" s="150"/>
      <c r="EB6" s="163"/>
      <c r="EC6" s="150"/>
      <c r="ED6" s="150"/>
      <c r="EE6" s="150"/>
      <c r="EF6" s="150"/>
      <c r="EG6" s="150"/>
      <c r="EH6" s="150"/>
      <c r="EI6" s="150"/>
      <c r="EJ6" s="150"/>
      <c r="EK6" s="150"/>
      <c r="EL6" s="163"/>
      <c r="EM6" s="150"/>
      <c r="EN6" s="150"/>
      <c r="EO6" s="150"/>
      <c r="EP6" s="150"/>
      <c r="EQ6" s="150"/>
      <c r="ER6" s="150"/>
      <c r="ES6" s="150"/>
    </row>
    <row r="7" spans="1:240" ht="9" customHeight="1" x14ac:dyDescent="0.25">
      <c r="B7" s="161"/>
      <c r="C7" s="161"/>
      <c r="D7" s="161"/>
      <c r="E7" s="161"/>
      <c r="F7" s="161"/>
      <c r="G7" s="161"/>
      <c r="H7" s="161"/>
      <c r="I7" s="163"/>
      <c r="J7" s="163"/>
      <c r="K7" s="163"/>
      <c r="L7" s="163"/>
      <c r="M7" s="163"/>
      <c r="N7" s="161"/>
      <c r="AG7" s="176"/>
      <c r="AH7" s="176"/>
    </row>
    <row r="8" spans="1:240" ht="9" customHeight="1" x14ac:dyDescent="0.15">
      <c r="A8" s="167"/>
      <c r="B8" s="168">
        <f>IF(A8&gt;0,A8,INDEX('Classement pour tableau final'!$AB$11:$AB$266,MATCH(1,'Classement pour tableau final'!$Y$11:$Y$266,0)))</f>
        <v>1</v>
      </c>
      <c r="C8" s="150"/>
      <c r="D8" s="169" t="str">
        <f>IF('Infos générales'!$E$2="x",IF(B8&gt;0,VLOOKUP(B8,'Infos joueurs'!$A:$M,4,FALSE)&amp;" / "&amp;VLOOKUP(B8,'Infos joueurs'!$A:$M,9,FALSE),"1"),IF(B8&gt;0,VLOOKUP(B8,'Infos joueurs'!$A:$M,4,FALSE)&amp;" "&amp;VLOOKUP(B8,'Infos joueurs'!$A:$M,5,FALSE),"1"))</f>
        <v>Begert Nicolas</v>
      </c>
      <c r="E8" s="169"/>
      <c r="F8" s="174"/>
      <c r="G8" s="174"/>
      <c r="H8" s="174"/>
      <c r="I8" s="174"/>
      <c r="J8" s="174"/>
      <c r="K8" s="174"/>
      <c r="L8" s="163"/>
      <c r="M8" s="150"/>
      <c r="N8" s="150"/>
      <c r="O8" s="363" t="s">
        <v>318</v>
      </c>
      <c r="P8" s="363"/>
      <c r="Q8" s="172"/>
      <c r="R8" s="172"/>
      <c r="S8" s="172"/>
      <c r="T8" s="172"/>
      <c r="U8" s="172"/>
      <c r="V8" s="172"/>
      <c r="AP8" s="172"/>
    </row>
    <row r="9" spans="1:240" ht="9" customHeight="1" x14ac:dyDescent="0.15">
      <c r="B9" s="150"/>
      <c r="C9" s="150"/>
      <c r="D9" s="155"/>
      <c r="E9" s="156"/>
      <c r="F9" s="170" t="str">
        <f>IF(E9+E10=0,"",IF(E9&gt;E10,D8,D10))</f>
        <v/>
      </c>
      <c r="G9" s="174"/>
      <c r="H9" s="174"/>
      <c r="I9" s="163"/>
      <c r="J9" s="150"/>
      <c r="K9" s="150"/>
      <c r="L9" s="150"/>
      <c r="M9" s="150"/>
      <c r="N9" s="150"/>
      <c r="O9" s="363"/>
      <c r="P9" s="363"/>
      <c r="Q9" s="172"/>
      <c r="R9" s="172"/>
      <c r="S9" s="172"/>
      <c r="T9" s="172"/>
      <c r="U9" s="172"/>
      <c r="V9" s="172"/>
      <c r="AA9" s="370" t="s">
        <v>328</v>
      </c>
      <c r="AB9" s="370"/>
      <c r="AC9" s="370"/>
      <c r="AD9" s="370"/>
      <c r="AE9" s="370"/>
      <c r="AF9" s="370"/>
      <c r="AG9" s="370"/>
      <c r="AH9" s="370"/>
      <c r="AI9" s="370"/>
      <c r="AJ9" s="370"/>
      <c r="AP9" s="172"/>
    </row>
    <row r="10" spans="1:240" ht="9" customHeight="1" x14ac:dyDescent="0.15">
      <c r="A10" s="167"/>
      <c r="B10" s="168">
        <f>IF(A10&gt;0,A10,INDEX('Classement pour tableau final'!$AB$11:$AB$266,MATCH(32,'Classement pour tableau final'!$Y$11:$Y$266,0)))</f>
        <v>32</v>
      </c>
      <c r="C10" s="150"/>
      <c r="D10" s="169" t="str">
        <f>IF('Infos générales'!$E$2="x",IF(B10&gt;0,VLOOKUP(B10,'Infos joueurs'!$A:$M,4,FALSE)&amp;" / "&amp;VLOOKUP(B10,'Infos joueurs'!$A:$M,9,FALSE),"32"),IF(B10&gt;0,VLOOKUP(B10,'Infos joueurs'!$A:$M,4,FALSE)&amp;" "&amp;VLOOKUP(B10,'Infos joueurs'!$A:$M,5,FALSE),"32"))</f>
        <v>Weissbrodt Elda</v>
      </c>
      <c r="E10" s="156"/>
      <c r="F10" s="150"/>
      <c r="G10" s="157"/>
      <c r="H10" s="150"/>
      <c r="I10" s="150"/>
      <c r="J10" s="150"/>
      <c r="K10" s="150"/>
      <c r="L10" s="150"/>
      <c r="M10" s="150"/>
      <c r="N10" s="150"/>
      <c r="O10" s="172"/>
      <c r="P10" s="172"/>
      <c r="Q10" s="172"/>
      <c r="R10" s="172"/>
      <c r="S10" s="172"/>
      <c r="T10" s="172"/>
      <c r="U10" s="172"/>
      <c r="V10" s="172"/>
      <c r="AA10" s="370"/>
      <c r="AB10" s="370"/>
      <c r="AC10" s="370"/>
      <c r="AD10" s="370"/>
      <c r="AE10" s="370"/>
      <c r="AF10" s="370"/>
      <c r="AG10" s="370"/>
      <c r="AH10" s="370"/>
      <c r="AI10" s="370"/>
      <c r="AJ10" s="370"/>
      <c r="AP10" s="172"/>
      <c r="EC10" s="150"/>
      <c r="ED10" s="150"/>
      <c r="EE10" s="150"/>
      <c r="EF10" s="150"/>
      <c r="EG10" s="150"/>
      <c r="EH10" s="150"/>
      <c r="EI10" s="150"/>
      <c r="EJ10" s="150"/>
      <c r="EK10" s="150"/>
      <c r="EL10" s="163"/>
      <c r="EM10" s="150"/>
      <c r="EN10" s="150"/>
      <c r="EO10" s="150"/>
      <c r="EP10" s="150"/>
      <c r="EQ10" s="150"/>
      <c r="ER10" s="150"/>
      <c r="ES10" s="150"/>
    </row>
    <row r="11" spans="1:240" ht="9" customHeight="1" x14ac:dyDescent="0.25">
      <c r="B11" s="150"/>
      <c r="C11" s="150"/>
      <c r="D11" s="155"/>
      <c r="E11" s="163"/>
      <c r="F11" s="150"/>
      <c r="G11" s="156"/>
      <c r="H11" s="171" t="str">
        <f>IF(G11+G12=0,"",IF(G11&gt;G12,F9,F13))</f>
        <v/>
      </c>
      <c r="I11" s="160"/>
      <c r="J11" s="160"/>
      <c r="K11" s="163"/>
      <c r="L11" s="150"/>
      <c r="M11" s="150"/>
      <c r="N11" s="150"/>
      <c r="AA11" s="370"/>
      <c r="AB11" s="370"/>
      <c r="AC11" s="370"/>
      <c r="AD11" s="370"/>
      <c r="AE11" s="370"/>
      <c r="AF11" s="370"/>
      <c r="AG11" s="370"/>
      <c r="AH11" s="370"/>
      <c r="AI11" s="370"/>
      <c r="AJ11" s="370"/>
      <c r="EC11" s="150"/>
      <c r="ED11" s="150"/>
      <c r="EE11" s="150"/>
      <c r="EF11" s="150"/>
      <c r="EG11" s="150"/>
      <c r="EH11" s="150"/>
      <c r="EI11" s="150"/>
      <c r="EJ11" s="150"/>
      <c r="EK11" s="150"/>
      <c r="EL11" s="163"/>
      <c r="EM11" s="150"/>
      <c r="EN11" s="150"/>
      <c r="EO11" s="150"/>
      <c r="EP11" s="150"/>
      <c r="EQ11" s="150"/>
      <c r="ER11" s="150"/>
      <c r="ES11" s="150"/>
    </row>
    <row r="12" spans="1:240" ht="9" customHeight="1" x14ac:dyDescent="0.15">
      <c r="A12" s="167"/>
      <c r="B12" s="168">
        <f>IF(A12&gt;0,A12,INDEX('Classement pour tableau final'!$AB$11:$AB$266,MATCH(17,'Classement pour tableau final'!$Y$11:$Y$266,0)))</f>
        <v>17</v>
      </c>
      <c r="C12" s="150"/>
      <c r="D12" s="169" t="str">
        <f>IF('Infos générales'!$E$2="x",IF(B12&gt;0,VLOOKUP(B12,'Infos joueurs'!$A:$M,4,FALSE)&amp;" / "&amp;VLOOKUP(B12,'Infos joueurs'!$A:$M,9,FALSE),"17"),IF(B12&gt;0,VLOOKUP(B12,'Infos joueurs'!$A:$M,4,FALSE)&amp;" "&amp;VLOOKUP(B12,'Infos joueurs'!$A:$M,5,FALSE),"17"))</f>
        <v>Marjay David</v>
      </c>
      <c r="E12" s="163"/>
      <c r="F12" s="150"/>
      <c r="G12" s="156"/>
      <c r="H12" s="179"/>
      <c r="I12" s="150"/>
      <c r="J12" s="163"/>
      <c r="K12" s="150"/>
      <c r="L12" s="150"/>
      <c r="M12" s="150"/>
      <c r="N12" s="150"/>
      <c r="O12" s="173"/>
      <c r="P12" s="169" t="str">
        <f>IF(G11+G12=0,"",IF(G11&lt;G12,F9,F13))</f>
        <v/>
      </c>
      <c r="Q12" s="169"/>
      <c r="R12" s="163"/>
      <c r="S12" s="150"/>
      <c r="T12" s="150"/>
      <c r="U12" s="150"/>
      <c r="V12" s="150"/>
      <c r="AA12" s="186"/>
      <c r="AP12" s="163"/>
      <c r="AQ12" s="150"/>
      <c r="AR12" s="150"/>
      <c r="AS12" s="150"/>
      <c r="AT12" s="150"/>
      <c r="AU12" s="150"/>
      <c r="AV12" s="150"/>
      <c r="AW12" s="150"/>
      <c r="AX12" s="150"/>
      <c r="BK12" s="150"/>
      <c r="BL12" s="150"/>
      <c r="BM12" s="150"/>
      <c r="BN12" s="150"/>
      <c r="BO12" s="150"/>
      <c r="BP12" s="150"/>
      <c r="BQ12" s="150"/>
      <c r="BR12" s="163"/>
      <c r="EC12" s="150"/>
      <c r="ED12" s="150"/>
      <c r="EE12" s="150"/>
      <c r="EF12" s="150"/>
      <c r="EG12" s="150"/>
      <c r="EH12" s="150"/>
      <c r="EI12" s="150"/>
      <c r="EJ12" s="150"/>
      <c r="EK12" s="150"/>
      <c r="EL12" s="163"/>
      <c r="EM12" s="150"/>
      <c r="EN12" s="150"/>
      <c r="EO12" s="150"/>
      <c r="EP12" s="150"/>
      <c r="EQ12" s="150"/>
      <c r="ER12" s="150"/>
      <c r="ES12" s="150"/>
    </row>
    <row r="13" spans="1:240" ht="9" customHeight="1" x14ac:dyDescent="0.15">
      <c r="B13" s="150"/>
      <c r="C13" s="150"/>
      <c r="D13" s="155"/>
      <c r="E13" s="156"/>
      <c r="F13" s="170" t="str">
        <f>IF(E13+E14=0,"",IF(E13&gt;E14,D12,D14))</f>
        <v/>
      </c>
      <c r="G13" s="157"/>
      <c r="H13" s="180"/>
      <c r="I13" s="150"/>
      <c r="J13" s="163"/>
      <c r="K13" s="150"/>
      <c r="L13" s="150"/>
      <c r="M13" s="150"/>
      <c r="N13" s="150"/>
      <c r="P13" s="155"/>
      <c r="Q13" s="156"/>
      <c r="R13" s="170" t="str">
        <f>IF(Q13+Q14=0,"",IF(Q13&gt;Q14,P12,P14))</f>
        <v/>
      </c>
      <c r="S13" s="174"/>
      <c r="T13" s="163"/>
      <c r="U13" s="150"/>
      <c r="V13" s="150"/>
      <c r="AA13" s="186"/>
      <c r="AP13" s="150"/>
      <c r="AQ13" s="150"/>
      <c r="AR13" s="150"/>
      <c r="AS13" s="163"/>
      <c r="AT13" s="150"/>
      <c r="AU13" s="150"/>
      <c r="BK13" s="150"/>
      <c r="BL13" s="150"/>
      <c r="BM13" s="150"/>
      <c r="BN13" s="150"/>
      <c r="BO13" s="150"/>
      <c r="BP13" s="150"/>
      <c r="BQ13" s="150"/>
      <c r="BR13" s="163"/>
    </row>
    <row r="14" spans="1:240" ht="9" customHeight="1" x14ac:dyDescent="0.15">
      <c r="A14" s="167"/>
      <c r="B14" s="168">
        <f>IF(A14&gt;0,A14,INDEX('Classement pour tableau final'!$AB$11:$AB$266,MATCH(16,'Classement pour tableau final'!$Y$11:$Y$266,0)))</f>
        <v>16</v>
      </c>
      <c r="C14" s="150"/>
      <c r="D14" s="169" t="str">
        <f>IF('Infos générales'!$E$2="x",IF(B14&gt;0,VLOOKUP(B14,'Infos joueurs'!$A:$M,4,FALSE)&amp;" / "&amp;VLOOKUP(B14,'Infos joueurs'!$A:$M,9,FALSE),"16"),IF(B14&gt;0,VLOOKUP(B14,'Infos joueurs'!$A:$M,4,FALSE)&amp;" "&amp;VLOOKUP(B14,'Infos joueurs'!$A:$M,5,FALSE),"16"))</f>
        <v>Knöri Alexander</v>
      </c>
      <c r="E14" s="156"/>
      <c r="F14" s="150"/>
      <c r="G14" s="163"/>
      <c r="H14" s="180"/>
      <c r="I14" s="150"/>
      <c r="J14" s="163"/>
      <c r="K14" s="150"/>
      <c r="L14" s="150"/>
      <c r="M14" s="150"/>
      <c r="N14" s="150"/>
      <c r="O14" s="173"/>
      <c r="P14" s="169" t="str">
        <f>IF(G19+G20=0,"",IF(G19&lt;G20,F17,F21))</f>
        <v/>
      </c>
      <c r="Q14" s="156"/>
      <c r="R14" s="150"/>
      <c r="S14" s="185"/>
      <c r="T14" s="163"/>
      <c r="U14" s="150"/>
      <c r="V14" s="150"/>
      <c r="AA14" s="187"/>
      <c r="AP14" s="150"/>
      <c r="AQ14" s="150"/>
      <c r="AR14" s="150"/>
      <c r="AS14" s="163"/>
      <c r="AT14" s="150"/>
      <c r="AU14" s="150"/>
      <c r="BK14" s="150"/>
      <c r="BL14" s="150"/>
      <c r="BM14" s="150"/>
      <c r="BN14" s="150"/>
      <c r="BO14" s="150"/>
      <c r="BP14" s="150"/>
      <c r="BQ14" s="150"/>
      <c r="BR14" s="163"/>
    </row>
    <row r="15" spans="1:240" ht="9" customHeight="1" x14ac:dyDescent="0.25">
      <c r="B15" s="150"/>
      <c r="C15" s="150"/>
      <c r="D15" s="155"/>
      <c r="E15" s="163"/>
      <c r="F15" s="150"/>
      <c r="G15" s="163"/>
      <c r="H15" s="180"/>
      <c r="I15" s="178"/>
      <c r="J15" s="171" t="str">
        <f>IF(I15+I16=0,"",IF(I15&gt;I16,H11,H19))</f>
        <v/>
      </c>
      <c r="K15" s="160"/>
      <c r="L15" s="163"/>
      <c r="M15" s="150"/>
      <c r="N15" s="150"/>
      <c r="P15" s="155"/>
      <c r="Q15" s="163"/>
      <c r="R15" s="150"/>
      <c r="S15" s="156"/>
      <c r="T15" s="171" t="str">
        <f>IF(S15+S16=0,"",IF(S15&gt;S16,R13,R17))</f>
        <v/>
      </c>
      <c r="U15" s="160"/>
      <c r="V15" s="163"/>
      <c r="Y15" s="151"/>
      <c r="Z15" s="151"/>
      <c r="AA15" s="187"/>
      <c r="AP15" s="160"/>
      <c r="AQ15" s="160"/>
      <c r="BK15" s="150"/>
      <c r="BL15" s="150"/>
      <c r="BM15" s="150"/>
      <c r="BN15" s="150"/>
      <c r="BO15" s="150"/>
      <c r="BP15" s="150"/>
      <c r="BQ15" s="150"/>
      <c r="BR15" s="163"/>
    </row>
    <row r="16" spans="1:240" ht="9" customHeight="1" x14ac:dyDescent="0.15">
      <c r="A16" s="167"/>
      <c r="B16" s="168">
        <f>IF(A16&gt;0,A16,INDEX('Classement pour tableau final'!$AB$11:$AB$266,MATCH(9,'Classement pour tableau final'!$Y$11:$Y$266,0)))</f>
        <v>9</v>
      </c>
      <c r="C16" s="150"/>
      <c r="D16" s="169" t="str">
        <f>IF('Infos générales'!$E$2="x",IF(B16&gt;0,VLOOKUP(B16,'Infos joueurs'!$A:$M,4,FALSE)&amp;" / "&amp;VLOOKUP(B16,'Infos joueurs'!$A:$M,9,FALSE),"9"),IF(B16&gt;0,VLOOKUP(B16,'Infos joueurs'!$A:$M,4,FALSE)&amp;" "&amp;VLOOKUP(B16,'Infos joueurs'!$A:$M,5,FALSE),"9"))</f>
        <v>Emboye Tomas</v>
      </c>
      <c r="E16" s="163"/>
      <c r="F16" s="150"/>
      <c r="G16" s="163"/>
      <c r="H16" s="180"/>
      <c r="I16" s="178"/>
      <c r="J16" s="150"/>
      <c r="K16" s="183"/>
      <c r="L16" s="163"/>
      <c r="M16" s="150"/>
      <c r="N16" s="150"/>
      <c r="O16" s="173"/>
      <c r="P16" s="169" t="str">
        <f>IF(G27+G28=0,"",IF(G27&lt;G28,F25,F29))</f>
        <v/>
      </c>
      <c r="Q16" s="163"/>
      <c r="R16" s="150"/>
      <c r="S16" s="156"/>
      <c r="T16" s="150"/>
      <c r="U16" s="183"/>
      <c r="V16" s="163"/>
      <c r="W16" s="150"/>
      <c r="AP16" s="150"/>
      <c r="AQ16" s="150"/>
      <c r="BK16" s="150"/>
      <c r="BL16" s="150"/>
      <c r="BM16" s="150"/>
      <c r="BN16" s="150"/>
      <c r="BO16" s="150"/>
      <c r="BP16" s="150"/>
      <c r="BQ16" s="150"/>
      <c r="BR16" s="163"/>
    </row>
    <row r="17" spans="1:87" ht="9" customHeight="1" x14ac:dyDescent="0.15">
      <c r="B17" s="150"/>
      <c r="C17" s="150"/>
      <c r="D17" s="155"/>
      <c r="E17" s="156"/>
      <c r="F17" s="170" t="str">
        <f>IF(E17+E18=0,"",IF(E17&gt;E18,D16,D18))</f>
        <v/>
      </c>
      <c r="G17" s="163"/>
      <c r="H17" s="180"/>
      <c r="I17" s="163"/>
      <c r="J17" s="150"/>
      <c r="K17" s="183"/>
      <c r="L17" s="163"/>
      <c r="M17" s="150"/>
      <c r="N17" s="150"/>
      <c r="P17" s="155"/>
      <c r="Q17" s="156"/>
      <c r="R17" s="170" t="str">
        <f>IF(Q17+Q18=0,"",IF(Q17&gt;Q18,P16,P18))</f>
        <v/>
      </c>
      <c r="S17" s="157"/>
      <c r="T17" s="150"/>
      <c r="U17" s="183"/>
      <c r="V17" s="163"/>
      <c r="W17" s="150"/>
      <c r="AP17" s="150"/>
      <c r="AQ17" s="150"/>
      <c r="BK17" s="150"/>
      <c r="BL17" s="150"/>
      <c r="BM17" s="150"/>
      <c r="BN17" s="150"/>
      <c r="BO17" s="150"/>
      <c r="BP17" s="150"/>
      <c r="BQ17" s="150"/>
      <c r="BR17" s="163"/>
    </row>
    <row r="18" spans="1:87" ht="9" customHeight="1" x14ac:dyDescent="0.15">
      <c r="A18" s="167"/>
      <c r="B18" s="168">
        <f>IF(A18&gt;0,A18,INDEX('Classement pour tableau final'!$AB$11:$AB$266,MATCH(24,'Classement pour tableau final'!$Y$11:$Y$266,0)))</f>
        <v>24</v>
      </c>
      <c r="C18" s="150"/>
      <c r="D18" s="169" t="str">
        <f>IF('Infos générales'!$E$2="x",IF(B18&gt;0,VLOOKUP(B18,'Infos joueurs'!$A:$M,4,FALSE)&amp;" / "&amp;VLOOKUP(B18,'Infos joueurs'!$A:$M,9,FALSE),"24"),IF(B18&gt;0,VLOOKUP(B18,'Infos joueurs'!$A:$M,4,FALSE)&amp;" "&amp;VLOOKUP(B18,'Infos joueurs'!$A:$M,5,FALSE),"24"))</f>
        <v>Riard Noa</v>
      </c>
      <c r="E18" s="156"/>
      <c r="F18" s="150"/>
      <c r="G18" s="157"/>
      <c r="H18" s="180"/>
      <c r="I18" s="163"/>
      <c r="J18" s="150"/>
      <c r="K18" s="183"/>
      <c r="L18" s="163"/>
      <c r="M18" s="150"/>
      <c r="N18" s="150"/>
      <c r="O18" s="173"/>
      <c r="P18" s="169" t="str">
        <f>IF(G35+G36=0,"",IF(G35&lt;G36,F33,F37))</f>
        <v/>
      </c>
      <c r="Q18" s="156"/>
      <c r="R18" s="150"/>
      <c r="S18" s="163"/>
      <c r="T18" s="150"/>
      <c r="U18" s="185"/>
      <c r="V18" s="163"/>
      <c r="W18" s="150"/>
      <c r="AA18" s="368">
        <v>1</v>
      </c>
      <c r="AB18" s="368" t="str">
        <f>IF(M40+M41=0,"",IF(M40&gt;M41,L23,L55))</f>
        <v/>
      </c>
      <c r="AC18" s="368"/>
      <c r="AD18" s="368"/>
      <c r="AE18" s="368"/>
      <c r="AF18" s="368">
        <v>17</v>
      </c>
      <c r="AG18" s="368" t="str">
        <f>IF(K109+K110=0,"",IF(K109&gt;K110,J101,J117))</f>
        <v/>
      </c>
      <c r="AH18" s="368"/>
      <c r="AI18" s="368"/>
      <c r="AJ18" s="368"/>
      <c r="AP18" s="150"/>
      <c r="AQ18" s="150"/>
      <c r="BK18" s="150"/>
      <c r="BL18" s="150"/>
      <c r="BM18" s="150"/>
      <c r="BN18" s="150"/>
      <c r="BO18" s="150"/>
      <c r="BP18" s="150"/>
      <c r="BQ18" s="150"/>
      <c r="BR18" s="163"/>
    </row>
    <row r="19" spans="1:87" ht="9" customHeight="1" x14ac:dyDescent="0.25">
      <c r="B19" s="150"/>
      <c r="C19" s="150"/>
      <c r="D19" s="155"/>
      <c r="E19" s="163"/>
      <c r="F19" s="150"/>
      <c r="G19" s="156"/>
      <c r="H19" s="181" t="str">
        <f>IF(G19+G20=0,"",IF(G19&gt;G20,F17,F21))</f>
        <v/>
      </c>
      <c r="I19" s="163"/>
      <c r="J19" s="150"/>
      <c r="K19" s="183"/>
      <c r="L19" s="163"/>
      <c r="M19" s="150"/>
      <c r="N19" s="150"/>
      <c r="P19" s="155"/>
      <c r="Q19" s="163"/>
      <c r="R19" s="150"/>
      <c r="S19" s="163"/>
      <c r="T19" s="150"/>
      <c r="U19" s="156"/>
      <c r="V19" s="171" t="str">
        <f>IF(U19+U20=0,"",IF(U19&gt;U20,T15,T23))</f>
        <v/>
      </c>
      <c r="W19" s="160"/>
      <c r="AA19" s="368"/>
      <c r="AB19" s="369"/>
      <c r="AC19" s="369"/>
      <c r="AD19" s="369"/>
      <c r="AE19" s="369"/>
      <c r="AF19" s="368"/>
      <c r="AG19" s="369"/>
      <c r="AH19" s="369"/>
      <c r="AI19" s="369"/>
      <c r="AJ19" s="369"/>
      <c r="AP19" s="150"/>
      <c r="AQ19" s="150"/>
      <c r="BK19" s="160"/>
      <c r="BL19" s="160"/>
      <c r="BM19" s="160"/>
      <c r="BN19" s="160"/>
      <c r="BO19" s="160"/>
      <c r="BP19" s="160"/>
      <c r="BQ19" s="160"/>
      <c r="BR19" s="163"/>
    </row>
    <row r="20" spans="1:87" ht="9" customHeight="1" x14ac:dyDescent="0.15">
      <c r="A20" s="167"/>
      <c r="B20" s="168">
        <f>IF(A20&gt;0,A20,INDEX('Classement pour tableau final'!$AB$11:$AB$266,MATCH(25,'Classement pour tableau final'!$Y$11:$Y$266,0)))</f>
        <v>25</v>
      </c>
      <c r="C20" s="150"/>
      <c r="D20" s="169" t="str">
        <f>IF('Infos générales'!$E$2="x",IF(B20&gt;0,VLOOKUP(B20,'Infos joueurs'!$A:$M,4,FALSE)&amp;" / "&amp;VLOOKUP(B20,'Infos joueurs'!$A:$M,9,FALSE),"25"),IF(B20&gt;0,VLOOKUP(B20,'Infos joueurs'!$A:$M,4,FALSE)&amp;" "&amp;VLOOKUP(B20,'Infos joueurs'!$A:$M,5,FALSE),"25"))</f>
        <v>Rouiller Romi</v>
      </c>
      <c r="E20" s="163"/>
      <c r="F20" s="150"/>
      <c r="G20" s="156"/>
      <c r="H20" s="150"/>
      <c r="I20" s="163"/>
      <c r="J20" s="150"/>
      <c r="K20" s="183"/>
      <c r="L20" s="163"/>
      <c r="M20" s="150"/>
      <c r="N20" s="150"/>
      <c r="O20" s="173"/>
      <c r="P20" s="169" t="str">
        <f>IF(G43+G44=0,"",IF(G43&lt;G44,F41,F45))</f>
        <v/>
      </c>
      <c r="Q20" s="163"/>
      <c r="R20" s="150"/>
      <c r="S20" s="163"/>
      <c r="T20" s="150"/>
      <c r="U20" s="156"/>
      <c r="V20" s="150"/>
      <c r="AP20" s="150"/>
      <c r="AQ20" s="160"/>
      <c r="BK20" s="150"/>
      <c r="BL20" s="150"/>
      <c r="BM20" s="150"/>
      <c r="BN20" s="150"/>
      <c r="BO20" s="150"/>
      <c r="BP20" s="150"/>
      <c r="BQ20" s="150"/>
      <c r="BR20" s="163"/>
    </row>
    <row r="21" spans="1:87" ht="9" customHeight="1" x14ac:dyDescent="0.15">
      <c r="B21" s="150"/>
      <c r="C21" s="150"/>
      <c r="D21" s="155"/>
      <c r="E21" s="156"/>
      <c r="F21" s="170" t="str">
        <f>IF(E21+E22=0,"",IF(E21&gt;E22,D20,D22))</f>
        <v/>
      </c>
      <c r="G21" s="157"/>
      <c r="H21" s="150"/>
      <c r="I21" s="163"/>
      <c r="J21" s="150"/>
      <c r="K21" s="183"/>
      <c r="L21" s="163"/>
      <c r="M21" s="150"/>
      <c r="N21" s="150"/>
      <c r="P21" s="155"/>
      <c r="Q21" s="156"/>
      <c r="R21" s="170" t="str">
        <f>IF(Q21+Q22=0,"",IF(Q21&gt;Q22,P20,P22))</f>
        <v/>
      </c>
      <c r="S21" s="163"/>
      <c r="T21" s="150"/>
      <c r="U21" s="182"/>
      <c r="V21" s="163"/>
      <c r="AA21" s="187"/>
      <c r="AB21" s="150"/>
      <c r="AC21" s="150"/>
      <c r="AD21" s="177"/>
      <c r="AE21" s="150"/>
      <c r="AF21" s="187"/>
      <c r="AG21" s="150"/>
      <c r="AH21" s="150"/>
      <c r="AI21" s="150"/>
      <c r="AP21" s="150"/>
      <c r="AQ21" s="150"/>
      <c r="BK21" s="150"/>
      <c r="BL21" s="150"/>
      <c r="BM21" s="150"/>
      <c r="BN21" s="150"/>
      <c r="BO21" s="150"/>
      <c r="BP21" s="150"/>
      <c r="BQ21" s="150"/>
      <c r="BR21" s="163"/>
    </row>
    <row r="22" spans="1:87" ht="9" customHeight="1" x14ac:dyDescent="0.15">
      <c r="A22" s="167"/>
      <c r="B22" s="168">
        <f>IF(A22&gt;0,A22,INDEX('Classement pour tableau final'!$AB$11:$AB$266,MATCH(8,'Classement pour tableau final'!$Y$11:$Y$266,0)))</f>
        <v>8</v>
      </c>
      <c r="C22" s="150"/>
      <c r="D22" s="169" t="str">
        <f>IF('Infos générales'!$E$2="x",IF(B22&gt;0,VLOOKUP(B22,'Infos joueurs'!$A:$M,4,FALSE)&amp;" / "&amp;VLOOKUP(B22,'Infos joueurs'!$A:$M,9,FALSE),"8"),IF(B22&gt;0,VLOOKUP(B22,'Infos joueurs'!$A:$M,4,FALSE)&amp;" "&amp;VLOOKUP(B22,'Infos joueurs'!$A:$M,5,FALSE),"8"))</f>
        <v>Derivaz Valentin</v>
      </c>
      <c r="E22" s="156"/>
      <c r="F22" s="150"/>
      <c r="G22" s="163"/>
      <c r="H22" s="150"/>
      <c r="I22" s="163"/>
      <c r="J22" s="150"/>
      <c r="K22" s="185"/>
      <c r="L22" s="163"/>
      <c r="M22" s="150"/>
      <c r="N22" s="150"/>
      <c r="O22" s="173"/>
      <c r="P22" s="169" t="str">
        <f>IF(G51+G52=0,"",IF(G51&lt;G52,F49,F53))</f>
        <v/>
      </c>
      <c r="Q22" s="156"/>
      <c r="R22" s="150"/>
      <c r="S22" s="157"/>
      <c r="T22" s="150"/>
      <c r="U22" s="183"/>
      <c r="V22" s="163"/>
      <c r="AA22" s="368">
        <v>2</v>
      </c>
      <c r="AB22" s="368" t="str">
        <f>IF(M40+M41=0,"",IF(M40&lt;M41,L23,L55))</f>
        <v/>
      </c>
      <c r="AC22" s="368"/>
      <c r="AD22" s="368"/>
      <c r="AE22" s="368"/>
      <c r="AF22" s="368">
        <v>18</v>
      </c>
      <c r="AG22" s="368" t="str">
        <f>IF(K109+K110=0,"",IF(K109&lt;K110,J101,J117))</f>
        <v/>
      </c>
      <c r="AH22" s="368"/>
      <c r="AI22" s="368"/>
      <c r="AJ22" s="368"/>
      <c r="AP22" s="150"/>
      <c r="AQ22" s="150"/>
      <c r="BK22" s="150"/>
      <c r="BL22" s="150"/>
      <c r="BM22" s="150"/>
      <c r="BN22" s="150"/>
      <c r="BO22" s="150"/>
      <c r="BP22" s="150"/>
      <c r="BQ22" s="150"/>
      <c r="BR22" s="163"/>
    </row>
    <row r="23" spans="1:87" ht="9" customHeight="1" x14ac:dyDescent="0.25">
      <c r="B23" s="150"/>
      <c r="C23" s="150"/>
      <c r="D23" s="155"/>
      <c r="E23" s="163"/>
      <c r="F23" s="150"/>
      <c r="G23" s="163"/>
      <c r="H23" s="150"/>
      <c r="I23" s="163"/>
      <c r="J23" s="150"/>
      <c r="K23" s="156"/>
      <c r="L23" s="171" t="str">
        <f>IF(K23+K24=0,"",IF(K23&gt;K24,J15,J31))</f>
        <v/>
      </c>
      <c r="M23" s="160"/>
      <c r="N23" s="163"/>
      <c r="P23" s="155"/>
      <c r="Q23" s="163"/>
      <c r="R23" s="150"/>
      <c r="S23" s="156"/>
      <c r="T23" s="171" t="str">
        <f>IF(S23+S24=0,"",IF(S23&gt;S24,R21,R25))</f>
        <v/>
      </c>
      <c r="U23" s="184"/>
      <c r="V23" s="163"/>
      <c r="AA23" s="368"/>
      <c r="AB23" s="369"/>
      <c r="AC23" s="369"/>
      <c r="AD23" s="369"/>
      <c r="AE23" s="369"/>
      <c r="AF23" s="368"/>
      <c r="AG23" s="369"/>
      <c r="AH23" s="369"/>
      <c r="AI23" s="369"/>
      <c r="AJ23" s="369"/>
      <c r="AP23" s="160"/>
      <c r="AQ23" s="160"/>
      <c r="BK23" s="150"/>
      <c r="BL23" s="150"/>
      <c r="BM23" s="150"/>
      <c r="BN23" s="150"/>
      <c r="BO23" s="150"/>
      <c r="BP23" s="150"/>
      <c r="BQ23" s="150"/>
      <c r="BR23" s="163"/>
    </row>
    <row r="24" spans="1:87" ht="9" customHeight="1" x14ac:dyDescent="0.15">
      <c r="A24" s="167"/>
      <c r="B24" s="168">
        <f>IF(A24&gt;0,A24,INDEX('Classement pour tableau final'!$AB$11:$AB$266,MATCH(5,'Classement pour tableau final'!$Y$11:$Y$266,0)))</f>
        <v>5</v>
      </c>
      <c r="C24" s="150"/>
      <c r="D24" s="169" t="str">
        <f>IF('Infos générales'!$E$2="x",IF(B24&gt;0,VLOOKUP(B24,'Infos joueurs'!$A:$M,4,FALSE)&amp;" / "&amp;VLOOKUP(B24,'Infos joueurs'!$A:$M,9,FALSE),"5"),IF(B24&gt;0,VLOOKUP(B24,'Infos joueurs'!$A:$M,4,FALSE)&amp;" "&amp;VLOOKUP(B24,'Infos joueurs'!$A:$M,5,FALSE),"5"))</f>
        <v>Clausix Adam</v>
      </c>
      <c r="E24" s="163"/>
      <c r="F24" s="150"/>
      <c r="G24" s="163"/>
      <c r="H24" s="150"/>
      <c r="I24" s="163"/>
      <c r="J24" s="150"/>
      <c r="K24" s="156"/>
      <c r="L24" s="150"/>
      <c r="M24" s="183"/>
      <c r="N24" s="163"/>
      <c r="O24" s="173"/>
      <c r="P24" s="169" t="str">
        <f>IF(G59+G60=0,"",IF(G59&lt;G60,F57,F61))</f>
        <v/>
      </c>
      <c r="Q24" s="163"/>
      <c r="R24" s="150"/>
      <c r="S24" s="156"/>
      <c r="T24" s="150"/>
      <c r="U24" s="150"/>
      <c r="V24" s="150"/>
      <c r="AA24" s="187"/>
      <c r="AB24" s="150"/>
      <c r="AC24" s="150"/>
      <c r="AD24" s="177"/>
      <c r="AE24" s="150"/>
      <c r="AF24" s="187"/>
      <c r="AG24" s="150"/>
      <c r="AH24" s="150"/>
      <c r="AI24" s="150"/>
      <c r="AP24" s="150"/>
      <c r="AQ24" s="150"/>
      <c r="AR24" s="150"/>
      <c r="AS24" s="163"/>
      <c r="AT24" s="150"/>
      <c r="AU24" s="150"/>
      <c r="BK24" s="150"/>
      <c r="BL24" s="150"/>
      <c r="BM24" s="150"/>
    </row>
    <row r="25" spans="1:87" ht="9" customHeight="1" x14ac:dyDescent="0.15">
      <c r="B25" s="150"/>
      <c r="C25" s="150"/>
      <c r="D25" s="155"/>
      <c r="E25" s="156"/>
      <c r="F25" s="170" t="str">
        <f>IF(E25+E26=0,"",IF(E25&gt;E26,D24,D26))</f>
        <v/>
      </c>
      <c r="G25" s="163"/>
      <c r="H25" s="150"/>
      <c r="I25" s="163"/>
      <c r="J25" s="150"/>
      <c r="K25" s="157"/>
      <c r="L25" s="150"/>
      <c r="M25" s="183"/>
      <c r="N25" s="163"/>
      <c r="P25" s="155"/>
      <c r="Q25" s="156"/>
      <c r="R25" s="170" t="str">
        <f>IF(Q25+Q26=0,"",IF(Q25&gt;Q26,P24,P26))</f>
        <v/>
      </c>
      <c r="S25" s="157"/>
      <c r="T25" s="150"/>
      <c r="U25" s="150"/>
      <c r="W25" s="363" t="s">
        <v>319</v>
      </c>
      <c r="X25" s="363"/>
      <c r="Y25" s="172"/>
      <c r="Z25" s="172"/>
      <c r="AP25" s="150"/>
      <c r="AQ25" s="150"/>
      <c r="AR25" s="150"/>
      <c r="AS25" s="163"/>
      <c r="AT25" s="150"/>
      <c r="AU25" s="150"/>
      <c r="BK25" s="150"/>
      <c r="BL25" s="150"/>
      <c r="BZ25" s="172"/>
      <c r="CA25" s="172"/>
      <c r="CB25" s="172"/>
    </row>
    <row r="26" spans="1:87" ht="9" customHeight="1" collapsed="1" x14ac:dyDescent="0.15">
      <c r="A26" s="167"/>
      <c r="B26" s="168">
        <f>IF(A26&gt;0,A26,INDEX('Classement pour tableau final'!$AB$11:$AB$266,MATCH(28,'Classement pour tableau final'!$Y$11:$Y$266,0)))</f>
        <v>28</v>
      </c>
      <c r="C26" s="150"/>
      <c r="D26" s="169" t="str">
        <f>IF('Infos générales'!$E$2="x",IF(B26&gt;0,VLOOKUP(B26,'Infos joueurs'!$A:$M,4,FALSE)&amp;" / "&amp;VLOOKUP(B26,'Infos joueurs'!$A:$M,9,FALSE),"28"),IF(B26&gt;0,VLOOKUP(B26,'Infos joueurs'!$A:$M,4,FALSE)&amp;" "&amp;VLOOKUP(B26,'Infos joueurs'!$A:$M,5,FALSE),"28"))</f>
        <v>Siggen Dann</v>
      </c>
      <c r="E26" s="156"/>
      <c r="F26" s="150"/>
      <c r="G26" s="157"/>
      <c r="H26" s="150"/>
      <c r="I26" s="163"/>
      <c r="J26" s="150"/>
      <c r="K26" s="157"/>
      <c r="L26" s="150"/>
      <c r="M26" s="183"/>
      <c r="N26" s="163"/>
      <c r="O26" s="173"/>
      <c r="P26" s="169" t="str">
        <f>IF(G67+G68=0,"",IF(G67&lt;G68,F65,F69))</f>
        <v/>
      </c>
      <c r="Q26" s="156"/>
      <c r="R26" s="150"/>
      <c r="S26" s="150"/>
      <c r="T26" s="150"/>
      <c r="V26" s="172"/>
      <c r="W26" s="363"/>
      <c r="X26" s="363"/>
      <c r="Y26" s="172"/>
      <c r="Z26" s="172"/>
      <c r="AA26" s="368">
        <v>3</v>
      </c>
      <c r="AB26" s="368" t="str">
        <f>IF(M77+M78=0,"",IF(M77&gt;M78,L76,L78))</f>
        <v/>
      </c>
      <c r="AC26" s="368"/>
      <c r="AD26" s="368"/>
      <c r="AE26" s="368"/>
      <c r="AF26" s="368">
        <v>19</v>
      </c>
      <c r="AG26" s="368" t="str">
        <f>IF(Q79+Q80=0,"",IF(Q79&gt;Q80,P78,P80))</f>
        <v/>
      </c>
      <c r="AH26" s="368"/>
      <c r="AI26" s="368"/>
      <c r="AJ26" s="368"/>
      <c r="AP26" s="163"/>
      <c r="AQ26" s="150"/>
      <c r="AR26" s="150"/>
      <c r="AS26" s="150"/>
      <c r="AT26" s="150"/>
      <c r="AU26" s="150"/>
      <c r="AV26" s="150"/>
      <c r="AW26" s="150"/>
      <c r="AX26" s="150"/>
      <c r="BK26" s="150"/>
      <c r="BL26" s="150"/>
      <c r="BZ26" s="172"/>
      <c r="CA26" s="172"/>
      <c r="CB26" s="172"/>
    </row>
    <row r="27" spans="1:87" ht="9" customHeight="1" x14ac:dyDescent="0.25">
      <c r="B27" s="150"/>
      <c r="C27" s="150"/>
      <c r="D27" s="155"/>
      <c r="E27" s="163"/>
      <c r="F27" s="150"/>
      <c r="G27" s="156"/>
      <c r="H27" s="171" t="str">
        <f>IF(G27+G28=0,"",IF(G27&gt;G28,F25,F29))</f>
        <v/>
      </c>
      <c r="I27" s="163"/>
      <c r="J27" s="150"/>
      <c r="K27" s="157"/>
      <c r="L27" s="150"/>
      <c r="M27" s="183"/>
      <c r="N27" s="163"/>
      <c r="P27" s="155"/>
      <c r="Q27" s="163"/>
      <c r="R27" s="150"/>
      <c r="S27" s="150"/>
      <c r="T27" s="150"/>
      <c r="V27" s="172"/>
      <c r="W27" s="172"/>
      <c r="X27" s="172"/>
      <c r="Y27" s="172"/>
      <c r="Z27" s="172"/>
      <c r="AA27" s="368"/>
      <c r="AB27" s="369"/>
      <c r="AC27" s="369"/>
      <c r="AD27" s="369"/>
      <c r="AE27" s="369"/>
      <c r="AF27" s="368"/>
      <c r="AG27" s="369"/>
      <c r="AH27" s="369"/>
      <c r="AI27" s="369"/>
      <c r="AJ27" s="369"/>
      <c r="AP27" s="163"/>
      <c r="AQ27" s="150"/>
      <c r="AR27" s="150"/>
      <c r="AS27" s="150"/>
      <c r="AT27" s="150"/>
      <c r="AU27" s="150"/>
      <c r="AV27" s="150"/>
      <c r="AW27" s="150"/>
      <c r="AX27" s="150"/>
      <c r="BK27" s="150"/>
      <c r="BL27" s="150"/>
      <c r="BZ27" s="172"/>
      <c r="CA27" s="172"/>
      <c r="CB27" s="172"/>
    </row>
    <row r="28" spans="1:87" ht="9" customHeight="1" x14ac:dyDescent="0.15">
      <c r="A28" s="167"/>
      <c r="B28" s="168">
        <f>IF(A28&gt;0,A28,INDEX('Classement pour tableau final'!$AB$11:$AB$266,MATCH(21,'Classement pour tableau final'!$Y$11:$Y$266,0)))</f>
        <v>21</v>
      </c>
      <c r="C28" s="150"/>
      <c r="D28" s="169" t="str">
        <f>IF('Infos générales'!$E$2="x",IF(B28&gt;0,VLOOKUP(B28,'Infos joueurs'!$A:$M,4,FALSE)&amp;" / "&amp;VLOOKUP(B28,'Infos joueurs'!$A:$M,9,FALSE),"21"),IF(B28&gt;0,VLOOKUP(B28,'Infos joueurs'!$A:$M,4,FALSE)&amp;" "&amp;VLOOKUP(B28,'Infos joueurs'!$A:$M,5,FALSE),"21"))</f>
        <v>Nanez Diego</v>
      </c>
      <c r="E28" s="163"/>
      <c r="F28" s="150"/>
      <c r="G28" s="156"/>
      <c r="H28" s="179"/>
      <c r="I28" s="163"/>
      <c r="J28" s="150"/>
      <c r="K28" s="157"/>
      <c r="L28" s="150"/>
      <c r="M28" s="183"/>
      <c r="N28" s="163"/>
      <c r="X28" s="150"/>
      <c r="Y28" s="150"/>
      <c r="Z28" s="150"/>
    </row>
    <row r="29" spans="1:87" ht="9" customHeight="1" x14ac:dyDescent="0.15">
      <c r="B29" s="150"/>
      <c r="C29" s="150"/>
      <c r="D29" s="155"/>
      <c r="E29" s="156"/>
      <c r="F29" s="170" t="str">
        <f>IF(E29+E30=0,"",IF(E29&gt;E30,D28,D30))</f>
        <v/>
      </c>
      <c r="G29" s="157"/>
      <c r="H29" s="180"/>
      <c r="I29" s="163"/>
      <c r="J29" s="150"/>
      <c r="K29" s="157"/>
      <c r="L29" s="150"/>
      <c r="M29" s="183"/>
      <c r="N29" s="163"/>
      <c r="V29" s="173"/>
      <c r="W29" s="169" t="str">
        <f>IF(S15+S16=0,"",IF(S15&lt;S16,R13,R17))</f>
        <v/>
      </c>
      <c r="X29" s="169"/>
      <c r="Y29" s="163"/>
      <c r="Z29" s="163"/>
      <c r="CC29" s="150"/>
      <c r="CD29" s="150"/>
      <c r="CE29" s="150"/>
      <c r="CF29" s="150"/>
      <c r="CG29" s="150"/>
      <c r="CH29" s="150"/>
      <c r="CI29" s="150"/>
    </row>
    <row r="30" spans="1:87" ht="9" customHeight="1" x14ac:dyDescent="0.15">
      <c r="A30" s="167"/>
      <c r="B30" s="168">
        <f>IF(A30&gt;0,A30,INDEX('Classement pour tableau final'!$AB$11:$AB$266,MATCH(12,'Classement pour tableau final'!$Y$11:$Y$266,0)))</f>
        <v>12</v>
      </c>
      <c r="C30" s="150"/>
      <c r="D30" s="169" t="str">
        <f>IF('Infos générales'!$E$2="x",IF(B30&gt;0,VLOOKUP(B30,'Infos joueurs'!$A:$M,4,FALSE)&amp;" / "&amp;VLOOKUP(B30,'Infos joueurs'!$A:$M,9,FALSE),"12"),IF(B30&gt;0,VLOOKUP(B30,'Infos joueurs'!$A:$M,4,FALSE)&amp;" "&amp;VLOOKUP(B30,'Infos joueurs'!$A:$M,5,FALSE),"12"))</f>
        <v>Germanier Enzo</v>
      </c>
      <c r="E30" s="156"/>
      <c r="F30" s="150"/>
      <c r="G30" s="163"/>
      <c r="H30" s="180"/>
      <c r="I30" s="163"/>
      <c r="J30" s="150"/>
      <c r="K30" s="157"/>
      <c r="L30" s="150"/>
      <c r="M30" s="183"/>
      <c r="N30" s="163"/>
      <c r="O30" s="363" t="s">
        <v>320</v>
      </c>
      <c r="P30" s="363"/>
      <c r="Q30" s="172"/>
      <c r="R30" s="172"/>
      <c r="S30" s="172"/>
      <c r="T30" s="172"/>
      <c r="W30" s="189"/>
      <c r="X30" s="156"/>
      <c r="Y30" s="169" t="str">
        <f>IF(X30+X31=0,"",IF(X30&gt;X31,W29,W31))</f>
        <v/>
      </c>
      <c r="Z30" s="174"/>
      <c r="AA30" s="368">
        <v>4</v>
      </c>
      <c r="AB30" s="368" t="str">
        <f>IF(M77+M78=0,"",IF(M77&lt;M78,L76,L78))</f>
        <v/>
      </c>
      <c r="AC30" s="368"/>
      <c r="AD30" s="368"/>
      <c r="AE30" s="368"/>
      <c r="AF30" s="368">
        <v>20</v>
      </c>
      <c r="AG30" s="368" t="str">
        <f>IF(Q79+Q80=0,"",IF(Q79&lt;Q80,P78,P80))</f>
        <v/>
      </c>
      <c r="AH30" s="368"/>
      <c r="AI30" s="368"/>
      <c r="AJ30" s="368"/>
      <c r="CC30" s="174"/>
      <c r="CD30" s="174"/>
      <c r="CE30" s="174"/>
      <c r="CF30" s="174"/>
      <c r="CG30" s="174"/>
      <c r="CH30" s="174"/>
      <c r="CI30" s="174"/>
    </row>
    <row r="31" spans="1:87" ht="9" customHeight="1" x14ac:dyDescent="0.15">
      <c r="B31" s="150"/>
      <c r="C31" s="150"/>
      <c r="D31" s="155"/>
      <c r="E31" s="163"/>
      <c r="F31" s="150"/>
      <c r="G31" s="163"/>
      <c r="H31" s="180"/>
      <c r="I31" s="178"/>
      <c r="J31" s="171" t="str">
        <f>IF(I31+I32=0,"",IF(I31&gt;I32,H27,H35))</f>
        <v/>
      </c>
      <c r="K31" s="157"/>
      <c r="L31" s="150"/>
      <c r="M31" s="183"/>
      <c r="N31" s="163"/>
      <c r="O31" s="363"/>
      <c r="P31" s="363"/>
      <c r="Q31" s="172"/>
      <c r="R31" s="172"/>
      <c r="S31" s="172"/>
      <c r="T31" s="172"/>
      <c r="V31" s="173"/>
      <c r="W31" s="169" t="str">
        <f>IF(S23+S24=0,"",IF(S23&lt;S24,R21,R25))</f>
        <v/>
      </c>
      <c r="X31" s="156"/>
      <c r="Y31" s="150"/>
      <c r="Z31" s="150"/>
      <c r="AA31" s="368"/>
      <c r="AB31" s="369"/>
      <c r="AC31" s="369"/>
      <c r="AD31" s="369"/>
      <c r="AE31" s="369"/>
      <c r="AF31" s="368"/>
      <c r="AG31" s="369"/>
      <c r="AH31" s="369"/>
      <c r="AI31" s="369"/>
      <c r="AJ31" s="369"/>
      <c r="CC31" s="150"/>
      <c r="CD31" s="150"/>
      <c r="CE31" s="150"/>
      <c r="CF31" s="150"/>
      <c r="CG31" s="150"/>
      <c r="CH31" s="150"/>
      <c r="CI31" s="150"/>
    </row>
    <row r="32" spans="1:87" ht="9" customHeight="1" x14ac:dyDescent="0.15">
      <c r="A32" s="167"/>
      <c r="B32" s="168">
        <f>IF(A32&gt;0,A32,INDEX('Classement pour tableau final'!$AB$11:$AB$266,MATCH(13,'Classement pour tableau final'!$Y$11:$Y$266,0)))</f>
        <v>13</v>
      </c>
      <c r="C32" s="150"/>
      <c r="D32" s="169" t="str">
        <f>IF('Infos générales'!$E$2="x",IF(B32&gt;0,VLOOKUP(B32,'Infos joueurs'!$A:$M,4,FALSE)&amp;" / "&amp;VLOOKUP(B32,'Infos joueurs'!$A:$M,9,FALSE),"13"),IF(B32&gt;0,VLOOKUP(B32,'Infos joueurs'!$A:$M,4,FALSE)&amp;" "&amp;VLOOKUP(B32,'Infos joueurs'!$A:$M,5,FALSE),"13"))</f>
        <v>Heldner Mathis</v>
      </c>
      <c r="E32" s="163"/>
      <c r="F32" s="150"/>
      <c r="G32" s="163"/>
      <c r="H32" s="180"/>
      <c r="I32" s="178"/>
      <c r="J32" s="150"/>
      <c r="K32" s="163"/>
      <c r="L32" s="150"/>
      <c r="M32" s="183"/>
      <c r="N32" s="163"/>
      <c r="O32" s="172"/>
      <c r="P32" s="172"/>
      <c r="Q32" s="172"/>
      <c r="R32" s="172"/>
      <c r="S32" s="172"/>
      <c r="T32" s="172"/>
    </row>
    <row r="33" spans="1:239" ht="9" customHeight="1" x14ac:dyDescent="0.15">
      <c r="B33" s="150"/>
      <c r="C33" s="150"/>
      <c r="D33" s="155"/>
      <c r="E33" s="156"/>
      <c r="F33" s="170" t="str">
        <f>IF(E33+E34=0,"",IF(E33&gt;E34,D32,D34))</f>
        <v/>
      </c>
      <c r="G33" s="163"/>
      <c r="H33" s="180"/>
      <c r="I33" s="163"/>
      <c r="J33" s="150"/>
      <c r="K33" s="163"/>
      <c r="L33" s="150"/>
      <c r="M33" s="183"/>
      <c r="N33" s="163"/>
      <c r="AA33" s="187"/>
      <c r="AB33" s="150"/>
      <c r="AC33" s="150"/>
      <c r="AD33" s="177"/>
      <c r="AE33" s="150"/>
      <c r="AF33" s="187"/>
      <c r="AG33" s="150"/>
      <c r="AH33" s="150"/>
      <c r="AI33" s="150"/>
    </row>
    <row r="34" spans="1:239" ht="9" customHeight="1" x14ac:dyDescent="0.15">
      <c r="A34" s="167"/>
      <c r="B34" s="168">
        <f>IF(A34&gt;0,A34,INDEX('Classement pour tableau final'!$AB$11:$AB$266,MATCH(20,'Classement pour tableau final'!$Y$11:$Y$266,0)))</f>
        <v>20</v>
      </c>
      <c r="C34" s="150"/>
      <c r="D34" s="169" t="str">
        <f>IF('Infos générales'!$E$2="x",IF(B34&gt;0,VLOOKUP(B34,'Infos joueurs'!$A:$M,4,FALSE)&amp;" / "&amp;VLOOKUP(B34,'Infos joueurs'!$A:$M,9,FALSE),"20"),IF(B34&gt;0,VLOOKUP(B34,'Infos joueurs'!$A:$M,4,FALSE)&amp;" "&amp;VLOOKUP(B34,'Infos joueurs'!$A:$M,5,FALSE),"20"))</f>
        <v>Mercier Maël</v>
      </c>
      <c r="E34" s="156"/>
      <c r="F34" s="150"/>
      <c r="G34" s="157"/>
      <c r="H34" s="180"/>
      <c r="I34" s="163"/>
      <c r="J34" s="150"/>
      <c r="K34" s="163"/>
      <c r="L34" s="150"/>
      <c r="M34" s="183"/>
      <c r="N34" s="163"/>
      <c r="O34" s="173"/>
      <c r="P34" s="169" t="str">
        <f>IF(Q13+Q14=0,"",IF(Q13&lt;Q14,P12,P14))</f>
        <v/>
      </c>
      <c r="Q34" s="163"/>
      <c r="R34" s="150"/>
      <c r="S34" s="150"/>
      <c r="T34" s="150"/>
      <c r="AA34" s="368">
        <v>5</v>
      </c>
      <c r="AB34" s="368" t="str">
        <f>IF(S51+S52=0,"",IF(S51&gt;S52,R49,R53))</f>
        <v/>
      </c>
      <c r="AC34" s="368"/>
      <c r="AD34" s="368"/>
      <c r="AE34" s="368"/>
      <c r="AF34" s="368">
        <v>21</v>
      </c>
      <c r="AG34" s="368" t="str">
        <f>IF(S65+S66=0,"",IF(S65&gt;S66,R63,R67))</f>
        <v/>
      </c>
      <c r="AH34" s="368"/>
      <c r="AI34" s="368"/>
      <c r="AJ34" s="368"/>
    </row>
    <row r="35" spans="1:239" ht="9" customHeight="1" x14ac:dyDescent="0.15">
      <c r="B35" s="150"/>
      <c r="C35" s="150"/>
      <c r="D35" s="155"/>
      <c r="E35" s="163"/>
      <c r="F35" s="150"/>
      <c r="G35" s="156"/>
      <c r="H35" s="181" t="str">
        <f>IF(G35+G36=0,"",IF(G35&gt;G36,F33,F37))</f>
        <v/>
      </c>
      <c r="I35" s="163"/>
      <c r="J35" s="150"/>
      <c r="K35" s="163"/>
      <c r="L35" s="150"/>
      <c r="M35" s="183"/>
      <c r="N35" s="163"/>
      <c r="P35" s="155"/>
      <c r="Q35" s="156"/>
      <c r="R35" s="169" t="str">
        <f>IF(Q35+Q36=0,"",IF(Q35&gt;Q36,P34,P36))</f>
        <v/>
      </c>
      <c r="S35" s="163"/>
      <c r="T35" s="150"/>
      <c r="U35" s="150"/>
      <c r="AA35" s="368"/>
      <c r="AB35" s="369"/>
      <c r="AC35" s="369"/>
      <c r="AD35" s="369"/>
      <c r="AE35" s="369"/>
      <c r="AF35" s="368"/>
      <c r="AG35" s="369"/>
      <c r="AH35" s="369"/>
      <c r="AI35" s="369"/>
      <c r="AJ35" s="369"/>
    </row>
    <row r="36" spans="1:239" ht="9" customHeight="1" x14ac:dyDescent="0.15">
      <c r="A36" s="167"/>
      <c r="B36" s="168">
        <f>IF(A36&gt;0,A36,INDEX('Classement pour tableau final'!$AB$11:$AB$266,MATCH(29,'Classement pour tableau final'!$Y$11:$Y$266,0)))</f>
        <v>29</v>
      </c>
      <c r="C36" s="150"/>
      <c r="D36" s="169" t="str">
        <f>IF('Infos générales'!$E$2="x",IF(B36&gt;0,VLOOKUP(B36,'Infos joueurs'!$A:$M,4,FALSE)&amp;" / "&amp;VLOOKUP(B36,'Infos joueurs'!$A:$M,9,FALSE),"29"),IF(B36&gt;0,VLOOKUP(B36,'Infos joueurs'!$A:$M,4,FALSE)&amp;" "&amp;VLOOKUP(B36,'Infos joueurs'!$A:$M,5,FALSE),"29"))</f>
        <v>Sola Noam</v>
      </c>
      <c r="E36" s="163"/>
      <c r="F36" s="150"/>
      <c r="G36" s="156"/>
      <c r="H36" s="150"/>
      <c r="I36" s="163"/>
      <c r="J36" s="150"/>
      <c r="K36" s="163"/>
      <c r="L36" s="150"/>
      <c r="M36" s="183"/>
      <c r="N36" s="163"/>
      <c r="O36" s="173"/>
      <c r="P36" s="169" t="str">
        <f>IF(Q17+Q18=0,"",IF(Q17&lt;Q18,P16,P18))</f>
        <v/>
      </c>
      <c r="Q36" s="156"/>
      <c r="R36" s="150"/>
      <c r="S36" s="157"/>
      <c r="T36" s="150"/>
      <c r="U36" s="150"/>
      <c r="AA36" s="187"/>
      <c r="AB36" s="150"/>
      <c r="AC36" s="150"/>
      <c r="AD36" s="177"/>
      <c r="AE36" s="150"/>
      <c r="AF36" s="187"/>
      <c r="AG36" s="150"/>
      <c r="AH36" s="150"/>
      <c r="AI36" s="150"/>
    </row>
    <row r="37" spans="1:239" ht="9" customHeight="1" x14ac:dyDescent="0.15">
      <c r="B37" s="150"/>
      <c r="C37" s="150"/>
      <c r="D37" s="155"/>
      <c r="E37" s="156"/>
      <c r="F37" s="170" t="str">
        <f>IF(E37+E38=0,"",IF(E37&gt;E38,D36,D38))</f>
        <v/>
      </c>
      <c r="G37" s="157"/>
      <c r="H37" s="150"/>
      <c r="I37" s="163"/>
      <c r="J37" s="150"/>
      <c r="K37" s="163"/>
      <c r="L37" s="150"/>
      <c r="M37" s="183"/>
      <c r="N37" s="163"/>
      <c r="P37" s="155"/>
      <c r="Q37" s="163"/>
      <c r="R37" s="150"/>
      <c r="S37" s="156"/>
      <c r="T37" s="171" t="str">
        <f>IF(S37+S38=0,"",IF(S37&gt;S38,R35,R39))</f>
        <v/>
      </c>
      <c r="U37" s="160"/>
      <c r="Y37" s="151"/>
      <c r="Z37" s="151"/>
    </row>
    <row r="38" spans="1:239" ht="9" customHeight="1" x14ac:dyDescent="0.15">
      <c r="A38" s="167"/>
      <c r="B38" s="168">
        <f>IF(A38&gt;0,A38,INDEX('Classement pour tableau final'!$AB$11:$AB$266,MATCH(4,'Classement pour tableau final'!$Y$11:$Y$266,0)))</f>
        <v>4</v>
      </c>
      <c r="C38" s="150"/>
      <c r="D38" s="169" t="str">
        <f>IF('Infos générales'!$E$2="x",IF(B38&gt;0,VLOOKUP(B38,'Infos joueurs'!$A:$M,4,FALSE)&amp;" / "&amp;VLOOKUP(B38,'Infos joueurs'!$A:$M,9,FALSE),"4"),IF(B38&gt;0,VLOOKUP(B38,'Infos joueurs'!$A:$M,4,FALSE)&amp;" "&amp;VLOOKUP(B38,'Infos joueurs'!$A:$M,5,FALSE),"4"))</f>
        <v>Blazquez Esteban</v>
      </c>
      <c r="E38" s="156"/>
      <c r="F38" s="150"/>
      <c r="G38" s="163"/>
      <c r="H38" s="150"/>
      <c r="I38" s="163"/>
      <c r="J38" s="150"/>
      <c r="K38" s="163"/>
      <c r="L38" s="150"/>
      <c r="M38" s="183"/>
      <c r="N38" s="163"/>
      <c r="O38" s="173"/>
      <c r="P38" s="169" t="str">
        <f>IF(Q21+Q22=0,"",IF(Q21&lt;Q22,P20,P22))</f>
        <v/>
      </c>
      <c r="Q38" s="163"/>
      <c r="R38" s="150"/>
      <c r="S38" s="156"/>
      <c r="T38" s="150"/>
      <c r="U38" s="150"/>
      <c r="W38" s="363" t="s">
        <v>321</v>
      </c>
      <c r="X38" s="363"/>
      <c r="Y38" s="172"/>
      <c r="Z38" s="172"/>
      <c r="AA38" s="368">
        <v>6</v>
      </c>
      <c r="AB38" s="368" t="str">
        <f>IF(S51+S52=0,"",IF(S51&lt;S52,R49,R53))</f>
        <v/>
      </c>
      <c r="AC38" s="368"/>
      <c r="AD38" s="368"/>
      <c r="AE38" s="368"/>
      <c r="AF38" s="368">
        <v>22</v>
      </c>
      <c r="AG38" s="368" t="str">
        <f>IF(S65+S66=0,"",IF(S65&lt;S66,R63,R67))</f>
        <v/>
      </c>
      <c r="AH38" s="368"/>
      <c r="AI38" s="368"/>
      <c r="AJ38" s="368"/>
      <c r="AP38" s="172"/>
      <c r="BZ38" s="172"/>
      <c r="CA38" s="172"/>
      <c r="CB38" s="172"/>
      <c r="CC38" s="172"/>
      <c r="CD38" s="172"/>
      <c r="CE38" s="172"/>
    </row>
    <row r="39" spans="1:239" ht="9" customHeight="1" x14ac:dyDescent="0.15">
      <c r="B39" s="150"/>
      <c r="C39" s="150"/>
      <c r="D39" s="155"/>
      <c r="E39" s="163"/>
      <c r="F39" s="150"/>
      <c r="G39" s="163"/>
      <c r="H39" s="150"/>
      <c r="I39" s="163"/>
      <c r="J39" s="150"/>
      <c r="K39" s="163"/>
      <c r="L39" s="150"/>
      <c r="M39" s="185"/>
      <c r="N39" s="163"/>
      <c r="P39" s="155"/>
      <c r="Q39" s="156"/>
      <c r="R39" s="170" t="str">
        <f>IF(Q39+Q40=0,"",IF(Q39&gt;Q40,P38,P40))</f>
        <v/>
      </c>
      <c r="S39" s="157"/>
      <c r="T39" s="150"/>
      <c r="U39" s="150"/>
      <c r="V39" s="172"/>
      <c r="W39" s="363"/>
      <c r="X39" s="363"/>
      <c r="Y39" s="172"/>
      <c r="Z39" s="172"/>
      <c r="AA39" s="368"/>
      <c r="AB39" s="369"/>
      <c r="AC39" s="369"/>
      <c r="AD39" s="369"/>
      <c r="AE39" s="369"/>
      <c r="AF39" s="368"/>
      <c r="AG39" s="369"/>
      <c r="AH39" s="369"/>
      <c r="AI39" s="369"/>
      <c r="AJ39" s="369"/>
      <c r="AP39" s="172"/>
      <c r="BZ39" s="172"/>
      <c r="CA39" s="172"/>
      <c r="CB39" s="172"/>
      <c r="CC39" s="172"/>
      <c r="CD39" s="172"/>
      <c r="CE39" s="172"/>
      <c r="CF39" s="150"/>
      <c r="CG39" s="150"/>
      <c r="CH39" s="150"/>
      <c r="CI39" s="150"/>
      <c r="CJ39" s="150"/>
      <c r="CK39" s="150"/>
      <c r="CL39" s="150"/>
    </row>
    <row r="40" spans="1:239" ht="9" customHeight="1" x14ac:dyDescent="0.15">
      <c r="A40" s="167"/>
      <c r="B40" s="168">
        <f>IF(A40&gt;0,A40,INDEX('Classement pour tableau final'!$AB$11:$AB$266,MATCH(3,'Classement pour tableau final'!$Y$11:$Y$266,0)))</f>
        <v>3</v>
      </c>
      <c r="C40" s="150"/>
      <c r="D40" s="169" t="str">
        <f>IF('Infos générales'!$E$2="x",IF(B40&gt;0,VLOOKUP(B40,'Infos joueurs'!$A:$M,4,FALSE)&amp;" / "&amp;VLOOKUP(B40,'Infos joueurs'!$A:$M,9,FALSE),"5"),IF(B40&gt;0,VLOOKUP(B40,'Infos joueurs'!$A:$M,4,FALSE)&amp;" "&amp;VLOOKUP(B40,'Infos joueurs'!$A:$M,5,FALSE),"5"))</f>
        <v>Berisha Fatlum</v>
      </c>
      <c r="E40" s="163"/>
      <c r="F40" s="150"/>
      <c r="G40" s="163"/>
      <c r="H40" s="150"/>
      <c r="I40" s="163"/>
      <c r="J40" s="150"/>
      <c r="K40" s="163"/>
      <c r="L40" s="150"/>
      <c r="M40" s="156"/>
      <c r="N40" s="171" t="str">
        <f>IF(M40+M41=0,"",IF(M40&gt;M41,L23,L55))</f>
        <v/>
      </c>
      <c r="O40" s="173"/>
      <c r="P40" s="169" t="str">
        <f>IF(Q25+Q26=0,"",IF(Q25&lt;Q26,P24,P26))</f>
        <v/>
      </c>
      <c r="Q40" s="156"/>
      <c r="R40" s="150"/>
      <c r="S40" s="163"/>
      <c r="T40" s="150"/>
      <c r="U40" s="150"/>
      <c r="V40" s="172"/>
      <c r="W40" s="172"/>
      <c r="X40" s="172"/>
      <c r="Y40" s="172"/>
      <c r="Z40" s="172"/>
      <c r="AP40" s="172"/>
      <c r="BZ40" s="172"/>
      <c r="CA40" s="172"/>
      <c r="CB40" s="172"/>
      <c r="CC40" s="172"/>
      <c r="CD40" s="172"/>
      <c r="CE40" s="172"/>
      <c r="CF40" s="150"/>
      <c r="CG40" s="150"/>
      <c r="CH40" s="150"/>
      <c r="CI40" s="150"/>
      <c r="CJ40" s="150"/>
      <c r="CK40" s="150"/>
      <c r="CL40" s="150"/>
    </row>
    <row r="41" spans="1:239" ht="9" customHeight="1" x14ac:dyDescent="0.15">
      <c r="B41" s="150"/>
      <c r="C41" s="150"/>
      <c r="D41" s="155"/>
      <c r="E41" s="156"/>
      <c r="F41" s="170" t="str">
        <f>IF(E41+E42=0,"",IF(E41&gt;E42,D40,D42))</f>
        <v/>
      </c>
      <c r="G41" s="163"/>
      <c r="H41" s="150"/>
      <c r="I41" s="163"/>
      <c r="J41" s="150"/>
      <c r="K41" s="163"/>
      <c r="L41" s="150"/>
      <c r="M41" s="156"/>
      <c r="N41" s="150"/>
      <c r="U41" s="150"/>
      <c r="X41" s="150"/>
      <c r="Y41" s="150"/>
      <c r="Z41" s="150"/>
      <c r="BZ41" s="150"/>
      <c r="CF41" s="150"/>
      <c r="CG41" s="150"/>
      <c r="CH41" s="150"/>
      <c r="CI41" s="150"/>
      <c r="CJ41" s="150"/>
      <c r="CK41" s="150"/>
      <c r="CL41" s="150"/>
    </row>
    <row r="42" spans="1:239" ht="9" customHeight="1" x14ac:dyDescent="0.15">
      <c r="A42" s="167"/>
      <c r="B42" s="168">
        <f>IF(A42&gt;0,A42,INDEX('Classement pour tableau final'!$AB$11:$AB$266,MATCH(30,'Classement pour tableau final'!$Y$11:$Y$266,0)))</f>
        <v>30</v>
      </c>
      <c r="C42" s="150"/>
      <c r="D42" s="169" t="str">
        <f>IF('Infos générales'!$E$2="x",IF(B42&gt;0,VLOOKUP(B42,'Infos joueurs'!$A:$M,4,FALSE)&amp;" / "&amp;VLOOKUP(B42,'Infos joueurs'!$A:$M,9,FALSE),"30"),IF(B42&gt;0,VLOOKUP(B42,'Infos joueurs'!$A:$M,4,FALSE)&amp;" "&amp;VLOOKUP(B42,'Infos joueurs'!$A:$M,5,FALSE),"30"))</f>
        <v>Spano Emilien</v>
      </c>
      <c r="E42" s="156"/>
      <c r="F42" s="150"/>
      <c r="G42" s="157"/>
      <c r="H42" s="150"/>
      <c r="I42" s="163"/>
      <c r="J42" s="150"/>
      <c r="K42" s="163"/>
      <c r="L42" s="150"/>
      <c r="M42" s="182"/>
      <c r="N42" s="163"/>
      <c r="U42" s="150"/>
      <c r="V42" s="173"/>
      <c r="W42" s="169" t="str">
        <f>IF(Q35+Q36=0,"",IF(Q35&lt;Q36,P34,P36))</f>
        <v/>
      </c>
      <c r="X42" s="169"/>
      <c r="Y42" s="163"/>
      <c r="Z42" s="163"/>
      <c r="AA42" s="368">
        <v>7</v>
      </c>
      <c r="AB42" s="368" t="str">
        <f>IF(X57+X58=0,"",IF(X57&gt;X58,W56,W58))</f>
        <v/>
      </c>
      <c r="AC42" s="368"/>
      <c r="AD42" s="368"/>
      <c r="AE42" s="368"/>
      <c r="AF42" s="368">
        <v>23</v>
      </c>
      <c r="AG42" s="368" t="str">
        <f>IF(X71+X72=0,"",IF(X71&gt;X72,W70,W72))</f>
        <v/>
      </c>
      <c r="AH42" s="368"/>
      <c r="AI42" s="368"/>
      <c r="AJ42" s="368"/>
      <c r="AP42" s="163"/>
      <c r="AQ42" s="150"/>
      <c r="AR42" s="150"/>
      <c r="BF42" s="150"/>
      <c r="BG42" s="150"/>
      <c r="BH42" s="163"/>
      <c r="BZ42" s="174"/>
      <c r="CA42" s="174"/>
      <c r="CB42" s="150"/>
      <c r="CF42" s="150"/>
      <c r="CG42" s="150"/>
      <c r="CH42" s="150"/>
      <c r="CI42" s="150"/>
      <c r="CJ42" s="150"/>
      <c r="CK42" s="150"/>
      <c r="CL42" s="150"/>
      <c r="CM42" s="163"/>
      <c r="IB42" s="150"/>
      <c r="IC42" s="150"/>
      <c r="ID42" s="150"/>
      <c r="IE42" s="150"/>
    </row>
    <row r="43" spans="1:239" ht="9" customHeight="1" x14ac:dyDescent="0.15">
      <c r="B43" s="150"/>
      <c r="C43" s="150"/>
      <c r="D43" s="155"/>
      <c r="E43" s="163"/>
      <c r="F43" s="150"/>
      <c r="G43" s="156"/>
      <c r="H43" s="171" t="str">
        <f>IF(G43+G44=0,"",IF(G43&gt;G44,F41,F45))</f>
        <v/>
      </c>
      <c r="I43" s="163"/>
      <c r="J43" s="150"/>
      <c r="K43" s="163"/>
      <c r="L43" s="150"/>
      <c r="M43" s="183"/>
      <c r="N43" s="163"/>
      <c r="U43" s="150"/>
      <c r="W43" s="155"/>
      <c r="X43" s="156"/>
      <c r="Y43" s="169" t="str">
        <f>IF(X43+X44=0,"",IF(X43&gt;X44,W42,W44))</f>
        <v/>
      </c>
      <c r="Z43" s="174"/>
      <c r="AA43" s="368"/>
      <c r="AB43" s="369"/>
      <c r="AC43" s="369"/>
      <c r="AD43" s="369"/>
      <c r="AE43" s="369"/>
      <c r="AF43" s="368"/>
      <c r="AG43" s="369"/>
      <c r="AH43" s="369"/>
      <c r="AI43" s="369"/>
      <c r="AJ43" s="369"/>
      <c r="BF43" s="150"/>
      <c r="BG43" s="150"/>
      <c r="BH43" s="163"/>
      <c r="BZ43" s="150"/>
      <c r="CA43" s="150"/>
      <c r="CB43" s="150"/>
      <c r="CF43" s="174"/>
      <c r="CG43" s="174"/>
      <c r="CH43" s="174"/>
      <c r="CI43" s="174"/>
      <c r="CJ43" s="174"/>
      <c r="CK43" s="174"/>
      <c r="CL43" s="174"/>
      <c r="CM43" s="163"/>
      <c r="IB43" s="150"/>
      <c r="IC43" s="150"/>
      <c r="ID43" s="150"/>
      <c r="IE43" s="150"/>
    </row>
    <row r="44" spans="1:239" ht="9" customHeight="1" x14ac:dyDescent="0.15">
      <c r="A44" s="167"/>
      <c r="B44" s="168">
        <f>IF(A44&gt;0,A44,INDEX('Classement pour tableau final'!$AB$11:$AB$266,MATCH(19,'Classement pour tableau final'!$Y$11:$Y$266,0)))</f>
        <v>19</v>
      </c>
      <c r="C44" s="150"/>
      <c r="D44" s="169" t="str">
        <f>IF('Infos générales'!$E$2="x",IF(B44&gt;0,VLOOKUP(B44,'Infos joueurs'!$A:$M,4,FALSE)&amp;" / "&amp;VLOOKUP(B44,'Infos joueurs'!$A:$M,9,FALSE),"19"),IF(B44&gt;0,VLOOKUP(B44,'Infos joueurs'!$A:$M,4,FALSE)&amp;" "&amp;VLOOKUP(B44,'Infos joueurs'!$A:$M,5,FALSE),"19"))</f>
        <v>Mauris Romain</v>
      </c>
      <c r="E44" s="163"/>
      <c r="F44" s="150"/>
      <c r="G44" s="156"/>
      <c r="H44" s="179"/>
      <c r="I44" s="163"/>
      <c r="J44" s="150"/>
      <c r="K44" s="163"/>
      <c r="L44" s="150"/>
      <c r="M44" s="183"/>
      <c r="N44" s="163"/>
      <c r="O44" s="363" t="s">
        <v>322</v>
      </c>
      <c r="P44" s="363"/>
      <c r="Q44" s="172"/>
      <c r="R44" s="172"/>
      <c r="U44" s="150"/>
      <c r="V44" s="173"/>
      <c r="W44" s="169" t="str">
        <f>IF(Q39+Q40=0,"",IF(Q39&lt;Q40,P38,P40))</f>
        <v/>
      </c>
      <c r="X44" s="156"/>
      <c r="Y44" s="150"/>
      <c r="Z44" s="150"/>
      <c r="BF44" s="150"/>
      <c r="BG44" s="150"/>
      <c r="BH44" s="163"/>
      <c r="BZ44" s="174"/>
      <c r="CA44" s="160"/>
      <c r="CB44" s="150"/>
      <c r="CF44" s="150"/>
      <c r="CG44" s="150"/>
      <c r="CH44" s="150"/>
      <c r="CI44" s="150"/>
      <c r="CJ44" s="150"/>
      <c r="CK44" s="150"/>
      <c r="CL44" s="150"/>
      <c r="CM44" s="163"/>
      <c r="IB44" s="150"/>
      <c r="IC44" s="150"/>
      <c r="ID44" s="150"/>
      <c r="IE44" s="150"/>
    </row>
    <row r="45" spans="1:239" ht="9" customHeight="1" x14ac:dyDescent="0.15">
      <c r="B45" s="150"/>
      <c r="C45" s="150"/>
      <c r="D45" s="155"/>
      <c r="E45" s="156"/>
      <c r="F45" s="170" t="str">
        <f>IF(E45+E46=0,"",IF(E45&gt;E46,D44,D46))</f>
        <v/>
      </c>
      <c r="G45" s="157"/>
      <c r="H45" s="180"/>
      <c r="I45" s="163"/>
      <c r="J45" s="150"/>
      <c r="K45" s="163"/>
      <c r="L45" s="150"/>
      <c r="M45" s="183"/>
      <c r="N45" s="163"/>
      <c r="O45" s="363"/>
      <c r="P45" s="363"/>
      <c r="Q45" s="172"/>
      <c r="R45" s="172"/>
      <c r="U45" s="150"/>
      <c r="AA45" s="187"/>
      <c r="AB45" s="150"/>
      <c r="AC45" s="150"/>
      <c r="AD45" s="177"/>
      <c r="AE45" s="150"/>
      <c r="AF45" s="187"/>
      <c r="AG45" s="150"/>
      <c r="AH45" s="150"/>
      <c r="AI45" s="150"/>
      <c r="BF45" s="160"/>
      <c r="BG45" s="160"/>
      <c r="BH45" s="163"/>
      <c r="BZ45" s="150"/>
      <c r="CA45" s="150"/>
      <c r="CB45" s="150"/>
      <c r="IB45" s="150"/>
      <c r="IC45" s="150"/>
      <c r="ID45" s="150"/>
      <c r="IE45" s="150"/>
    </row>
    <row r="46" spans="1:239" ht="9" customHeight="1" x14ac:dyDescent="0.15">
      <c r="A46" s="167"/>
      <c r="B46" s="168">
        <f>IF(A46&gt;0,A46,INDEX('Classement pour tableau final'!$AB$11:$AB$266,MATCH(14,'Classement pour tableau final'!$Y$11:$Y$266,0)))</f>
        <v>14</v>
      </c>
      <c r="C46" s="150"/>
      <c r="D46" s="169" t="str">
        <f>IF('Infos générales'!$E$2="x",IF(B46&gt;0,VLOOKUP(B46,'Infos joueurs'!$A:$M,4,FALSE)&amp;" / "&amp;VLOOKUP(B46,'Infos joueurs'!$A:$M,9,FALSE),"14"),IF(B46&gt;0,VLOOKUP(B46,'Infos joueurs'!$A:$M,4,FALSE)&amp;" "&amp;VLOOKUP(B46,'Infos joueurs'!$A:$M,5,FALSE),"14"))</f>
        <v>Jacquod Thibaud</v>
      </c>
      <c r="E46" s="156"/>
      <c r="F46" s="150"/>
      <c r="G46" s="163"/>
      <c r="H46" s="180"/>
      <c r="I46" s="163"/>
      <c r="J46" s="150"/>
      <c r="K46" s="163"/>
      <c r="L46" s="150"/>
      <c r="M46" s="183"/>
      <c r="N46" s="163"/>
      <c r="O46" s="172"/>
      <c r="P46" s="172"/>
      <c r="Q46" s="172"/>
      <c r="R46" s="172"/>
      <c r="U46" s="150"/>
      <c r="AA46" s="368">
        <v>8</v>
      </c>
      <c r="AB46" s="368" t="str">
        <f>IF(X57+X58=0,"",IF(X57&lt;X58,W56,W58))</f>
        <v/>
      </c>
      <c r="AC46" s="368"/>
      <c r="AD46" s="368"/>
      <c r="AE46" s="368"/>
      <c r="AF46" s="368">
        <v>24</v>
      </c>
      <c r="AG46" s="368" t="str">
        <f>IF(X71+X72=0,"",IF(X71&lt;X72,W70,W72))</f>
        <v/>
      </c>
      <c r="AH46" s="368"/>
      <c r="AI46" s="368"/>
      <c r="AJ46" s="368"/>
      <c r="BF46" s="150"/>
      <c r="BG46" s="150"/>
      <c r="BH46" s="163"/>
      <c r="BZ46" s="150"/>
      <c r="CA46" s="150"/>
      <c r="CB46" s="150"/>
      <c r="IB46" s="150"/>
      <c r="IC46" s="150"/>
      <c r="ID46" s="150"/>
      <c r="IE46" s="150"/>
    </row>
    <row r="47" spans="1:239" ht="9" customHeight="1" x14ac:dyDescent="0.25">
      <c r="B47" s="150"/>
      <c r="C47" s="150"/>
      <c r="D47" s="155"/>
      <c r="E47" s="163"/>
      <c r="F47" s="150"/>
      <c r="G47" s="163"/>
      <c r="H47" s="180"/>
      <c r="I47" s="178"/>
      <c r="J47" s="171" t="str">
        <f>IF(I47+I48=0,"",IF(I47&gt;I48,H43,H51))</f>
        <v/>
      </c>
      <c r="K47" s="163"/>
      <c r="L47" s="150"/>
      <c r="M47" s="183"/>
      <c r="N47" s="163"/>
      <c r="U47" s="150"/>
      <c r="AA47" s="368"/>
      <c r="AB47" s="369"/>
      <c r="AC47" s="369"/>
      <c r="AD47" s="369"/>
      <c r="AE47" s="369"/>
      <c r="AF47" s="368"/>
      <c r="AG47" s="369"/>
      <c r="AH47" s="369"/>
      <c r="AI47" s="369"/>
      <c r="AJ47" s="369"/>
      <c r="BF47" s="150"/>
      <c r="BG47" s="150"/>
      <c r="BH47" s="163"/>
      <c r="BZ47" s="150"/>
      <c r="CA47" s="150"/>
      <c r="CB47" s="150"/>
      <c r="IB47" s="150"/>
      <c r="IC47" s="150"/>
      <c r="ID47" s="150"/>
      <c r="IE47" s="150"/>
    </row>
    <row r="48" spans="1:239" ht="9" customHeight="1" x14ac:dyDescent="0.15">
      <c r="A48" s="167"/>
      <c r="B48" s="168">
        <f>IF(A48&gt;0,A48,INDEX('Classement pour tableau final'!$AB$11:$AB$266,MATCH(11,'Classement pour tableau final'!$Y$11:$Y$266,0)))</f>
        <v>11</v>
      </c>
      <c r="C48" s="150"/>
      <c r="D48" s="169" t="str">
        <f>IF('Infos générales'!$E$2="x",IF(B48&gt;0,VLOOKUP(B48,'Infos joueurs'!$A:$M,4,FALSE)&amp;" / "&amp;VLOOKUP(B48,'Infos joueurs'!$A:$M,9,FALSE),"11"),IF(B48&gt;0,VLOOKUP(B48,'Infos joueurs'!$A:$M,4,FALSE)&amp;" "&amp;VLOOKUP(B48,'Infos joueurs'!$A:$M,5,FALSE),"11"))</f>
        <v>Gay Valentin</v>
      </c>
      <c r="E48" s="163"/>
      <c r="F48" s="150"/>
      <c r="G48" s="163"/>
      <c r="H48" s="180"/>
      <c r="I48" s="178"/>
      <c r="J48" s="150"/>
      <c r="K48" s="157"/>
      <c r="L48" s="150"/>
      <c r="M48" s="183"/>
      <c r="N48" s="163"/>
      <c r="O48" s="173"/>
      <c r="P48" s="169" t="str">
        <f>IF(I15+I16=0,"",IF(I15&lt;I16,H11,H19))</f>
        <v/>
      </c>
      <c r="Q48" s="163"/>
      <c r="R48" s="150"/>
      <c r="S48" s="163"/>
      <c r="T48" s="150"/>
      <c r="U48" s="150"/>
      <c r="AA48" s="187"/>
      <c r="AB48" s="150"/>
      <c r="AC48" s="150"/>
      <c r="AD48" s="177"/>
      <c r="AE48" s="150"/>
      <c r="AF48" s="187"/>
      <c r="AG48" s="150"/>
      <c r="AH48" s="150"/>
      <c r="AI48" s="150"/>
      <c r="BF48" s="150"/>
      <c r="BG48" s="150"/>
      <c r="BH48" s="163"/>
      <c r="BZ48" s="150"/>
      <c r="CA48" s="150"/>
      <c r="CB48" s="150"/>
      <c r="IB48" s="150"/>
      <c r="IC48" s="150"/>
      <c r="ID48" s="150"/>
      <c r="IE48" s="150"/>
    </row>
    <row r="49" spans="1:239" ht="9" customHeight="1" x14ac:dyDescent="0.15">
      <c r="B49" s="150"/>
      <c r="C49" s="150"/>
      <c r="D49" s="155"/>
      <c r="E49" s="156"/>
      <c r="F49" s="170" t="str">
        <f>IF(E49+E50=0,"",IF(E49&gt;E50,D48,D50))</f>
        <v/>
      </c>
      <c r="G49" s="163"/>
      <c r="H49" s="180"/>
      <c r="I49" s="163"/>
      <c r="J49" s="150"/>
      <c r="K49" s="157"/>
      <c r="L49" s="150"/>
      <c r="M49" s="183"/>
      <c r="N49" s="163"/>
      <c r="P49" s="155"/>
      <c r="Q49" s="156"/>
      <c r="R49" s="169" t="str">
        <f>IF(Q49+Q50=0,"",IF(Q49&gt;Q50,P48,P50))</f>
        <v/>
      </c>
      <c r="S49" s="163"/>
      <c r="T49" s="150"/>
      <c r="U49" s="150"/>
      <c r="IB49" s="150"/>
      <c r="IC49" s="150"/>
      <c r="ID49" s="150"/>
      <c r="IE49" s="150"/>
    </row>
    <row r="50" spans="1:239" ht="9" customHeight="1" x14ac:dyDescent="0.15">
      <c r="A50" s="167"/>
      <c r="B50" s="168">
        <f>IF(A50&gt;0,A50,INDEX('Classement pour tableau final'!$AB$11:$AB$266,MATCH(22,'Classement pour tableau final'!$Y$11:$Y$266,0)))</f>
        <v>22</v>
      </c>
      <c r="C50" s="150"/>
      <c r="D50" s="169" t="str">
        <f>IF('Infos générales'!$E$2="x",IF(B50&gt;0,VLOOKUP(B50,'Infos joueurs'!$A:$M,4,FALSE)&amp;" / "&amp;VLOOKUP(B50,'Infos joueurs'!$A:$M,9,FALSE),"22"),IF(B50&gt;0,VLOOKUP(B50,'Infos joueurs'!$A:$M,4,FALSE)&amp;" "&amp;VLOOKUP(B50,'Infos joueurs'!$A:$M,5,FALSE),"22"))</f>
        <v>Pellaton Robin</v>
      </c>
      <c r="E50" s="156"/>
      <c r="F50" s="150"/>
      <c r="G50" s="157"/>
      <c r="H50" s="180"/>
      <c r="I50" s="163"/>
      <c r="J50" s="150"/>
      <c r="K50" s="157"/>
      <c r="L50" s="150"/>
      <c r="M50" s="183"/>
      <c r="N50" s="163"/>
      <c r="O50" s="173"/>
      <c r="P50" s="169" t="str">
        <f>IF(I31+I32=0,"",IF(I31&lt;I32,H27,H35))</f>
        <v/>
      </c>
      <c r="Q50" s="156"/>
      <c r="R50" s="150"/>
      <c r="S50" s="157"/>
      <c r="T50" s="150"/>
      <c r="U50" s="150"/>
      <c r="AA50" s="368">
        <v>9</v>
      </c>
      <c r="AB50" s="368" t="str">
        <f>IF(U19+U20=0,"",IF(U19&gt;U20,T15,T23))</f>
        <v/>
      </c>
      <c r="AC50" s="368"/>
      <c r="AD50" s="368"/>
      <c r="AE50" s="368"/>
      <c r="AF50" s="368">
        <v>25</v>
      </c>
      <c r="AG50" s="368" t="str">
        <f>IF(I139+I140=0,"",IF(I139&gt;I140,H135,H143))</f>
        <v/>
      </c>
      <c r="AH50" s="368"/>
      <c r="AI50" s="368"/>
      <c r="AJ50" s="368"/>
      <c r="IB50" s="150"/>
      <c r="IC50" s="150"/>
      <c r="ID50" s="150"/>
      <c r="IE50" s="150"/>
    </row>
    <row r="51" spans="1:239" ht="9" customHeight="1" x14ac:dyDescent="0.25">
      <c r="B51" s="150"/>
      <c r="C51" s="150"/>
      <c r="D51" s="155"/>
      <c r="E51" s="163"/>
      <c r="F51" s="150"/>
      <c r="G51" s="156"/>
      <c r="H51" s="181" t="str">
        <f>IF(G51+G52=0,"",IF(G51&gt;G52,F49,F53))</f>
        <v/>
      </c>
      <c r="I51" s="163"/>
      <c r="J51" s="150"/>
      <c r="K51" s="157"/>
      <c r="L51" s="150"/>
      <c r="M51" s="183"/>
      <c r="N51" s="163"/>
      <c r="P51" s="155"/>
      <c r="Q51" s="163"/>
      <c r="R51" s="150"/>
      <c r="S51" s="156"/>
      <c r="T51" s="171" t="str">
        <f>IF(S51+S52=0,"",IF(S51&gt;S52,R49,R53))</f>
        <v/>
      </c>
      <c r="U51" s="160"/>
      <c r="AA51" s="368"/>
      <c r="AB51" s="369"/>
      <c r="AC51" s="369"/>
      <c r="AD51" s="369"/>
      <c r="AE51" s="369"/>
      <c r="AF51" s="368"/>
      <c r="AG51" s="369"/>
      <c r="AH51" s="369"/>
      <c r="AI51" s="369"/>
      <c r="AJ51" s="369"/>
      <c r="IB51" s="150"/>
      <c r="IC51" s="150"/>
      <c r="ID51" s="150"/>
      <c r="IE51" s="150"/>
    </row>
    <row r="52" spans="1:239" ht="9" customHeight="1" x14ac:dyDescent="0.15">
      <c r="A52" s="167"/>
      <c r="B52" s="168">
        <f>IF(A52&gt;0,A52,INDEX('Classement pour tableau final'!$AB$11:$AB$266,MATCH(27,'Classement pour tableau final'!$Y$11:$Y$266,0)))</f>
        <v>27</v>
      </c>
      <c r="C52" s="150"/>
      <c r="D52" s="169" t="str">
        <f>IF('Infos générales'!$E$2="x",IF(B52&gt;0,VLOOKUP(B52,'Infos joueurs'!$A:$M,4,FALSE)&amp;" / "&amp;VLOOKUP(B52,'Infos joueurs'!$A:$M,9,FALSE),"27"),IF(B52&gt;0,VLOOKUP(B52,'Infos joueurs'!$A:$M,4,FALSE)&amp;" "&amp;VLOOKUP(B52,'Infos joueurs'!$A:$M,5,FALSE),"27"))</f>
        <v>Savoy David</v>
      </c>
      <c r="E52" s="163"/>
      <c r="F52" s="150"/>
      <c r="G52" s="156"/>
      <c r="H52" s="150"/>
      <c r="I52" s="163"/>
      <c r="J52" s="150"/>
      <c r="K52" s="157"/>
      <c r="L52" s="150"/>
      <c r="M52" s="183"/>
      <c r="N52" s="163"/>
      <c r="O52" s="173"/>
      <c r="P52" s="169" t="str">
        <f>IF(I47+I48=0,"",IF(I47&lt;I48,H43,H51))</f>
        <v/>
      </c>
      <c r="Q52" s="163"/>
      <c r="R52" s="150"/>
      <c r="S52" s="156"/>
      <c r="T52" s="150"/>
      <c r="U52" s="150"/>
      <c r="W52" s="363" t="s">
        <v>323</v>
      </c>
      <c r="X52" s="363"/>
      <c r="Y52" s="172"/>
      <c r="Z52" s="172"/>
      <c r="BZ52" s="172"/>
      <c r="CA52" s="172"/>
      <c r="CB52" s="172"/>
      <c r="CC52" s="172"/>
      <c r="CD52" s="172"/>
      <c r="CE52" s="172"/>
      <c r="IB52" s="150"/>
      <c r="IC52" s="150"/>
      <c r="ID52" s="150"/>
      <c r="IE52" s="150"/>
    </row>
    <row r="53" spans="1:239" ht="9" customHeight="1" x14ac:dyDescent="0.15">
      <c r="B53" s="150"/>
      <c r="C53" s="150"/>
      <c r="D53" s="155"/>
      <c r="E53" s="156"/>
      <c r="F53" s="170" t="str">
        <f>IF(E53+E54=0,"",IF(E53&gt;E54,D52,D54))</f>
        <v/>
      </c>
      <c r="G53" s="157"/>
      <c r="H53" s="150"/>
      <c r="I53" s="163"/>
      <c r="J53" s="150"/>
      <c r="K53" s="157"/>
      <c r="L53" s="150"/>
      <c r="M53" s="183"/>
      <c r="N53" s="163"/>
      <c r="P53" s="155"/>
      <c r="Q53" s="156"/>
      <c r="R53" s="170" t="str">
        <f>IF(Q53+Q54=0,"",IF(Q53&gt;Q54,P52,P54))</f>
        <v/>
      </c>
      <c r="S53" s="157"/>
      <c r="T53" s="150"/>
      <c r="U53" s="150"/>
      <c r="V53" s="172"/>
      <c r="W53" s="363"/>
      <c r="X53" s="363"/>
      <c r="Y53" s="172"/>
      <c r="Z53" s="172"/>
      <c r="BZ53" s="172"/>
      <c r="CA53" s="172"/>
      <c r="CB53" s="172"/>
      <c r="CC53" s="172"/>
      <c r="CD53" s="172"/>
      <c r="CE53" s="172"/>
      <c r="IB53" s="150"/>
      <c r="IC53" s="150"/>
      <c r="ID53" s="150"/>
      <c r="IE53" s="150"/>
    </row>
    <row r="54" spans="1:239" ht="9" customHeight="1" x14ac:dyDescent="0.15">
      <c r="A54" s="167"/>
      <c r="B54" s="168">
        <f>IF(A54&gt;0,A54,INDEX('Classement pour tableau final'!$AB$11:$AB$266,MATCH(6,'Classement pour tableau final'!$Y$11:$Y$266,0)))</f>
        <v>6</v>
      </c>
      <c r="C54" s="150"/>
      <c r="D54" s="169" t="str">
        <f>IF('Infos générales'!$E$2="x",IF(B54&gt;0,VLOOKUP(B54,'Infos joueurs'!$A:$M,4,FALSE)&amp;" / "&amp;VLOOKUP(B54,'Infos joueurs'!$A:$M,9,FALSE),"6"),IF(B54&gt;0,VLOOKUP(B54,'Infos joueurs'!$A:$M,4,FALSE)&amp;" "&amp;VLOOKUP(B54,'Infos joueurs'!$A:$M,5,FALSE),"6"))</f>
        <v>Clerc Manon</v>
      </c>
      <c r="E54" s="156"/>
      <c r="F54" s="150"/>
      <c r="G54" s="163"/>
      <c r="H54" s="150"/>
      <c r="I54" s="163"/>
      <c r="J54" s="150"/>
      <c r="K54" s="157"/>
      <c r="L54" s="150"/>
      <c r="M54" s="183"/>
      <c r="N54" s="163"/>
      <c r="O54" s="173"/>
      <c r="P54" s="169" t="str">
        <f>IF(I63+I64=0,"",IF(I63&lt;I64,H59,H67))</f>
        <v/>
      </c>
      <c r="Q54" s="156"/>
      <c r="R54" s="150"/>
      <c r="S54" s="150"/>
      <c r="T54" s="150"/>
      <c r="U54" s="150"/>
      <c r="V54" s="172"/>
      <c r="W54" s="172"/>
      <c r="X54" s="172"/>
      <c r="Y54" s="172"/>
      <c r="Z54" s="172"/>
      <c r="AA54" s="368">
        <v>10</v>
      </c>
      <c r="AB54" s="368" t="str">
        <f>IF(U19+U20=0,"",IF(U19&lt;U20,T15,T23))</f>
        <v/>
      </c>
      <c r="AC54" s="368"/>
      <c r="AD54" s="368"/>
      <c r="AE54" s="368"/>
      <c r="AF54" s="368">
        <v>26</v>
      </c>
      <c r="AG54" s="368" t="str">
        <f>IF(I139+I140=0,"",IF(I139&lt;I140,H135,H143))</f>
        <v/>
      </c>
      <c r="AH54" s="368"/>
      <c r="AI54" s="368"/>
      <c r="AJ54" s="368"/>
      <c r="BZ54" s="172"/>
      <c r="CA54" s="172"/>
      <c r="CB54" s="172"/>
      <c r="CC54" s="172"/>
      <c r="CD54" s="172"/>
      <c r="CE54" s="172"/>
      <c r="IB54" s="150"/>
      <c r="IC54" s="150"/>
      <c r="ID54" s="150"/>
      <c r="IE54" s="150"/>
    </row>
    <row r="55" spans="1:239" ht="9" customHeight="1" x14ac:dyDescent="0.25">
      <c r="B55" s="150"/>
      <c r="C55" s="150"/>
      <c r="D55" s="155"/>
      <c r="E55" s="163"/>
      <c r="F55" s="150"/>
      <c r="G55" s="163"/>
      <c r="H55" s="150"/>
      <c r="I55" s="163"/>
      <c r="J55" s="150"/>
      <c r="K55" s="156"/>
      <c r="L55" s="171" t="str">
        <f>IF(K55+K56=0,"",IF(K55&gt;K56,J47,J63))</f>
        <v/>
      </c>
      <c r="M55" s="184"/>
      <c r="N55" s="163"/>
      <c r="U55" s="150"/>
      <c r="V55" s="150"/>
      <c r="W55" s="163"/>
      <c r="X55" s="150"/>
      <c r="Y55" s="150"/>
      <c r="Z55" s="150"/>
      <c r="AA55" s="368"/>
      <c r="AB55" s="369"/>
      <c r="AC55" s="369"/>
      <c r="AD55" s="369"/>
      <c r="AE55" s="369"/>
      <c r="AF55" s="368"/>
      <c r="AG55" s="369"/>
      <c r="AH55" s="369"/>
      <c r="AI55" s="369"/>
      <c r="AJ55" s="369"/>
      <c r="BJ55" s="150"/>
      <c r="BK55" s="150"/>
      <c r="BL55" s="150"/>
      <c r="BM55" s="150"/>
      <c r="BZ55" s="150"/>
      <c r="IB55" s="150"/>
      <c r="IC55" s="150"/>
      <c r="ID55" s="150"/>
      <c r="IE55" s="150"/>
    </row>
    <row r="56" spans="1:239" ht="9" customHeight="1" x14ac:dyDescent="0.15">
      <c r="A56" s="167"/>
      <c r="B56" s="168">
        <f>IF(A56&gt;0,A56,INDEX('Classement pour tableau final'!$AB$11:$AB$266,MATCH(7,'Classement pour tableau final'!$Y$11:$Y$266,0)))</f>
        <v>7</v>
      </c>
      <c r="C56" s="150"/>
      <c r="D56" s="169" t="str">
        <f>IF('Infos générales'!$E$2="x",IF(B56&gt;0,VLOOKUP(B56,'Infos joueurs'!$A:$M,4,FALSE)&amp;" / "&amp;VLOOKUP(B56,'Infos joueurs'!$A:$M,9,FALSE),"7"),IF(B56&gt;0,VLOOKUP(B56,'Infos joueurs'!$A:$M,4,FALSE)&amp;" "&amp;VLOOKUP(B56,'Infos joueurs'!$A:$M,5,FALSE),"7"))</f>
        <v>Debons Elie</v>
      </c>
      <c r="E56" s="163"/>
      <c r="F56" s="150"/>
      <c r="G56" s="163"/>
      <c r="H56" s="150"/>
      <c r="I56" s="163"/>
      <c r="J56" s="150"/>
      <c r="K56" s="156"/>
      <c r="L56" s="150"/>
      <c r="M56" s="150"/>
      <c r="N56" s="150"/>
      <c r="U56" s="150"/>
      <c r="V56" s="173"/>
      <c r="W56" s="169" t="str">
        <f>IF(Q49+Q50=0,"",IF(Q49&lt;Q50,P48,P50))</f>
        <v/>
      </c>
      <c r="X56" s="169"/>
      <c r="Y56" s="163"/>
      <c r="Z56" s="163"/>
      <c r="BA56" s="150"/>
      <c r="BB56" s="150"/>
      <c r="BC56" s="150"/>
      <c r="BD56" s="150"/>
      <c r="BE56" s="150"/>
      <c r="BF56" s="150"/>
      <c r="BG56" s="150"/>
      <c r="BH56" s="163"/>
      <c r="BJ56" s="150"/>
      <c r="BK56" s="150"/>
      <c r="BL56" s="150"/>
      <c r="BM56" s="150"/>
      <c r="BZ56" s="174"/>
      <c r="CA56" s="174"/>
      <c r="CB56" s="150"/>
      <c r="CF56" s="150"/>
      <c r="CG56" s="150"/>
      <c r="CH56" s="150"/>
      <c r="CI56" s="150"/>
      <c r="CJ56" s="150"/>
      <c r="CK56" s="150"/>
      <c r="CL56" s="150"/>
      <c r="CM56" s="163"/>
      <c r="IB56" s="150"/>
      <c r="IC56" s="150"/>
      <c r="ID56" s="150"/>
      <c r="IE56" s="150"/>
    </row>
    <row r="57" spans="1:239" ht="9" customHeight="1" x14ac:dyDescent="0.15">
      <c r="B57" s="150"/>
      <c r="C57" s="150"/>
      <c r="D57" s="155"/>
      <c r="E57" s="156"/>
      <c r="F57" s="170" t="str">
        <f>IF(E57+E58=0,"",IF(E57&gt;E58,D56,D58))</f>
        <v/>
      </c>
      <c r="G57" s="163"/>
      <c r="H57" s="150"/>
      <c r="I57" s="163"/>
      <c r="J57" s="150"/>
      <c r="K57" s="182"/>
      <c r="L57" s="163"/>
      <c r="M57" s="150"/>
      <c r="N57" s="150"/>
      <c r="U57" s="150"/>
      <c r="W57" s="155"/>
      <c r="X57" s="156"/>
      <c r="Y57" s="169" t="str">
        <f>IF(X57+X58=0,"",IF(X57&gt;X58,W56,W58))</f>
        <v/>
      </c>
      <c r="Z57" s="174"/>
      <c r="AA57" s="187"/>
      <c r="AB57" s="150"/>
      <c r="AC57" s="150"/>
      <c r="AD57" s="177"/>
      <c r="AE57" s="150"/>
      <c r="AF57" s="187"/>
      <c r="AG57" s="150"/>
      <c r="AH57" s="150"/>
      <c r="AI57" s="150"/>
      <c r="BA57" s="150"/>
      <c r="BB57" s="150"/>
      <c r="BC57" s="150"/>
      <c r="BD57" s="150"/>
      <c r="BE57" s="150"/>
      <c r="BF57" s="150"/>
      <c r="BG57" s="150"/>
      <c r="BH57" s="163"/>
      <c r="BJ57" s="150"/>
      <c r="BK57" s="150"/>
      <c r="BL57" s="150"/>
      <c r="BM57" s="150"/>
      <c r="BZ57" s="150"/>
      <c r="CA57" s="150"/>
      <c r="CB57" s="150"/>
      <c r="CF57" s="174"/>
      <c r="CG57" s="174"/>
      <c r="CH57" s="174"/>
      <c r="CI57" s="174"/>
      <c r="CJ57" s="174"/>
      <c r="CK57" s="174"/>
      <c r="CL57" s="174"/>
      <c r="CM57" s="163"/>
      <c r="IB57" s="150"/>
      <c r="IC57" s="150"/>
      <c r="ID57" s="150"/>
      <c r="IE57" s="150"/>
    </row>
    <row r="58" spans="1:239" ht="9" customHeight="1" x14ac:dyDescent="0.15">
      <c r="A58" s="167"/>
      <c r="B58" s="168">
        <f>IF(A58&gt;0,A58,INDEX('Classement pour tableau final'!$AB$11:$AB$266,MATCH(26,'Classement pour tableau final'!$Y$11:$Y$266,0)))</f>
        <v>26</v>
      </c>
      <c r="C58" s="150"/>
      <c r="D58" s="169" t="str">
        <f>IF('Infos générales'!$E$2="x",IF(B58&gt;0,VLOOKUP(B58,'Infos joueurs'!$A:$M,4,FALSE)&amp;" / "&amp;VLOOKUP(B58,'Infos joueurs'!$A:$M,9,FALSE),"26"),IF(B58&gt;0,VLOOKUP(B58,'Infos joueurs'!$A:$M,4,FALSE)&amp;" "&amp;VLOOKUP(B58,'Infos joueurs'!$A:$M,5,FALSE),"26"))</f>
        <v>Ruchet Jérémy</v>
      </c>
      <c r="E58" s="156"/>
      <c r="F58" s="150"/>
      <c r="G58" s="157"/>
      <c r="H58" s="150"/>
      <c r="I58" s="163"/>
      <c r="J58" s="150"/>
      <c r="K58" s="183"/>
      <c r="L58" s="163"/>
      <c r="M58" s="150"/>
      <c r="N58" s="150"/>
      <c r="O58" s="363" t="s">
        <v>324</v>
      </c>
      <c r="P58" s="363"/>
      <c r="Q58" s="172"/>
      <c r="R58" s="172"/>
      <c r="S58" s="172"/>
      <c r="T58" s="172"/>
      <c r="U58" s="172"/>
      <c r="V58" s="173"/>
      <c r="W58" s="169" t="str">
        <f>IF(Q53+Q54=0,"",IF(Q53&lt;Q54,P52,P54))</f>
        <v/>
      </c>
      <c r="X58" s="156"/>
      <c r="Y58" s="150"/>
      <c r="Z58" s="150"/>
      <c r="AA58" s="368">
        <v>11</v>
      </c>
      <c r="AB58" s="368" t="str">
        <f>IF(X30+X31=0,"",IF(X30&gt;X31,W29,W31))</f>
        <v/>
      </c>
      <c r="AC58" s="368"/>
      <c r="AD58" s="368"/>
      <c r="AE58" s="368"/>
      <c r="AF58" s="368">
        <v>27</v>
      </c>
      <c r="AG58" s="368" t="str">
        <f>IF(M147+M148=0,"",IF(M147&gt;M148,L146,L148))</f>
        <v/>
      </c>
      <c r="AH58" s="368"/>
      <c r="AI58" s="368"/>
      <c r="AJ58" s="368"/>
      <c r="BA58" s="150"/>
      <c r="BB58" s="150"/>
      <c r="BC58" s="150"/>
      <c r="BD58" s="150"/>
      <c r="BE58" s="150"/>
      <c r="BF58" s="150"/>
      <c r="BG58" s="150"/>
      <c r="BH58" s="163"/>
      <c r="BJ58" s="150"/>
      <c r="BK58" s="150"/>
      <c r="BL58" s="150"/>
      <c r="BM58" s="150"/>
      <c r="BZ58" s="174"/>
      <c r="CA58" s="160"/>
      <c r="CB58" s="150"/>
      <c r="CF58" s="150"/>
      <c r="CG58" s="150"/>
      <c r="CH58" s="150"/>
      <c r="CI58" s="150"/>
      <c r="CJ58" s="150"/>
      <c r="CK58" s="150"/>
      <c r="CL58" s="150"/>
      <c r="CM58" s="163"/>
      <c r="IB58" s="150"/>
      <c r="IC58" s="150"/>
      <c r="ID58" s="150"/>
      <c r="IE58" s="150"/>
    </row>
    <row r="59" spans="1:239" ht="9" customHeight="1" x14ac:dyDescent="0.25">
      <c r="B59" s="150"/>
      <c r="C59" s="150"/>
      <c r="D59" s="155"/>
      <c r="E59" s="163"/>
      <c r="F59" s="150"/>
      <c r="G59" s="156"/>
      <c r="H59" s="171" t="str">
        <f>IF(G59+G60=0,"",IF(G59&gt;G60,F57,F61))</f>
        <v/>
      </c>
      <c r="I59" s="163"/>
      <c r="J59" s="150"/>
      <c r="K59" s="183"/>
      <c r="L59" s="163"/>
      <c r="M59" s="150"/>
      <c r="N59" s="150"/>
      <c r="O59" s="363"/>
      <c r="P59" s="363"/>
      <c r="Q59" s="172"/>
      <c r="R59" s="172"/>
      <c r="S59" s="172"/>
      <c r="T59" s="172"/>
      <c r="U59" s="172"/>
      <c r="Y59" s="151"/>
      <c r="Z59" s="151"/>
      <c r="AA59" s="368"/>
      <c r="AB59" s="369"/>
      <c r="AC59" s="369"/>
      <c r="AD59" s="369"/>
      <c r="AE59" s="369"/>
      <c r="AF59" s="368"/>
      <c r="AG59" s="369"/>
      <c r="AH59" s="369"/>
      <c r="AI59" s="369"/>
      <c r="AJ59" s="369"/>
      <c r="BA59" s="160"/>
      <c r="BB59" s="160"/>
      <c r="BC59" s="160"/>
      <c r="BD59" s="160"/>
      <c r="BE59" s="160"/>
      <c r="BF59" s="160"/>
      <c r="BG59" s="160"/>
      <c r="BH59" s="163"/>
      <c r="BJ59" s="150"/>
      <c r="BK59" s="150"/>
      <c r="BL59" s="150"/>
      <c r="BM59" s="150"/>
      <c r="CF59" s="150"/>
      <c r="CG59" s="150"/>
      <c r="CH59" s="150"/>
      <c r="CI59" s="150"/>
      <c r="CJ59" s="150"/>
      <c r="CK59" s="150"/>
      <c r="CL59" s="150"/>
      <c r="CM59" s="150"/>
      <c r="IB59" s="150"/>
      <c r="IC59" s="150"/>
      <c r="ID59" s="150"/>
      <c r="IE59" s="150"/>
    </row>
    <row r="60" spans="1:239" ht="9" customHeight="1" x14ac:dyDescent="0.15">
      <c r="A60" s="167"/>
      <c r="B60" s="168">
        <f>IF(A60&gt;0,A60,INDEX('Classement pour tableau final'!$AB$11:$AB$266,MATCH(23,'Classement pour tableau final'!$Y$11:$Y$266,0)))</f>
        <v>23</v>
      </c>
      <c r="C60" s="150"/>
      <c r="D60" s="169" t="str">
        <f>IF('Infos générales'!$E$2="x",IF(B60&gt;0,VLOOKUP(B60,'Infos joueurs'!$A:$M,4,FALSE)&amp;" / "&amp;VLOOKUP(B60,'Infos joueurs'!$A:$M,9,FALSE),"23"),IF(B60&gt;0,VLOOKUP(B60,'Infos joueurs'!$A:$M,4,FALSE)&amp;" "&amp;VLOOKUP(B60,'Infos joueurs'!$A:$M,5,FALSE),"23"))</f>
        <v>Praplan Romain</v>
      </c>
      <c r="E60" s="163"/>
      <c r="F60" s="150"/>
      <c r="G60" s="156"/>
      <c r="H60" s="179"/>
      <c r="I60" s="163"/>
      <c r="J60" s="150"/>
      <c r="K60" s="183"/>
      <c r="L60" s="163"/>
      <c r="M60" s="150"/>
      <c r="N60" s="150"/>
      <c r="O60" s="172"/>
      <c r="P60" s="172"/>
      <c r="Q60" s="172"/>
      <c r="R60" s="172"/>
      <c r="S60" s="172"/>
      <c r="T60" s="172"/>
      <c r="U60" s="172"/>
      <c r="V60" s="150"/>
      <c r="W60" s="150"/>
      <c r="AA60" s="187"/>
      <c r="AB60" s="150"/>
      <c r="AC60" s="150"/>
      <c r="AD60" s="177"/>
      <c r="AE60" s="150"/>
      <c r="AF60" s="187"/>
      <c r="AG60" s="150"/>
      <c r="AH60" s="150"/>
      <c r="AI60" s="150"/>
      <c r="BA60" s="150"/>
      <c r="BB60" s="150"/>
      <c r="BC60" s="150"/>
      <c r="BD60" s="150"/>
      <c r="BE60" s="150"/>
      <c r="BF60" s="150"/>
      <c r="BG60" s="150"/>
      <c r="BH60" s="163"/>
      <c r="BJ60" s="150"/>
      <c r="BK60" s="150"/>
      <c r="BL60" s="150"/>
      <c r="BM60" s="150"/>
      <c r="CF60" s="150"/>
      <c r="CG60" s="150"/>
      <c r="CH60" s="150"/>
      <c r="CI60" s="150"/>
      <c r="CJ60" s="150"/>
      <c r="CK60" s="150"/>
      <c r="CL60" s="150"/>
      <c r="CM60" s="150"/>
      <c r="IB60" s="150"/>
      <c r="IC60" s="150"/>
      <c r="ID60" s="150"/>
      <c r="IE60" s="150"/>
    </row>
    <row r="61" spans="1:239" ht="9" customHeight="1" x14ac:dyDescent="0.15">
      <c r="B61" s="150"/>
      <c r="C61" s="150"/>
      <c r="D61" s="155"/>
      <c r="E61" s="156"/>
      <c r="F61" s="170" t="str">
        <f>IF(E61+E62=0,"",IF(E61&gt;E62,D60,D62))</f>
        <v/>
      </c>
      <c r="G61" s="157"/>
      <c r="H61" s="180"/>
      <c r="I61" s="163"/>
      <c r="J61" s="150"/>
      <c r="K61" s="183"/>
      <c r="L61" s="163"/>
      <c r="M61" s="150"/>
      <c r="N61" s="150"/>
      <c r="R61" s="150"/>
      <c r="S61" s="150"/>
      <c r="T61" s="150"/>
      <c r="U61" s="150"/>
      <c r="V61" s="174"/>
      <c r="W61" s="150"/>
      <c r="BA61" s="150"/>
      <c r="BB61" s="150"/>
      <c r="BC61" s="150"/>
      <c r="BD61" s="150"/>
      <c r="BE61" s="150"/>
      <c r="BF61" s="150"/>
      <c r="BG61" s="150"/>
      <c r="BH61" s="163"/>
      <c r="BJ61" s="150"/>
      <c r="BK61" s="150"/>
      <c r="BL61" s="150"/>
      <c r="BM61" s="150"/>
      <c r="BZ61" s="150"/>
      <c r="CA61" s="150"/>
      <c r="CB61" s="150"/>
      <c r="CF61" s="150"/>
      <c r="CG61" s="150"/>
      <c r="CH61" s="150"/>
      <c r="CI61" s="150"/>
      <c r="CJ61" s="150"/>
      <c r="CK61" s="150"/>
      <c r="CL61" s="150"/>
      <c r="CM61" s="150"/>
      <c r="IB61" s="150"/>
      <c r="IC61" s="150"/>
      <c r="ID61" s="150"/>
      <c r="IE61" s="150"/>
    </row>
    <row r="62" spans="1:239" ht="9" customHeight="1" x14ac:dyDescent="0.15">
      <c r="A62" s="167"/>
      <c r="B62" s="168">
        <f>IF(A62&gt;0,A62,INDEX('Classement pour tableau final'!$AB$11:$AB$266,MATCH(10,'Classement pour tableau final'!$Y$11:$Y$266,0)))</f>
        <v>10</v>
      </c>
      <c r="C62" s="150"/>
      <c r="D62" s="169" t="str">
        <f>IF('Infos générales'!$E$2="x",IF(B62&gt;0,VLOOKUP(B62,'Infos joueurs'!$A:$M,4,FALSE)&amp;" / "&amp;VLOOKUP(B62,'Infos joueurs'!$A:$M,9,FALSE),"10"),IF(B62&gt;0,VLOOKUP(B62,'Infos joueurs'!$A:$M,4,FALSE)&amp;" "&amp;VLOOKUP(B62,'Infos joueurs'!$A:$M,5,FALSE),"10"))</f>
        <v>Frezghi Tarik</v>
      </c>
      <c r="E62" s="156"/>
      <c r="F62" s="150"/>
      <c r="G62" s="163"/>
      <c r="H62" s="180"/>
      <c r="I62" s="163"/>
      <c r="J62" s="150"/>
      <c r="K62" s="183"/>
      <c r="L62" s="163"/>
      <c r="M62" s="150"/>
      <c r="N62" s="150"/>
      <c r="O62" s="173"/>
      <c r="P62" s="169" t="str">
        <f>IF(G97+G98=0,"",IF(G97&lt;G98,F95,F99))</f>
        <v/>
      </c>
      <c r="Q62" s="169"/>
      <c r="R62" s="174"/>
      <c r="S62" s="174"/>
      <c r="T62" s="174"/>
      <c r="U62" s="174"/>
      <c r="V62" s="150"/>
      <c r="W62" s="150"/>
      <c r="AA62" s="368">
        <v>12</v>
      </c>
      <c r="AB62" s="368" t="str">
        <f>IF(X30+X31=0,"",IF(X30&lt;X31,W29,W31))</f>
        <v/>
      </c>
      <c r="AC62" s="368"/>
      <c r="AD62" s="368"/>
      <c r="AE62" s="368"/>
      <c r="AF62" s="368">
        <v>28</v>
      </c>
      <c r="AG62" s="368" t="str">
        <f>IF(M147+M148=0,"",IF(M147&lt;M148,L146,L148))</f>
        <v/>
      </c>
      <c r="AH62" s="368"/>
      <c r="AI62" s="368"/>
      <c r="AJ62" s="368"/>
      <c r="AP62" s="163"/>
      <c r="AQ62" s="150"/>
      <c r="AR62" s="150"/>
      <c r="BA62" s="150"/>
      <c r="BB62" s="150"/>
      <c r="BC62" s="150"/>
      <c r="BD62" s="150"/>
      <c r="BE62" s="150"/>
      <c r="BF62" s="150"/>
      <c r="BG62" s="150"/>
      <c r="BH62" s="163"/>
      <c r="CF62" s="150"/>
      <c r="CG62" s="150"/>
      <c r="CH62" s="150"/>
      <c r="CI62" s="150"/>
      <c r="CJ62" s="150"/>
      <c r="CK62" s="150"/>
      <c r="CL62" s="150"/>
      <c r="CM62" s="150"/>
      <c r="IB62" s="150"/>
      <c r="IC62" s="150"/>
      <c r="ID62" s="150"/>
      <c r="IE62" s="150"/>
    </row>
    <row r="63" spans="1:239" ht="9" customHeight="1" x14ac:dyDescent="0.15">
      <c r="B63" s="150"/>
      <c r="C63" s="150"/>
      <c r="D63" s="155"/>
      <c r="E63" s="163"/>
      <c r="F63" s="150"/>
      <c r="G63" s="163"/>
      <c r="H63" s="180"/>
      <c r="I63" s="178"/>
      <c r="J63" s="171" t="str">
        <f>IF(I63+I64=0,"",IF(I63&gt;I64,H59,H67))</f>
        <v/>
      </c>
      <c r="K63" s="184"/>
      <c r="L63" s="163"/>
      <c r="M63" s="150"/>
      <c r="N63" s="150"/>
      <c r="P63" s="155"/>
      <c r="Q63" s="156"/>
      <c r="R63" s="169" t="str">
        <f>IF(Q63+Q64=0,"",IF(Q63&gt;Q64,P62,P64))</f>
        <v/>
      </c>
      <c r="S63" s="174"/>
      <c r="T63" s="174"/>
      <c r="U63" s="174"/>
      <c r="W63" s="150"/>
      <c r="AA63" s="368"/>
      <c r="AB63" s="369"/>
      <c r="AC63" s="369"/>
      <c r="AD63" s="369"/>
      <c r="AE63" s="369"/>
      <c r="AF63" s="368"/>
      <c r="AG63" s="369"/>
      <c r="AH63" s="369"/>
      <c r="AI63" s="369"/>
      <c r="AJ63" s="369"/>
      <c r="CF63" s="150"/>
      <c r="CG63" s="150"/>
      <c r="CH63" s="150"/>
      <c r="CI63" s="150"/>
      <c r="CJ63" s="150"/>
      <c r="CK63" s="150"/>
      <c r="CL63" s="150"/>
      <c r="CM63" s="150"/>
      <c r="IB63" s="150"/>
      <c r="IC63" s="150"/>
      <c r="ID63" s="150"/>
      <c r="IE63" s="150"/>
    </row>
    <row r="64" spans="1:239" ht="9" customHeight="1" x14ac:dyDescent="0.15">
      <c r="A64" s="167"/>
      <c r="B64" s="168">
        <f>IF(A64&gt;0,A64,INDEX('Classement pour tableau final'!$AB$11:$AB$266,MATCH(15,'Classement pour tableau final'!$Y$11:$Y$266,0)))</f>
        <v>15</v>
      </c>
      <c r="C64" s="150"/>
      <c r="D64" s="169" t="str">
        <f>IF('Infos générales'!$E$2="x",IF(B64&gt;0,VLOOKUP(B64,'Infos joueurs'!$A:$M,4,FALSE)&amp;" / "&amp;VLOOKUP(B64,'Infos joueurs'!$A:$M,9,FALSE),"15"),IF(B64&gt;0,VLOOKUP(B64,'Infos joueurs'!$A:$M,4,FALSE)&amp;" "&amp;VLOOKUP(B64,'Infos joueurs'!$A:$M,5,FALSE),"15"))</f>
        <v>Jäger Joel</v>
      </c>
      <c r="E64" s="163"/>
      <c r="F64" s="150"/>
      <c r="G64" s="163"/>
      <c r="H64" s="180"/>
      <c r="I64" s="178"/>
      <c r="J64" s="150"/>
      <c r="O64" s="173"/>
      <c r="P64" s="169" t="str">
        <f>IF(G105+G106=0,"",IF(G105&lt;G106,F103,F107))</f>
        <v/>
      </c>
      <c r="Q64" s="156"/>
      <c r="R64" s="150"/>
      <c r="S64" s="157"/>
      <c r="T64" s="150"/>
      <c r="U64" s="150"/>
      <c r="W64" s="150"/>
      <c r="AD64" s="188"/>
      <c r="CF64" s="150"/>
      <c r="CG64" s="150"/>
      <c r="CH64" s="150"/>
      <c r="CI64" s="150"/>
      <c r="CJ64" s="150"/>
      <c r="CK64" s="150"/>
      <c r="CL64" s="150"/>
      <c r="CM64" s="150"/>
      <c r="IB64" s="150"/>
      <c r="IC64" s="150"/>
      <c r="ID64" s="150"/>
      <c r="IE64" s="150"/>
    </row>
    <row r="65" spans="1:239" ht="9" customHeight="1" x14ac:dyDescent="0.15">
      <c r="A65" s="150"/>
      <c r="B65" s="150"/>
      <c r="C65" s="150"/>
      <c r="D65" s="155"/>
      <c r="E65" s="156"/>
      <c r="F65" s="170" t="str">
        <f>IF(E65+E66=0,"",IF(E65&gt;E66,D64,D66))</f>
        <v/>
      </c>
      <c r="G65" s="163"/>
      <c r="H65" s="180"/>
      <c r="I65" s="182"/>
      <c r="J65" s="163"/>
      <c r="P65" s="155"/>
      <c r="Q65" s="163"/>
      <c r="R65" s="150"/>
      <c r="S65" s="156"/>
      <c r="T65" s="171" t="str">
        <f>IF(S65+S66=0,"",IF(S65&gt;S66,R63,R67))</f>
        <v/>
      </c>
      <c r="U65" s="160"/>
      <c r="W65" s="174"/>
      <c r="AD65" s="188"/>
      <c r="CF65" s="150"/>
      <c r="CG65" s="150"/>
      <c r="CH65" s="150"/>
      <c r="CI65" s="150"/>
      <c r="CJ65" s="150"/>
      <c r="CK65" s="150"/>
      <c r="CL65" s="150"/>
      <c r="CM65" s="150"/>
      <c r="IB65" s="150"/>
      <c r="IC65" s="150"/>
      <c r="ID65" s="150"/>
      <c r="IE65" s="150"/>
    </row>
    <row r="66" spans="1:239" ht="9" customHeight="1" x14ac:dyDescent="0.15">
      <c r="A66" s="167"/>
      <c r="B66" s="168">
        <f>IF(A66&gt;0,A66,INDEX('Classement pour tableau final'!$AB$11:$AB$266,MATCH(18,'Classement pour tableau final'!$Y$11:$Y$266,0)))</f>
        <v>18</v>
      </c>
      <c r="C66" s="150"/>
      <c r="D66" s="169" t="str">
        <f>IF('Infos générales'!$E$2="x",IF(B66&gt;0,VLOOKUP(B66,'Infos joueurs'!$A:$M,4,FALSE)&amp;" / "&amp;VLOOKUP(B66,'Infos joueurs'!$A:$M,9,FALSE),"18"),IF(B66&gt;0,VLOOKUP(B66,'Infos joueurs'!$A:$M,4,FALSE)&amp;" "&amp;VLOOKUP(B66,'Infos joueurs'!$A:$M,5,FALSE),"18"))</f>
        <v>Massy Kenny</v>
      </c>
      <c r="E66" s="156"/>
      <c r="F66" s="150"/>
      <c r="G66" s="157"/>
      <c r="H66" s="180"/>
      <c r="I66" s="183"/>
      <c r="J66" s="163"/>
      <c r="O66" s="173"/>
      <c r="P66" s="169" t="str">
        <f>IF(G113+G114=0,"",IF(G113&lt;G114,F111,F115))</f>
        <v/>
      </c>
      <c r="Q66" s="163"/>
      <c r="R66" s="150"/>
      <c r="S66" s="156"/>
      <c r="T66" s="150"/>
      <c r="U66" s="150"/>
      <c r="W66" s="363" t="s">
        <v>325</v>
      </c>
      <c r="X66" s="363"/>
      <c r="Y66" s="172"/>
      <c r="Z66" s="172"/>
      <c r="AA66" s="368">
        <v>13</v>
      </c>
      <c r="AB66" s="368" t="str">
        <f>IF(S37+S38=0,"",IF(S37&gt;S38,R35,R39))</f>
        <v/>
      </c>
      <c r="AC66" s="368"/>
      <c r="AD66" s="368"/>
      <c r="AE66" s="368"/>
      <c r="AF66" s="368">
        <v>29</v>
      </c>
      <c r="AG66" s="368" t="str">
        <f>IF(G161+G162=0,"",IF(G161&gt;G162,F159,F163))</f>
        <v/>
      </c>
      <c r="AH66" s="368"/>
      <c r="AI66" s="368"/>
      <c r="AJ66" s="368"/>
      <c r="AL66" s="172"/>
      <c r="AN66" s="172"/>
      <c r="AP66" s="172"/>
      <c r="BZ66" s="172"/>
      <c r="CA66" s="172"/>
      <c r="CB66" s="172"/>
      <c r="CC66" s="172"/>
      <c r="CD66" s="172"/>
      <c r="CE66" s="172"/>
      <c r="CF66" s="172"/>
      <c r="CG66" s="150"/>
      <c r="CH66" s="150"/>
      <c r="CI66" s="150"/>
      <c r="CJ66" s="150"/>
      <c r="CK66" s="150"/>
      <c r="CL66" s="150"/>
      <c r="CM66" s="163"/>
      <c r="IB66" s="150"/>
      <c r="IC66" s="150"/>
      <c r="ID66" s="150"/>
      <c r="IE66" s="150"/>
    </row>
    <row r="67" spans="1:239" ht="9" customHeight="1" x14ac:dyDescent="0.15">
      <c r="A67" s="150"/>
      <c r="B67" s="150"/>
      <c r="C67" s="150"/>
      <c r="D67" s="158"/>
      <c r="E67" s="163"/>
      <c r="F67" s="150"/>
      <c r="G67" s="156"/>
      <c r="H67" s="181" t="str">
        <f>IF(G67+G68=0,"",IF(G67&gt;G68,F65,F69))</f>
        <v/>
      </c>
      <c r="I67" s="184"/>
      <c r="J67" s="163"/>
      <c r="P67" s="155"/>
      <c r="Q67" s="156"/>
      <c r="R67" s="170" t="str">
        <f>IF(Q67+Q68=0,"",IF(Q67&gt;Q68,P66,P68))</f>
        <v/>
      </c>
      <c r="S67" s="157"/>
      <c r="T67" s="150"/>
      <c r="U67" s="150"/>
      <c r="V67" s="172"/>
      <c r="W67" s="363"/>
      <c r="X67" s="363"/>
      <c r="Y67" s="172"/>
      <c r="Z67" s="172"/>
      <c r="AA67" s="368"/>
      <c r="AB67" s="369"/>
      <c r="AC67" s="369"/>
      <c r="AD67" s="369"/>
      <c r="AE67" s="369"/>
      <c r="AF67" s="368"/>
      <c r="AG67" s="369"/>
      <c r="AH67" s="369"/>
      <c r="AI67" s="369"/>
      <c r="AJ67" s="369"/>
      <c r="AL67" s="172"/>
      <c r="AN67" s="172"/>
      <c r="AP67" s="172"/>
      <c r="BZ67" s="172"/>
      <c r="CA67" s="172"/>
      <c r="CB67" s="172"/>
      <c r="CC67" s="172"/>
      <c r="CD67" s="172"/>
      <c r="CE67" s="172"/>
      <c r="CF67" s="172"/>
      <c r="CG67" s="150"/>
      <c r="CH67" s="150"/>
      <c r="CI67" s="150"/>
      <c r="CJ67" s="150"/>
      <c r="CK67" s="150"/>
      <c r="CL67" s="150"/>
      <c r="CM67" s="163"/>
      <c r="IB67" s="150"/>
      <c r="IC67" s="150"/>
      <c r="ID67" s="150"/>
      <c r="IE67" s="150"/>
    </row>
    <row r="68" spans="1:239" ht="9" customHeight="1" x14ac:dyDescent="0.15">
      <c r="A68" s="167"/>
      <c r="B68" s="168">
        <f>IF(A68&gt;0,A68,INDEX('Classement pour tableau final'!$AB$11:$AB$266,MATCH(31,'Classement pour tableau final'!$Y$11:$Y$266,0)))</f>
        <v>31</v>
      </c>
      <c r="C68" s="150"/>
      <c r="D68" s="169" t="str">
        <f>IF('Infos générales'!$E$2="x",IF(B68&gt;0,VLOOKUP(B68,'Infos joueurs'!$A:$M,4,FALSE)&amp;" / "&amp;VLOOKUP(B68,'Infos joueurs'!$A:$M,9,FALSE),"31"),IF(B68&gt;0,VLOOKUP(B68,'Infos joueurs'!$A:$M,4,FALSE)&amp;" "&amp;VLOOKUP(B68,'Infos joueurs'!$A:$M,5,FALSE),"31"))</f>
        <v>Venetz Anthony</v>
      </c>
      <c r="E68" s="163"/>
      <c r="F68" s="150"/>
      <c r="G68" s="156"/>
      <c r="H68" s="150"/>
      <c r="I68" s="150"/>
      <c r="J68" s="150"/>
      <c r="O68" s="173"/>
      <c r="P68" s="169" t="str">
        <f>IF(G121+G122=0,"",IF(G121&lt;G122,F119,F123))</f>
        <v/>
      </c>
      <c r="Q68" s="156"/>
      <c r="R68" s="150"/>
      <c r="S68" s="150"/>
      <c r="T68" s="150"/>
      <c r="U68" s="150"/>
      <c r="V68" s="172"/>
      <c r="W68" s="172"/>
      <c r="X68" s="172"/>
      <c r="Y68" s="172"/>
      <c r="Z68" s="172"/>
      <c r="AB68" s="172"/>
      <c r="AL68" s="172"/>
      <c r="AN68" s="172"/>
      <c r="AP68" s="172"/>
      <c r="BZ68" s="172"/>
      <c r="CA68" s="172"/>
      <c r="CB68" s="172"/>
      <c r="CC68" s="172"/>
      <c r="CD68" s="172"/>
      <c r="CE68" s="172"/>
      <c r="CF68" s="172"/>
      <c r="CG68" s="150"/>
      <c r="CH68" s="150"/>
      <c r="CI68" s="150"/>
      <c r="CJ68" s="150"/>
      <c r="CK68" s="150"/>
      <c r="CL68" s="150"/>
      <c r="CM68" s="163"/>
      <c r="IB68" s="150"/>
      <c r="IC68" s="150"/>
      <c r="ID68" s="150"/>
      <c r="IE68" s="150"/>
    </row>
    <row r="69" spans="1:239" ht="9" customHeight="1" x14ac:dyDescent="0.15">
      <c r="A69" s="150"/>
      <c r="B69" s="150"/>
      <c r="C69" s="150"/>
      <c r="D69" s="158"/>
      <c r="E69" s="156"/>
      <c r="F69" s="170" t="str">
        <f>IF(E69+E70=0,"",IF(E69&gt;E70,D68,D70))</f>
        <v/>
      </c>
      <c r="G69" s="157"/>
      <c r="H69" s="150"/>
      <c r="I69" s="150"/>
      <c r="J69" s="150"/>
      <c r="Y69" s="151"/>
      <c r="Z69" s="151"/>
      <c r="CF69" s="150"/>
      <c r="CG69" s="150"/>
      <c r="CH69" s="150"/>
      <c r="CI69" s="150"/>
      <c r="CJ69" s="150"/>
      <c r="CK69" s="150"/>
      <c r="CL69" s="150"/>
      <c r="CM69" s="150"/>
      <c r="IB69" s="150"/>
      <c r="IC69" s="150"/>
      <c r="ID69" s="150"/>
      <c r="IE69" s="150"/>
    </row>
    <row r="70" spans="1:239" ht="9" customHeight="1" x14ac:dyDescent="0.15">
      <c r="A70" s="167"/>
      <c r="B70" s="168">
        <f>IF(A70&gt;0,A70,INDEX('Classement pour tableau final'!$AB$11:$AB$266,MATCH(2,'Classement pour tableau final'!$Y$11:$Y$266,0)))</f>
        <v>2</v>
      </c>
      <c r="C70" s="150"/>
      <c r="D70" s="169" t="str">
        <f>IF('Infos générales'!$E$2="x",IF(B70&gt;0,VLOOKUP(B70,'Infos joueurs'!$A:$M,4,FALSE)&amp;" / "&amp;VLOOKUP(B70,'Infos joueurs'!$A:$M,9,FALSE),"2"),IF(B70&gt;0,VLOOKUP(B70,'Infos joueurs'!$A:$M,4,FALSE)&amp;" "&amp;VLOOKUP(B70,'Infos joueurs'!$A:$M,5,FALSE),"2"))</f>
        <v>Bellon Antoine</v>
      </c>
      <c r="E70" s="156"/>
      <c r="F70" s="150"/>
      <c r="G70" s="150"/>
      <c r="H70" s="150"/>
      <c r="I70" s="150"/>
      <c r="J70" s="150"/>
      <c r="V70" s="173"/>
      <c r="W70" s="169" t="str">
        <f>IF(Q63+Q64=0,"",IF(Q63&lt;Q64,P62,P64))</f>
        <v/>
      </c>
      <c r="X70" s="169"/>
      <c r="Y70" s="163"/>
      <c r="Z70" s="163"/>
      <c r="AA70" s="368">
        <v>14</v>
      </c>
      <c r="AB70" s="368" t="str">
        <f>IF(S37+S38=0,"",IF(S37&lt;S38,R35,R39))</f>
        <v/>
      </c>
      <c r="AC70" s="368"/>
      <c r="AD70" s="368"/>
      <c r="AE70" s="368"/>
      <c r="AF70" s="368">
        <v>30</v>
      </c>
      <c r="AG70" s="368" t="str">
        <f>IF(G161+G162=0,"",IF(G161&lt;G162,F159,F163))</f>
        <v/>
      </c>
      <c r="AH70" s="368"/>
      <c r="AI70" s="368"/>
      <c r="AJ70" s="368"/>
      <c r="AL70" s="150"/>
      <c r="AN70" s="150"/>
      <c r="AP70" s="150"/>
      <c r="AQ70" s="150"/>
      <c r="AR70" s="150"/>
      <c r="AS70" s="150"/>
      <c r="AT70" s="150"/>
      <c r="AU70" s="150"/>
      <c r="AV70" s="150"/>
      <c r="AW70" s="163"/>
      <c r="AX70" s="150"/>
      <c r="AY70" s="150"/>
      <c r="AZ70" s="150"/>
      <c r="BA70" s="150"/>
      <c r="BB70" s="150"/>
      <c r="BC70" s="150"/>
      <c r="BD70" s="150"/>
      <c r="BE70" s="150"/>
      <c r="BF70" s="150"/>
      <c r="BG70" s="163"/>
      <c r="BZ70" s="174"/>
      <c r="CA70" s="174"/>
      <c r="CB70" s="150"/>
      <c r="CF70" s="150"/>
      <c r="CG70" s="150"/>
      <c r="CH70" s="150"/>
      <c r="CI70" s="150"/>
      <c r="CJ70" s="150"/>
      <c r="CK70" s="150"/>
      <c r="CL70" s="150"/>
      <c r="CM70" s="150"/>
      <c r="IB70" s="150"/>
      <c r="IC70" s="150"/>
      <c r="ID70" s="150"/>
      <c r="IE70" s="150"/>
    </row>
    <row r="71" spans="1:239" ht="9" customHeight="1" x14ac:dyDescent="0.15">
      <c r="A71" s="150"/>
      <c r="B71" s="150"/>
      <c r="C71" s="150"/>
      <c r="D71" s="150"/>
      <c r="E71" s="150"/>
      <c r="F71" s="150"/>
      <c r="G71" s="150"/>
      <c r="H71" s="163"/>
      <c r="I71" s="150"/>
      <c r="J71" s="150"/>
      <c r="K71" s="150"/>
      <c r="L71" s="150"/>
      <c r="M71" s="150"/>
      <c r="N71" s="150"/>
      <c r="W71" s="155"/>
      <c r="X71" s="156"/>
      <c r="Y71" s="170" t="str">
        <f>IF(X71+X72=0,"",IF(X71&gt;X72,W70,W72))</f>
        <v/>
      </c>
      <c r="Z71" s="174"/>
      <c r="AA71" s="368"/>
      <c r="AB71" s="369"/>
      <c r="AC71" s="369"/>
      <c r="AD71" s="369"/>
      <c r="AE71" s="369"/>
      <c r="AF71" s="368"/>
      <c r="AG71" s="369"/>
      <c r="AH71" s="369"/>
      <c r="AI71" s="369"/>
      <c r="AJ71" s="369"/>
      <c r="AL71" s="174"/>
      <c r="AN71" s="174"/>
      <c r="AP71" s="163"/>
      <c r="AQ71" s="150"/>
      <c r="AR71" s="150"/>
      <c r="AZ71" s="150"/>
      <c r="BA71" s="150"/>
      <c r="BB71" s="150"/>
      <c r="BC71" s="150"/>
      <c r="BD71" s="150"/>
      <c r="BE71" s="150"/>
      <c r="BF71" s="150"/>
      <c r="BG71" s="163"/>
      <c r="BZ71" s="150"/>
      <c r="CA71" s="150"/>
      <c r="CB71" s="150"/>
      <c r="CF71" s="174"/>
      <c r="CG71" s="174"/>
      <c r="CH71" s="174"/>
      <c r="CI71" s="174"/>
      <c r="CJ71" s="174"/>
      <c r="CK71" s="174"/>
      <c r="CL71" s="174"/>
      <c r="CM71" s="150"/>
      <c r="IB71" s="150"/>
      <c r="IC71" s="150"/>
      <c r="ID71" s="150"/>
      <c r="IE71" s="150"/>
    </row>
    <row r="72" spans="1:239" ht="9" customHeight="1" x14ac:dyDescent="0.15">
      <c r="A72" s="150"/>
      <c r="G72" s="161"/>
      <c r="K72" s="363" t="s">
        <v>327</v>
      </c>
      <c r="L72" s="363"/>
      <c r="M72" s="363"/>
      <c r="N72" s="172"/>
      <c r="S72" s="172"/>
      <c r="T72" s="172"/>
      <c r="U72" s="172"/>
      <c r="V72" s="173"/>
      <c r="W72" s="169" t="str">
        <f>IF(Q67+Q68=0,"",IF(Q67&lt;Q68,P66,P68))</f>
        <v/>
      </c>
      <c r="X72" s="156"/>
      <c r="Y72" s="150"/>
      <c r="Z72" s="150"/>
      <c r="AL72" s="150"/>
      <c r="AZ72" s="150"/>
      <c r="BA72" s="150"/>
      <c r="BB72" s="150"/>
      <c r="BC72" s="150"/>
      <c r="BD72" s="150"/>
      <c r="BE72" s="150"/>
      <c r="BF72" s="150"/>
      <c r="BG72" s="163"/>
      <c r="BZ72" s="174"/>
      <c r="CA72" s="160"/>
      <c r="CB72" s="150"/>
      <c r="CF72" s="150"/>
      <c r="CG72" s="150"/>
      <c r="CH72" s="150"/>
      <c r="CI72" s="150"/>
      <c r="CJ72" s="150"/>
      <c r="CK72" s="150"/>
      <c r="CL72" s="150"/>
      <c r="IB72" s="150"/>
      <c r="IC72" s="150"/>
      <c r="ID72" s="150"/>
      <c r="IE72" s="150"/>
    </row>
    <row r="73" spans="1:239" ht="9" customHeight="1" x14ac:dyDescent="0.25">
      <c r="A73" s="150"/>
      <c r="G73" s="161"/>
      <c r="K73" s="363"/>
      <c r="L73" s="363"/>
      <c r="M73" s="363"/>
      <c r="N73" s="172"/>
      <c r="S73" s="172"/>
      <c r="T73" s="172"/>
      <c r="U73" s="172"/>
      <c r="V73" s="172"/>
      <c r="AZ73" s="160"/>
      <c r="BA73" s="160"/>
      <c r="BB73" s="160"/>
      <c r="BC73" s="160"/>
      <c r="BD73" s="160"/>
      <c r="BE73" s="160"/>
      <c r="BF73" s="160"/>
      <c r="BG73" s="163"/>
      <c r="BZ73" s="150"/>
      <c r="CA73" s="150"/>
      <c r="CB73" s="150"/>
      <c r="IB73" s="150"/>
      <c r="IC73" s="150"/>
      <c r="ID73" s="150"/>
      <c r="IE73" s="150"/>
    </row>
    <row r="74" spans="1:239" ht="9" customHeight="1" x14ac:dyDescent="0.25">
      <c r="A74" s="150"/>
      <c r="K74" s="172"/>
      <c r="L74" s="172"/>
      <c r="M74" s="172"/>
      <c r="N74" s="172"/>
      <c r="O74" s="363" t="s">
        <v>326</v>
      </c>
      <c r="P74" s="363"/>
      <c r="Q74" s="172"/>
      <c r="R74" s="172"/>
      <c r="S74" s="172"/>
      <c r="T74" s="172"/>
      <c r="U74" s="172"/>
      <c r="V74" s="172"/>
      <c r="AA74" s="368">
        <v>15</v>
      </c>
      <c r="AB74" s="368" t="str">
        <f>IF(X43+X44=0,"",IF(X43&gt;X44,W42,W44))</f>
        <v/>
      </c>
      <c r="AC74" s="368"/>
      <c r="AD74" s="368"/>
      <c r="AE74" s="368"/>
      <c r="AF74" s="368">
        <v>31</v>
      </c>
      <c r="AG74" s="368" t="str">
        <f>IF(M161+M162=0,"",IF(M161&gt;M162,L160,L162))</f>
        <v/>
      </c>
      <c r="AH74" s="368"/>
      <c r="AI74" s="368"/>
      <c r="AJ74" s="368"/>
      <c r="AL74" s="160"/>
      <c r="AZ74" s="150"/>
      <c r="BA74" s="150"/>
      <c r="BB74" s="150"/>
      <c r="BC74" s="150"/>
      <c r="BD74" s="150"/>
      <c r="BE74" s="150"/>
      <c r="BF74" s="150"/>
      <c r="BG74" s="163"/>
      <c r="IB74" s="150"/>
      <c r="IC74" s="150"/>
      <c r="ID74" s="150"/>
      <c r="IE74" s="150"/>
    </row>
    <row r="75" spans="1:239" ht="9" customHeight="1" x14ac:dyDescent="0.15">
      <c r="A75" s="150"/>
      <c r="M75" s="151"/>
      <c r="O75" s="363"/>
      <c r="P75" s="363"/>
      <c r="Q75" s="172"/>
      <c r="R75" s="172"/>
      <c r="AA75" s="368"/>
      <c r="AB75" s="369"/>
      <c r="AC75" s="369"/>
      <c r="AD75" s="369"/>
      <c r="AE75" s="369"/>
      <c r="AF75" s="368"/>
      <c r="AG75" s="369"/>
      <c r="AH75" s="369"/>
      <c r="AI75" s="369"/>
      <c r="AJ75" s="369"/>
      <c r="AL75" s="174"/>
      <c r="AZ75" s="150"/>
      <c r="BA75" s="150"/>
      <c r="BB75" s="150"/>
      <c r="BC75" s="150"/>
      <c r="BD75" s="150"/>
      <c r="BE75" s="150"/>
      <c r="BF75" s="150"/>
      <c r="BG75" s="163"/>
      <c r="IB75" s="150"/>
      <c r="IC75" s="150"/>
      <c r="ID75" s="150"/>
      <c r="IE75" s="150"/>
    </row>
    <row r="76" spans="1:239" ht="9" customHeight="1" x14ac:dyDescent="0.15">
      <c r="A76" s="150"/>
      <c r="K76" s="173"/>
      <c r="L76" s="169" t="str">
        <f>IF(K23+K24=0,"",IF(K23&lt;K24,J15,J31))</f>
        <v/>
      </c>
      <c r="M76" s="169"/>
      <c r="N76" s="163"/>
      <c r="O76" s="172"/>
      <c r="P76" s="172"/>
      <c r="Q76" s="172"/>
      <c r="R76" s="172"/>
      <c r="S76" s="174"/>
      <c r="T76" s="174"/>
      <c r="U76" s="174"/>
      <c r="AL76" s="150"/>
      <c r="AN76" s="150"/>
      <c r="AP76" s="163"/>
      <c r="AQ76" s="150"/>
      <c r="AR76" s="150"/>
      <c r="AZ76" s="150"/>
      <c r="BA76" s="150"/>
      <c r="BB76" s="150"/>
      <c r="BC76" s="150"/>
      <c r="BD76" s="150"/>
      <c r="BE76" s="150"/>
      <c r="BF76" s="150"/>
      <c r="BG76" s="163"/>
      <c r="IB76" s="150"/>
      <c r="IC76" s="150"/>
      <c r="ID76" s="150"/>
      <c r="IE76" s="150"/>
    </row>
    <row r="77" spans="1:239" ht="9" customHeight="1" x14ac:dyDescent="0.15">
      <c r="A77" s="150"/>
      <c r="L77" s="155"/>
      <c r="M77" s="156"/>
      <c r="N77" s="169" t="str">
        <f>IF(M77+M78=0,"",IF(M77&gt;M78,L76,L78))</f>
        <v/>
      </c>
      <c r="S77" s="150"/>
      <c r="T77" s="150"/>
      <c r="U77" s="150"/>
      <c r="IB77" s="150"/>
      <c r="IC77" s="150"/>
      <c r="ID77" s="150"/>
      <c r="IE77" s="150"/>
    </row>
    <row r="78" spans="1:239" ht="9" customHeight="1" x14ac:dyDescent="0.15">
      <c r="A78" s="150"/>
      <c r="K78" s="173"/>
      <c r="L78" s="169" t="str">
        <f>IF(K55+K56=0,"",IF(K55&lt;K56,J47,J63))</f>
        <v/>
      </c>
      <c r="M78" s="156"/>
      <c r="N78" s="150"/>
      <c r="O78" s="173"/>
      <c r="P78" s="169" t="str">
        <f>IF(I101+I102=0,"",IF(I101&lt;I102,H97,H105))</f>
        <v/>
      </c>
      <c r="Q78" s="163"/>
      <c r="R78" s="150"/>
      <c r="S78" s="174"/>
      <c r="T78" s="174"/>
      <c r="U78" s="160"/>
      <c r="AA78" s="368">
        <v>16</v>
      </c>
      <c r="AB78" s="368" t="str">
        <f>IF(X43+X44=0,"",IF(X43&lt;X44,W42,W44))</f>
        <v/>
      </c>
      <c r="AC78" s="368"/>
      <c r="AD78" s="368"/>
      <c r="AE78" s="368"/>
      <c r="AF78" s="368">
        <v>32</v>
      </c>
      <c r="AG78" s="368" t="str">
        <f>IF(M161+M162=0,"",IF(M161&lt;M162,L160,L162))</f>
        <v/>
      </c>
      <c r="AH78" s="368"/>
      <c r="AI78" s="368"/>
      <c r="AJ78" s="368"/>
      <c r="IB78" s="150"/>
      <c r="IC78" s="150"/>
      <c r="ID78" s="150"/>
      <c r="IE78" s="150"/>
    </row>
    <row r="79" spans="1:239" ht="9" customHeight="1" x14ac:dyDescent="0.15">
      <c r="A79" s="150"/>
      <c r="P79" s="155"/>
      <c r="Q79" s="156"/>
      <c r="R79" s="169" t="str">
        <f>IF(Q79+Q80=0,"",IF(Q79&gt;Q80,P78,P80))</f>
        <v/>
      </c>
      <c r="AA79" s="368"/>
      <c r="AB79" s="369"/>
      <c r="AC79" s="369"/>
      <c r="AD79" s="369"/>
      <c r="AE79" s="369"/>
      <c r="AF79" s="368"/>
      <c r="AG79" s="369"/>
      <c r="AH79" s="369"/>
      <c r="AI79" s="369"/>
      <c r="AJ79" s="369"/>
      <c r="IB79" s="150"/>
      <c r="IC79" s="150"/>
      <c r="ID79" s="150"/>
      <c r="IE79" s="150"/>
    </row>
    <row r="80" spans="1:239" ht="9" customHeight="1" x14ac:dyDescent="0.15">
      <c r="A80" s="150"/>
      <c r="B80" s="150"/>
      <c r="C80" s="150"/>
      <c r="D80" s="150"/>
      <c r="E80" s="150"/>
      <c r="F80" s="150"/>
      <c r="G80" s="150"/>
      <c r="H80" s="150"/>
      <c r="I80" s="150"/>
      <c r="J80" s="150"/>
      <c r="K80" s="150"/>
      <c r="L80" s="150"/>
      <c r="M80" s="150"/>
      <c r="N80" s="163"/>
      <c r="O80" s="173"/>
      <c r="P80" s="169" t="str">
        <f>IF(I117+I118=0,"",IF(I117&lt;I118,H113,H121))</f>
        <v/>
      </c>
      <c r="Q80" s="156"/>
      <c r="R80" s="150"/>
      <c r="S80" s="150"/>
      <c r="T80" s="150"/>
      <c r="U80" s="150"/>
      <c r="V80" s="150"/>
      <c r="W80" s="172"/>
      <c r="AB80" s="172"/>
      <c r="AL80" s="172"/>
      <c r="AN80" s="172"/>
      <c r="AP80" s="172"/>
      <c r="IB80" s="150"/>
      <c r="IC80" s="150"/>
      <c r="ID80" s="150"/>
      <c r="IE80" s="150"/>
    </row>
    <row r="81" spans="1:239" ht="9" customHeight="1" x14ac:dyDescent="0.25">
      <c r="A81" s="150"/>
      <c r="B81" s="150"/>
      <c r="C81" s="150"/>
      <c r="D81" s="150"/>
      <c r="E81" s="150"/>
      <c r="F81" s="150"/>
      <c r="G81" s="150"/>
      <c r="H81" s="150"/>
      <c r="I81" s="150"/>
      <c r="J81" s="150"/>
      <c r="K81" s="150"/>
      <c r="L81" s="150"/>
      <c r="M81" s="150"/>
      <c r="N81" s="163"/>
      <c r="S81" s="150"/>
      <c r="T81" s="150"/>
      <c r="U81" s="150"/>
      <c r="V81" s="150"/>
      <c r="W81" s="172"/>
      <c r="AB81" s="172"/>
      <c r="AL81" s="172"/>
      <c r="AN81" s="172"/>
      <c r="AP81" s="172"/>
      <c r="IB81" s="150"/>
      <c r="IC81" s="150"/>
      <c r="ID81" s="150"/>
      <c r="IE81" s="150"/>
    </row>
    <row r="82" spans="1:239" ht="9" customHeight="1" x14ac:dyDescent="0.25">
      <c r="A82" s="150"/>
      <c r="B82" s="150"/>
      <c r="C82" s="150"/>
      <c r="F82" s="354">
        <f>'Infos générales'!$B$5</f>
        <v>0.54166666666666663</v>
      </c>
      <c r="G82" s="237"/>
      <c r="H82" s="355">
        <f>'Infos générales'!$B$6</f>
        <v>0.75</v>
      </c>
      <c r="I82" s="238"/>
      <c r="J82" s="356" t="str">
        <f>"Participants : "&amp;'Infos générales'!$B$8</f>
        <v>Participants : 32</v>
      </c>
      <c r="K82" s="356"/>
      <c r="L82" s="150"/>
      <c r="M82" s="163"/>
      <c r="N82" s="150"/>
      <c r="O82" s="150"/>
      <c r="P82" s="150"/>
      <c r="Q82" s="150"/>
      <c r="R82" s="365">
        <f>'Infos générales'!$B$5</f>
        <v>0.54166666666666663</v>
      </c>
      <c r="S82" s="150"/>
      <c r="T82" s="366">
        <f>'Infos générales'!$B$6</f>
        <v>0.75</v>
      </c>
      <c r="U82" s="237"/>
      <c r="V82" s="367" t="str">
        <f>"Participants : "&amp;'Infos générales'!$B$8</f>
        <v>Participants : 32</v>
      </c>
      <c r="W82" s="367"/>
      <c r="AB82" s="172"/>
      <c r="AL82" s="172"/>
      <c r="AN82" s="172"/>
      <c r="AP82" s="172"/>
      <c r="FO82" s="150"/>
      <c r="FP82" s="150"/>
      <c r="FQ82" s="150"/>
      <c r="FR82" s="150"/>
      <c r="FS82" s="150"/>
      <c r="FT82" s="150"/>
      <c r="FU82" s="150"/>
      <c r="FV82" s="150"/>
      <c r="FW82" s="150"/>
      <c r="FX82" s="150"/>
      <c r="FY82" s="150"/>
      <c r="FZ82" s="150"/>
      <c r="GA82" s="150"/>
      <c r="GB82" s="163"/>
      <c r="GC82" s="150"/>
      <c r="GD82" s="150"/>
      <c r="GE82" s="150"/>
      <c r="GF82" s="150"/>
      <c r="GG82" s="150"/>
      <c r="GH82" s="150"/>
      <c r="GI82" s="150"/>
      <c r="GJ82" s="150"/>
      <c r="GK82" s="150"/>
      <c r="GL82" s="163"/>
      <c r="GM82" s="150"/>
      <c r="GN82" s="150"/>
      <c r="GO82" s="150"/>
      <c r="GP82" s="150"/>
      <c r="GQ82" s="150"/>
      <c r="GR82" s="150"/>
      <c r="GS82" s="150"/>
      <c r="GT82" s="150"/>
      <c r="GU82" s="150"/>
      <c r="GV82" s="163"/>
      <c r="GW82" s="150"/>
      <c r="GX82" s="150"/>
      <c r="GY82" s="150"/>
      <c r="GZ82" s="150"/>
      <c r="HA82" s="150"/>
      <c r="HB82" s="150"/>
      <c r="HC82" s="150"/>
      <c r="HD82" s="150"/>
      <c r="HE82" s="150"/>
      <c r="HF82" s="163"/>
      <c r="HG82" s="150"/>
      <c r="HH82" s="150"/>
      <c r="HI82" s="150"/>
      <c r="HJ82" s="150"/>
      <c r="HK82" s="150"/>
      <c r="HL82" s="150"/>
      <c r="HM82" s="150"/>
      <c r="HN82" s="150"/>
      <c r="HO82" s="150"/>
      <c r="HP82" s="163"/>
      <c r="HQ82" s="150"/>
      <c r="HR82" s="150"/>
      <c r="HS82" s="150"/>
      <c r="HT82" s="150"/>
      <c r="HU82" s="150"/>
      <c r="HV82" s="150"/>
      <c r="HW82" s="150"/>
      <c r="HX82" s="150"/>
      <c r="HY82" s="150"/>
      <c r="HZ82" s="150"/>
      <c r="IA82" s="150"/>
      <c r="IB82" s="150"/>
      <c r="IC82" s="150"/>
      <c r="ID82" s="150"/>
      <c r="IE82" s="150"/>
    </row>
    <row r="83" spans="1:239" ht="9" customHeight="1" x14ac:dyDescent="0.25">
      <c r="A83" s="150"/>
      <c r="B83" s="150"/>
      <c r="C83" s="150"/>
      <c r="F83" s="354"/>
      <c r="G83" s="237"/>
      <c r="H83" s="355"/>
      <c r="I83" s="238"/>
      <c r="J83" s="356"/>
      <c r="K83" s="356"/>
      <c r="L83" s="150"/>
      <c r="M83" s="163"/>
      <c r="N83" s="150"/>
      <c r="O83" s="150"/>
      <c r="P83" s="150"/>
      <c r="Q83" s="150"/>
      <c r="R83" s="365"/>
      <c r="S83" s="150"/>
      <c r="T83" s="366"/>
      <c r="U83" s="237"/>
      <c r="V83" s="367"/>
      <c r="W83" s="367"/>
    </row>
    <row r="84" spans="1:239" ht="9" customHeight="1" x14ac:dyDescent="0.25">
      <c r="A84" s="150"/>
      <c r="B84" s="150"/>
      <c r="C84" s="150"/>
      <c r="D84" s="150"/>
      <c r="J84" s="172"/>
      <c r="K84" s="172"/>
      <c r="L84" s="150"/>
      <c r="M84" s="163"/>
      <c r="N84" s="150"/>
      <c r="O84" s="150"/>
      <c r="P84" s="150"/>
      <c r="Q84" s="150"/>
      <c r="R84" s="150"/>
      <c r="S84" s="150"/>
      <c r="T84" s="150"/>
      <c r="U84" s="150"/>
      <c r="V84" s="150"/>
      <c r="AB84" s="173"/>
      <c r="AP84" s="150"/>
      <c r="AQ84" s="150"/>
      <c r="AR84" s="150"/>
      <c r="AS84" s="150"/>
      <c r="AT84" s="150"/>
      <c r="AU84" s="150"/>
      <c r="AV84" s="150"/>
      <c r="AW84" s="163"/>
    </row>
    <row r="85" spans="1:239" ht="9" customHeight="1" x14ac:dyDescent="0.15">
      <c r="A85" s="150"/>
      <c r="D85" s="362" t="str">
        <f>'Infos générales'!$B$1</f>
        <v>Tournoi non-licencié AVTT</v>
      </c>
      <c r="E85" s="362"/>
      <c r="F85" s="362"/>
      <c r="G85" s="362"/>
      <c r="H85" s="362"/>
      <c r="I85" s="362"/>
      <c r="J85" s="362"/>
      <c r="K85" s="362"/>
      <c r="L85" s="362"/>
      <c r="M85" s="362"/>
      <c r="N85" s="362"/>
      <c r="O85" s="150"/>
      <c r="P85" s="150"/>
      <c r="Q85" s="150"/>
      <c r="R85" s="150"/>
      <c r="S85" s="150"/>
      <c r="T85" s="150"/>
      <c r="U85" s="150"/>
      <c r="V85" s="150"/>
      <c r="AP85" s="174"/>
      <c r="AQ85" s="174"/>
      <c r="AR85" s="174"/>
      <c r="AS85" s="174"/>
      <c r="AT85" s="174"/>
      <c r="AU85" s="174"/>
      <c r="AV85" s="174"/>
      <c r="AW85" s="163"/>
    </row>
    <row r="86" spans="1:239" ht="9" customHeight="1" x14ac:dyDescent="0.25">
      <c r="A86" s="150"/>
      <c r="D86" s="362"/>
      <c r="E86" s="362"/>
      <c r="F86" s="362"/>
      <c r="G86" s="362"/>
      <c r="H86" s="362"/>
      <c r="I86" s="362"/>
      <c r="J86" s="362"/>
      <c r="K86" s="362"/>
      <c r="L86" s="362"/>
      <c r="M86" s="362"/>
      <c r="N86" s="362"/>
      <c r="O86" s="150"/>
      <c r="P86" s="150"/>
      <c r="Q86" s="150"/>
      <c r="R86" s="150"/>
      <c r="S86" s="150"/>
      <c r="T86" s="150"/>
      <c r="U86" s="150"/>
      <c r="V86" s="163"/>
      <c r="Y86" s="151"/>
      <c r="Z86" s="151"/>
      <c r="AP86" s="150"/>
      <c r="AQ86" s="150"/>
      <c r="AR86" s="150"/>
      <c r="AS86" s="150"/>
      <c r="AT86" s="150"/>
      <c r="AU86" s="150"/>
      <c r="AV86" s="150"/>
      <c r="AW86" s="163"/>
    </row>
    <row r="87" spans="1:239" ht="9" customHeight="1" x14ac:dyDescent="0.25">
      <c r="A87" s="150"/>
      <c r="B87" s="150"/>
      <c r="C87" s="150"/>
      <c r="D87" s="364">
        <f>'Infos générales'!$B$4</f>
        <v>43330</v>
      </c>
      <c r="E87" s="364"/>
      <c r="F87" s="364"/>
      <c r="G87" s="364"/>
      <c r="H87" s="364"/>
      <c r="I87" s="364"/>
      <c r="J87" s="364"/>
      <c r="K87" s="364"/>
      <c r="L87" s="364"/>
      <c r="M87" s="364"/>
      <c r="N87" s="364"/>
      <c r="O87" s="150"/>
      <c r="P87" s="150"/>
      <c r="Q87" s="150"/>
      <c r="R87" s="172"/>
      <c r="X87" s="172"/>
      <c r="Y87" s="172"/>
      <c r="Z87" s="172"/>
      <c r="AA87" s="172"/>
      <c r="AB87" s="172"/>
      <c r="AC87" s="172"/>
      <c r="AD87" s="172"/>
    </row>
    <row r="88" spans="1:239" ht="9" customHeight="1" x14ac:dyDescent="0.25">
      <c r="A88" s="150"/>
      <c r="B88" s="150"/>
      <c r="C88" s="150"/>
      <c r="D88" s="364"/>
      <c r="E88" s="364"/>
      <c r="F88" s="364"/>
      <c r="G88" s="364"/>
      <c r="H88" s="364"/>
      <c r="I88" s="364"/>
      <c r="J88" s="364"/>
      <c r="K88" s="364"/>
      <c r="L88" s="364"/>
      <c r="M88" s="364"/>
      <c r="N88" s="364"/>
      <c r="O88" s="150"/>
      <c r="P88" s="150"/>
      <c r="Q88" s="150"/>
      <c r="R88" s="172"/>
      <c r="X88" s="172"/>
      <c r="Y88" s="172"/>
      <c r="Z88" s="172"/>
      <c r="AA88" s="172"/>
      <c r="AB88" s="172"/>
      <c r="AC88" s="172"/>
      <c r="AD88" s="172"/>
    </row>
    <row r="89" spans="1:239" ht="9" customHeight="1" x14ac:dyDescent="0.15">
      <c r="A89" s="150"/>
      <c r="B89" s="150"/>
      <c r="C89" s="150"/>
      <c r="D89" s="150"/>
      <c r="J89" s="174"/>
      <c r="L89" s="150"/>
      <c r="M89" s="163"/>
      <c r="N89" s="150"/>
      <c r="R89" s="172"/>
      <c r="X89" s="172"/>
      <c r="Y89" s="172"/>
      <c r="Z89" s="172"/>
      <c r="AA89" s="172"/>
      <c r="AB89" s="172"/>
      <c r="AC89" s="172"/>
      <c r="AD89" s="172"/>
    </row>
    <row r="90" spans="1:239" ht="9" customHeight="1" x14ac:dyDescent="0.25">
      <c r="A90" s="150"/>
      <c r="B90" s="150"/>
      <c r="C90" s="150"/>
      <c r="D90" s="363" t="s">
        <v>331</v>
      </c>
      <c r="E90" s="363"/>
      <c r="J90" s="150"/>
      <c r="L90" s="150"/>
      <c r="M90" s="163"/>
      <c r="N90" s="150"/>
      <c r="X90" s="150"/>
      <c r="Y90" s="150"/>
      <c r="Z90" s="150"/>
      <c r="AA90" s="150"/>
      <c r="AB90" s="150"/>
      <c r="AC90" s="150"/>
      <c r="AD90" s="150"/>
    </row>
    <row r="91" spans="1:239" ht="9" customHeight="1" x14ac:dyDescent="0.15">
      <c r="A91" s="150"/>
      <c r="B91" s="150"/>
      <c r="C91" s="150"/>
      <c r="D91" s="363"/>
      <c r="E91" s="363"/>
      <c r="L91" s="150"/>
      <c r="M91" s="163"/>
      <c r="N91" s="150"/>
      <c r="R91" s="173"/>
      <c r="X91" s="150"/>
      <c r="Y91" s="174"/>
      <c r="Z91" s="174"/>
      <c r="AA91" s="174"/>
      <c r="AB91" s="174"/>
      <c r="AC91" s="174"/>
      <c r="AD91" s="150"/>
    </row>
    <row r="92" spans="1:239" ht="9" customHeight="1" x14ac:dyDescent="0.15">
      <c r="A92" s="150"/>
      <c r="B92" s="150"/>
      <c r="C92" s="150"/>
      <c r="D92" s="172"/>
      <c r="E92" s="172"/>
      <c r="F92" s="150"/>
      <c r="G92" s="150"/>
      <c r="H92" s="150"/>
      <c r="I92" s="163"/>
      <c r="J92" s="150"/>
      <c r="K92" s="150"/>
      <c r="L92" s="150"/>
      <c r="M92" s="163"/>
      <c r="N92" s="150"/>
      <c r="X92" s="174"/>
      <c r="Y92" s="150"/>
      <c r="Z92" s="150"/>
      <c r="AA92" s="150"/>
      <c r="AB92" s="150"/>
      <c r="AC92" s="150"/>
      <c r="AD92" s="150"/>
    </row>
    <row r="93" spans="1:239" ht="9" customHeight="1" x14ac:dyDescent="0.15">
      <c r="A93" s="150"/>
      <c r="B93" s="150"/>
      <c r="C93" s="150"/>
      <c r="D93" s="150"/>
      <c r="E93" s="150"/>
      <c r="F93" s="150"/>
      <c r="G93" s="150"/>
      <c r="H93" s="150"/>
      <c r="I93" s="163"/>
      <c r="J93" s="150"/>
      <c r="K93" s="150"/>
      <c r="L93" s="150"/>
      <c r="M93" s="163"/>
      <c r="N93" s="150"/>
      <c r="R93" s="173"/>
      <c r="X93" s="150"/>
      <c r="Y93" s="174"/>
      <c r="Z93" s="174"/>
      <c r="AA93" s="174"/>
      <c r="AB93" s="174"/>
      <c r="AC93" s="160"/>
      <c r="AD93" s="150"/>
    </row>
    <row r="94" spans="1:239" ht="9" customHeight="1" x14ac:dyDescent="0.15">
      <c r="A94" s="150"/>
      <c r="B94" s="150"/>
      <c r="C94" s="150"/>
      <c r="D94" s="169" t="str">
        <f>IF(E9+E10=0,"",IF(E9&lt;E10,D8,D10))</f>
        <v/>
      </c>
      <c r="E94" s="162"/>
      <c r="F94" s="163"/>
      <c r="G94" s="150"/>
      <c r="H94" s="150"/>
      <c r="I94" s="150"/>
      <c r="J94" s="150"/>
      <c r="K94" s="150"/>
      <c r="L94" s="150"/>
      <c r="M94" s="150"/>
      <c r="N94" s="150"/>
      <c r="X94" s="150"/>
      <c r="Y94" s="150"/>
      <c r="Z94" s="150"/>
      <c r="AA94" s="150"/>
      <c r="AB94" s="150"/>
      <c r="AC94" s="150"/>
      <c r="AD94" s="150"/>
    </row>
    <row r="95" spans="1:239" ht="9" customHeight="1" x14ac:dyDescent="0.15">
      <c r="A95" s="150"/>
      <c r="B95" s="150"/>
      <c r="C95" s="150"/>
      <c r="D95" s="155"/>
      <c r="E95" s="156"/>
      <c r="F95" s="170" t="str">
        <f>IF(E95+E96=0,"",IF(E95&gt;E96,D94,D96))</f>
        <v/>
      </c>
      <c r="G95" s="174"/>
      <c r="H95" s="163"/>
      <c r="I95" s="150"/>
      <c r="J95" s="150"/>
      <c r="K95" s="150"/>
      <c r="L95" s="150"/>
      <c r="M95" s="150"/>
      <c r="N95" s="150"/>
      <c r="Y95" s="150"/>
      <c r="Z95" s="150"/>
      <c r="AA95" s="150"/>
      <c r="AB95" s="150"/>
      <c r="AC95" s="150"/>
      <c r="AD95" s="150"/>
    </row>
    <row r="96" spans="1:239" ht="9" customHeight="1" x14ac:dyDescent="0.15">
      <c r="A96" s="150"/>
      <c r="B96" s="150"/>
      <c r="C96" s="150"/>
      <c r="D96" s="169" t="str">
        <f>IF(E13+E14=0,"",IF(E13&lt;E14,D12,D14))</f>
        <v/>
      </c>
      <c r="E96" s="156"/>
      <c r="F96" s="150"/>
      <c r="G96" s="185"/>
      <c r="H96" s="163"/>
      <c r="I96" s="150"/>
      <c r="J96" s="150"/>
      <c r="K96" s="150"/>
      <c r="L96" s="150"/>
      <c r="M96" s="150"/>
      <c r="N96" s="150"/>
      <c r="Y96" s="150"/>
      <c r="Z96" s="150"/>
      <c r="AA96" s="150"/>
      <c r="AB96" s="150"/>
      <c r="AC96" s="150"/>
      <c r="AD96" s="150"/>
    </row>
    <row r="97" spans="1:150" ht="9" customHeight="1" x14ac:dyDescent="0.25">
      <c r="A97" s="150"/>
      <c r="B97" s="150"/>
      <c r="C97" s="150"/>
      <c r="D97" s="155"/>
      <c r="E97" s="163"/>
      <c r="F97" s="150"/>
      <c r="G97" s="156"/>
      <c r="H97" s="171" t="str">
        <f>IF(G97+G98=0,"",IF(G97&gt;G98,F95,F99))</f>
        <v/>
      </c>
      <c r="I97" s="160"/>
      <c r="J97" s="163"/>
      <c r="K97" s="150"/>
      <c r="L97" s="150"/>
      <c r="M97" s="150"/>
      <c r="N97" s="150"/>
      <c r="O97" s="150"/>
      <c r="P97" s="150"/>
      <c r="Q97" s="150"/>
      <c r="Y97" s="151"/>
      <c r="Z97" s="151"/>
    </row>
    <row r="98" spans="1:150" ht="9" customHeight="1" x14ac:dyDescent="0.15">
      <c r="A98" s="150"/>
      <c r="B98" s="150"/>
      <c r="C98" s="150"/>
      <c r="D98" s="169" t="str">
        <f>IF(E17+E18=0,"",IF(E17&lt;E18,D16,D18))</f>
        <v/>
      </c>
      <c r="E98" s="163"/>
      <c r="F98" s="150"/>
      <c r="G98" s="156"/>
      <c r="H98" s="150"/>
      <c r="I98" s="183"/>
      <c r="J98" s="163"/>
      <c r="K98" s="150"/>
      <c r="L98" s="150"/>
      <c r="M98" s="150"/>
      <c r="N98" s="150"/>
      <c r="O98" s="150"/>
      <c r="P98" s="150"/>
      <c r="Q98" s="150"/>
      <c r="Y98" s="151"/>
      <c r="Z98" s="151"/>
    </row>
    <row r="99" spans="1:150" ht="9" customHeight="1" x14ac:dyDescent="0.15">
      <c r="A99" s="150"/>
      <c r="B99" s="150"/>
      <c r="C99" s="150"/>
      <c r="D99" s="155"/>
      <c r="E99" s="156"/>
      <c r="F99" s="170" t="str">
        <f>IF(E99+E100=0,"",IF(E99&gt;E100,D98,D100))</f>
        <v/>
      </c>
      <c r="G99" s="157"/>
      <c r="H99" s="150"/>
      <c r="I99" s="183"/>
      <c r="J99" s="163"/>
      <c r="K99" s="150"/>
      <c r="L99" s="150"/>
      <c r="M99" s="150"/>
      <c r="N99" s="150"/>
      <c r="O99" s="150"/>
      <c r="P99" s="150"/>
      <c r="Q99" s="150"/>
      <c r="Y99" s="151"/>
      <c r="Z99" s="151"/>
    </row>
    <row r="100" spans="1:150" ht="9" customHeight="1" x14ac:dyDescent="0.15">
      <c r="A100" s="150"/>
      <c r="B100" s="150"/>
      <c r="C100" s="150"/>
      <c r="D100" s="169" t="str">
        <f>IF(E21+E22=0,"",IF(E21&lt;E22,D20,D22))</f>
        <v/>
      </c>
      <c r="E100" s="156"/>
      <c r="F100" s="150"/>
      <c r="G100" s="163"/>
      <c r="H100" s="150"/>
      <c r="I100" s="185"/>
      <c r="J100" s="163"/>
      <c r="K100" s="150"/>
      <c r="L100" s="150"/>
      <c r="M100" s="150"/>
      <c r="N100" s="150"/>
      <c r="O100" s="150"/>
      <c r="P100" s="150"/>
      <c r="Q100" s="150"/>
      <c r="U100" s="172"/>
      <c r="AA100" s="172"/>
      <c r="AB100" s="172"/>
      <c r="AC100" s="172"/>
      <c r="AD100" s="172"/>
    </row>
    <row r="101" spans="1:150" ht="9" customHeight="1" x14ac:dyDescent="0.25">
      <c r="A101" s="150"/>
      <c r="B101" s="150"/>
      <c r="C101" s="150"/>
      <c r="D101" s="155"/>
      <c r="E101" s="163"/>
      <c r="F101" s="150"/>
      <c r="G101" s="163"/>
      <c r="H101" s="150"/>
      <c r="I101" s="156"/>
      <c r="J101" s="171" t="str">
        <f>IF(I101+I102=0,"",IF(I101&gt;I102,H97,H105))</f>
        <v/>
      </c>
      <c r="K101" s="160"/>
      <c r="L101" s="163"/>
      <c r="M101" s="150"/>
      <c r="N101" s="150"/>
      <c r="O101" s="150"/>
      <c r="P101" s="150"/>
      <c r="Q101" s="150"/>
      <c r="U101" s="172"/>
      <c r="AA101" s="172"/>
      <c r="AB101" s="172"/>
      <c r="AC101" s="172"/>
      <c r="AD101" s="172"/>
    </row>
    <row r="102" spans="1:150" ht="9" customHeight="1" x14ac:dyDescent="0.15">
      <c r="A102" s="150"/>
      <c r="B102" s="159"/>
      <c r="D102" s="169" t="str">
        <f>IF(E25+E26=0,"",IF(E25&lt;E26,D24,D26))</f>
        <v/>
      </c>
      <c r="E102" s="163"/>
      <c r="F102" s="150"/>
      <c r="G102" s="163"/>
      <c r="H102" s="150"/>
      <c r="I102" s="156"/>
      <c r="J102" s="150"/>
      <c r="K102" s="183"/>
      <c r="L102" s="163"/>
      <c r="M102" s="150"/>
      <c r="N102" s="150"/>
      <c r="O102" s="150"/>
      <c r="P102" s="150"/>
      <c r="Q102" s="150"/>
      <c r="U102" s="172"/>
      <c r="AA102" s="172"/>
      <c r="AB102" s="172"/>
      <c r="AC102" s="172"/>
      <c r="AD102" s="172"/>
    </row>
    <row r="103" spans="1:150" ht="9" customHeight="1" x14ac:dyDescent="0.15">
      <c r="A103" s="150"/>
      <c r="B103" s="159"/>
      <c r="C103" s="159"/>
      <c r="D103" s="155"/>
      <c r="E103" s="156"/>
      <c r="F103" s="170" t="str">
        <f>IF(E103+E104=0,"",IF(E103&gt;E104,D102,D104))</f>
        <v/>
      </c>
      <c r="G103" s="163"/>
      <c r="H103" s="150"/>
      <c r="I103" s="157"/>
      <c r="J103" s="150"/>
      <c r="K103" s="183"/>
      <c r="L103" s="163"/>
      <c r="M103" s="150"/>
      <c r="N103" s="150"/>
      <c r="O103" s="150"/>
      <c r="P103" s="150"/>
      <c r="Q103" s="150"/>
      <c r="AA103" s="150"/>
      <c r="AB103" s="150"/>
      <c r="AC103" s="150"/>
      <c r="AD103" s="150"/>
    </row>
    <row r="104" spans="1:150" ht="9" customHeight="1" x14ac:dyDescent="0.15">
      <c r="A104" s="150"/>
      <c r="B104" s="150"/>
      <c r="C104" s="150"/>
      <c r="D104" s="169" t="str">
        <f>IF(E29+E30=0,"",IF(E29&lt;E30,D28,D30))</f>
        <v/>
      </c>
      <c r="E104" s="156"/>
      <c r="F104" s="150"/>
      <c r="G104" s="157"/>
      <c r="H104" s="150"/>
      <c r="I104" s="157"/>
      <c r="J104" s="150"/>
      <c r="K104" s="183"/>
      <c r="L104" s="163"/>
      <c r="M104" s="150"/>
      <c r="N104" s="150"/>
      <c r="O104" s="150"/>
      <c r="P104" s="150"/>
      <c r="Q104" s="150"/>
      <c r="U104" s="173"/>
      <c r="AA104" s="150"/>
      <c r="AB104" s="150"/>
      <c r="AC104" s="174"/>
      <c r="AD104" s="174"/>
    </row>
    <row r="105" spans="1:150" ht="9" customHeight="1" x14ac:dyDescent="0.15">
      <c r="A105" s="150"/>
      <c r="B105" s="150"/>
      <c r="C105" s="150"/>
      <c r="D105" s="155"/>
      <c r="E105" s="163"/>
      <c r="F105" s="150"/>
      <c r="G105" s="156"/>
      <c r="H105" s="171" t="str">
        <f>IF(G105+G106=0,"",IF(G105&gt;G106,F103,F107))</f>
        <v/>
      </c>
      <c r="I105" s="157"/>
      <c r="J105" s="150"/>
      <c r="K105" s="183"/>
      <c r="L105" s="163"/>
      <c r="M105" s="150"/>
      <c r="N105" s="150"/>
      <c r="O105" s="150"/>
      <c r="P105" s="150"/>
      <c r="Q105" s="150"/>
      <c r="AB105" s="174"/>
      <c r="AC105" s="150"/>
      <c r="AD105" s="150"/>
    </row>
    <row r="106" spans="1:150" ht="9" customHeight="1" x14ac:dyDescent="0.15">
      <c r="A106" s="150"/>
      <c r="B106" s="150"/>
      <c r="C106" s="150"/>
      <c r="D106" s="169" t="str">
        <f>IF(E33+E34=0,"",IF(E33&lt;E34,D32,D34))</f>
        <v/>
      </c>
      <c r="E106" s="163"/>
      <c r="F106" s="150"/>
      <c r="G106" s="156"/>
      <c r="H106" s="150"/>
      <c r="I106" s="163"/>
      <c r="J106" s="150"/>
      <c r="K106" s="183"/>
      <c r="L106" s="163"/>
      <c r="M106" s="150"/>
      <c r="N106" s="150"/>
      <c r="O106" s="150"/>
      <c r="P106" s="150"/>
      <c r="Q106" s="150"/>
      <c r="U106" s="173"/>
      <c r="AB106" s="150"/>
      <c r="AC106" s="174"/>
      <c r="AD106" s="174"/>
    </row>
    <row r="107" spans="1:150" ht="9" customHeight="1" x14ac:dyDescent="0.15">
      <c r="A107" s="150"/>
      <c r="B107" s="150"/>
      <c r="C107" s="150"/>
      <c r="D107" s="155"/>
      <c r="E107" s="156"/>
      <c r="F107" s="170" t="str">
        <f>IF(E107+E108=0,"",IF(E107&gt;E108,D106,D108))</f>
        <v/>
      </c>
      <c r="G107" s="157"/>
      <c r="H107" s="150"/>
      <c r="I107" s="163"/>
      <c r="J107" s="150"/>
      <c r="K107" s="183"/>
      <c r="L107" s="163"/>
      <c r="M107" s="150"/>
      <c r="N107" s="150"/>
      <c r="O107" s="150"/>
      <c r="P107" s="150"/>
      <c r="Q107" s="150"/>
      <c r="AB107" s="150"/>
      <c r="AC107" s="150"/>
      <c r="AD107" s="150"/>
    </row>
    <row r="108" spans="1:150" ht="9" customHeight="1" x14ac:dyDescent="0.15">
      <c r="A108" s="150"/>
      <c r="B108" s="150"/>
      <c r="C108" s="150"/>
      <c r="D108" s="169" t="str">
        <f>IF(E37+E38=0,"",IF(E37&lt;E38,D36,D38))</f>
        <v/>
      </c>
      <c r="E108" s="156"/>
      <c r="F108" s="150"/>
      <c r="G108" s="163"/>
      <c r="H108" s="150"/>
      <c r="I108" s="163"/>
      <c r="J108" s="150"/>
      <c r="K108" s="183"/>
      <c r="L108" s="163"/>
      <c r="M108" s="150"/>
      <c r="N108" s="150"/>
      <c r="O108" s="150"/>
      <c r="P108" s="150"/>
      <c r="Q108" s="150"/>
      <c r="X108" s="150"/>
      <c r="Y108" s="150"/>
      <c r="Z108" s="150"/>
      <c r="AA108" s="150"/>
      <c r="AB108" s="150"/>
      <c r="AC108" s="150"/>
      <c r="AD108" s="150"/>
    </row>
    <row r="109" spans="1:150" ht="9" customHeight="1" x14ac:dyDescent="0.25">
      <c r="A109" s="150"/>
      <c r="B109" s="150"/>
      <c r="C109" s="150"/>
      <c r="D109" s="155"/>
      <c r="E109" s="163"/>
      <c r="F109" s="150"/>
      <c r="G109" s="163"/>
      <c r="H109" s="150"/>
      <c r="I109" s="163"/>
      <c r="J109" s="150"/>
      <c r="K109" s="156"/>
      <c r="L109" s="171" t="str">
        <f>IF(K109+K110=0,"",IF(K109&gt;K110,J101,J117))</f>
        <v/>
      </c>
      <c r="M109" s="151"/>
      <c r="N109" s="160"/>
      <c r="O109" s="150"/>
      <c r="P109" s="150"/>
      <c r="Q109" s="150"/>
      <c r="X109" s="150"/>
      <c r="Y109" s="150"/>
      <c r="Z109" s="150"/>
      <c r="AA109" s="150"/>
      <c r="AB109" s="150"/>
      <c r="AC109" s="150"/>
      <c r="AD109" s="150"/>
    </row>
    <row r="110" spans="1:150" ht="9" customHeight="1" x14ac:dyDescent="0.15">
      <c r="A110" s="150"/>
      <c r="B110" s="150"/>
      <c r="C110" s="150"/>
      <c r="D110" s="169" t="str">
        <f>IF(E41+E42=0,"",IF(E41&lt;E42,D40,D42))</f>
        <v/>
      </c>
      <c r="E110" s="163"/>
      <c r="F110" s="150"/>
      <c r="G110" s="163"/>
      <c r="H110" s="150"/>
      <c r="I110" s="163"/>
      <c r="J110" s="150"/>
      <c r="K110" s="156"/>
      <c r="L110" s="150"/>
      <c r="M110" s="151"/>
      <c r="N110" s="150"/>
      <c r="O110" s="150"/>
      <c r="P110" s="150"/>
      <c r="Q110" s="150"/>
      <c r="Y110" s="151"/>
      <c r="Z110" s="151"/>
      <c r="AC110" s="150"/>
      <c r="AD110" s="150"/>
    </row>
    <row r="111" spans="1:150" ht="9" customHeight="1" x14ac:dyDescent="0.15">
      <c r="A111" s="150"/>
      <c r="B111" s="150"/>
      <c r="C111" s="150"/>
      <c r="D111" s="155"/>
      <c r="E111" s="156"/>
      <c r="F111" s="170" t="str">
        <f>IF(E111+E112=0,"",IF(E111&gt;E112,D110,D112))</f>
        <v/>
      </c>
      <c r="G111" s="163"/>
      <c r="H111" s="150"/>
      <c r="I111" s="163"/>
      <c r="J111" s="150"/>
      <c r="K111" s="183"/>
      <c r="L111" s="163"/>
      <c r="M111" s="150"/>
      <c r="N111" s="150"/>
      <c r="O111" s="150"/>
      <c r="P111" s="150"/>
      <c r="Q111" s="150"/>
      <c r="Y111" s="151"/>
      <c r="Z111" s="151"/>
    </row>
    <row r="112" spans="1:150" ht="9" customHeight="1" x14ac:dyDescent="0.15">
      <c r="A112" s="150"/>
      <c r="B112" s="165"/>
      <c r="C112" s="165"/>
      <c r="D112" s="169" t="str">
        <f>IF(E45+E46=0,"",IF(E45&lt;E46,D44,D46))</f>
        <v/>
      </c>
      <c r="E112" s="156"/>
      <c r="F112" s="150"/>
      <c r="G112" s="157"/>
      <c r="H112" s="150"/>
      <c r="I112" s="163"/>
      <c r="J112" s="150"/>
      <c r="K112" s="183"/>
      <c r="L112" s="163"/>
      <c r="M112" s="150"/>
      <c r="N112" s="150"/>
      <c r="O112" s="165"/>
      <c r="P112" s="165"/>
      <c r="Q112" s="165"/>
      <c r="Y112" s="151"/>
      <c r="Z112" s="151"/>
      <c r="AE112" s="175"/>
      <c r="AF112" s="175"/>
      <c r="AG112" s="175"/>
      <c r="AH112" s="175"/>
      <c r="AI112" s="175"/>
      <c r="AJ112" s="175"/>
      <c r="AK112" s="175"/>
      <c r="AL112" s="175"/>
      <c r="AM112" s="175"/>
      <c r="AN112" s="175"/>
      <c r="AO112" s="175"/>
      <c r="AP112" s="175"/>
      <c r="AQ112" s="175"/>
      <c r="AR112" s="175"/>
      <c r="AS112" s="175"/>
      <c r="AT112" s="175"/>
      <c r="AU112" s="175"/>
      <c r="AV112" s="175"/>
      <c r="AW112" s="175"/>
      <c r="AX112" s="175"/>
      <c r="AY112" s="175"/>
      <c r="AZ112" s="175"/>
      <c r="BA112" s="175"/>
      <c r="BB112" s="175"/>
      <c r="BC112" s="175"/>
      <c r="BD112" s="175"/>
      <c r="BE112" s="175"/>
      <c r="BF112" s="175"/>
      <c r="BG112" s="175"/>
      <c r="BH112" s="175"/>
      <c r="BI112" s="175"/>
      <c r="BJ112" s="175"/>
      <c r="BK112" s="175"/>
      <c r="BL112" s="175"/>
      <c r="BM112" s="175"/>
      <c r="BN112" s="175"/>
      <c r="BO112" s="175"/>
      <c r="BP112" s="175"/>
      <c r="BQ112" s="175"/>
      <c r="BR112" s="175"/>
      <c r="BS112" s="175"/>
      <c r="BT112" s="175"/>
      <c r="BU112" s="175"/>
      <c r="BV112" s="175"/>
      <c r="BW112" s="175"/>
      <c r="BX112" s="175"/>
      <c r="BY112" s="175"/>
      <c r="BZ112" s="175"/>
      <c r="CA112" s="175"/>
      <c r="CB112" s="175"/>
      <c r="CC112" s="175"/>
      <c r="CD112" s="175"/>
      <c r="CE112" s="175"/>
      <c r="CF112" s="175"/>
      <c r="CG112" s="175"/>
      <c r="CH112" s="175"/>
      <c r="CI112" s="175"/>
      <c r="CJ112" s="175"/>
      <c r="CK112" s="175"/>
      <c r="CL112" s="175"/>
      <c r="CM112" s="175"/>
      <c r="CN112" s="175"/>
      <c r="CT112" s="152"/>
      <c r="CU112" s="152"/>
      <c r="CV112" s="152"/>
      <c r="CW112" s="152"/>
      <c r="CX112" s="152"/>
      <c r="CY112" s="152"/>
      <c r="CZ112" s="152"/>
      <c r="DA112" s="152"/>
      <c r="DB112" s="152"/>
      <c r="DC112" s="152"/>
      <c r="DD112" s="152"/>
      <c r="DE112" s="152"/>
      <c r="DF112" s="152"/>
      <c r="DG112" s="152"/>
      <c r="DH112" s="152"/>
      <c r="DI112" s="152"/>
      <c r="DJ112" s="152"/>
      <c r="DK112" s="152"/>
      <c r="DL112" s="152"/>
      <c r="DM112" s="152"/>
      <c r="DN112" s="152"/>
      <c r="DO112" s="152"/>
      <c r="DP112" s="152"/>
      <c r="DQ112" s="152"/>
      <c r="DR112" s="152"/>
      <c r="DS112" s="152"/>
      <c r="DT112" s="152"/>
      <c r="DU112" s="152"/>
      <c r="DV112" s="152"/>
      <c r="DW112" s="152"/>
      <c r="DX112" s="152"/>
      <c r="DY112" s="152"/>
      <c r="DZ112" s="152"/>
      <c r="EA112" s="152"/>
      <c r="EB112" s="152"/>
      <c r="EC112" s="152"/>
      <c r="ED112" s="152"/>
      <c r="EE112" s="152"/>
      <c r="EF112" s="152"/>
      <c r="EG112" s="152"/>
      <c r="EH112" s="152"/>
      <c r="EI112" s="152"/>
      <c r="EJ112" s="152"/>
      <c r="EK112" s="152"/>
      <c r="EL112" s="152"/>
      <c r="EM112" s="152"/>
      <c r="EN112" s="152"/>
      <c r="EO112" s="152"/>
      <c r="EP112" s="152"/>
      <c r="EQ112" s="152"/>
      <c r="ER112" s="152"/>
      <c r="ES112" s="152"/>
      <c r="ET112" s="152"/>
    </row>
    <row r="113" spans="1:150" ht="9" customHeight="1" x14ac:dyDescent="0.25">
      <c r="A113" s="150"/>
      <c r="B113" s="165"/>
      <c r="C113" s="165"/>
      <c r="D113" s="155"/>
      <c r="E113" s="163"/>
      <c r="F113" s="150"/>
      <c r="G113" s="156"/>
      <c r="H113" s="171" t="str">
        <f>IF(G113+G114=0,"",IF(G113&gt;G114,F111,F115))</f>
        <v/>
      </c>
      <c r="I113" s="163"/>
      <c r="J113" s="150"/>
      <c r="K113" s="183"/>
      <c r="L113" s="163"/>
      <c r="M113" s="150"/>
      <c r="N113" s="150"/>
      <c r="O113" s="165"/>
      <c r="P113" s="165"/>
      <c r="Q113" s="165"/>
      <c r="Y113" s="151"/>
      <c r="Z113" s="151"/>
      <c r="AE113" s="175"/>
      <c r="AF113" s="175"/>
      <c r="AG113" s="175"/>
      <c r="AH113" s="175"/>
      <c r="AI113" s="175"/>
      <c r="AJ113" s="175"/>
      <c r="AK113" s="175"/>
      <c r="AL113" s="175"/>
      <c r="AM113" s="175"/>
      <c r="AN113" s="175"/>
      <c r="AO113" s="175"/>
      <c r="AP113" s="175"/>
      <c r="AQ113" s="175"/>
      <c r="AR113" s="175"/>
      <c r="AS113" s="175"/>
      <c r="AT113" s="175"/>
      <c r="AU113" s="175"/>
      <c r="AV113" s="175"/>
      <c r="AW113" s="175"/>
      <c r="AX113" s="175"/>
      <c r="AY113" s="175"/>
      <c r="AZ113" s="175"/>
      <c r="BA113" s="175"/>
      <c r="BB113" s="175"/>
      <c r="BC113" s="175"/>
      <c r="BD113" s="175"/>
      <c r="BE113" s="175"/>
      <c r="BF113" s="175"/>
      <c r="BG113" s="175"/>
      <c r="BH113" s="175"/>
      <c r="BI113" s="175"/>
      <c r="BJ113" s="175"/>
      <c r="BK113" s="175"/>
      <c r="BL113" s="175"/>
      <c r="BM113" s="175"/>
      <c r="BN113" s="175"/>
      <c r="BO113" s="175"/>
      <c r="BP113" s="175"/>
      <c r="BQ113" s="175"/>
      <c r="BR113" s="175"/>
      <c r="BS113" s="175"/>
      <c r="BT113" s="175"/>
      <c r="BU113" s="175"/>
      <c r="BV113" s="175"/>
      <c r="BW113" s="175"/>
      <c r="BX113" s="175"/>
      <c r="BY113" s="175"/>
      <c r="BZ113" s="175"/>
      <c r="CA113" s="175"/>
      <c r="CB113" s="175"/>
      <c r="CC113" s="175"/>
      <c r="CD113" s="175"/>
      <c r="CE113" s="175"/>
      <c r="CF113" s="175"/>
      <c r="CG113" s="175"/>
      <c r="CH113" s="175"/>
      <c r="CI113" s="175"/>
      <c r="CJ113" s="175"/>
      <c r="CK113" s="175"/>
      <c r="CL113" s="175"/>
      <c r="CM113" s="175"/>
      <c r="CN113" s="175"/>
      <c r="CT113" s="152"/>
      <c r="CU113" s="152"/>
      <c r="CV113" s="152"/>
      <c r="CW113" s="152"/>
      <c r="CX113" s="152"/>
      <c r="CY113" s="152"/>
      <c r="CZ113" s="152"/>
      <c r="DA113" s="152"/>
      <c r="DB113" s="152"/>
      <c r="DC113" s="152"/>
      <c r="DD113" s="152"/>
      <c r="DE113" s="152"/>
      <c r="DF113" s="152"/>
      <c r="DG113" s="152"/>
      <c r="DH113" s="152"/>
      <c r="DI113" s="152"/>
      <c r="DJ113" s="152"/>
      <c r="DK113" s="152"/>
      <c r="DL113" s="152"/>
      <c r="DM113" s="152"/>
      <c r="DN113" s="152"/>
      <c r="DO113" s="152"/>
      <c r="DP113" s="152"/>
      <c r="DQ113" s="152"/>
      <c r="DR113" s="152"/>
      <c r="DS113" s="152"/>
      <c r="DT113" s="152"/>
      <c r="DU113" s="152"/>
      <c r="DV113" s="152"/>
      <c r="DW113" s="152"/>
      <c r="DX113" s="152"/>
      <c r="DY113" s="152"/>
      <c r="DZ113" s="152"/>
      <c r="EA113" s="152"/>
      <c r="EB113" s="152"/>
      <c r="EC113" s="152"/>
      <c r="ED113" s="152"/>
      <c r="EE113" s="152"/>
      <c r="EF113" s="152"/>
      <c r="EG113" s="152"/>
      <c r="EH113" s="152"/>
      <c r="EI113" s="152"/>
      <c r="EJ113" s="152"/>
      <c r="EK113" s="152"/>
      <c r="EL113" s="152"/>
      <c r="EM113" s="152"/>
      <c r="EN113" s="152"/>
      <c r="EO113" s="152"/>
      <c r="EP113" s="152"/>
      <c r="EQ113" s="152"/>
      <c r="ER113" s="152"/>
      <c r="ES113" s="152"/>
      <c r="ET113" s="152"/>
    </row>
    <row r="114" spans="1:150" ht="9" customHeight="1" x14ac:dyDescent="0.15">
      <c r="A114" s="150"/>
      <c r="B114" s="165"/>
      <c r="C114" s="165"/>
      <c r="D114" s="169" t="str">
        <f>IF(E49+E50=0,"",IF(E49&lt;E50,D48,D50))</f>
        <v/>
      </c>
      <c r="E114" s="163"/>
      <c r="F114" s="150"/>
      <c r="G114" s="156"/>
      <c r="H114" s="150"/>
      <c r="I114" s="157"/>
      <c r="J114" s="150"/>
      <c r="K114" s="183"/>
      <c r="L114" s="163"/>
      <c r="M114" s="150"/>
      <c r="N114" s="150"/>
      <c r="O114" s="165"/>
      <c r="P114" s="165"/>
      <c r="Q114" s="165"/>
      <c r="U114" s="172"/>
      <c r="AA114" s="172"/>
      <c r="AB114" s="172"/>
      <c r="AC114" s="172"/>
      <c r="AD114" s="172"/>
      <c r="AE114" s="175"/>
      <c r="AF114" s="175"/>
      <c r="AG114" s="175"/>
      <c r="AH114" s="175"/>
      <c r="AI114" s="175"/>
      <c r="AJ114" s="175"/>
      <c r="AK114" s="175"/>
      <c r="AL114" s="175"/>
      <c r="AM114" s="175"/>
      <c r="AN114" s="175"/>
      <c r="AO114" s="175"/>
      <c r="AP114" s="175"/>
      <c r="AQ114" s="175"/>
      <c r="AR114" s="175"/>
      <c r="AS114" s="175"/>
      <c r="AT114" s="175"/>
      <c r="AU114" s="175"/>
      <c r="AV114" s="175"/>
      <c r="AW114" s="175"/>
      <c r="AX114" s="175"/>
      <c r="AY114" s="175"/>
      <c r="AZ114" s="175"/>
      <c r="BA114" s="175"/>
      <c r="BB114" s="175"/>
      <c r="BC114" s="175"/>
      <c r="BD114" s="175"/>
      <c r="BE114" s="175"/>
      <c r="BF114" s="175"/>
      <c r="BG114" s="175"/>
      <c r="BH114" s="175"/>
      <c r="BI114" s="175"/>
      <c r="BJ114" s="175"/>
      <c r="BK114" s="175"/>
      <c r="BL114" s="175"/>
      <c r="BM114" s="175"/>
      <c r="BN114" s="175"/>
      <c r="BO114" s="175"/>
      <c r="BP114" s="175"/>
      <c r="BQ114" s="175"/>
      <c r="BR114" s="175"/>
      <c r="BS114" s="175"/>
      <c r="BT114" s="175"/>
      <c r="BU114" s="175"/>
      <c r="BV114" s="175"/>
      <c r="BW114" s="175"/>
      <c r="BX114" s="175"/>
      <c r="BY114" s="175"/>
      <c r="BZ114" s="175"/>
      <c r="CA114" s="175"/>
      <c r="CB114" s="175"/>
      <c r="CC114" s="175"/>
      <c r="CD114" s="175"/>
      <c r="CE114" s="175"/>
      <c r="CF114" s="175"/>
      <c r="CG114" s="175"/>
      <c r="CH114" s="175"/>
      <c r="CI114" s="175"/>
      <c r="CJ114" s="175"/>
      <c r="CK114" s="175"/>
      <c r="CL114" s="175"/>
      <c r="CM114" s="175"/>
      <c r="CN114" s="175"/>
      <c r="CT114" s="152"/>
      <c r="CU114" s="152"/>
      <c r="CV114" s="152"/>
      <c r="CW114" s="152"/>
      <c r="CX114" s="152"/>
      <c r="CY114" s="152"/>
      <c r="CZ114" s="152"/>
      <c r="DA114" s="152"/>
      <c r="DB114" s="152"/>
      <c r="DC114" s="152"/>
      <c r="DD114" s="152"/>
      <c r="DE114" s="152"/>
      <c r="DF114" s="152"/>
      <c r="DG114" s="152"/>
      <c r="DH114" s="152"/>
      <c r="DI114" s="152"/>
      <c r="DJ114" s="152"/>
      <c r="DK114" s="152"/>
      <c r="DL114" s="152"/>
      <c r="DM114" s="152"/>
      <c r="DN114" s="152"/>
      <c r="DO114" s="152"/>
      <c r="DP114" s="152"/>
      <c r="DQ114" s="152"/>
      <c r="DR114" s="152"/>
      <c r="DS114" s="152"/>
      <c r="DT114" s="152"/>
      <c r="DU114" s="152"/>
      <c r="DV114" s="152"/>
      <c r="DW114" s="152"/>
      <c r="DX114" s="152"/>
      <c r="DY114" s="152"/>
      <c r="DZ114" s="152"/>
      <c r="EA114" s="152"/>
      <c r="EB114" s="152"/>
      <c r="EC114" s="152"/>
      <c r="ED114" s="152"/>
      <c r="EE114" s="152"/>
      <c r="EF114" s="152"/>
      <c r="EG114" s="152"/>
      <c r="EH114" s="152"/>
      <c r="EI114" s="152"/>
      <c r="EJ114" s="152"/>
      <c r="EK114" s="152"/>
      <c r="EL114" s="152"/>
      <c r="EM114" s="152"/>
      <c r="EN114" s="152"/>
      <c r="EO114" s="152"/>
      <c r="EP114" s="152"/>
      <c r="EQ114" s="152"/>
      <c r="ER114" s="152"/>
      <c r="ES114" s="152"/>
      <c r="ET114" s="152"/>
    </row>
    <row r="115" spans="1:150" ht="9" customHeight="1" x14ac:dyDescent="0.15">
      <c r="A115" s="150"/>
      <c r="B115" s="150"/>
      <c r="C115" s="150"/>
      <c r="D115" s="155"/>
      <c r="E115" s="156"/>
      <c r="F115" s="170" t="str">
        <f>IF(E115+E116=0,"",IF(E115&gt;E116,D114,D116))</f>
        <v/>
      </c>
      <c r="G115" s="157"/>
      <c r="H115" s="150"/>
      <c r="I115" s="157"/>
      <c r="J115" s="150"/>
      <c r="K115" s="183"/>
      <c r="L115" s="163"/>
      <c r="M115" s="150"/>
      <c r="N115" s="150"/>
      <c r="O115" s="150"/>
      <c r="P115" s="150"/>
      <c r="Q115" s="150"/>
      <c r="U115" s="172"/>
      <c r="AA115" s="172"/>
      <c r="AB115" s="172"/>
      <c r="AC115" s="172"/>
      <c r="AD115" s="172"/>
      <c r="AE115" s="175"/>
      <c r="AF115" s="175"/>
      <c r="AG115" s="175"/>
      <c r="AH115" s="175"/>
      <c r="AI115" s="175"/>
      <c r="AJ115" s="175"/>
      <c r="AK115" s="175"/>
      <c r="AL115" s="175"/>
      <c r="AM115" s="175"/>
      <c r="AN115" s="175"/>
      <c r="AO115" s="175"/>
      <c r="AP115" s="175"/>
      <c r="AQ115" s="175"/>
      <c r="AR115" s="175"/>
      <c r="AS115" s="175"/>
      <c r="AT115" s="175"/>
      <c r="AU115" s="175"/>
      <c r="AV115" s="175"/>
      <c r="AW115" s="175"/>
      <c r="AX115" s="175"/>
      <c r="AY115" s="175"/>
      <c r="AZ115" s="175"/>
      <c r="BA115" s="175"/>
      <c r="BB115" s="175"/>
      <c r="BC115" s="175"/>
      <c r="BD115" s="175"/>
      <c r="BE115" s="175"/>
      <c r="BF115" s="175"/>
      <c r="BG115" s="175"/>
      <c r="BH115" s="175"/>
      <c r="BI115" s="175"/>
      <c r="BJ115" s="175"/>
      <c r="BK115" s="175"/>
      <c r="BL115" s="175"/>
      <c r="BM115" s="175"/>
      <c r="BN115" s="175"/>
      <c r="BO115" s="175"/>
      <c r="BP115" s="175"/>
      <c r="BQ115" s="175"/>
      <c r="BR115" s="175"/>
      <c r="BS115" s="175"/>
      <c r="BT115" s="175"/>
      <c r="BU115" s="175"/>
      <c r="BV115" s="175"/>
      <c r="BW115" s="175"/>
      <c r="BX115" s="175"/>
      <c r="BY115" s="175"/>
      <c r="BZ115" s="175"/>
      <c r="CA115" s="175"/>
      <c r="CB115" s="175"/>
      <c r="CC115" s="175"/>
      <c r="CD115" s="175"/>
      <c r="CE115" s="175"/>
      <c r="CF115" s="175"/>
      <c r="CG115" s="175"/>
      <c r="CH115" s="175"/>
      <c r="CI115" s="175"/>
      <c r="CJ115" s="175"/>
      <c r="CK115" s="175"/>
      <c r="CL115" s="175"/>
      <c r="CM115" s="175"/>
      <c r="CN115" s="175"/>
    </row>
    <row r="116" spans="1:150" ht="9" customHeight="1" x14ac:dyDescent="0.15">
      <c r="A116" s="150"/>
      <c r="B116" s="166"/>
      <c r="C116" s="166"/>
      <c r="D116" s="169" t="str">
        <f>IF(E53+E54=0,"",IF(E53&lt;E54,D52,D54))</f>
        <v/>
      </c>
      <c r="E116" s="156"/>
      <c r="F116" s="150"/>
      <c r="G116" s="163"/>
      <c r="H116" s="150"/>
      <c r="I116" s="157"/>
      <c r="J116" s="150"/>
      <c r="K116" s="183"/>
      <c r="L116" s="163"/>
      <c r="M116" s="150"/>
      <c r="N116" s="150"/>
      <c r="O116" s="166"/>
      <c r="P116" s="166"/>
      <c r="Q116" s="166"/>
      <c r="U116" s="172"/>
      <c r="AA116" s="172"/>
      <c r="AB116" s="172"/>
      <c r="AC116" s="172"/>
      <c r="AD116" s="172"/>
      <c r="AE116" s="175"/>
      <c r="AF116" s="175"/>
      <c r="AG116" s="175"/>
      <c r="AH116" s="175"/>
      <c r="AI116" s="175"/>
      <c r="AJ116" s="175"/>
      <c r="AK116" s="175"/>
      <c r="AL116" s="175"/>
      <c r="AM116" s="175"/>
      <c r="AN116" s="175"/>
      <c r="AO116" s="175"/>
      <c r="AP116" s="175"/>
      <c r="AQ116" s="175"/>
      <c r="AR116" s="175"/>
      <c r="AS116" s="175"/>
      <c r="AT116" s="175"/>
      <c r="AU116" s="175"/>
      <c r="AV116" s="175"/>
      <c r="AW116" s="175"/>
      <c r="AX116" s="175"/>
      <c r="AY116" s="175"/>
      <c r="AZ116" s="175"/>
      <c r="BA116" s="175"/>
      <c r="BB116" s="175"/>
      <c r="BC116" s="175"/>
      <c r="BD116" s="175"/>
      <c r="BE116" s="175"/>
      <c r="BF116" s="175"/>
      <c r="BG116" s="175"/>
      <c r="BH116" s="175"/>
      <c r="BI116" s="175"/>
      <c r="BJ116" s="175"/>
      <c r="BK116" s="175"/>
      <c r="BL116" s="175"/>
      <c r="BM116" s="175"/>
      <c r="BN116" s="175"/>
      <c r="BO116" s="175"/>
      <c r="BP116" s="175"/>
      <c r="BQ116" s="175"/>
      <c r="BR116" s="175"/>
      <c r="BS116" s="175"/>
      <c r="BT116" s="175"/>
      <c r="BU116" s="175"/>
      <c r="BV116" s="175"/>
      <c r="BW116" s="175"/>
      <c r="BX116" s="175"/>
      <c r="BY116" s="175"/>
      <c r="BZ116" s="175"/>
      <c r="CA116" s="175"/>
      <c r="CB116" s="175"/>
      <c r="CC116" s="175"/>
      <c r="CD116" s="175"/>
      <c r="CE116" s="175"/>
      <c r="CF116" s="175"/>
      <c r="CG116" s="175"/>
      <c r="CH116" s="175"/>
      <c r="CI116" s="175"/>
      <c r="CJ116" s="175"/>
      <c r="CK116" s="175"/>
      <c r="CL116" s="175"/>
      <c r="CM116" s="175"/>
      <c r="CN116" s="175"/>
      <c r="CT116" s="153"/>
      <c r="CU116" s="153"/>
      <c r="CV116" s="153"/>
      <c r="CW116" s="153"/>
      <c r="CX116" s="153"/>
      <c r="CY116" s="153"/>
      <c r="CZ116" s="153"/>
      <c r="DA116" s="153"/>
      <c r="DB116" s="153"/>
      <c r="DC116" s="153"/>
      <c r="DD116" s="153"/>
      <c r="DE116" s="153"/>
      <c r="DF116" s="153"/>
      <c r="DG116" s="153"/>
      <c r="DH116" s="153"/>
      <c r="DI116" s="153"/>
      <c r="DJ116" s="153"/>
      <c r="DK116" s="153"/>
      <c r="DL116" s="153"/>
      <c r="DM116" s="153"/>
      <c r="DN116" s="153"/>
      <c r="DO116" s="153"/>
      <c r="DP116" s="153"/>
      <c r="DQ116" s="153"/>
      <c r="DR116" s="153"/>
      <c r="DS116" s="153"/>
      <c r="DT116" s="153"/>
      <c r="DU116" s="153"/>
      <c r="DV116" s="153"/>
      <c r="DW116" s="153"/>
      <c r="DX116" s="153"/>
      <c r="DY116" s="153"/>
      <c r="DZ116" s="153"/>
      <c r="EA116" s="153"/>
      <c r="EB116" s="153"/>
      <c r="EC116" s="153"/>
      <c r="ED116" s="153"/>
      <c r="EE116" s="153"/>
      <c r="EF116" s="153"/>
      <c r="EG116" s="153"/>
      <c r="EH116" s="153"/>
      <c r="EI116" s="153"/>
      <c r="EJ116" s="153"/>
      <c r="EK116" s="153"/>
      <c r="EL116" s="153"/>
      <c r="EM116" s="153"/>
      <c r="EN116" s="153"/>
      <c r="EO116" s="153"/>
      <c r="EP116" s="153"/>
      <c r="EQ116" s="153"/>
      <c r="ER116" s="153"/>
      <c r="ES116" s="153"/>
      <c r="ET116" s="153"/>
    </row>
    <row r="117" spans="1:150" ht="9" customHeight="1" x14ac:dyDescent="0.25">
      <c r="A117" s="150"/>
      <c r="B117" s="166"/>
      <c r="C117" s="166"/>
      <c r="D117" s="155"/>
      <c r="E117" s="163"/>
      <c r="F117" s="150"/>
      <c r="G117" s="163"/>
      <c r="H117" s="150"/>
      <c r="I117" s="156"/>
      <c r="J117" s="171" t="str">
        <f>IF(I117+I118=0,"",IF(I117&gt;I118,H113,H121))</f>
        <v/>
      </c>
      <c r="K117" s="184"/>
      <c r="L117" s="163"/>
      <c r="M117" s="150"/>
      <c r="N117" s="150"/>
      <c r="O117" s="166"/>
      <c r="P117" s="166"/>
      <c r="Q117" s="166"/>
      <c r="R117" s="150"/>
      <c r="S117" s="150"/>
      <c r="U117" s="150"/>
      <c r="AA117" s="150"/>
      <c r="AB117" s="150"/>
      <c r="AC117" s="150"/>
      <c r="AD117" s="150"/>
      <c r="AE117" s="150"/>
      <c r="AF117" s="150"/>
      <c r="AG117" s="150"/>
      <c r="AH117" s="150"/>
      <c r="AI117" s="150"/>
      <c r="AJ117" s="150"/>
      <c r="AK117" s="150"/>
      <c r="AL117" s="150"/>
      <c r="AM117" s="150"/>
      <c r="AN117" s="150"/>
      <c r="AO117" s="163"/>
      <c r="AP117" s="150"/>
      <c r="AQ117" s="150"/>
      <c r="AR117" s="150"/>
      <c r="AS117" s="150"/>
      <c r="AT117" s="150"/>
      <c r="AU117" s="150"/>
      <c r="AV117" s="150"/>
      <c r="AW117" s="150"/>
      <c r="AX117" s="150"/>
      <c r="AY117" s="163"/>
      <c r="AZ117" s="150"/>
      <c r="BA117" s="150"/>
      <c r="BB117" s="150"/>
      <c r="BC117" s="150"/>
      <c r="BD117" s="150"/>
      <c r="BE117" s="150"/>
      <c r="BF117" s="150"/>
      <c r="BG117" s="150"/>
      <c r="BH117" s="150"/>
      <c r="BI117" s="163"/>
      <c r="BJ117" s="150"/>
      <c r="BK117" s="150"/>
      <c r="BL117" s="150"/>
      <c r="BM117" s="150"/>
      <c r="BN117" s="150"/>
      <c r="BO117" s="150"/>
      <c r="BP117" s="150"/>
      <c r="BQ117" s="150"/>
      <c r="BR117" s="150"/>
      <c r="BS117" s="163"/>
      <c r="BT117" s="150"/>
      <c r="BU117" s="150"/>
      <c r="BV117" s="150"/>
      <c r="BW117" s="150"/>
      <c r="BX117" s="150"/>
      <c r="BY117" s="150"/>
      <c r="BZ117" s="150"/>
      <c r="CA117" s="150"/>
      <c r="CB117" s="150"/>
      <c r="CC117" s="163"/>
      <c r="CD117" s="150"/>
      <c r="CE117" s="150"/>
      <c r="CF117" s="150"/>
      <c r="CG117" s="150"/>
      <c r="CH117" s="150"/>
      <c r="CI117" s="150"/>
      <c r="CJ117" s="150"/>
      <c r="CK117" s="150"/>
      <c r="CL117" s="150"/>
      <c r="CM117" s="150"/>
      <c r="CN117" s="150"/>
      <c r="CT117" s="153"/>
      <c r="CU117" s="153"/>
      <c r="CV117" s="153"/>
      <c r="CW117" s="153"/>
      <c r="CX117" s="153"/>
      <c r="CY117" s="153"/>
      <c r="CZ117" s="153"/>
      <c r="DA117" s="153"/>
      <c r="DB117" s="153"/>
      <c r="DC117" s="153"/>
      <c r="DD117" s="153"/>
      <c r="DE117" s="153"/>
      <c r="DF117" s="153"/>
      <c r="DG117" s="153"/>
      <c r="DH117" s="153"/>
      <c r="DI117" s="153"/>
      <c r="DJ117" s="153"/>
      <c r="DK117" s="153"/>
      <c r="DL117" s="153"/>
      <c r="DM117" s="153"/>
      <c r="DN117" s="153"/>
      <c r="DO117" s="153"/>
      <c r="DP117" s="153"/>
      <c r="DQ117" s="153"/>
      <c r="DR117" s="153"/>
      <c r="DS117" s="153"/>
      <c r="DT117" s="153"/>
      <c r="DU117" s="153"/>
      <c r="DV117" s="153"/>
      <c r="DW117" s="153"/>
      <c r="DX117" s="153"/>
      <c r="DY117" s="153"/>
      <c r="DZ117" s="153"/>
      <c r="EA117" s="153"/>
      <c r="EB117" s="153"/>
      <c r="EC117" s="153"/>
      <c r="ED117" s="153"/>
      <c r="EE117" s="153"/>
      <c r="EF117" s="153"/>
      <c r="EG117" s="153"/>
      <c r="EH117" s="153"/>
      <c r="EI117" s="153"/>
      <c r="EJ117" s="153"/>
      <c r="EK117" s="153"/>
      <c r="EL117" s="153"/>
      <c r="EM117" s="153"/>
      <c r="EN117" s="153"/>
      <c r="EO117" s="153"/>
      <c r="EP117" s="153"/>
      <c r="EQ117" s="153"/>
      <c r="ER117" s="153"/>
      <c r="ES117" s="153"/>
      <c r="ET117" s="153"/>
    </row>
    <row r="118" spans="1:150" ht="9" customHeight="1" x14ac:dyDescent="0.15">
      <c r="A118" s="150"/>
      <c r="B118" s="166"/>
      <c r="C118" s="166"/>
      <c r="D118" s="169" t="str">
        <f>IF(E57+E58=0,"",IF(E57&lt;E58,D56,D58))</f>
        <v/>
      </c>
      <c r="E118" s="163"/>
      <c r="F118" s="150"/>
      <c r="G118" s="163"/>
      <c r="H118" s="150"/>
      <c r="I118" s="156"/>
      <c r="J118" s="150"/>
      <c r="K118" s="150"/>
      <c r="L118" s="150"/>
      <c r="M118" s="150"/>
      <c r="N118" s="150"/>
      <c r="O118" s="166"/>
      <c r="P118" s="166"/>
      <c r="Q118" s="166"/>
      <c r="R118" s="150"/>
      <c r="S118" s="150"/>
      <c r="U118" s="173"/>
      <c r="AA118" s="150"/>
      <c r="AB118" s="150"/>
      <c r="AC118" s="174"/>
      <c r="AD118" s="174"/>
      <c r="AE118" s="150"/>
      <c r="AF118" s="150"/>
      <c r="AG118" s="150"/>
      <c r="AH118" s="150"/>
      <c r="AI118" s="150"/>
      <c r="AJ118" s="150"/>
      <c r="AK118" s="150"/>
      <c r="AL118" s="150"/>
      <c r="AM118" s="150"/>
      <c r="AN118" s="150"/>
      <c r="AO118" s="163"/>
      <c r="AP118" s="150"/>
      <c r="AQ118" s="150"/>
      <c r="AR118" s="150"/>
      <c r="AS118" s="150"/>
      <c r="AT118" s="150"/>
      <c r="AU118" s="150"/>
      <c r="AV118" s="150"/>
      <c r="AW118" s="150"/>
      <c r="AX118" s="150"/>
      <c r="AY118" s="163"/>
      <c r="AZ118" s="150"/>
      <c r="BA118" s="150"/>
      <c r="BB118" s="150"/>
      <c r="BC118" s="150"/>
      <c r="BD118" s="150"/>
      <c r="BE118" s="150"/>
      <c r="BF118" s="150"/>
      <c r="BG118" s="150"/>
      <c r="BH118" s="150"/>
      <c r="BI118" s="163"/>
      <c r="BJ118" s="150"/>
      <c r="BK118" s="150"/>
      <c r="BL118" s="150"/>
      <c r="BM118" s="150"/>
      <c r="BN118" s="150"/>
      <c r="BO118" s="150"/>
      <c r="BP118" s="150"/>
      <c r="BQ118" s="150"/>
      <c r="BR118" s="150"/>
      <c r="BS118" s="163"/>
      <c r="BT118" s="150"/>
      <c r="BU118" s="150"/>
      <c r="BV118" s="150"/>
      <c r="BW118" s="150"/>
      <c r="BX118" s="150"/>
      <c r="BY118" s="150"/>
      <c r="BZ118" s="150"/>
      <c r="CA118" s="150"/>
      <c r="CB118" s="150"/>
      <c r="CC118" s="163"/>
      <c r="CD118" s="150"/>
      <c r="CE118" s="150"/>
      <c r="CF118" s="150"/>
      <c r="CG118" s="150"/>
      <c r="CH118" s="150"/>
      <c r="CI118" s="150"/>
      <c r="CJ118" s="150"/>
      <c r="CK118" s="150"/>
      <c r="CL118" s="150"/>
      <c r="CM118" s="150"/>
      <c r="CN118" s="150"/>
      <c r="CT118" s="153"/>
      <c r="CU118" s="153"/>
      <c r="CV118" s="153"/>
      <c r="CW118" s="153"/>
      <c r="CX118" s="153"/>
      <c r="CY118" s="153"/>
      <c r="CZ118" s="153"/>
      <c r="DA118" s="153"/>
      <c r="DB118" s="153"/>
      <c r="DC118" s="153"/>
      <c r="DD118" s="153"/>
      <c r="DE118" s="153"/>
      <c r="DF118" s="153"/>
      <c r="DG118" s="153"/>
      <c r="DH118" s="153"/>
      <c r="DI118" s="153"/>
      <c r="DJ118" s="153"/>
      <c r="DK118" s="153"/>
      <c r="DL118" s="153"/>
      <c r="DM118" s="153"/>
      <c r="DN118" s="153"/>
      <c r="DO118" s="153"/>
      <c r="DP118" s="153"/>
      <c r="DQ118" s="153"/>
      <c r="DR118" s="153"/>
      <c r="DS118" s="153"/>
      <c r="DT118" s="153"/>
      <c r="DU118" s="153"/>
      <c r="DV118" s="153"/>
      <c r="DW118" s="153"/>
      <c r="DX118" s="153"/>
      <c r="DY118" s="153"/>
      <c r="DZ118" s="153"/>
      <c r="EA118" s="153"/>
      <c r="EB118" s="153"/>
      <c r="EC118" s="153"/>
      <c r="ED118" s="153"/>
      <c r="EE118" s="153"/>
      <c r="EF118" s="153"/>
      <c r="EG118" s="153"/>
      <c r="EH118" s="153"/>
      <c r="EI118" s="153"/>
      <c r="EJ118" s="153"/>
      <c r="EK118" s="153"/>
      <c r="EL118" s="153"/>
      <c r="EM118" s="153"/>
      <c r="EN118" s="153"/>
      <c r="EO118" s="153"/>
      <c r="EP118" s="153"/>
      <c r="EQ118" s="153"/>
      <c r="ER118" s="153"/>
      <c r="ES118" s="153"/>
      <c r="ET118" s="153"/>
    </row>
    <row r="119" spans="1:150" ht="9" customHeight="1" x14ac:dyDescent="0.15">
      <c r="A119" s="150"/>
      <c r="B119" s="150"/>
      <c r="C119" s="150"/>
      <c r="D119" s="155"/>
      <c r="E119" s="156"/>
      <c r="F119" s="170" t="str">
        <f>IF(E119+E120=0,"",IF(E119&gt;E120,D118,D120))</f>
        <v/>
      </c>
      <c r="G119" s="163"/>
      <c r="H119" s="150"/>
      <c r="I119" s="157"/>
      <c r="J119" s="150"/>
      <c r="K119" s="150"/>
      <c r="L119" s="150"/>
      <c r="M119" s="150"/>
      <c r="N119" s="150"/>
      <c r="O119" s="150"/>
      <c r="P119" s="150"/>
      <c r="Q119" s="150"/>
      <c r="R119" s="150"/>
      <c r="S119" s="150"/>
      <c r="AB119" s="174"/>
      <c r="AC119" s="150"/>
      <c r="AD119" s="150"/>
      <c r="AE119" s="160"/>
      <c r="AG119" s="177"/>
      <c r="AH119" s="177"/>
      <c r="AI119" s="177"/>
      <c r="AJ119" s="177"/>
      <c r="AK119" s="177"/>
      <c r="AL119" s="177"/>
      <c r="AM119" s="177"/>
      <c r="AN119" s="177"/>
      <c r="AO119" s="177"/>
      <c r="AP119" s="177"/>
      <c r="AQ119" s="177"/>
      <c r="AR119" s="177"/>
      <c r="AS119" s="177"/>
      <c r="AT119" s="177"/>
      <c r="AU119" s="177"/>
      <c r="AV119" s="177"/>
      <c r="AW119" s="177"/>
      <c r="AX119" s="177"/>
      <c r="AY119" s="177"/>
      <c r="AZ119" s="177"/>
      <c r="BA119" s="177"/>
      <c r="BB119" s="177"/>
      <c r="BC119" s="177"/>
      <c r="BD119" s="177"/>
      <c r="BI119" s="161"/>
      <c r="BJ119" s="150"/>
      <c r="BK119" s="150"/>
    </row>
    <row r="120" spans="1:150" ht="9" customHeight="1" x14ac:dyDescent="0.15">
      <c r="A120" s="150"/>
      <c r="B120" s="150"/>
      <c r="C120" s="150"/>
      <c r="D120" s="169" t="str">
        <f>IF(E61+E62=0,"",IF(E61&lt;E62,D60,D62))</f>
        <v/>
      </c>
      <c r="E120" s="156"/>
      <c r="F120" s="150"/>
      <c r="G120" s="157"/>
      <c r="H120" s="150"/>
      <c r="I120" s="157"/>
      <c r="J120" s="150"/>
      <c r="K120" s="150"/>
      <c r="L120" s="150"/>
      <c r="M120" s="150"/>
      <c r="N120" s="150"/>
      <c r="O120" s="150"/>
      <c r="P120" s="150"/>
      <c r="Q120" s="150"/>
      <c r="R120" s="150"/>
      <c r="S120" s="150"/>
      <c r="U120" s="173"/>
      <c r="AB120" s="150"/>
      <c r="AC120" s="174"/>
      <c r="AD120" s="174"/>
      <c r="AE120" s="160"/>
      <c r="BI120" s="161"/>
      <c r="BJ120" s="150"/>
      <c r="BK120" s="150"/>
    </row>
    <row r="121" spans="1:150" ht="9" customHeight="1" x14ac:dyDescent="0.25">
      <c r="A121" s="150"/>
      <c r="B121" s="150"/>
      <c r="C121" s="150"/>
      <c r="D121" s="155"/>
      <c r="E121" s="163"/>
      <c r="F121" s="150"/>
      <c r="G121" s="156"/>
      <c r="H121" s="171" t="str">
        <f>IF(G121+G122=0,"",IF(G121&gt;G122,F119,F123))</f>
        <v/>
      </c>
      <c r="I121" s="157"/>
      <c r="J121" s="150"/>
      <c r="K121" s="150"/>
      <c r="L121" s="150"/>
      <c r="M121" s="150"/>
      <c r="N121" s="150"/>
      <c r="O121" s="150"/>
      <c r="P121" s="150"/>
      <c r="Q121" s="150"/>
      <c r="R121" s="150"/>
      <c r="S121" s="150"/>
      <c r="AB121" s="150"/>
      <c r="AE121" s="150"/>
      <c r="BI121" s="161"/>
      <c r="BJ121" s="150"/>
      <c r="BK121" s="150"/>
    </row>
    <row r="122" spans="1:150" ht="9" customHeight="1" x14ac:dyDescent="0.15">
      <c r="A122" s="150"/>
      <c r="B122" s="172"/>
      <c r="C122" s="172"/>
      <c r="D122" s="169" t="str">
        <f>IF(E65+E66=0,"",IF(E65&lt;E66,D64,D66))</f>
        <v/>
      </c>
      <c r="E122" s="163"/>
      <c r="F122" s="150"/>
      <c r="G122" s="156"/>
      <c r="H122" s="150"/>
      <c r="I122" s="163"/>
      <c r="J122" s="150"/>
      <c r="K122" s="150"/>
      <c r="L122" s="150"/>
      <c r="M122" s="150"/>
      <c r="N122" s="150"/>
      <c r="O122" s="172"/>
      <c r="P122" s="150"/>
      <c r="Q122" s="150"/>
      <c r="R122" s="150"/>
      <c r="S122" s="150"/>
      <c r="Y122" s="151"/>
      <c r="Z122" s="151"/>
      <c r="AE122" s="150"/>
      <c r="BI122" s="161"/>
      <c r="BJ122" s="150"/>
      <c r="BK122" s="150"/>
    </row>
    <row r="123" spans="1:150" ht="9" customHeight="1" x14ac:dyDescent="0.15">
      <c r="A123" s="150"/>
      <c r="B123" s="172"/>
      <c r="C123" s="172"/>
      <c r="D123" s="155"/>
      <c r="E123" s="156"/>
      <c r="F123" s="170" t="str">
        <f>IF(E123+E124=0,"",IF(E123&gt;E124,D122,D124))</f>
        <v/>
      </c>
      <c r="G123" s="157"/>
      <c r="H123" s="150"/>
      <c r="I123" s="150"/>
      <c r="J123" s="150"/>
      <c r="K123" s="150"/>
      <c r="L123" s="150"/>
      <c r="M123" s="150"/>
      <c r="N123" s="150"/>
      <c r="O123" s="172"/>
      <c r="P123" s="150"/>
      <c r="Q123" s="150"/>
      <c r="R123" s="150"/>
      <c r="S123" s="150"/>
      <c r="T123" s="150"/>
      <c r="U123" s="150"/>
      <c r="V123" s="150"/>
      <c r="W123" s="163"/>
      <c r="X123" s="150"/>
      <c r="Y123" s="150"/>
      <c r="Z123" s="150"/>
      <c r="AA123" s="150"/>
      <c r="AB123" s="150"/>
      <c r="AC123" s="150"/>
      <c r="AD123" s="150"/>
      <c r="AE123" s="150"/>
      <c r="BI123" s="161"/>
      <c r="BJ123" s="150"/>
      <c r="BK123" s="150"/>
    </row>
    <row r="124" spans="1:150" ht="9" customHeight="1" x14ac:dyDescent="0.15">
      <c r="A124" s="150"/>
      <c r="B124" s="172"/>
      <c r="C124" s="172"/>
      <c r="D124" s="169" t="str">
        <f>IF(E69+E70=0,"",IF(E69&lt;E70,D68,D70))</f>
        <v/>
      </c>
      <c r="E124" s="156"/>
      <c r="F124" s="150"/>
      <c r="G124" s="150"/>
      <c r="H124" s="150"/>
      <c r="I124" s="150"/>
      <c r="J124" s="150"/>
      <c r="K124" s="150"/>
      <c r="L124" s="150"/>
      <c r="M124" s="163"/>
      <c r="N124" s="150"/>
      <c r="O124" s="172"/>
      <c r="P124" s="150"/>
      <c r="Q124" s="150"/>
      <c r="Y124" s="151"/>
      <c r="Z124" s="151"/>
      <c r="AE124" s="160"/>
      <c r="BI124" s="161"/>
      <c r="BJ124" s="150"/>
      <c r="BK124" s="150"/>
    </row>
    <row r="125" spans="1:150" ht="9" customHeight="1" x14ac:dyDescent="0.25">
      <c r="A125" s="150"/>
      <c r="B125" s="150"/>
      <c r="C125" s="150"/>
      <c r="M125" s="151"/>
      <c r="O125" s="150"/>
      <c r="P125" s="150"/>
      <c r="Q125" s="150"/>
      <c r="Y125" s="151"/>
      <c r="Z125" s="151"/>
      <c r="AE125" s="160"/>
      <c r="BI125" s="161"/>
      <c r="BJ125" s="150"/>
      <c r="BK125" s="150"/>
    </row>
    <row r="126" spans="1:150" ht="9" customHeight="1" x14ac:dyDescent="0.25">
      <c r="A126" s="150"/>
      <c r="B126" s="173"/>
      <c r="D126" s="150"/>
      <c r="E126" s="163"/>
      <c r="F126" s="150"/>
      <c r="G126" s="150"/>
      <c r="H126" s="150"/>
      <c r="I126" s="150"/>
      <c r="J126" s="150"/>
      <c r="K126" s="150"/>
      <c r="L126" s="150"/>
      <c r="M126" s="163"/>
      <c r="N126" s="150"/>
      <c r="O126" s="150"/>
      <c r="P126" s="163"/>
      <c r="Q126" s="150"/>
      <c r="Y126" s="151"/>
      <c r="Z126" s="151"/>
      <c r="AE126" s="150"/>
      <c r="BI126" s="161"/>
      <c r="BJ126" s="150"/>
      <c r="BK126" s="150"/>
    </row>
    <row r="127" spans="1:150" ht="9" customHeight="1" x14ac:dyDescent="0.25">
      <c r="A127" s="150"/>
      <c r="D127" s="150"/>
      <c r="E127" s="150"/>
      <c r="F127" s="150"/>
      <c r="G127" s="150"/>
      <c r="H127" s="150"/>
      <c r="I127" s="150"/>
      <c r="J127" s="163"/>
      <c r="K127" s="150"/>
      <c r="L127" s="150"/>
      <c r="M127" s="150"/>
      <c r="N127" s="150"/>
      <c r="O127" s="150"/>
      <c r="P127" s="150"/>
      <c r="Y127" s="151"/>
      <c r="Z127" s="151"/>
      <c r="AE127" s="150"/>
      <c r="BI127" s="161"/>
      <c r="BJ127" s="150"/>
      <c r="BK127" s="150"/>
    </row>
    <row r="128" spans="1:150" ht="9" customHeight="1" x14ac:dyDescent="0.25">
      <c r="A128" s="150"/>
      <c r="B128" s="173"/>
      <c r="D128" s="363" t="s">
        <v>332</v>
      </c>
      <c r="E128" s="363"/>
      <c r="F128" s="172"/>
      <c r="G128" s="172"/>
      <c r="H128" s="172"/>
      <c r="I128" s="172"/>
      <c r="J128" s="172"/>
      <c r="K128" s="172"/>
      <c r="O128" s="150"/>
      <c r="P128" s="150"/>
      <c r="V128" s="172"/>
      <c r="AC128" s="172"/>
      <c r="AD128" s="172"/>
      <c r="AE128" s="150"/>
      <c r="BI128" s="161"/>
      <c r="BJ128" s="150"/>
      <c r="BK128" s="150"/>
    </row>
    <row r="129" spans="1:63" ht="9" customHeight="1" x14ac:dyDescent="0.25">
      <c r="A129" s="150"/>
      <c r="D129" s="363"/>
      <c r="E129" s="363"/>
      <c r="F129" s="172"/>
      <c r="G129" s="172"/>
      <c r="H129" s="172"/>
      <c r="I129" s="172"/>
      <c r="J129" s="172"/>
      <c r="K129" s="172"/>
      <c r="O129" s="150"/>
      <c r="V129" s="172"/>
      <c r="AC129" s="172"/>
      <c r="AD129" s="172"/>
      <c r="AE129" s="160"/>
      <c r="BI129" s="161"/>
      <c r="BJ129" s="150"/>
      <c r="BK129" s="150"/>
    </row>
    <row r="130" spans="1:63" ht="9" customHeight="1" x14ac:dyDescent="0.25">
      <c r="A130" s="150"/>
      <c r="B130" s="173"/>
      <c r="D130" s="172"/>
      <c r="E130" s="172"/>
      <c r="F130" s="172"/>
      <c r="G130" s="172"/>
      <c r="H130" s="172"/>
      <c r="I130" s="172"/>
      <c r="J130" s="172"/>
      <c r="K130" s="172"/>
      <c r="O130" s="150"/>
      <c r="V130" s="172"/>
      <c r="AC130" s="172"/>
      <c r="AD130" s="172"/>
      <c r="AE130" s="160"/>
      <c r="BI130" s="161"/>
      <c r="BJ130" s="150"/>
      <c r="BK130" s="150"/>
    </row>
    <row r="131" spans="1:63" ht="9" customHeight="1" x14ac:dyDescent="0.25">
      <c r="A131" s="150"/>
      <c r="D131" s="150"/>
      <c r="E131" s="150"/>
      <c r="F131" s="150"/>
      <c r="G131" s="150"/>
      <c r="H131" s="150"/>
      <c r="I131" s="150"/>
      <c r="J131" s="163"/>
      <c r="K131" s="150"/>
      <c r="O131" s="150"/>
      <c r="AC131" s="150"/>
      <c r="AE131" s="150"/>
      <c r="BI131" s="161"/>
      <c r="BJ131" s="150"/>
      <c r="BK131" s="150"/>
    </row>
    <row r="132" spans="1:63" ht="9" customHeight="1" x14ac:dyDescent="0.15">
      <c r="A132" s="150"/>
      <c r="B132" s="173"/>
      <c r="D132" s="169" t="str">
        <f>IF(E95+E96=0,"",IF(E95&lt;E96,D94,D96))</f>
        <v/>
      </c>
      <c r="E132" s="163"/>
      <c r="F132" s="150"/>
      <c r="G132" s="150"/>
      <c r="H132" s="150"/>
      <c r="I132" s="150"/>
      <c r="J132" s="150"/>
      <c r="K132" s="150"/>
      <c r="O132" s="150"/>
      <c r="V132" s="173"/>
      <c r="AC132" s="150"/>
      <c r="AD132" s="174"/>
      <c r="AE132" s="150"/>
      <c r="BI132" s="161"/>
      <c r="BJ132" s="150"/>
      <c r="BK132" s="150"/>
    </row>
    <row r="133" spans="1:63" ht="9" customHeight="1" x14ac:dyDescent="0.15">
      <c r="A133" s="150"/>
      <c r="D133" s="155"/>
      <c r="E133" s="156"/>
      <c r="F133" s="170" t="str">
        <f>IF(E133+E134=0,"",IF(E133&gt;E134,D132,D134))</f>
        <v/>
      </c>
      <c r="G133" s="163"/>
      <c r="H133" s="150"/>
      <c r="I133" s="150"/>
      <c r="J133" s="150"/>
      <c r="K133" s="150"/>
      <c r="AC133" s="174"/>
      <c r="AD133" s="150"/>
      <c r="AE133" s="150"/>
      <c r="BI133" s="161"/>
      <c r="BJ133" s="150"/>
      <c r="BK133" s="150"/>
    </row>
    <row r="134" spans="1:63" ht="9" customHeight="1" x14ac:dyDescent="0.15">
      <c r="A134" s="150"/>
      <c r="B134" s="173"/>
      <c r="D134" s="169" t="str">
        <f>IF(E99+E100=0,"",IF(E99&lt;E100,D98,D100))</f>
        <v/>
      </c>
      <c r="E134" s="156"/>
      <c r="F134" s="150"/>
      <c r="G134" s="157"/>
      <c r="H134" s="150"/>
      <c r="I134" s="150"/>
      <c r="J134" s="150"/>
      <c r="K134" s="150"/>
      <c r="V134" s="173"/>
      <c r="AC134" s="150"/>
      <c r="AD134" s="174"/>
      <c r="AE134" s="160"/>
      <c r="BI134" s="161"/>
      <c r="BJ134" s="150"/>
      <c r="BK134" s="150"/>
    </row>
    <row r="135" spans="1:63" ht="9" customHeight="1" x14ac:dyDescent="0.25">
      <c r="A135" s="150"/>
      <c r="D135" s="155"/>
      <c r="E135" s="163"/>
      <c r="F135" s="150"/>
      <c r="G135" s="156"/>
      <c r="H135" s="171" t="str">
        <f>IF(G135+G136=0,"",IF(G135&gt;G136,F133,F137))</f>
        <v/>
      </c>
      <c r="I135" s="163"/>
      <c r="J135" s="150"/>
      <c r="K135" s="150"/>
      <c r="AD135" s="150"/>
      <c r="AE135" s="160"/>
      <c r="BI135" s="161"/>
      <c r="BJ135" s="150"/>
      <c r="BK135" s="150"/>
    </row>
    <row r="136" spans="1:63" ht="9" customHeight="1" x14ac:dyDescent="0.15">
      <c r="A136" s="150"/>
      <c r="B136" s="173"/>
      <c r="D136" s="169" t="str">
        <f>IF(E103+E104=0,"",IF(E103&lt;E104,D102,D104))</f>
        <v/>
      </c>
      <c r="E136" s="163"/>
      <c r="F136" s="150"/>
      <c r="G136" s="156"/>
      <c r="H136" s="150"/>
      <c r="I136" s="157"/>
      <c r="J136" s="150"/>
      <c r="K136" s="150"/>
      <c r="L136" s="150"/>
      <c r="M136" s="150"/>
      <c r="N136" s="150"/>
      <c r="Y136" s="151"/>
      <c r="Z136" s="151"/>
      <c r="AE136" s="150"/>
      <c r="BI136" s="161"/>
      <c r="BJ136" s="150"/>
      <c r="BK136" s="150"/>
    </row>
    <row r="137" spans="1:63" ht="9" customHeight="1" x14ac:dyDescent="0.15">
      <c r="A137" s="150"/>
      <c r="D137" s="155"/>
      <c r="E137" s="156"/>
      <c r="F137" s="170" t="str">
        <f>IF(E137+E138=0,"",IF(E137&gt;E138,D136,D138))</f>
        <v/>
      </c>
      <c r="G137" s="157"/>
      <c r="H137" s="150"/>
      <c r="I137" s="157"/>
      <c r="J137" s="150"/>
      <c r="K137" s="150"/>
      <c r="L137" s="150"/>
      <c r="M137" s="150"/>
      <c r="N137" s="150"/>
      <c r="Y137" s="151"/>
      <c r="Z137" s="151"/>
      <c r="AE137" s="150"/>
      <c r="BI137" s="161"/>
      <c r="BJ137" s="150"/>
      <c r="BK137" s="150"/>
    </row>
    <row r="138" spans="1:63" ht="9" customHeight="1" x14ac:dyDescent="0.15">
      <c r="A138" s="150"/>
      <c r="B138" s="173"/>
      <c r="D138" s="169" t="str">
        <f>IF(E107+E108=0,"",IF(E107&lt;E108,D106,D108))</f>
        <v/>
      </c>
      <c r="E138" s="156"/>
      <c r="F138" s="150"/>
      <c r="G138" s="163"/>
      <c r="H138" s="150"/>
      <c r="I138" s="157"/>
      <c r="J138" s="150"/>
      <c r="K138" s="150"/>
      <c r="L138" s="150"/>
      <c r="M138" s="150"/>
      <c r="N138" s="150"/>
      <c r="V138" s="150"/>
      <c r="W138" s="150"/>
      <c r="AC138" s="150"/>
      <c r="AD138" s="150"/>
      <c r="AE138" s="150"/>
      <c r="BI138" s="161"/>
      <c r="BJ138" s="150"/>
      <c r="BK138" s="150"/>
    </row>
    <row r="139" spans="1:63" ht="9" customHeight="1" x14ac:dyDescent="0.25">
      <c r="A139" s="150"/>
      <c r="D139" s="155"/>
      <c r="E139" s="163"/>
      <c r="F139" s="150"/>
      <c r="G139" s="163"/>
      <c r="H139" s="150"/>
      <c r="I139" s="156"/>
      <c r="J139" s="171" t="str">
        <f>IF(I139+I140=0,"",IF(I139&gt;I140,H135,H143))</f>
        <v/>
      </c>
      <c r="K139" s="160"/>
      <c r="V139" s="150"/>
      <c r="W139" s="150"/>
      <c r="AC139" s="176"/>
      <c r="AD139" s="176"/>
      <c r="AE139" s="160"/>
      <c r="BI139" s="161"/>
      <c r="BJ139" s="150"/>
      <c r="BK139" s="150"/>
    </row>
    <row r="140" spans="1:63" ht="9" customHeight="1" x14ac:dyDescent="0.15">
      <c r="A140" s="150"/>
      <c r="B140" s="173"/>
      <c r="D140" s="169" t="str">
        <f>IF(E111+E112=0,"",IF(E111&lt;E112,D110,D112))</f>
        <v/>
      </c>
      <c r="E140" s="163"/>
      <c r="F140" s="150"/>
      <c r="G140" s="163"/>
      <c r="H140" s="150"/>
      <c r="I140" s="156"/>
      <c r="J140" s="150"/>
      <c r="K140" s="150"/>
      <c r="V140" s="150"/>
      <c r="W140" s="150"/>
      <c r="AC140" s="176"/>
      <c r="AD140" s="176"/>
      <c r="AE140" s="160"/>
      <c r="BI140" s="161"/>
      <c r="BJ140" s="150"/>
      <c r="BK140" s="150"/>
    </row>
    <row r="141" spans="1:63" ht="9" customHeight="1" x14ac:dyDescent="0.15">
      <c r="A141" s="150"/>
      <c r="D141" s="155"/>
      <c r="E141" s="156"/>
      <c r="F141" s="170" t="str">
        <f>IF(E141+E142=0,"",IF(E141&gt;E142,D140,D142))</f>
        <v/>
      </c>
      <c r="G141" s="163"/>
      <c r="H141" s="150"/>
      <c r="I141" s="157"/>
      <c r="J141" s="150"/>
      <c r="K141" s="150"/>
      <c r="V141" s="150"/>
      <c r="W141" s="150"/>
      <c r="AC141" s="150"/>
      <c r="AD141" s="150"/>
      <c r="AE141" s="150"/>
      <c r="BI141" s="161"/>
      <c r="BJ141" s="150"/>
      <c r="BK141" s="150"/>
    </row>
    <row r="142" spans="1:63" ht="9" customHeight="1" x14ac:dyDescent="0.15">
      <c r="A142" s="150"/>
      <c r="B142" s="173"/>
      <c r="D142" s="169" t="str">
        <f>IF(E115+E116=0,"",IF(E115&lt;E116,D114,D116))</f>
        <v/>
      </c>
      <c r="E142" s="156"/>
      <c r="F142" s="150"/>
      <c r="G142" s="157"/>
      <c r="H142" s="150"/>
      <c r="I142" s="157"/>
      <c r="J142" s="150"/>
      <c r="K142" s="150"/>
      <c r="L142" s="363" t="s">
        <v>329</v>
      </c>
      <c r="M142" s="363"/>
      <c r="V142" s="150"/>
      <c r="W142" s="150"/>
      <c r="AC142" s="150"/>
      <c r="AD142" s="150"/>
      <c r="AE142" s="150"/>
      <c r="BI142" s="161"/>
      <c r="BJ142" s="150"/>
      <c r="BK142" s="150"/>
    </row>
    <row r="143" spans="1:63" ht="9" customHeight="1" x14ac:dyDescent="0.25">
      <c r="A143" s="150"/>
      <c r="D143" s="155"/>
      <c r="E143" s="163"/>
      <c r="F143" s="150"/>
      <c r="G143" s="156"/>
      <c r="H143" s="171" t="str">
        <f>IF(G143+G144=0,"",IF(G143&gt;G144,F141,F145))</f>
        <v/>
      </c>
      <c r="I143" s="157"/>
      <c r="J143" s="150"/>
      <c r="K143" s="150"/>
      <c r="L143" s="363"/>
      <c r="M143" s="363"/>
      <c r="N143" s="172"/>
      <c r="V143" s="150"/>
      <c r="W143" s="150"/>
      <c r="AC143" s="150"/>
      <c r="AD143" s="150"/>
      <c r="AE143" s="150"/>
      <c r="BI143" s="161"/>
      <c r="BJ143" s="150"/>
      <c r="BK143" s="150"/>
    </row>
    <row r="144" spans="1:63" ht="9" customHeight="1" x14ac:dyDescent="0.15">
      <c r="A144" s="150"/>
      <c r="B144" s="173"/>
      <c r="D144" s="169" t="str">
        <f>IF(E119+E120=0,"",IF(E119&lt;E120,D118,D120))</f>
        <v/>
      </c>
      <c r="E144" s="163"/>
      <c r="F144" s="150"/>
      <c r="G144" s="156"/>
      <c r="H144" s="150"/>
      <c r="I144" s="150"/>
      <c r="J144" s="150"/>
      <c r="K144" s="150"/>
      <c r="L144" s="172"/>
      <c r="M144" s="172"/>
      <c r="N144" s="172"/>
      <c r="V144" s="150"/>
      <c r="W144" s="150"/>
      <c r="AC144" s="176"/>
      <c r="AD144" s="176"/>
      <c r="AE144" s="160"/>
      <c r="BI144" s="161"/>
      <c r="BJ144" s="150"/>
      <c r="BK144" s="150"/>
    </row>
    <row r="145" spans="1:63" ht="9" customHeight="1" x14ac:dyDescent="0.15">
      <c r="A145" s="150"/>
      <c r="D145" s="155"/>
      <c r="E145" s="156"/>
      <c r="F145" s="170" t="str">
        <f>IF(E145+E146=0,"",IF(E145&gt;E146,D144,D146))</f>
        <v/>
      </c>
      <c r="G145" s="157"/>
      <c r="H145" s="150"/>
      <c r="I145" s="150"/>
      <c r="J145" s="150"/>
      <c r="K145" s="150"/>
      <c r="L145" s="150"/>
      <c r="M145" s="150"/>
      <c r="N145" s="150"/>
      <c r="V145" s="150"/>
      <c r="W145" s="150"/>
      <c r="AC145" s="176"/>
      <c r="AD145" s="176"/>
      <c r="AE145" s="160"/>
      <c r="BI145" s="161"/>
      <c r="BJ145" s="150"/>
      <c r="BK145" s="150"/>
    </row>
    <row r="146" spans="1:63" ht="9" customHeight="1" x14ac:dyDescent="0.15">
      <c r="A146" s="150"/>
      <c r="B146" s="173"/>
      <c r="D146" s="169" t="str">
        <f>IF(E123+E124=0,"",IF(E123&lt;E124,D122,D124))</f>
        <v/>
      </c>
      <c r="E146" s="156"/>
      <c r="F146" s="150"/>
      <c r="G146" s="150"/>
      <c r="H146" s="150"/>
      <c r="I146" s="150"/>
      <c r="J146" s="150"/>
      <c r="K146" s="150"/>
      <c r="L146" s="169" t="str">
        <f>IF(G135+G136=0,"",IF(G135&lt;G136,F133,F137))</f>
        <v/>
      </c>
      <c r="M146" s="169"/>
      <c r="N146" s="163"/>
      <c r="V146" s="150"/>
      <c r="W146" s="150"/>
      <c r="AC146" s="150"/>
      <c r="AD146" s="150"/>
      <c r="AE146" s="150"/>
      <c r="BI146" s="161"/>
      <c r="BJ146" s="150"/>
      <c r="BK146" s="150"/>
    </row>
    <row r="147" spans="1:63" ht="9" customHeight="1" x14ac:dyDescent="0.15">
      <c r="A147" s="150"/>
      <c r="L147" s="155"/>
      <c r="M147" s="156"/>
      <c r="N147" s="169" t="str">
        <f>IF(M147+M148=0,"",IF(M147&gt;M148,L146,L148))</f>
        <v/>
      </c>
      <c r="V147" s="150"/>
      <c r="W147" s="150"/>
      <c r="AC147" s="150"/>
      <c r="AD147" s="150"/>
      <c r="AE147" s="150"/>
      <c r="BI147" s="161"/>
      <c r="BJ147" s="150"/>
      <c r="BK147" s="150"/>
    </row>
    <row r="148" spans="1:63" ht="9" customHeight="1" x14ac:dyDescent="0.15">
      <c r="A148" s="150"/>
      <c r="B148" s="173"/>
      <c r="D148" s="150"/>
      <c r="E148" s="150"/>
      <c r="F148" s="150"/>
      <c r="G148" s="150"/>
      <c r="H148" s="150"/>
      <c r="L148" s="169" t="str">
        <f>IF(G143+G144=0,"",IF(G143&lt;G144,F141,F145))</f>
        <v/>
      </c>
      <c r="M148" s="156"/>
      <c r="N148" s="150"/>
      <c r="V148" s="150"/>
      <c r="W148" s="150"/>
      <c r="AC148" s="150"/>
      <c r="AD148" s="150"/>
      <c r="AE148" s="150"/>
      <c r="BI148" s="161"/>
      <c r="BJ148" s="150"/>
      <c r="BK148" s="150"/>
    </row>
    <row r="149" spans="1:63" ht="9" customHeight="1" x14ac:dyDescent="0.25">
      <c r="A149" s="150"/>
      <c r="E149" s="150"/>
      <c r="F149" s="150"/>
      <c r="G149" s="150"/>
      <c r="H149" s="150"/>
      <c r="I149" s="172"/>
      <c r="M149" s="151"/>
      <c r="V149" s="150"/>
      <c r="W149" s="150"/>
      <c r="AC149" s="176"/>
      <c r="AD149" s="176"/>
      <c r="AE149" s="160"/>
      <c r="BI149" s="161"/>
      <c r="BJ149" s="150"/>
      <c r="BK149" s="150"/>
    </row>
    <row r="150" spans="1:63" ht="9" customHeight="1" x14ac:dyDescent="0.25">
      <c r="A150" s="150"/>
      <c r="B150" s="173"/>
      <c r="V150" s="150"/>
      <c r="W150" s="150"/>
      <c r="AC150" s="176"/>
      <c r="AD150" s="176"/>
      <c r="AE150" s="160"/>
      <c r="BI150" s="161"/>
      <c r="BJ150" s="150"/>
      <c r="BK150" s="150"/>
    </row>
    <row r="151" spans="1:63" ht="9" customHeight="1" x14ac:dyDescent="0.25">
      <c r="A151" s="150"/>
      <c r="V151" s="150"/>
      <c r="W151" s="150"/>
      <c r="AC151" s="150"/>
      <c r="AD151" s="150"/>
      <c r="AE151" s="150"/>
      <c r="BI151" s="161"/>
      <c r="BJ151" s="150"/>
      <c r="BK151" s="150"/>
    </row>
    <row r="152" spans="1:63" ht="9" customHeight="1" x14ac:dyDescent="0.25">
      <c r="A152" s="150"/>
      <c r="B152" s="173"/>
      <c r="V152" s="150"/>
      <c r="W152" s="150"/>
      <c r="AC152" s="150"/>
      <c r="AD152" s="150"/>
      <c r="AE152" s="150"/>
      <c r="BI152" s="161"/>
      <c r="BJ152" s="150"/>
      <c r="BK152" s="150"/>
    </row>
    <row r="153" spans="1:63" ht="9" customHeight="1" x14ac:dyDescent="0.25">
      <c r="A153" s="150"/>
      <c r="V153" s="150"/>
      <c r="W153" s="150"/>
      <c r="AC153" s="150"/>
      <c r="AD153" s="150"/>
      <c r="AE153" s="150"/>
      <c r="BI153" s="161"/>
      <c r="BJ153" s="150"/>
      <c r="BK153" s="150"/>
    </row>
    <row r="154" spans="1:63" ht="9" customHeight="1" x14ac:dyDescent="0.25">
      <c r="A154" s="150"/>
      <c r="B154" s="173"/>
      <c r="D154" s="363" t="s">
        <v>333</v>
      </c>
      <c r="E154" s="363"/>
      <c r="F154" s="172"/>
      <c r="G154" s="172"/>
      <c r="H154" s="172"/>
      <c r="I154" s="172"/>
      <c r="V154" s="150"/>
      <c r="W154" s="150"/>
      <c r="AC154" s="176"/>
      <c r="AD154" s="176"/>
      <c r="AE154" s="160"/>
      <c r="BI154" s="161"/>
      <c r="BJ154" s="150"/>
      <c r="BK154" s="150"/>
    </row>
    <row r="155" spans="1:63" ht="9" customHeight="1" x14ac:dyDescent="0.25">
      <c r="A155" s="150"/>
      <c r="D155" s="363"/>
      <c r="E155" s="363"/>
      <c r="F155" s="172"/>
      <c r="G155" s="172"/>
      <c r="H155" s="172"/>
      <c r="I155" s="150"/>
      <c r="R155" s="150"/>
      <c r="S155" s="163"/>
      <c r="T155" s="150"/>
      <c r="U155" s="150"/>
      <c r="V155" s="150"/>
      <c r="W155" s="150"/>
      <c r="AC155" s="176"/>
      <c r="AD155" s="176"/>
      <c r="AE155" s="160"/>
      <c r="BI155" s="161"/>
      <c r="BJ155" s="150"/>
      <c r="BK155" s="150"/>
    </row>
    <row r="156" spans="1:63" ht="9" customHeight="1" x14ac:dyDescent="0.25">
      <c r="A156" s="150"/>
      <c r="B156" s="173"/>
      <c r="D156" s="172"/>
      <c r="E156" s="172"/>
      <c r="F156" s="172"/>
      <c r="G156" s="172"/>
      <c r="H156" s="172"/>
      <c r="I156" s="173"/>
      <c r="L156" s="363" t="s">
        <v>330</v>
      </c>
      <c r="M156" s="363"/>
      <c r="N156" s="150"/>
      <c r="R156" s="150"/>
      <c r="S156" s="150"/>
      <c r="T156" s="150"/>
      <c r="U156" s="150"/>
      <c r="V156" s="150"/>
      <c r="W156" s="150"/>
      <c r="AC156" s="150"/>
      <c r="AD156" s="150"/>
      <c r="AE156" s="150"/>
      <c r="BG156" s="150"/>
      <c r="BH156" s="150"/>
      <c r="BI156" s="163"/>
      <c r="BJ156" s="150"/>
      <c r="BK156" s="150"/>
    </row>
    <row r="157" spans="1:63" ht="9" customHeight="1" x14ac:dyDescent="0.25">
      <c r="A157" s="150"/>
      <c r="D157" s="150"/>
      <c r="E157" s="150"/>
      <c r="F157" s="150"/>
      <c r="G157" s="150"/>
      <c r="H157" s="150"/>
      <c r="L157" s="363"/>
      <c r="M157" s="363"/>
      <c r="N157" s="150"/>
      <c r="V157" s="150"/>
      <c r="W157" s="150"/>
      <c r="AC157" s="150"/>
      <c r="AD157" s="150"/>
      <c r="AE157" s="150"/>
      <c r="BG157" s="150"/>
      <c r="BH157" s="150"/>
      <c r="BI157" s="163"/>
      <c r="BJ157" s="150"/>
      <c r="BK157" s="150"/>
    </row>
    <row r="158" spans="1:63" ht="9" customHeight="1" x14ac:dyDescent="0.15">
      <c r="A158" s="150"/>
      <c r="B158" s="150"/>
      <c r="D158" s="169" t="str">
        <f>IF(E133+E134=0,"",IF(E133&lt;E134,D132,D134))</f>
        <v/>
      </c>
      <c r="E158" s="163"/>
      <c r="F158" s="150"/>
      <c r="G158" s="150"/>
      <c r="H158" s="150"/>
      <c r="I158" s="173"/>
      <c r="L158" s="172"/>
      <c r="M158" s="172"/>
      <c r="N158" s="163"/>
      <c r="R158" s="150"/>
      <c r="S158" s="150"/>
      <c r="T158" s="150"/>
      <c r="U158" s="150"/>
      <c r="V158" s="150"/>
      <c r="W158" s="150"/>
      <c r="AC158" s="150"/>
      <c r="AD158" s="150"/>
      <c r="AE158" s="150"/>
      <c r="BG158" s="150"/>
      <c r="BH158" s="150"/>
      <c r="BI158" s="163"/>
      <c r="BJ158" s="150"/>
      <c r="BK158" s="150"/>
    </row>
    <row r="159" spans="1:63" ht="9" customHeight="1" x14ac:dyDescent="0.15">
      <c r="A159" s="150"/>
      <c r="B159" s="150"/>
      <c r="D159" s="155"/>
      <c r="E159" s="156"/>
      <c r="F159" s="169" t="str">
        <f>IF(E159+E160=0,"",IF(E159&gt;E160,D158,D160))</f>
        <v/>
      </c>
      <c r="G159" s="163"/>
      <c r="H159" s="150"/>
      <c r="L159" s="172"/>
      <c r="M159" s="172"/>
      <c r="N159" s="163"/>
      <c r="R159" s="150"/>
      <c r="S159" s="150"/>
      <c r="T159" s="150"/>
      <c r="U159" s="150"/>
      <c r="V159" s="150"/>
      <c r="W159" s="150"/>
      <c r="AC159" s="176"/>
      <c r="AD159" s="176"/>
      <c r="AE159" s="160"/>
      <c r="BG159" s="150"/>
      <c r="BH159" s="150"/>
      <c r="BI159" s="163"/>
      <c r="BJ159" s="150"/>
      <c r="BK159" s="150"/>
    </row>
    <row r="160" spans="1:63" ht="9" customHeight="1" x14ac:dyDescent="0.15">
      <c r="A160" s="150"/>
      <c r="B160" s="172"/>
      <c r="D160" s="169" t="str">
        <f>IF(E137+E138=0,"",IF(E137&lt;E138,D136,D138))</f>
        <v/>
      </c>
      <c r="E160" s="156"/>
      <c r="F160" s="150"/>
      <c r="G160" s="157"/>
      <c r="H160" s="150"/>
      <c r="I160" s="150"/>
      <c r="L160" s="169" t="str">
        <f>IF(E159+E160=0,"",IF(E159&lt;E160,D158,D160))</f>
        <v/>
      </c>
      <c r="M160" s="163"/>
      <c r="N160" s="150"/>
      <c r="R160" s="150"/>
      <c r="S160" s="150"/>
      <c r="T160" s="150"/>
      <c r="U160" s="150"/>
      <c r="V160" s="150"/>
      <c r="W160" s="150"/>
      <c r="AC160" s="176"/>
      <c r="AD160" s="176"/>
      <c r="AE160" s="160"/>
      <c r="BG160" s="150"/>
      <c r="BH160" s="150"/>
      <c r="BI160" s="163"/>
      <c r="BJ160" s="150"/>
      <c r="BK160" s="150"/>
    </row>
    <row r="161" spans="1:63" ht="9" customHeight="1" x14ac:dyDescent="0.15">
      <c r="A161" s="150"/>
      <c r="B161" s="172"/>
      <c r="D161" s="155"/>
      <c r="E161" s="163"/>
      <c r="F161" s="150"/>
      <c r="G161" s="156"/>
      <c r="H161" s="171" t="str">
        <f>IF(G161+G162=0,"",IF(G161&gt;G162,F159,F163))</f>
        <v/>
      </c>
      <c r="I161" s="150"/>
      <c r="L161" s="155"/>
      <c r="M161" s="156"/>
      <c r="N161" s="169" t="str">
        <f>IF(M161+M162=0,"",IF(M161&gt;M162,L160,L162))</f>
        <v/>
      </c>
      <c r="R161" s="150"/>
      <c r="S161" s="150"/>
      <c r="T161" s="150"/>
      <c r="U161" s="150"/>
      <c r="V161" s="150"/>
      <c r="W161" s="150"/>
      <c r="AC161" s="150"/>
      <c r="AD161" s="150"/>
      <c r="AE161" s="150"/>
      <c r="BG161" s="150"/>
      <c r="BH161" s="150"/>
      <c r="BI161" s="163"/>
      <c r="BJ161" s="150"/>
      <c r="BK161" s="150"/>
    </row>
    <row r="162" spans="1:63" ht="9" customHeight="1" x14ac:dyDescent="0.15">
      <c r="A162" s="150"/>
      <c r="B162" s="172"/>
      <c r="D162" s="169" t="str">
        <f>IF(E141+E142=0,"",IF(E141&lt;E142,D140,D142))</f>
        <v/>
      </c>
      <c r="E162" s="163"/>
      <c r="F162" s="150"/>
      <c r="G162" s="156"/>
      <c r="H162" s="150"/>
      <c r="I162" s="150"/>
      <c r="J162" s="150"/>
      <c r="K162" s="150"/>
      <c r="L162" s="169" t="str">
        <f>IF(E163+E164=0,"",IF(E163&lt;E164,D162,D164))</f>
        <v/>
      </c>
      <c r="M162" s="156"/>
      <c r="N162" s="150"/>
      <c r="R162" s="150"/>
      <c r="S162" s="150"/>
      <c r="T162" s="150"/>
      <c r="U162" s="150"/>
      <c r="V162" s="150"/>
      <c r="W162" s="150"/>
      <c r="AC162" s="150"/>
      <c r="AD162" s="150"/>
      <c r="AE162" s="150"/>
      <c r="BG162" s="150"/>
      <c r="BH162" s="150"/>
      <c r="BI162" s="163"/>
      <c r="BJ162" s="150"/>
      <c r="BK162" s="150"/>
    </row>
    <row r="163" spans="1:63" ht="9" customHeight="1" x14ac:dyDescent="0.15">
      <c r="A163" s="150"/>
      <c r="B163" s="150"/>
      <c r="D163" s="155"/>
      <c r="E163" s="156"/>
      <c r="F163" s="169" t="str">
        <f>IF(E163+E164=0,"",IF(E163&gt;E164,D162,D164))</f>
        <v/>
      </c>
      <c r="G163" s="157"/>
      <c r="H163" s="150"/>
      <c r="I163" s="150"/>
      <c r="J163" s="150"/>
      <c r="K163" s="150"/>
      <c r="R163" s="150"/>
      <c r="S163" s="150"/>
      <c r="T163" s="150"/>
      <c r="U163" s="150"/>
      <c r="V163" s="150"/>
      <c r="W163" s="150"/>
      <c r="AC163" s="150"/>
      <c r="AD163" s="150"/>
      <c r="AE163" s="150"/>
      <c r="BG163" s="150"/>
      <c r="BH163" s="150"/>
      <c r="BI163" s="163"/>
      <c r="BJ163" s="150"/>
      <c r="BK163" s="150"/>
    </row>
    <row r="164" spans="1:63" ht="9" customHeight="1" x14ac:dyDescent="0.15">
      <c r="A164" s="150"/>
      <c r="B164" s="173"/>
      <c r="D164" s="169" t="str">
        <f>IF(E145+E146=0,"",IF(E145&lt;E146,D144,D146))</f>
        <v/>
      </c>
      <c r="E164" s="156"/>
      <c r="F164" s="150"/>
      <c r="G164" s="150"/>
      <c r="H164" s="150"/>
      <c r="I164" s="150"/>
      <c r="M164" s="150"/>
      <c r="N164" s="150"/>
      <c r="R164" s="150"/>
      <c r="S164" s="150"/>
      <c r="T164" s="150"/>
      <c r="U164" s="150"/>
      <c r="V164" s="150"/>
      <c r="W164" s="150"/>
      <c r="AC164" s="176"/>
      <c r="AD164" s="176"/>
      <c r="AE164" s="160"/>
      <c r="BG164" s="150"/>
      <c r="BH164" s="150"/>
      <c r="BI164" s="163"/>
      <c r="BJ164" s="150"/>
      <c r="BK164" s="150"/>
    </row>
    <row r="165" spans="1:63" ht="9" customHeight="1" x14ac:dyDescent="0.15">
      <c r="A165" s="150"/>
      <c r="G165" s="174"/>
      <c r="H165" s="174"/>
      <c r="I165" s="174"/>
      <c r="R165" s="150"/>
      <c r="S165" s="163"/>
      <c r="T165" s="150"/>
      <c r="U165" s="150"/>
      <c r="V165" s="150"/>
      <c r="W165" s="150"/>
      <c r="AC165" s="176"/>
      <c r="AD165" s="176"/>
      <c r="AE165" s="160"/>
      <c r="BG165" s="150"/>
      <c r="BH165" s="150"/>
      <c r="BI165" s="163"/>
      <c r="BJ165" s="150"/>
      <c r="BK165" s="150"/>
    </row>
    <row r="166" spans="1:63" ht="9" customHeight="1" x14ac:dyDescent="0.25">
      <c r="A166" s="150"/>
      <c r="B166" s="173"/>
      <c r="G166" s="150"/>
      <c r="H166" s="365">
        <f>'Infos générales'!$B$5</f>
        <v>0.54166666666666663</v>
      </c>
      <c r="I166" s="239"/>
      <c r="J166" s="366">
        <f>'Infos générales'!$B$6</f>
        <v>0.75</v>
      </c>
      <c r="K166" s="240"/>
      <c r="L166" s="367" t="str">
        <f>"Participants : "&amp;'Infos générales'!$B$8</f>
        <v>Participants : 32</v>
      </c>
      <c r="M166" s="367"/>
      <c r="R166" s="150"/>
      <c r="S166" s="163"/>
      <c r="T166" s="150"/>
      <c r="U166" s="150"/>
      <c r="V166" s="150"/>
      <c r="W166" s="150"/>
      <c r="AC166" s="150"/>
      <c r="AD166" s="150"/>
      <c r="AE166" s="150"/>
      <c r="BG166" s="150"/>
      <c r="BH166" s="150"/>
      <c r="BI166" s="163"/>
      <c r="BJ166" s="150"/>
      <c r="BK166" s="150"/>
    </row>
    <row r="167" spans="1:63" ht="9" customHeight="1" x14ac:dyDescent="0.25">
      <c r="A167" s="150"/>
      <c r="H167" s="365"/>
      <c r="I167" s="239"/>
      <c r="J167" s="366"/>
      <c r="K167" s="240"/>
      <c r="L167" s="367"/>
      <c r="M167" s="367"/>
      <c r="V167" s="150"/>
      <c r="W167" s="150"/>
      <c r="AC167" s="150"/>
      <c r="AD167" s="150"/>
      <c r="AE167" s="150"/>
      <c r="BG167" s="150"/>
      <c r="BH167" s="150"/>
      <c r="BI167" s="163"/>
      <c r="BJ167" s="150"/>
      <c r="BK167" s="150"/>
    </row>
    <row r="168" spans="1:63" ht="9" customHeight="1" x14ac:dyDescent="0.25">
      <c r="A168" s="150"/>
      <c r="B168" s="173"/>
      <c r="M168" s="151"/>
      <c r="V168" s="150"/>
      <c r="W168" s="150"/>
      <c r="AC168" s="150"/>
      <c r="AD168" s="150"/>
      <c r="AE168" s="150"/>
      <c r="BG168" s="150"/>
      <c r="BH168" s="150"/>
      <c r="BI168" s="163"/>
      <c r="BJ168" s="150"/>
      <c r="BK168" s="150"/>
    </row>
    <row r="169" spans="1:63" ht="9" customHeight="1" x14ac:dyDescent="0.25">
      <c r="A169" s="150"/>
      <c r="M169" s="151"/>
      <c r="V169" s="150"/>
      <c r="W169" s="150"/>
      <c r="AC169" s="176"/>
      <c r="AD169" s="176"/>
      <c r="AE169" s="160"/>
      <c r="BG169" s="150"/>
      <c r="BH169" s="150"/>
      <c r="BI169" s="163"/>
      <c r="BJ169" s="150"/>
      <c r="BK169" s="150"/>
    </row>
    <row r="170" spans="1:63" ht="9" customHeight="1" x14ac:dyDescent="0.25">
      <c r="A170" s="150"/>
      <c r="B170" s="173"/>
      <c r="M170" s="151"/>
      <c r="V170" s="150"/>
      <c r="W170" s="150"/>
      <c r="AC170" s="176"/>
      <c r="AD170" s="176"/>
      <c r="AE170" s="160"/>
      <c r="BG170" s="150"/>
      <c r="BH170" s="150"/>
      <c r="BI170" s="163"/>
      <c r="BJ170" s="150"/>
      <c r="BK170" s="150"/>
    </row>
    <row r="171" spans="1:63" ht="9" customHeight="1" x14ac:dyDescent="0.25">
      <c r="A171" s="150"/>
      <c r="M171" s="151"/>
      <c r="V171" s="150"/>
      <c r="W171" s="150"/>
      <c r="AC171" s="150"/>
      <c r="AD171" s="150"/>
      <c r="AE171" s="150"/>
      <c r="BG171" s="150"/>
      <c r="BH171" s="150"/>
      <c r="BI171" s="163"/>
      <c r="BJ171" s="150"/>
      <c r="BK171" s="150"/>
    </row>
    <row r="172" spans="1:63" ht="9" customHeight="1" x14ac:dyDescent="0.25">
      <c r="A172" s="150"/>
      <c r="B172" s="173"/>
      <c r="M172" s="151"/>
      <c r="V172" s="150"/>
      <c r="W172" s="150"/>
      <c r="AC172" s="150"/>
      <c r="AD172" s="150"/>
      <c r="AE172" s="150"/>
      <c r="BG172" s="150"/>
      <c r="BH172" s="150"/>
      <c r="BI172" s="163"/>
      <c r="BJ172" s="150"/>
      <c r="BK172" s="150"/>
    </row>
    <row r="173" spans="1:63" ht="9" customHeight="1" x14ac:dyDescent="0.25">
      <c r="A173" s="150"/>
      <c r="M173" s="151"/>
      <c r="V173" s="150"/>
      <c r="W173" s="150"/>
      <c r="AC173" s="150"/>
      <c r="AD173" s="150"/>
      <c r="AE173" s="150"/>
      <c r="BG173" s="150"/>
      <c r="BH173" s="150"/>
      <c r="BI173" s="163"/>
      <c r="BJ173" s="150"/>
      <c r="BK173" s="150"/>
    </row>
    <row r="174" spans="1:63" ht="9" customHeight="1" x14ac:dyDescent="0.25">
      <c r="A174" s="150"/>
      <c r="B174" s="173"/>
      <c r="M174" s="151"/>
      <c r="V174" s="150"/>
      <c r="W174" s="150"/>
      <c r="AC174" s="176"/>
      <c r="AD174" s="176"/>
      <c r="AE174" s="160"/>
      <c r="BG174" s="150"/>
      <c r="BH174" s="150"/>
      <c r="BI174" s="163"/>
      <c r="BJ174" s="150"/>
      <c r="BK174" s="150"/>
    </row>
    <row r="175" spans="1:63" ht="9" customHeight="1" x14ac:dyDescent="0.25">
      <c r="A175" s="150"/>
      <c r="M175" s="151"/>
      <c r="V175" s="150"/>
      <c r="W175" s="150"/>
      <c r="AC175" s="176"/>
      <c r="AD175" s="176"/>
      <c r="AE175" s="160"/>
      <c r="BG175" s="150"/>
      <c r="BH175" s="150"/>
      <c r="BI175" s="163"/>
      <c r="BJ175" s="150"/>
      <c r="BK175" s="150"/>
    </row>
    <row r="176" spans="1:63" ht="9" customHeight="1" x14ac:dyDescent="0.25">
      <c r="A176" s="150"/>
      <c r="B176" s="173"/>
      <c r="M176" s="160"/>
      <c r="O176" s="177"/>
      <c r="P176" s="177"/>
      <c r="Q176" s="177"/>
      <c r="R176" s="177"/>
      <c r="S176" s="177"/>
      <c r="T176" s="177"/>
      <c r="U176" s="177"/>
      <c r="V176" s="177"/>
      <c r="W176" s="177"/>
      <c r="X176" s="177"/>
      <c r="Y176" s="187"/>
      <c r="Z176" s="187"/>
      <c r="AA176" s="177"/>
      <c r="AB176" s="177"/>
      <c r="AC176" s="177"/>
      <c r="AD176" s="177"/>
      <c r="AE176" s="177"/>
      <c r="AF176" s="177"/>
      <c r="AG176" s="177"/>
      <c r="AH176" s="177"/>
      <c r="AI176" s="177"/>
      <c r="AJ176" s="177"/>
      <c r="AK176" s="177"/>
      <c r="AL176" s="177"/>
      <c r="AM176" s="177"/>
      <c r="BG176" s="150"/>
      <c r="BH176" s="150"/>
      <c r="BI176" s="163"/>
      <c r="BJ176" s="150"/>
      <c r="BK176" s="150"/>
    </row>
    <row r="177" spans="1:63" ht="9" customHeight="1" x14ac:dyDescent="0.25">
      <c r="A177" s="150"/>
      <c r="M177" s="177"/>
      <c r="P177" s="177"/>
      <c r="Q177" s="177"/>
      <c r="R177" s="177"/>
      <c r="S177" s="177"/>
      <c r="T177" s="177"/>
      <c r="U177" s="177"/>
      <c r="V177" s="177"/>
      <c r="W177" s="177"/>
      <c r="X177" s="177"/>
      <c r="Y177" s="187"/>
      <c r="Z177" s="187"/>
      <c r="AA177" s="177"/>
      <c r="AB177" s="177"/>
      <c r="AC177" s="177"/>
      <c r="AD177" s="177"/>
      <c r="AE177" s="177"/>
      <c r="AF177" s="177"/>
      <c r="AG177" s="177"/>
      <c r="AH177" s="177"/>
      <c r="AI177" s="177"/>
      <c r="AJ177" s="177"/>
      <c r="AK177" s="177"/>
      <c r="AL177" s="177"/>
      <c r="AM177" s="177"/>
      <c r="BG177" s="150"/>
      <c r="BH177" s="150"/>
      <c r="BI177" s="163"/>
      <c r="BJ177" s="150"/>
      <c r="BK177" s="150"/>
    </row>
    <row r="178" spans="1:63" ht="9" customHeight="1" x14ac:dyDescent="0.25">
      <c r="A178" s="150"/>
      <c r="B178" s="150"/>
      <c r="M178" s="150"/>
      <c r="P178" s="150"/>
      <c r="Q178" s="163"/>
      <c r="R178" s="150"/>
      <c r="S178" s="150"/>
      <c r="T178" s="150"/>
      <c r="U178" s="150"/>
      <c r="V178" s="150"/>
      <c r="W178" s="150"/>
      <c r="X178" s="150"/>
      <c r="Y178" s="187"/>
      <c r="Z178" s="187"/>
      <c r="AA178" s="150"/>
      <c r="AB178" s="163"/>
      <c r="AC178" s="150"/>
      <c r="AD178" s="150"/>
      <c r="AE178" s="150"/>
      <c r="AF178" s="150"/>
      <c r="AG178" s="150"/>
      <c r="AH178" s="150"/>
      <c r="AI178" s="150"/>
      <c r="AJ178" s="150"/>
      <c r="AK178" s="150"/>
      <c r="AL178" s="150"/>
      <c r="AM178" s="150"/>
      <c r="BG178" s="150"/>
      <c r="BH178" s="150"/>
      <c r="BI178" s="163"/>
      <c r="BJ178" s="150"/>
      <c r="BK178" s="150"/>
    </row>
    <row r="179" spans="1:63" ht="9" customHeight="1" x14ac:dyDescent="0.25">
      <c r="A179" s="150"/>
      <c r="B179" s="150"/>
      <c r="M179" s="177"/>
      <c r="P179" s="177"/>
      <c r="Q179" s="177"/>
      <c r="R179" s="177"/>
      <c r="S179" s="177"/>
      <c r="T179" s="177"/>
      <c r="U179" s="177"/>
      <c r="V179" s="177"/>
      <c r="W179" s="177"/>
      <c r="X179" s="177"/>
      <c r="Y179" s="187"/>
      <c r="Z179" s="187"/>
      <c r="AA179" s="177"/>
      <c r="AB179" s="177"/>
      <c r="AC179" s="177"/>
      <c r="AD179" s="177"/>
      <c r="AE179" s="177"/>
      <c r="AF179" s="177"/>
      <c r="AG179" s="177"/>
      <c r="AH179" s="177"/>
      <c r="AI179" s="177"/>
      <c r="AJ179" s="177"/>
      <c r="AK179" s="177"/>
      <c r="AL179" s="177"/>
      <c r="AM179" s="177"/>
      <c r="BG179" s="150"/>
      <c r="BH179" s="150"/>
      <c r="BI179" s="163"/>
      <c r="BJ179" s="150"/>
      <c r="BK179" s="150"/>
    </row>
    <row r="180" spans="1:63" ht="9" customHeight="1" x14ac:dyDescent="0.25">
      <c r="A180" s="150"/>
      <c r="B180" s="172"/>
      <c r="M180" s="177"/>
      <c r="P180" s="177"/>
      <c r="Q180" s="177"/>
      <c r="R180" s="177"/>
      <c r="S180" s="177"/>
      <c r="T180" s="177"/>
      <c r="U180" s="177"/>
      <c r="V180" s="177"/>
      <c r="W180" s="177"/>
      <c r="X180" s="177"/>
      <c r="Y180" s="187"/>
      <c r="Z180" s="187"/>
      <c r="AA180" s="177"/>
      <c r="AB180" s="177"/>
      <c r="AC180" s="177"/>
      <c r="AD180" s="177"/>
      <c r="AE180" s="177"/>
      <c r="AF180" s="177"/>
      <c r="AG180" s="177"/>
      <c r="AH180" s="177"/>
      <c r="AI180" s="177"/>
      <c r="AJ180" s="177"/>
      <c r="AK180" s="177"/>
      <c r="AL180" s="177"/>
      <c r="AM180" s="177"/>
      <c r="BG180" s="150"/>
      <c r="BH180" s="150"/>
      <c r="BI180" s="163"/>
      <c r="BJ180" s="150"/>
      <c r="BK180" s="150"/>
    </row>
    <row r="181" spans="1:63" ht="9" customHeight="1" x14ac:dyDescent="0.25">
      <c r="A181" s="150"/>
      <c r="B181" s="150"/>
      <c r="M181" s="150"/>
      <c r="P181" s="150"/>
      <c r="Q181" s="163"/>
      <c r="R181" s="150"/>
      <c r="S181" s="150"/>
      <c r="T181" s="150"/>
      <c r="U181" s="150"/>
      <c r="V181" s="150"/>
      <c r="W181" s="150"/>
      <c r="X181" s="150"/>
      <c r="Y181" s="187"/>
      <c r="Z181" s="187"/>
      <c r="AA181" s="150"/>
      <c r="AB181" s="163"/>
      <c r="AC181" s="150"/>
      <c r="AD181" s="150"/>
      <c r="AE181" s="150"/>
      <c r="AF181" s="150"/>
      <c r="AG181" s="150"/>
      <c r="AH181" s="150"/>
      <c r="AI181" s="150"/>
      <c r="AJ181" s="150"/>
      <c r="AK181" s="150"/>
      <c r="AL181" s="150"/>
      <c r="AM181" s="150"/>
      <c r="BG181" s="150"/>
      <c r="BH181" s="150"/>
      <c r="BI181" s="163"/>
      <c r="BJ181" s="150"/>
      <c r="BK181" s="150"/>
    </row>
    <row r="182" spans="1:63" ht="9" customHeight="1" x14ac:dyDescent="0.25">
      <c r="A182" s="150"/>
      <c r="B182" s="173"/>
      <c r="M182" s="177"/>
      <c r="P182" s="177"/>
      <c r="Q182" s="177"/>
      <c r="R182" s="177"/>
      <c r="S182" s="177"/>
      <c r="T182" s="177"/>
      <c r="U182" s="177"/>
      <c r="V182" s="177"/>
      <c r="W182" s="177"/>
      <c r="X182" s="177"/>
      <c r="Y182" s="187"/>
      <c r="Z182" s="187"/>
      <c r="AA182" s="177"/>
      <c r="AB182" s="177"/>
      <c r="AC182" s="177"/>
      <c r="AD182" s="177"/>
      <c r="AE182" s="177"/>
      <c r="AF182" s="177"/>
      <c r="AG182" s="177"/>
      <c r="AH182" s="177"/>
      <c r="AI182" s="177"/>
      <c r="AJ182" s="177"/>
      <c r="AK182" s="177"/>
      <c r="AL182" s="177"/>
      <c r="AM182" s="177"/>
      <c r="BG182" s="150"/>
      <c r="BH182" s="150"/>
      <c r="BI182" s="163"/>
      <c r="BJ182" s="150"/>
      <c r="BK182" s="150"/>
    </row>
    <row r="183" spans="1:63" ht="9" customHeight="1" x14ac:dyDescent="0.25">
      <c r="A183" s="150"/>
      <c r="M183" s="177"/>
      <c r="P183" s="177"/>
      <c r="Q183" s="177"/>
      <c r="R183" s="177"/>
      <c r="S183" s="177"/>
      <c r="T183" s="177"/>
      <c r="U183" s="177"/>
      <c r="V183" s="177"/>
      <c r="W183" s="177"/>
      <c r="X183" s="177"/>
      <c r="Y183" s="187"/>
      <c r="Z183" s="187"/>
      <c r="AA183" s="177"/>
      <c r="AB183" s="177"/>
      <c r="AC183" s="177"/>
      <c r="AD183" s="177"/>
      <c r="AE183" s="177"/>
      <c r="AF183" s="177"/>
      <c r="AG183" s="177"/>
      <c r="AH183" s="177"/>
      <c r="AI183" s="177"/>
      <c r="AJ183" s="177"/>
      <c r="AK183" s="177"/>
      <c r="AL183" s="177"/>
      <c r="AM183" s="177"/>
      <c r="BG183" s="150"/>
      <c r="BH183" s="150"/>
      <c r="BI183" s="163"/>
      <c r="BJ183" s="150"/>
      <c r="BK183" s="150"/>
    </row>
    <row r="184" spans="1:63" ht="9" customHeight="1" x14ac:dyDescent="0.25">
      <c r="A184" s="150"/>
      <c r="B184" s="173"/>
      <c r="M184" s="150"/>
      <c r="P184" s="150"/>
      <c r="Q184" s="163"/>
      <c r="R184" s="150"/>
      <c r="S184" s="150"/>
      <c r="T184" s="150"/>
      <c r="U184" s="150"/>
      <c r="V184" s="150"/>
      <c r="W184" s="150"/>
      <c r="X184" s="150"/>
      <c r="Y184" s="187"/>
      <c r="Z184" s="187"/>
      <c r="AA184" s="150"/>
      <c r="AB184" s="163"/>
      <c r="AC184" s="150"/>
      <c r="AD184" s="150"/>
      <c r="AE184" s="150"/>
      <c r="AF184" s="150"/>
      <c r="AG184" s="150"/>
      <c r="AH184" s="150"/>
      <c r="AI184" s="150"/>
      <c r="AJ184" s="150"/>
      <c r="AK184" s="150"/>
      <c r="AL184" s="150"/>
      <c r="AM184" s="150"/>
      <c r="BG184" s="150"/>
      <c r="BH184" s="150"/>
      <c r="BI184" s="163"/>
      <c r="BJ184" s="150"/>
      <c r="BK184" s="150"/>
    </row>
    <row r="185" spans="1:63" ht="9" customHeight="1" x14ac:dyDescent="0.25">
      <c r="A185" s="150"/>
      <c r="M185" s="177"/>
      <c r="P185" s="177"/>
      <c r="Q185" s="177"/>
      <c r="R185" s="177"/>
      <c r="S185" s="177"/>
      <c r="T185" s="177"/>
      <c r="U185" s="177"/>
      <c r="V185" s="177"/>
      <c r="W185" s="177"/>
      <c r="X185" s="177"/>
      <c r="Y185" s="187"/>
      <c r="Z185" s="187"/>
      <c r="AA185" s="177"/>
      <c r="AB185" s="177"/>
      <c r="AC185" s="177"/>
      <c r="AD185" s="177"/>
      <c r="AE185" s="177"/>
      <c r="AF185" s="177"/>
      <c r="AG185" s="177"/>
      <c r="AH185" s="177"/>
      <c r="AI185" s="177"/>
      <c r="AJ185" s="177"/>
      <c r="AK185" s="177"/>
      <c r="AL185" s="177"/>
      <c r="AM185" s="177"/>
      <c r="BG185" s="150"/>
      <c r="BH185" s="150"/>
      <c r="BI185" s="163"/>
      <c r="BJ185" s="150"/>
      <c r="BK185" s="150"/>
    </row>
    <row r="186" spans="1:63" ht="9" customHeight="1" x14ac:dyDescent="0.25">
      <c r="A186" s="150"/>
      <c r="B186" s="173"/>
      <c r="M186" s="177"/>
      <c r="P186" s="177"/>
      <c r="Q186" s="177"/>
      <c r="R186" s="177"/>
      <c r="S186" s="177"/>
      <c r="T186" s="177"/>
      <c r="U186" s="177"/>
      <c r="V186" s="177"/>
      <c r="W186" s="177"/>
      <c r="X186" s="177"/>
      <c r="Y186" s="187"/>
      <c r="Z186" s="187"/>
      <c r="AA186" s="177"/>
      <c r="AB186" s="177"/>
      <c r="AC186" s="177"/>
      <c r="AD186" s="177"/>
      <c r="AE186" s="177"/>
      <c r="AF186" s="177"/>
      <c r="AG186" s="177"/>
      <c r="AH186" s="177"/>
      <c r="AI186" s="177"/>
      <c r="AJ186" s="177"/>
      <c r="AK186" s="177"/>
      <c r="AL186" s="177"/>
      <c r="AM186" s="177"/>
      <c r="BG186" s="150"/>
      <c r="BH186" s="150"/>
      <c r="BI186" s="163"/>
      <c r="BJ186" s="150"/>
      <c r="BK186" s="150"/>
    </row>
    <row r="187" spans="1:63" ht="9" customHeight="1" x14ac:dyDescent="0.25">
      <c r="A187" s="150"/>
      <c r="B187" s="150"/>
      <c r="M187" s="150"/>
      <c r="P187" s="150"/>
      <c r="Q187" s="163"/>
      <c r="R187" s="150"/>
      <c r="S187" s="150"/>
      <c r="T187" s="150"/>
      <c r="U187" s="150"/>
      <c r="V187" s="150"/>
      <c r="W187" s="150"/>
      <c r="X187" s="150"/>
      <c r="Y187" s="187"/>
      <c r="Z187" s="187"/>
      <c r="AA187" s="150"/>
      <c r="AB187" s="163"/>
      <c r="AC187" s="150"/>
      <c r="AD187" s="150"/>
      <c r="AE187" s="150"/>
      <c r="AF187" s="150"/>
      <c r="AG187" s="150"/>
      <c r="AH187" s="150"/>
      <c r="AI187" s="150"/>
      <c r="AJ187" s="150"/>
      <c r="AK187" s="150"/>
      <c r="AL187" s="150"/>
      <c r="AM187" s="150"/>
      <c r="BG187" s="150"/>
      <c r="BH187" s="150"/>
      <c r="BI187" s="163"/>
      <c r="BJ187" s="150"/>
      <c r="BK187" s="150"/>
    </row>
    <row r="188" spans="1:63" ht="9" customHeight="1" x14ac:dyDescent="0.25">
      <c r="A188" s="150"/>
      <c r="B188" s="173"/>
      <c r="M188" s="177"/>
      <c r="P188" s="177"/>
      <c r="Q188" s="177"/>
      <c r="R188" s="177"/>
      <c r="S188" s="177"/>
      <c r="T188" s="177"/>
      <c r="U188" s="177"/>
      <c r="V188" s="177"/>
      <c r="W188" s="177"/>
      <c r="X188" s="177"/>
      <c r="Y188" s="187"/>
      <c r="Z188" s="187"/>
      <c r="AA188" s="177"/>
      <c r="AB188" s="177"/>
      <c r="AC188" s="177"/>
      <c r="AD188" s="177"/>
      <c r="AE188" s="177"/>
      <c r="AF188" s="177"/>
      <c r="AG188" s="177"/>
      <c r="AH188" s="177"/>
      <c r="AI188" s="177"/>
      <c r="AJ188" s="177"/>
      <c r="AK188" s="177"/>
      <c r="AL188" s="177"/>
      <c r="AM188" s="177"/>
    </row>
    <row r="189" spans="1:63" ht="9" customHeight="1" x14ac:dyDescent="0.25">
      <c r="A189" s="150"/>
      <c r="M189" s="177"/>
      <c r="P189" s="177"/>
      <c r="Q189" s="177"/>
      <c r="R189" s="177"/>
      <c r="S189" s="177"/>
      <c r="T189" s="177"/>
      <c r="U189" s="177"/>
      <c r="V189" s="177"/>
      <c r="W189" s="177"/>
      <c r="X189" s="177"/>
      <c r="Y189" s="187"/>
      <c r="Z189" s="187"/>
      <c r="AA189" s="177"/>
      <c r="AB189" s="177"/>
      <c r="AC189" s="177"/>
      <c r="AD189" s="177"/>
      <c r="AE189" s="177"/>
      <c r="AF189" s="177"/>
      <c r="AG189" s="177"/>
      <c r="AH189" s="177"/>
      <c r="AI189" s="177"/>
      <c r="AJ189" s="177"/>
      <c r="AK189" s="177"/>
      <c r="AL189" s="177"/>
      <c r="AM189" s="177"/>
    </row>
    <row r="190" spans="1:63" ht="9" customHeight="1" x14ac:dyDescent="0.25">
      <c r="A190" s="150"/>
      <c r="B190" s="150"/>
      <c r="C190" s="150"/>
      <c r="M190" s="150"/>
      <c r="P190" s="150"/>
      <c r="Q190" s="163"/>
      <c r="R190" s="150"/>
      <c r="S190" s="150"/>
      <c r="T190" s="150"/>
      <c r="U190" s="150"/>
      <c r="V190" s="150"/>
      <c r="W190" s="150"/>
      <c r="X190" s="150"/>
      <c r="Y190" s="187"/>
      <c r="Z190" s="187"/>
      <c r="AA190" s="150"/>
      <c r="AB190" s="163"/>
      <c r="AC190" s="150"/>
      <c r="AD190" s="150"/>
      <c r="AE190" s="150"/>
      <c r="AF190" s="150"/>
      <c r="AG190" s="150"/>
      <c r="AH190" s="150"/>
      <c r="AI190" s="150"/>
      <c r="AJ190" s="150"/>
      <c r="AK190" s="150"/>
      <c r="AL190" s="150"/>
      <c r="AM190" s="150"/>
    </row>
    <row r="191" spans="1:63" ht="9" customHeight="1" x14ac:dyDescent="0.25">
      <c r="A191" s="150"/>
      <c r="B191" s="150"/>
      <c r="C191" s="150"/>
      <c r="M191" s="177"/>
      <c r="P191" s="177"/>
      <c r="Q191" s="177"/>
      <c r="R191" s="177"/>
      <c r="S191" s="177"/>
      <c r="T191" s="177"/>
      <c r="U191" s="177"/>
      <c r="V191" s="177"/>
      <c r="W191" s="177"/>
      <c r="X191" s="177"/>
      <c r="Y191" s="187"/>
      <c r="Z191" s="187"/>
      <c r="AA191" s="177"/>
      <c r="AB191" s="177"/>
      <c r="AC191" s="177"/>
      <c r="AD191" s="177"/>
      <c r="AE191" s="177"/>
      <c r="AF191" s="177"/>
      <c r="AG191" s="177"/>
      <c r="AH191" s="177"/>
      <c r="AI191" s="177"/>
      <c r="AJ191" s="177"/>
      <c r="AK191" s="177"/>
      <c r="AL191" s="177"/>
      <c r="AM191" s="177"/>
    </row>
    <row r="192" spans="1:63" ht="9" customHeight="1" x14ac:dyDescent="0.25">
      <c r="A192" s="150"/>
      <c r="B192" s="150"/>
      <c r="C192" s="150"/>
      <c r="M192" s="177"/>
      <c r="P192" s="177"/>
      <c r="Q192" s="177"/>
      <c r="R192" s="177"/>
      <c r="S192" s="177"/>
      <c r="T192" s="177"/>
      <c r="U192" s="177"/>
      <c r="V192" s="177"/>
      <c r="W192" s="177"/>
      <c r="X192" s="177"/>
      <c r="Y192" s="187"/>
      <c r="Z192" s="187"/>
      <c r="AA192" s="177"/>
      <c r="AB192" s="177"/>
      <c r="AC192" s="177"/>
      <c r="AD192" s="177"/>
      <c r="AE192" s="177"/>
      <c r="AF192" s="177"/>
      <c r="AG192" s="177"/>
      <c r="AH192" s="177"/>
      <c r="AI192" s="177"/>
      <c r="AJ192" s="177"/>
      <c r="AK192" s="177"/>
      <c r="AL192" s="177"/>
      <c r="AM192" s="177"/>
    </row>
    <row r="193" spans="1:39" ht="9" customHeight="1" x14ac:dyDescent="0.25">
      <c r="A193" s="150"/>
      <c r="B193" s="150"/>
      <c r="C193" s="150"/>
      <c r="M193" s="150"/>
      <c r="P193" s="150"/>
      <c r="Q193" s="163"/>
      <c r="R193" s="150"/>
      <c r="S193" s="150"/>
      <c r="T193" s="150"/>
      <c r="U193" s="150"/>
      <c r="V193" s="150"/>
      <c r="W193" s="150"/>
      <c r="X193" s="150"/>
      <c r="Y193" s="187"/>
      <c r="Z193" s="187"/>
      <c r="AA193" s="150"/>
      <c r="AB193" s="163"/>
      <c r="AC193" s="150"/>
      <c r="AD193" s="150"/>
      <c r="AE193" s="150"/>
      <c r="AF193" s="150"/>
      <c r="AG193" s="150"/>
      <c r="AH193" s="150"/>
      <c r="AI193" s="150"/>
      <c r="AJ193" s="150"/>
      <c r="AK193" s="150"/>
      <c r="AL193" s="150"/>
      <c r="AM193" s="150"/>
    </row>
    <row r="194" spans="1:39" ht="9" customHeight="1" x14ac:dyDescent="0.25">
      <c r="A194" s="150"/>
      <c r="B194" s="150"/>
      <c r="C194" s="150"/>
      <c r="M194" s="177"/>
      <c r="P194" s="177"/>
      <c r="Q194" s="177"/>
      <c r="R194" s="177"/>
      <c r="S194" s="177"/>
      <c r="T194" s="177"/>
      <c r="U194" s="177"/>
      <c r="V194" s="177"/>
      <c r="W194" s="177"/>
      <c r="X194" s="177"/>
      <c r="Y194" s="187"/>
      <c r="Z194" s="187"/>
      <c r="AA194" s="177"/>
      <c r="AB194" s="177"/>
      <c r="AC194" s="177"/>
      <c r="AD194" s="177"/>
      <c r="AE194" s="177"/>
      <c r="AF194" s="177"/>
      <c r="AG194" s="177"/>
      <c r="AH194" s="177"/>
      <c r="AI194" s="177"/>
      <c r="AJ194" s="177"/>
      <c r="AK194" s="177"/>
      <c r="AL194" s="177"/>
      <c r="AM194" s="177"/>
    </row>
    <row r="195" spans="1:39" ht="9" customHeight="1" x14ac:dyDescent="0.25">
      <c r="A195" s="150"/>
      <c r="B195" s="150"/>
      <c r="C195" s="150"/>
      <c r="M195" s="177"/>
      <c r="P195" s="177"/>
      <c r="Q195" s="177"/>
      <c r="R195" s="177"/>
      <c r="S195" s="177"/>
      <c r="T195" s="177"/>
      <c r="U195" s="177"/>
      <c r="V195" s="177"/>
      <c r="W195" s="177"/>
      <c r="X195" s="177"/>
      <c r="Y195" s="187"/>
      <c r="Z195" s="187"/>
      <c r="AA195" s="177"/>
      <c r="AB195" s="177"/>
      <c r="AC195" s="177"/>
      <c r="AD195" s="177"/>
      <c r="AE195" s="177"/>
      <c r="AF195" s="177"/>
      <c r="AG195" s="177"/>
      <c r="AH195" s="177"/>
      <c r="AI195" s="177"/>
      <c r="AJ195" s="177"/>
      <c r="AK195" s="177"/>
      <c r="AL195" s="177"/>
      <c r="AM195" s="177"/>
    </row>
    <row r="196" spans="1:39" ht="9" customHeight="1" x14ac:dyDescent="0.25">
      <c r="A196" s="150"/>
      <c r="B196" s="150"/>
      <c r="C196" s="150"/>
      <c r="M196" s="150"/>
      <c r="P196" s="150"/>
      <c r="Q196" s="163"/>
      <c r="R196" s="150"/>
      <c r="S196" s="150"/>
      <c r="T196" s="150"/>
      <c r="U196" s="150"/>
      <c r="V196" s="150"/>
      <c r="W196" s="150"/>
      <c r="X196" s="150"/>
      <c r="Y196" s="187"/>
      <c r="Z196" s="187"/>
      <c r="AA196" s="150"/>
      <c r="AB196" s="163"/>
      <c r="AC196" s="150"/>
      <c r="AD196" s="150"/>
      <c r="AE196" s="150"/>
      <c r="AF196" s="150"/>
      <c r="AG196" s="150"/>
      <c r="AH196" s="150"/>
      <c r="AI196" s="150"/>
      <c r="AJ196" s="150"/>
      <c r="AK196" s="150"/>
      <c r="AL196" s="150"/>
      <c r="AM196" s="150"/>
    </row>
    <row r="197" spans="1:39" ht="9" customHeight="1" x14ac:dyDescent="0.25">
      <c r="A197" s="150"/>
      <c r="B197" s="150"/>
      <c r="C197" s="150"/>
      <c r="M197" s="177"/>
      <c r="P197" s="177"/>
      <c r="Q197" s="177"/>
      <c r="R197" s="177"/>
      <c r="S197" s="177"/>
      <c r="T197" s="177"/>
      <c r="U197" s="177"/>
      <c r="V197" s="177"/>
      <c r="W197" s="177"/>
      <c r="X197" s="177"/>
      <c r="Y197" s="187"/>
      <c r="Z197" s="187"/>
      <c r="AA197" s="177"/>
      <c r="AB197" s="177"/>
      <c r="AC197" s="177"/>
      <c r="AD197" s="177"/>
      <c r="AE197" s="177"/>
      <c r="AF197" s="177"/>
      <c r="AG197" s="177"/>
      <c r="AH197" s="177"/>
      <c r="AI197" s="177"/>
      <c r="AJ197" s="177"/>
      <c r="AK197" s="177"/>
      <c r="AL197" s="177"/>
      <c r="AM197" s="177"/>
    </row>
    <row r="198" spans="1:39" ht="9" customHeight="1" x14ac:dyDescent="0.25">
      <c r="A198" s="150"/>
      <c r="B198" s="150"/>
      <c r="C198" s="150"/>
      <c r="M198" s="177"/>
      <c r="P198" s="177"/>
      <c r="Q198" s="177"/>
      <c r="R198" s="177"/>
      <c r="S198" s="177"/>
      <c r="T198" s="177"/>
      <c r="U198" s="177"/>
      <c r="V198" s="177"/>
      <c r="W198" s="177"/>
      <c r="X198" s="177"/>
      <c r="Y198" s="187"/>
      <c r="Z198" s="187"/>
      <c r="AA198" s="177"/>
      <c r="AB198" s="177"/>
      <c r="AC198" s="177"/>
      <c r="AD198" s="177"/>
      <c r="AE198" s="177"/>
      <c r="AF198" s="177"/>
      <c r="AG198" s="177"/>
      <c r="AH198" s="177"/>
      <c r="AI198" s="177"/>
      <c r="AJ198" s="177"/>
      <c r="AK198" s="177"/>
      <c r="AL198" s="177"/>
      <c r="AM198" s="177"/>
    </row>
    <row r="199" spans="1:39" ht="9" customHeight="1" x14ac:dyDescent="0.25">
      <c r="A199" s="150"/>
      <c r="B199" s="150"/>
      <c r="C199" s="150"/>
      <c r="M199" s="150"/>
      <c r="P199" s="150"/>
      <c r="Q199" s="163"/>
      <c r="R199" s="150"/>
      <c r="S199" s="150"/>
      <c r="T199" s="150"/>
      <c r="U199" s="150"/>
      <c r="V199" s="150"/>
      <c r="W199" s="150"/>
      <c r="X199" s="150"/>
      <c r="Y199" s="187"/>
      <c r="Z199" s="187"/>
      <c r="AA199" s="150"/>
      <c r="AB199" s="163"/>
      <c r="AC199" s="150"/>
      <c r="AD199" s="150"/>
      <c r="AE199" s="150"/>
      <c r="AF199" s="150"/>
      <c r="AG199" s="150"/>
      <c r="AH199" s="150"/>
      <c r="AI199" s="150"/>
      <c r="AJ199" s="150"/>
      <c r="AK199" s="150"/>
      <c r="AL199" s="150"/>
      <c r="AM199" s="150"/>
    </row>
    <row r="200" spans="1:39" ht="9" customHeight="1" x14ac:dyDescent="0.25">
      <c r="A200" s="150"/>
      <c r="B200" s="150"/>
      <c r="C200" s="150"/>
      <c r="M200" s="177"/>
      <c r="P200" s="177"/>
      <c r="Q200" s="177"/>
      <c r="R200" s="177"/>
      <c r="S200" s="177"/>
      <c r="T200" s="177"/>
      <c r="U200" s="177"/>
      <c r="V200" s="177"/>
      <c r="W200" s="177"/>
      <c r="X200" s="177"/>
      <c r="Y200" s="187"/>
      <c r="Z200" s="187"/>
      <c r="AA200" s="177"/>
      <c r="AB200" s="177"/>
      <c r="AC200" s="177"/>
      <c r="AD200" s="177"/>
      <c r="AE200" s="177"/>
      <c r="AF200" s="177"/>
      <c r="AG200" s="177"/>
      <c r="AH200" s="177"/>
      <c r="AI200" s="177"/>
      <c r="AJ200" s="177"/>
      <c r="AK200" s="177"/>
      <c r="AL200" s="177"/>
      <c r="AM200" s="177"/>
    </row>
    <row r="201" spans="1:39" ht="9" customHeight="1" x14ac:dyDescent="0.25">
      <c r="A201" s="150"/>
      <c r="B201" s="150"/>
      <c r="C201" s="150"/>
      <c r="M201" s="177"/>
      <c r="P201" s="177"/>
      <c r="Q201" s="177"/>
      <c r="R201" s="177"/>
      <c r="S201" s="177"/>
      <c r="T201" s="177"/>
      <c r="U201" s="177"/>
      <c r="V201" s="177"/>
      <c r="W201" s="177"/>
      <c r="X201" s="177"/>
      <c r="Y201" s="187"/>
      <c r="Z201" s="187"/>
      <c r="AA201" s="177"/>
      <c r="AB201" s="177"/>
      <c r="AC201" s="177"/>
      <c r="AD201" s="177"/>
      <c r="AE201" s="177"/>
      <c r="AF201" s="177"/>
      <c r="AG201" s="177"/>
      <c r="AH201" s="177"/>
      <c r="AI201" s="177"/>
      <c r="AJ201" s="177"/>
      <c r="AK201" s="177"/>
      <c r="AL201" s="177"/>
      <c r="AM201" s="177"/>
    </row>
    <row r="202" spans="1:39" ht="9" customHeight="1" x14ac:dyDescent="0.25">
      <c r="A202" s="150"/>
      <c r="B202" s="150"/>
      <c r="C202" s="150"/>
      <c r="M202" s="150"/>
      <c r="P202" s="150"/>
      <c r="Q202" s="150"/>
      <c r="R202" s="150"/>
      <c r="S202" s="150"/>
      <c r="T202" s="150"/>
      <c r="U202" s="150"/>
      <c r="V202" s="150"/>
      <c r="W202" s="150"/>
      <c r="X202" s="150"/>
      <c r="Y202" s="187"/>
      <c r="Z202" s="187"/>
      <c r="AA202" s="150"/>
      <c r="AB202" s="163"/>
      <c r="AC202" s="150"/>
      <c r="AD202" s="150"/>
      <c r="AE202" s="150"/>
      <c r="AF202" s="150"/>
      <c r="AG202" s="150"/>
      <c r="AH202" s="150"/>
      <c r="AI202" s="150"/>
      <c r="AJ202" s="150"/>
      <c r="AK202" s="150"/>
      <c r="AL202" s="150"/>
      <c r="AM202" s="150"/>
    </row>
    <row r="203" spans="1:39" ht="9" customHeight="1" x14ac:dyDescent="0.25">
      <c r="A203" s="150"/>
      <c r="B203" s="150"/>
      <c r="C203" s="150"/>
      <c r="M203" s="177"/>
      <c r="P203" s="177"/>
      <c r="Q203" s="177"/>
      <c r="R203" s="177"/>
      <c r="S203" s="177"/>
      <c r="T203" s="177"/>
      <c r="U203" s="177"/>
      <c r="V203" s="177"/>
      <c r="W203" s="177"/>
      <c r="X203" s="177"/>
      <c r="Y203" s="187"/>
      <c r="Z203" s="187"/>
      <c r="AA203" s="177"/>
      <c r="AB203" s="177"/>
      <c r="AC203" s="177"/>
      <c r="AD203" s="177"/>
      <c r="AE203" s="177"/>
      <c r="AF203" s="177"/>
      <c r="AG203" s="177"/>
      <c r="AH203" s="177"/>
      <c r="AI203" s="177"/>
      <c r="AJ203" s="177"/>
      <c r="AK203" s="177"/>
      <c r="AL203" s="177"/>
      <c r="AM203" s="177"/>
    </row>
    <row r="204" spans="1:39" ht="9" customHeight="1" x14ac:dyDescent="0.25">
      <c r="A204" s="150"/>
      <c r="B204" s="150"/>
      <c r="C204" s="150"/>
      <c r="M204" s="177"/>
      <c r="P204" s="177"/>
      <c r="Q204" s="177"/>
      <c r="R204" s="177"/>
      <c r="S204" s="177"/>
      <c r="T204" s="177"/>
      <c r="U204" s="177"/>
      <c r="V204" s="177"/>
      <c r="W204" s="177"/>
      <c r="X204" s="177"/>
      <c r="Y204" s="187"/>
      <c r="Z204" s="187"/>
      <c r="AA204" s="177"/>
      <c r="AB204" s="177"/>
      <c r="AC204" s="177"/>
      <c r="AD204" s="177"/>
      <c r="AE204" s="177"/>
      <c r="AF204" s="177"/>
      <c r="AG204" s="177"/>
      <c r="AH204" s="177"/>
      <c r="AI204" s="177"/>
      <c r="AJ204" s="177"/>
      <c r="AK204" s="177"/>
      <c r="AL204" s="177"/>
      <c r="AM204" s="177"/>
    </row>
    <row r="205" spans="1:39" ht="9" customHeight="1" x14ac:dyDescent="0.25">
      <c r="A205" s="150"/>
      <c r="B205" s="150"/>
      <c r="C205" s="150"/>
      <c r="M205" s="150"/>
      <c r="P205" s="150"/>
      <c r="Q205" s="150"/>
      <c r="R205" s="150"/>
      <c r="S205" s="150"/>
      <c r="T205" s="150"/>
      <c r="U205" s="150"/>
      <c r="V205" s="150"/>
      <c r="W205" s="150"/>
      <c r="X205" s="150"/>
      <c r="Y205" s="187"/>
      <c r="Z205" s="187"/>
      <c r="AA205" s="150"/>
      <c r="AB205" s="163"/>
      <c r="AC205" s="150"/>
      <c r="AD205" s="150"/>
      <c r="AE205" s="150"/>
      <c r="AF205" s="150"/>
      <c r="AG205" s="150"/>
      <c r="AH205" s="150"/>
      <c r="AI205" s="150"/>
      <c r="AJ205" s="150"/>
      <c r="AK205" s="150"/>
      <c r="AL205" s="150"/>
      <c r="AM205" s="150"/>
    </row>
    <row r="206" spans="1:39" ht="9" customHeight="1" x14ac:dyDescent="0.25">
      <c r="A206" s="150"/>
      <c r="B206" s="150"/>
      <c r="C206" s="150"/>
      <c r="M206" s="177"/>
      <c r="P206" s="177"/>
      <c r="Q206" s="177"/>
      <c r="R206" s="177"/>
      <c r="S206" s="177"/>
      <c r="T206" s="177"/>
      <c r="U206" s="177"/>
      <c r="V206" s="177"/>
      <c r="W206" s="177"/>
      <c r="X206" s="177"/>
      <c r="Y206" s="187"/>
      <c r="Z206" s="187"/>
      <c r="AA206" s="177"/>
      <c r="AB206" s="177"/>
      <c r="AC206" s="177"/>
      <c r="AD206" s="177"/>
      <c r="AE206" s="177"/>
      <c r="AF206" s="177"/>
      <c r="AG206" s="177"/>
      <c r="AH206" s="177"/>
      <c r="AI206" s="177"/>
      <c r="AJ206" s="177"/>
      <c r="AK206" s="177"/>
      <c r="AL206" s="177"/>
      <c r="AM206" s="177"/>
    </row>
    <row r="207" spans="1:39" ht="9" customHeight="1" x14ac:dyDescent="0.25">
      <c r="A207" s="150"/>
      <c r="B207" s="150"/>
      <c r="C207" s="150"/>
      <c r="M207" s="177"/>
      <c r="P207" s="177"/>
      <c r="Q207" s="177"/>
      <c r="R207" s="177"/>
      <c r="S207" s="177"/>
      <c r="T207" s="177"/>
      <c r="U207" s="177"/>
      <c r="V207" s="177"/>
      <c r="W207" s="177"/>
      <c r="X207" s="177"/>
      <c r="Y207" s="187"/>
      <c r="Z207" s="187"/>
      <c r="AA207" s="177"/>
      <c r="AB207" s="177"/>
      <c r="AC207" s="177"/>
      <c r="AD207" s="177"/>
      <c r="AE207" s="177"/>
      <c r="AF207" s="177"/>
      <c r="AG207" s="177"/>
      <c r="AH207" s="177"/>
      <c r="AI207" s="177"/>
      <c r="AJ207" s="177"/>
      <c r="AK207" s="177"/>
      <c r="AL207" s="177"/>
      <c r="AM207" s="177"/>
    </row>
    <row r="208" spans="1:39" ht="9" customHeight="1" x14ac:dyDescent="0.25">
      <c r="A208" s="150"/>
      <c r="B208" s="150"/>
      <c r="C208" s="150"/>
      <c r="M208" s="150"/>
      <c r="P208" s="150"/>
      <c r="Q208" s="150"/>
      <c r="R208" s="150"/>
      <c r="S208" s="150"/>
      <c r="T208" s="150"/>
      <c r="U208" s="150"/>
      <c r="V208" s="150"/>
      <c r="W208" s="150"/>
      <c r="X208" s="150"/>
      <c r="Y208" s="187"/>
      <c r="Z208" s="187"/>
      <c r="AA208" s="150"/>
      <c r="AB208" s="163"/>
      <c r="AC208" s="150"/>
      <c r="AD208" s="150"/>
      <c r="AE208" s="150"/>
      <c r="AF208" s="150"/>
      <c r="AG208" s="150"/>
      <c r="AH208" s="150"/>
      <c r="AI208" s="150"/>
      <c r="AJ208" s="150"/>
      <c r="AK208" s="150"/>
      <c r="AL208" s="150"/>
      <c r="AM208" s="150"/>
    </row>
    <row r="209" spans="1:39" ht="9" customHeight="1" x14ac:dyDescent="0.25">
      <c r="A209" s="150"/>
      <c r="B209" s="150"/>
      <c r="C209" s="150"/>
      <c r="M209" s="177"/>
      <c r="P209" s="177"/>
      <c r="Q209" s="177"/>
      <c r="R209" s="177"/>
      <c r="S209" s="177"/>
      <c r="T209" s="177"/>
      <c r="U209" s="177"/>
      <c r="V209" s="177"/>
      <c r="W209" s="177"/>
      <c r="X209" s="177"/>
      <c r="Y209" s="187"/>
      <c r="Z209" s="187"/>
      <c r="AA209" s="177"/>
      <c r="AB209" s="177"/>
      <c r="AC209" s="177"/>
      <c r="AD209" s="177"/>
      <c r="AE209" s="177"/>
      <c r="AF209" s="177"/>
      <c r="AG209" s="177"/>
      <c r="AH209" s="177"/>
      <c r="AI209" s="177"/>
      <c r="AJ209" s="177"/>
      <c r="AK209" s="177"/>
      <c r="AL209" s="177"/>
      <c r="AM209" s="177"/>
    </row>
    <row r="210" spans="1:39" ht="9" customHeight="1" x14ac:dyDescent="0.25">
      <c r="A210" s="150"/>
      <c r="B210" s="150"/>
      <c r="C210" s="150"/>
      <c r="M210" s="177"/>
      <c r="P210" s="177"/>
      <c r="Q210" s="177"/>
      <c r="R210" s="177"/>
      <c r="S210" s="177"/>
      <c r="T210" s="177"/>
      <c r="U210" s="177"/>
      <c r="V210" s="177"/>
      <c r="W210" s="177"/>
      <c r="X210" s="177"/>
      <c r="Y210" s="187"/>
      <c r="Z210" s="187"/>
      <c r="AA210" s="177"/>
      <c r="AB210" s="177"/>
      <c r="AC210" s="177"/>
      <c r="AD210" s="177"/>
      <c r="AE210" s="177"/>
      <c r="AF210" s="177"/>
      <c r="AG210" s="177"/>
      <c r="AH210" s="177"/>
      <c r="AI210" s="177"/>
      <c r="AJ210" s="177"/>
      <c r="AK210" s="177"/>
      <c r="AL210" s="177"/>
      <c r="AM210" s="177"/>
    </row>
    <row r="211" spans="1:39" ht="9" customHeight="1" x14ac:dyDescent="0.25">
      <c r="A211" s="150"/>
      <c r="B211" s="150"/>
      <c r="C211" s="150"/>
      <c r="M211" s="150"/>
      <c r="P211" s="150"/>
      <c r="Q211" s="150"/>
      <c r="R211" s="150"/>
      <c r="S211" s="150"/>
      <c r="T211" s="150"/>
      <c r="U211" s="150"/>
      <c r="V211" s="150"/>
      <c r="W211" s="150"/>
      <c r="X211" s="150"/>
      <c r="Y211" s="187"/>
      <c r="Z211" s="187"/>
      <c r="AA211" s="150"/>
      <c r="AB211" s="163"/>
      <c r="AC211" s="150"/>
      <c r="AD211" s="150"/>
      <c r="AE211" s="150"/>
      <c r="AF211" s="150"/>
      <c r="AG211" s="150"/>
      <c r="AH211" s="150"/>
      <c r="AI211" s="150"/>
      <c r="AJ211" s="150"/>
      <c r="AK211" s="150"/>
      <c r="AL211" s="150"/>
      <c r="AM211" s="150"/>
    </row>
    <row r="212" spans="1:39" ht="9" customHeight="1" x14ac:dyDescent="0.25">
      <c r="A212" s="150"/>
      <c r="B212" s="150"/>
      <c r="C212" s="150"/>
      <c r="M212" s="177"/>
      <c r="P212" s="177"/>
      <c r="Q212" s="177"/>
      <c r="R212" s="177"/>
      <c r="S212" s="177"/>
      <c r="T212" s="177"/>
      <c r="U212" s="177"/>
      <c r="V212" s="177"/>
      <c r="W212" s="177"/>
      <c r="X212" s="177"/>
      <c r="Y212" s="187"/>
      <c r="Z212" s="187"/>
      <c r="AA212" s="177"/>
      <c r="AB212" s="177"/>
      <c r="AC212" s="177"/>
      <c r="AD212" s="177"/>
      <c r="AE212" s="177"/>
      <c r="AF212" s="177"/>
      <c r="AG212" s="177"/>
      <c r="AH212" s="177"/>
      <c r="AI212" s="177"/>
      <c r="AJ212" s="177"/>
      <c r="AK212" s="177"/>
      <c r="AL212" s="177"/>
      <c r="AM212" s="177"/>
    </row>
    <row r="213" spans="1:39" ht="9" customHeight="1" x14ac:dyDescent="0.25">
      <c r="A213" s="150"/>
      <c r="B213" s="150"/>
      <c r="C213" s="150"/>
      <c r="M213" s="177"/>
      <c r="P213" s="177"/>
      <c r="Q213" s="177"/>
      <c r="R213" s="177"/>
      <c r="S213" s="177"/>
      <c r="T213" s="177"/>
      <c r="U213" s="177"/>
      <c r="V213" s="177"/>
      <c r="W213" s="177"/>
      <c r="X213" s="177"/>
      <c r="Y213" s="187"/>
      <c r="Z213" s="187"/>
      <c r="AA213" s="177"/>
      <c r="AB213" s="177"/>
      <c r="AC213" s="177"/>
      <c r="AD213" s="177"/>
      <c r="AE213" s="177"/>
      <c r="AF213" s="177"/>
      <c r="AG213" s="177"/>
      <c r="AH213" s="177"/>
      <c r="AI213" s="177"/>
      <c r="AJ213" s="177"/>
      <c r="AK213" s="177"/>
      <c r="AL213" s="177"/>
      <c r="AM213" s="177"/>
    </row>
    <row r="214" spans="1:39" ht="9" customHeight="1" x14ac:dyDescent="0.25">
      <c r="A214" s="150"/>
      <c r="B214" s="150"/>
      <c r="C214" s="150"/>
      <c r="M214" s="150"/>
      <c r="P214" s="150"/>
      <c r="Q214" s="150"/>
      <c r="R214" s="150"/>
      <c r="S214" s="150"/>
      <c r="T214" s="150"/>
      <c r="U214" s="150"/>
      <c r="V214" s="150"/>
      <c r="W214" s="150"/>
      <c r="X214" s="150"/>
      <c r="Y214" s="187"/>
      <c r="Z214" s="187"/>
      <c r="AA214" s="150"/>
      <c r="AB214" s="163"/>
      <c r="AC214" s="150"/>
      <c r="AD214" s="150"/>
      <c r="AE214" s="150"/>
      <c r="AF214" s="150"/>
      <c r="AG214" s="150"/>
      <c r="AH214" s="150"/>
      <c r="AI214" s="150"/>
      <c r="AJ214" s="150"/>
      <c r="AK214" s="150"/>
      <c r="AL214" s="150"/>
      <c r="AM214" s="150"/>
    </row>
    <row r="215" spans="1:39" ht="9" customHeight="1" x14ac:dyDescent="0.25">
      <c r="A215" s="150"/>
      <c r="B215" s="150"/>
      <c r="C215" s="150"/>
      <c r="M215" s="177"/>
      <c r="P215" s="177"/>
      <c r="Q215" s="177"/>
      <c r="R215" s="177"/>
      <c r="S215" s="177"/>
      <c r="T215" s="177"/>
      <c r="U215" s="177"/>
      <c r="V215" s="177"/>
      <c r="W215" s="177"/>
      <c r="X215" s="177"/>
      <c r="Y215" s="187"/>
      <c r="Z215" s="187"/>
      <c r="AA215" s="177"/>
      <c r="AB215" s="177"/>
      <c r="AC215" s="177"/>
      <c r="AD215" s="177"/>
      <c r="AE215" s="177"/>
      <c r="AF215" s="177"/>
      <c r="AG215" s="177"/>
      <c r="AH215" s="177"/>
      <c r="AI215" s="177"/>
      <c r="AJ215" s="177"/>
      <c r="AK215" s="177"/>
      <c r="AL215" s="177"/>
      <c r="AM215" s="177"/>
    </row>
    <row r="216" spans="1:39" ht="9" customHeight="1" x14ac:dyDescent="0.25">
      <c r="A216" s="150"/>
      <c r="B216" s="150"/>
      <c r="C216" s="150"/>
      <c r="M216" s="177"/>
      <c r="P216" s="177"/>
      <c r="Q216" s="177"/>
      <c r="R216" s="177"/>
      <c r="S216" s="177"/>
      <c r="T216" s="177"/>
      <c r="U216" s="177"/>
      <c r="V216" s="177"/>
      <c r="W216" s="177"/>
      <c r="X216" s="177"/>
      <c r="Y216" s="187"/>
      <c r="Z216" s="187"/>
      <c r="AA216" s="177"/>
      <c r="AB216" s="177"/>
      <c r="AC216" s="177"/>
      <c r="AD216" s="177"/>
      <c r="AE216" s="177"/>
      <c r="AF216" s="177"/>
      <c r="AG216" s="177"/>
      <c r="AH216" s="177"/>
      <c r="AI216" s="177"/>
      <c r="AJ216" s="177"/>
      <c r="AK216" s="177"/>
      <c r="AL216" s="177"/>
      <c r="AM216" s="177"/>
    </row>
    <row r="217" spans="1:39" ht="9" customHeight="1" x14ac:dyDescent="0.25">
      <c r="A217" s="150"/>
      <c r="B217" s="150"/>
      <c r="C217" s="150"/>
      <c r="M217" s="150"/>
      <c r="P217" s="150"/>
      <c r="Q217" s="150"/>
      <c r="R217" s="150"/>
      <c r="S217" s="150"/>
      <c r="T217" s="150"/>
      <c r="U217" s="150"/>
      <c r="V217" s="150"/>
      <c r="W217" s="150"/>
      <c r="X217" s="150"/>
      <c r="Y217" s="187"/>
      <c r="Z217" s="187"/>
      <c r="AA217" s="150"/>
      <c r="AB217" s="163"/>
      <c r="AC217" s="150"/>
      <c r="AD217" s="150"/>
      <c r="AE217" s="150"/>
      <c r="AF217" s="150"/>
      <c r="AG217" s="150"/>
      <c r="AH217" s="150"/>
      <c r="AI217" s="150"/>
      <c r="AJ217" s="150"/>
      <c r="AK217" s="150"/>
      <c r="AL217" s="150"/>
      <c r="AM217" s="150"/>
    </row>
    <row r="218" spans="1:39" ht="9" customHeight="1" x14ac:dyDescent="0.25">
      <c r="A218" s="150"/>
      <c r="B218" s="150"/>
      <c r="C218" s="150"/>
      <c r="M218" s="177"/>
      <c r="P218" s="177"/>
      <c r="Q218" s="177"/>
      <c r="R218" s="177"/>
      <c r="S218" s="177"/>
      <c r="T218" s="177"/>
      <c r="U218" s="177"/>
      <c r="V218" s="177"/>
      <c r="W218" s="177"/>
      <c r="X218" s="177"/>
      <c r="Y218" s="187"/>
      <c r="Z218" s="187"/>
      <c r="AA218" s="177"/>
      <c r="AB218" s="177"/>
      <c r="AC218" s="177"/>
      <c r="AD218" s="177"/>
      <c r="AE218" s="177"/>
      <c r="AF218" s="177"/>
      <c r="AG218" s="177"/>
      <c r="AH218" s="177"/>
      <c r="AI218" s="177"/>
      <c r="AJ218" s="177"/>
      <c r="AK218" s="177"/>
      <c r="AL218" s="177"/>
      <c r="AM218" s="177"/>
    </row>
    <row r="219" spans="1:39" ht="9" customHeight="1" x14ac:dyDescent="0.25">
      <c r="A219" s="150"/>
      <c r="B219" s="150"/>
      <c r="C219" s="150"/>
      <c r="M219" s="177"/>
      <c r="P219" s="177"/>
      <c r="Q219" s="177"/>
      <c r="R219" s="177"/>
      <c r="S219" s="177"/>
      <c r="T219" s="177"/>
      <c r="U219" s="177"/>
      <c r="V219" s="177"/>
      <c r="W219" s="177"/>
      <c r="X219" s="177"/>
      <c r="Y219" s="187"/>
      <c r="Z219" s="187"/>
      <c r="AA219" s="177"/>
      <c r="AB219" s="177"/>
      <c r="AC219" s="177"/>
      <c r="AD219" s="177"/>
      <c r="AE219" s="177"/>
      <c r="AF219" s="177"/>
      <c r="AG219" s="177"/>
      <c r="AH219" s="177"/>
      <c r="AI219" s="177"/>
      <c r="AJ219" s="177"/>
      <c r="AK219" s="177"/>
      <c r="AL219" s="177"/>
      <c r="AM219" s="177"/>
    </row>
    <row r="220" spans="1:39" ht="9" customHeight="1" x14ac:dyDescent="0.25">
      <c r="A220" s="150"/>
      <c r="B220" s="150"/>
      <c r="C220" s="150"/>
      <c r="M220" s="150"/>
      <c r="P220" s="150"/>
      <c r="Q220" s="150"/>
      <c r="R220" s="150"/>
      <c r="S220" s="150"/>
      <c r="T220" s="150"/>
      <c r="U220" s="150"/>
      <c r="V220" s="150"/>
      <c r="W220" s="150"/>
      <c r="X220" s="150"/>
      <c r="Y220" s="187"/>
      <c r="Z220" s="187"/>
      <c r="AA220" s="150"/>
      <c r="AB220" s="163"/>
      <c r="AC220" s="150"/>
      <c r="AD220" s="150"/>
      <c r="AE220" s="150"/>
      <c r="AF220" s="150"/>
      <c r="AG220" s="150"/>
      <c r="AH220" s="150"/>
      <c r="AI220" s="150"/>
      <c r="AJ220" s="150"/>
      <c r="AK220" s="150"/>
      <c r="AL220" s="150"/>
      <c r="AM220" s="150"/>
    </row>
    <row r="221" spans="1:39" ht="9" customHeight="1" x14ac:dyDescent="0.25">
      <c r="A221" s="150"/>
      <c r="B221" s="150"/>
      <c r="C221" s="150"/>
      <c r="M221" s="177"/>
      <c r="P221" s="177"/>
      <c r="Q221" s="177"/>
      <c r="R221" s="177"/>
      <c r="S221" s="177"/>
      <c r="T221" s="177"/>
      <c r="U221" s="177"/>
      <c r="V221" s="177"/>
      <c r="W221" s="177"/>
      <c r="X221" s="177"/>
      <c r="Y221" s="187"/>
      <c r="Z221" s="187"/>
      <c r="AA221" s="177"/>
      <c r="AB221" s="177"/>
      <c r="AC221" s="177"/>
      <c r="AD221" s="177"/>
      <c r="AE221" s="177"/>
      <c r="AF221" s="177"/>
      <c r="AG221" s="177"/>
      <c r="AH221" s="177"/>
      <c r="AI221" s="177"/>
      <c r="AJ221" s="177"/>
      <c r="AK221" s="177"/>
      <c r="AL221" s="177"/>
      <c r="AM221" s="177"/>
    </row>
    <row r="222" spans="1:39" ht="9" customHeight="1" x14ac:dyDescent="0.25">
      <c r="A222" s="150"/>
      <c r="B222" s="150"/>
      <c r="C222" s="150"/>
      <c r="M222" s="177"/>
      <c r="P222" s="177"/>
      <c r="Q222" s="177"/>
      <c r="R222" s="177"/>
      <c r="S222" s="177"/>
      <c r="T222" s="177"/>
      <c r="U222" s="177"/>
      <c r="V222" s="177"/>
      <c r="W222" s="177"/>
      <c r="X222" s="177"/>
      <c r="Y222" s="187"/>
      <c r="Z222" s="187"/>
      <c r="AA222" s="177"/>
      <c r="AB222" s="177"/>
      <c r="AC222" s="177"/>
      <c r="AD222" s="177"/>
      <c r="AE222" s="177"/>
      <c r="AF222" s="177"/>
      <c r="AG222" s="177"/>
      <c r="AH222" s="177"/>
      <c r="AI222" s="177"/>
      <c r="AJ222" s="177"/>
      <c r="AK222" s="177"/>
      <c r="AL222" s="177"/>
      <c r="AM222" s="177"/>
    </row>
    <row r="223" spans="1:39" ht="9" customHeight="1" x14ac:dyDescent="0.25">
      <c r="A223" s="150"/>
      <c r="B223" s="150"/>
      <c r="C223" s="150"/>
      <c r="M223" s="151"/>
      <c r="P223" s="150"/>
      <c r="Q223" s="150"/>
      <c r="R223" s="150"/>
      <c r="S223" s="150"/>
      <c r="T223" s="150"/>
      <c r="U223" s="150"/>
      <c r="V223" s="150"/>
      <c r="W223" s="150"/>
      <c r="X223" s="150"/>
      <c r="Y223" s="187"/>
      <c r="Z223" s="187"/>
      <c r="AA223" s="150"/>
      <c r="AB223" s="150"/>
      <c r="AC223" s="150"/>
      <c r="AD223" s="150"/>
      <c r="AE223" s="150"/>
      <c r="AF223" s="150"/>
      <c r="AG223" s="150"/>
      <c r="AH223" s="150"/>
      <c r="AI223" s="150"/>
      <c r="AJ223" s="150"/>
      <c r="AK223" s="150"/>
      <c r="AL223" s="150"/>
      <c r="AM223" s="150"/>
    </row>
    <row r="224" spans="1:39" ht="9" customHeight="1" x14ac:dyDescent="0.25">
      <c r="A224" s="150"/>
      <c r="B224" s="150"/>
      <c r="C224" s="150"/>
      <c r="D224" s="150"/>
      <c r="E224" s="150"/>
      <c r="F224" s="150"/>
      <c r="G224" s="150"/>
      <c r="H224" s="150"/>
      <c r="I224" s="150"/>
      <c r="M224" s="151"/>
      <c r="P224" s="150"/>
      <c r="Q224" s="150"/>
      <c r="R224" s="150"/>
      <c r="S224" s="150"/>
      <c r="T224" s="150"/>
      <c r="U224" s="150"/>
      <c r="V224" s="150"/>
      <c r="W224" s="150"/>
      <c r="X224" s="150"/>
      <c r="Y224" s="187"/>
      <c r="Z224" s="187"/>
      <c r="AA224" s="150"/>
      <c r="AB224" s="150"/>
      <c r="AC224" s="150"/>
      <c r="AD224" s="150"/>
      <c r="AE224" s="150"/>
      <c r="AF224" s="150"/>
      <c r="AG224" s="150"/>
      <c r="AH224" s="150"/>
      <c r="AI224" s="150"/>
      <c r="AJ224" s="150"/>
      <c r="AK224" s="150"/>
      <c r="AL224" s="150"/>
      <c r="AM224" s="150"/>
    </row>
    <row r="225" spans="1:39" ht="9" customHeight="1" x14ac:dyDescent="0.25">
      <c r="A225" s="150"/>
      <c r="B225" s="150"/>
      <c r="C225" s="150"/>
      <c r="D225" s="150"/>
      <c r="E225" s="150"/>
      <c r="F225" s="150"/>
      <c r="G225" s="150"/>
      <c r="H225" s="150"/>
      <c r="I225" s="150"/>
      <c r="M225" s="151"/>
      <c r="P225" s="150"/>
      <c r="Q225" s="150"/>
      <c r="R225" s="150"/>
      <c r="S225" s="150"/>
      <c r="T225" s="150"/>
      <c r="U225" s="150"/>
      <c r="V225" s="150"/>
      <c r="W225" s="150"/>
      <c r="X225" s="150"/>
      <c r="Y225" s="187"/>
      <c r="Z225" s="187"/>
      <c r="AA225" s="150"/>
      <c r="AB225" s="150"/>
      <c r="AC225" s="150"/>
      <c r="AD225" s="150"/>
      <c r="AE225" s="150"/>
      <c r="AF225" s="150"/>
      <c r="AG225" s="150"/>
      <c r="AH225" s="150"/>
      <c r="AI225" s="150"/>
      <c r="AJ225" s="150"/>
      <c r="AK225" s="150"/>
      <c r="AL225" s="150"/>
      <c r="AM225" s="150"/>
    </row>
    <row r="226" spans="1:39" ht="9" customHeight="1" x14ac:dyDescent="0.25">
      <c r="A226" s="150"/>
      <c r="B226" s="150"/>
      <c r="C226" s="150"/>
      <c r="D226" s="150"/>
      <c r="E226" s="150"/>
      <c r="G226" s="150"/>
      <c r="H226" s="150"/>
      <c r="I226" s="150"/>
      <c r="M226" s="151"/>
      <c r="P226" s="150"/>
      <c r="Q226" s="150"/>
      <c r="R226" s="150"/>
      <c r="S226" s="150"/>
      <c r="T226" s="150"/>
      <c r="U226" s="150"/>
      <c r="V226" s="150"/>
      <c r="W226" s="150"/>
      <c r="X226" s="150"/>
      <c r="Y226" s="187"/>
      <c r="Z226" s="187"/>
      <c r="AA226" s="150"/>
      <c r="AB226" s="150"/>
      <c r="AC226" s="150"/>
      <c r="AD226" s="150"/>
      <c r="AE226" s="150"/>
      <c r="AF226" s="150"/>
      <c r="AG226" s="150"/>
      <c r="AH226" s="150"/>
      <c r="AI226" s="150"/>
      <c r="AJ226" s="150"/>
      <c r="AK226" s="150"/>
      <c r="AL226" s="150"/>
      <c r="AM226" s="150"/>
    </row>
    <row r="227" spans="1:39" ht="9" customHeight="1" x14ac:dyDescent="0.25">
      <c r="A227" s="150"/>
      <c r="B227" s="150"/>
      <c r="C227" s="150"/>
      <c r="D227" s="150"/>
      <c r="E227" s="150"/>
      <c r="G227" s="150"/>
      <c r="H227" s="150"/>
      <c r="I227" s="150"/>
      <c r="M227" s="151"/>
      <c r="P227" s="150"/>
      <c r="Q227" s="150"/>
      <c r="R227" s="150"/>
      <c r="S227" s="150"/>
      <c r="T227" s="150"/>
      <c r="U227" s="150"/>
      <c r="V227" s="150"/>
      <c r="W227" s="150"/>
      <c r="X227" s="150"/>
      <c r="Y227" s="187"/>
      <c r="Z227" s="187"/>
      <c r="AA227" s="150"/>
      <c r="AB227" s="150"/>
      <c r="AC227" s="150"/>
      <c r="AD227" s="150"/>
      <c r="AE227" s="150"/>
      <c r="AF227" s="150"/>
      <c r="AG227" s="150"/>
      <c r="AH227" s="150"/>
      <c r="AI227" s="150"/>
      <c r="AJ227" s="150"/>
      <c r="AK227" s="150"/>
      <c r="AL227" s="150"/>
      <c r="AM227" s="150"/>
    </row>
    <row r="228" spans="1:39" ht="9" customHeight="1" x14ac:dyDescent="0.25">
      <c r="A228" s="150"/>
      <c r="B228" s="150"/>
      <c r="C228" s="150"/>
      <c r="D228" s="150"/>
      <c r="E228" s="150"/>
      <c r="G228" s="150"/>
      <c r="H228" s="150"/>
      <c r="I228" s="150"/>
      <c r="M228" s="151"/>
      <c r="P228" s="150"/>
      <c r="Q228" s="150"/>
      <c r="R228" s="150"/>
      <c r="S228" s="150"/>
      <c r="T228" s="150"/>
      <c r="U228" s="150"/>
      <c r="V228" s="150"/>
      <c r="W228" s="150"/>
      <c r="X228" s="150"/>
      <c r="Y228" s="187"/>
      <c r="Z228" s="187"/>
      <c r="AA228" s="150"/>
      <c r="AB228" s="150"/>
      <c r="AC228" s="150"/>
      <c r="AD228" s="150"/>
      <c r="AE228" s="150"/>
      <c r="AF228" s="150"/>
      <c r="AG228" s="150"/>
      <c r="AH228" s="150"/>
      <c r="AI228" s="150"/>
      <c r="AJ228" s="150"/>
      <c r="AK228" s="150"/>
      <c r="AL228" s="150"/>
      <c r="AM228" s="150"/>
    </row>
    <row r="229" spans="1:39" ht="9" customHeight="1" x14ac:dyDescent="0.25">
      <c r="A229" s="150"/>
      <c r="B229" s="150"/>
      <c r="C229" s="150"/>
      <c r="D229" s="150"/>
      <c r="E229" s="150"/>
      <c r="G229" s="150"/>
      <c r="H229" s="150"/>
      <c r="I229" s="150"/>
      <c r="M229" s="151"/>
      <c r="P229" s="150"/>
      <c r="Q229" s="150"/>
      <c r="R229" s="150"/>
      <c r="S229" s="150"/>
      <c r="T229" s="150"/>
      <c r="U229" s="150"/>
      <c r="V229" s="150"/>
      <c r="W229" s="150"/>
      <c r="X229" s="150"/>
      <c r="Y229" s="187"/>
      <c r="Z229" s="187"/>
      <c r="AA229" s="150"/>
      <c r="AB229" s="150"/>
      <c r="AC229" s="150"/>
      <c r="AD229" s="150"/>
      <c r="AE229" s="150"/>
      <c r="AF229" s="150"/>
      <c r="AG229" s="150"/>
      <c r="AH229" s="150"/>
      <c r="AI229" s="150"/>
      <c r="AJ229" s="150"/>
      <c r="AK229" s="150"/>
      <c r="AL229" s="150"/>
      <c r="AM229" s="150"/>
    </row>
    <row r="230" spans="1:39" ht="9" customHeight="1" x14ac:dyDescent="0.25">
      <c r="A230" s="150"/>
      <c r="B230" s="150"/>
      <c r="C230" s="150"/>
      <c r="D230" s="150"/>
      <c r="E230" s="150"/>
      <c r="G230" s="150"/>
      <c r="H230" s="150"/>
      <c r="I230" s="150"/>
      <c r="M230" s="151"/>
      <c r="P230" s="150"/>
      <c r="Q230" s="150"/>
      <c r="R230" s="150"/>
      <c r="S230" s="150"/>
      <c r="T230" s="150"/>
      <c r="U230" s="150"/>
      <c r="V230" s="150"/>
      <c r="W230" s="150"/>
      <c r="X230" s="150"/>
      <c r="Y230" s="187"/>
      <c r="Z230" s="187"/>
      <c r="AA230" s="150"/>
      <c r="AB230" s="150"/>
      <c r="AC230" s="150"/>
      <c r="AD230" s="150"/>
      <c r="AE230" s="150"/>
      <c r="AF230" s="150"/>
      <c r="AG230" s="150"/>
      <c r="AH230" s="150"/>
      <c r="AI230" s="150"/>
      <c r="AJ230" s="150"/>
      <c r="AK230" s="150"/>
      <c r="AL230" s="150"/>
      <c r="AM230" s="150"/>
    </row>
    <row r="231" spans="1:39" ht="9" customHeight="1" x14ac:dyDescent="0.25">
      <c r="A231" s="150"/>
      <c r="B231" s="150"/>
      <c r="C231" s="150"/>
      <c r="D231" s="150"/>
      <c r="E231" s="150"/>
      <c r="G231" s="150"/>
      <c r="H231" s="150"/>
      <c r="I231" s="150"/>
      <c r="M231" s="151"/>
      <c r="P231" s="150"/>
      <c r="Q231" s="150"/>
      <c r="R231" s="150"/>
      <c r="S231" s="150"/>
      <c r="T231" s="150"/>
      <c r="U231" s="150"/>
      <c r="V231" s="150"/>
      <c r="W231" s="150"/>
      <c r="X231" s="150"/>
      <c r="Y231" s="187"/>
      <c r="Z231" s="187"/>
      <c r="AA231" s="150"/>
      <c r="AB231" s="150"/>
      <c r="AC231" s="150"/>
      <c r="AD231" s="150"/>
      <c r="AE231" s="150"/>
      <c r="AF231" s="150"/>
      <c r="AG231" s="150"/>
      <c r="AH231" s="150"/>
      <c r="AI231" s="150"/>
      <c r="AJ231" s="150"/>
      <c r="AK231" s="150"/>
      <c r="AL231" s="150"/>
      <c r="AM231" s="150"/>
    </row>
    <row r="232" spans="1:39" ht="9" customHeight="1" x14ac:dyDescent="0.25">
      <c r="A232" s="150"/>
      <c r="B232" s="150"/>
      <c r="C232" s="150"/>
      <c r="D232" s="150"/>
      <c r="E232" s="150"/>
      <c r="G232" s="150"/>
      <c r="H232" s="150"/>
      <c r="I232" s="150"/>
      <c r="M232" s="151"/>
    </row>
    <row r="233" spans="1:39" ht="9" customHeight="1" x14ac:dyDescent="0.25">
      <c r="A233" s="150"/>
      <c r="B233" s="150"/>
      <c r="C233" s="150"/>
      <c r="D233" s="150"/>
      <c r="E233" s="150"/>
      <c r="G233" s="150"/>
      <c r="H233" s="150"/>
      <c r="I233" s="150"/>
      <c r="M233" s="151"/>
    </row>
    <row r="234" spans="1:39" ht="9" customHeight="1" x14ac:dyDescent="0.25">
      <c r="A234" s="150"/>
      <c r="B234" s="150"/>
      <c r="C234" s="150"/>
      <c r="D234" s="150"/>
      <c r="E234" s="150"/>
      <c r="G234" s="150"/>
      <c r="H234" s="150"/>
      <c r="I234" s="150"/>
      <c r="M234" s="151"/>
    </row>
    <row r="235" spans="1:39" ht="9" customHeight="1" x14ac:dyDescent="0.25">
      <c r="A235" s="150"/>
      <c r="B235" s="150"/>
      <c r="C235" s="150"/>
      <c r="D235" s="150"/>
      <c r="E235" s="150"/>
      <c r="G235" s="150"/>
      <c r="H235" s="150"/>
      <c r="I235" s="150"/>
      <c r="M235" s="151"/>
    </row>
    <row r="236" spans="1:39" ht="9" customHeight="1" x14ac:dyDescent="0.25">
      <c r="A236" s="150"/>
      <c r="B236" s="150"/>
      <c r="C236" s="150"/>
      <c r="D236" s="150"/>
      <c r="E236" s="150"/>
      <c r="G236" s="150"/>
      <c r="H236" s="150"/>
      <c r="I236" s="150"/>
      <c r="M236" s="151"/>
    </row>
    <row r="237" spans="1:39" ht="9" customHeight="1" x14ac:dyDescent="0.25">
      <c r="A237" s="150"/>
      <c r="B237" s="150"/>
      <c r="C237" s="150"/>
      <c r="D237" s="150"/>
      <c r="E237" s="150"/>
      <c r="G237" s="150"/>
      <c r="H237" s="150"/>
      <c r="I237" s="150"/>
      <c r="M237" s="151"/>
    </row>
    <row r="238" spans="1:39" ht="9" customHeight="1" x14ac:dyDescent="0.25">
      <c r="A238" s="150"/>
      <c r="B238" s="150"/>
      <c r="C238" s="150"/>
      <c r="D238" s="150"/>
      <c r="E238" s="150"/>
      <c r="G238" s="150"/>
      <c r="H238" s="150"/>
      <c r="I238" s="150"/>
      <c r="M238" s="151"/>
    </row>
    <row r="239" spans="1:39" ht="9" customHeight="1" x14ac:dyDescent="0.25">
      <c r="A239" s="150"/>
      <c r="B239" s="150"/>
      <c r="C239" s="150"/>
      <c r="D239" s="150"/>
      <c r="E239" s="150"/>
      <c r="G239" s="150"/>
      <c r="H239" s="150"/>
      <c r="I239" s="150"/>
      <c r="M239" s="151"/>
    </row>
    <row r="240" spans="1:39" ht="9" customHeight="1" x14ac:dyDescent="0.25">
      <c r="A240" s="150"/>
      <c r="B240" s="150"/>
      <c r="C240" s="150"/>
      <c r="D240" s="150"/>
      <c r="E240" s="150"/>
      <c r="G240" s="150"/>
      <c r="H240" s="150"/>
      <c r="I240" s="150"/>
      <c r="M240" s="151"/>
    </row>
    <row r="241" spans="1:13" ht="9" customHeight="1" x14ac:dyDescent="0.25">
      <c r="A241" s="150"/>
      <c r="B241" s="150"/>
      <c r="C241" s="150"/>
      <c r="D241" s="150"/>
      <c r="E241" s="150"/>
      <c r="G241" s="150"/>
      <c r="H241" s="150"/>
      <c r="I241" s="150"/>
      <c r="M241" s="151"/>
    </row>
    <row r="242" spans="1:13" ht="9" customHeight="1" x14ac:dyDescent="0.25">
      <c r="A242" s="150"/>
      <c r="B242" s="150"/>
      <c r="C242" s="150"/>
      <c r="D242" s="150"/>
      <c r="E242" s="150"/>
      <c r="G242" s="150"/>
      <c r="H242" s="150"/>
      <c r="I242" s="150"/>
      <c r="M242" s="151"/>
    </row>
    <row r="243" spans="1:13" ht="9" customHeight="1" x14ac:dyDescent="0.25">
      <c r="A243" s="150"/>
      <c r="B243" s="150"/>
      <c r="C243" s="150"/>
      <c r="D243" s="150"/>
      <c r="E243" s="150"/>
      <c r="G243" s="150"/>
      <c r="H243" s="150"/>
      <c r="I243" s="150"/>
      <c r="M243" s="151"/>
    </row>
    <row r="244" spans="1:13" ht="9" customHeight="1" x14ac:dyDescent="0.25">
      <c r="A244" s="150"/>
      <c r="B244" s="150"/>
      <c r="C244" s="150"/>
      <c r="D244" s="150"/>
      <c r="E244" s="150"/>
      <c r="G244" s="150"/>
      <c r="H244" s="150"/>
      <c r="I244" s="150"/>
      <c r="M244" s="151"/>
    </row>
    <row r="245" spans="1:13" ht="9" customHeight="1" x14ac:dyDescent="0.25">
      <c r="A245" s="150"/>
      <c r="B245" s="150"/>
      <c r="C245" s="150"/>
      <c r="D245" s="150"/>
      <c r="E245" s="150"/>
      <c r="G245" s="150"/>
      <c r="H245" s="150"/>
      <c r="I245" s="150"/>
      <c r="M245" s="151"/>
    </row>
    <row r="246" spans="1:13" ht="9" customHeight="1" x14ac:dyDescent="0.25">
      <c r="A246" s="150"/>
      <c r="B246" s="150"/>
      <c r="C246" s="150"/>
      <c r="D246" s="150"/>
      <c r="E246" s="150"/>
      <c r="G246" s="150"/>
      <c r="H246" s="150"/>
      <c r="I246" s="150"/>
      <c r="M246" s="151"/>
    </row>
    <row r="247" spans="1:13" ht="9" customHeight="1" x14ac:dyDescent="0.25">
      <c r="A247" s="150"/>
      <c r="B247" s="150"/>
      <c r="C247" s="150"/>
      <c r="D247" s="150"/>
      <c r="E247" s="150"/>
      <c r="G247" s="150"/>
      <c r="H247" s="150"/>
      <c r="I247" s="150"/>
      <c r="M247" s="151"/>
    </row>
    <row r="248" spans="1:13" ht="9" customHeight="1" x14ac:dyDescent="0.25">
      <c r="A248" s="150"/>
      <c r="B248" s="150"/>
      <c r="C248" s="150"/>
      <c r="D248" s="150"/>
      <c r="E248" s="150"/>
      <c r="G248" s="150"/>
      <c r="H248" s="150"/>
      <c r="I248" s="150"/>
      <c r="M248" s="151"/>
    </row>
    <row r="249" spans="1:13" ht="9" customHeight="1" x14ac:dyDescent="0.25">
      <c r="A249" s="150"/>
      <c r="B249" s="150"/>
      <c r="C249" s="150"/>
      <c r="D249" s="150"/>
      <c r="E249" s="150"/>
      <c r="G249" s="150"/>
      <c r="H249" s="150"/>
      <c r="I249" s="150"/>
      <c r="M249" s="151"/>
    </row>
    <row r="250" spans="1:13" ht="9" customHeight="1" x14ac:dyDescent="0.25">
      <c r="A250" s="150"/>
      <c r="B250" s="150"/>
      <c r="C250" s="150"/>
      <c r="D250" s="150"/>
      <c r="E250" s="150"/>
      <c r="G250" s="150"/>
      <c r="H250" s="150"/>
      <c r="I250" s="150"/>
      <c r="M250" s="151"/>
    </row>
    <row r="251" spans="1:13" ht="9" customHeight="1" x14ac:dyDescent="0.25">
      <c r="A251" s="150"/>
      <c r="B251" s="150"/>
      <c r="C251" s="150"/>
      <c r="D251" s="150"/>
      <c r="E251" s="150"/>
      <c r="G251" s="150"/>
      <c r="H251" s="150"/>
      <c r="I251" s="150"/>
      <c r="M251" s="151"/>
    </row>
    <row r="252" spans="1:13" ht="9" customHeight="1" x14ac:dyDescent="0.25">
      <c r="A252" s="150"/>
      <c r="B252" s="150"/>
      <c r="C252" s="150"/>
      <c r="D252" s="150"/>
      <c r="E252" s="150"/>
      <c r="G252" s="150"/>
      <c r="H252" s="150"/>
      <c r="I252" s="150"/>
      <c r="M252" s="151"/>
    </row>
    <row r="253" spans="1:13" ht="9" customHeight="1" x14ac:dyDescent="0.25">
      <c r="A253" s="150"/>
      <c r="B253" s="150"/>
      <c r="C253" s="150"/>
      <c r="D253" s="150"/>
      <c r="E253" s="150"/>
      <c r="G253" s="150"/>
      <c r="H253" s="150"/>
      <c r="I253" s="150"/>
      <c r="M253" s="151"/>
    </row>
    <row r="254" spans="1:13" ht="9" customHeight="1" x14ac:dyDescent="0.25">
      <c r="A254" s="150"/>
      <c r="B254" s="150"/>
      <c r="C254" s="150"/>
      <c r="D254" s="150"/>
      <c r="E254" s="150"/>
      <c r="G254" s="150"/>
      <c r="H254" s="150"/>
      <c r="I254" s="150"/>
      <c r="M254" s="151"/>
    </row>
    <row r="255" spans="1:13" ht="9" customHeight="1" x14ac:dyDescent="0.25">
      <c r="A255" s="150"/>
      <c r="B255" s="150"/>
      <c r="C255" s="150"/>
      <c r="D255" s="150"/>
      <c r="E255" s="150"/>
      <c r="G255" s="150"/>
      <c r="H255" s="150"/>
      <c r="I255" s="150"/>
      <c r="M255" s="151"/>
    </row>
    <row r="256" spans="1:13" ht="9" customHeight="1" x14ac:dyDescent="0.25">
      <c r="A256" s="150"/>
      <c r="B256" s="150"/>
      <c r="C256" s="150"/>
      <c r="D256" s="150"/>
      <c r="E256" s="150"/>
      <c r="G256" s="150"/>
      <c r="H256" s="150"/>
      <c r="I256" s="150"/>
      <c r="M256" s="151"/>
    </row>
    <row r="257" spans="1:13" ht="9" customHeight="1" x14ac:dyDescent="0.25">
      <c r="A257" s="150"/>
      <c r="B257" s="150"/>
      <c r="C257" s="150"/>
      <c r="D257" s="150"/>
      <c r="E257" s="150"/>
      <c r="G257" s="150"/>
      <c r="H257" s="150"/>
      <c r="I257" s="150"/>
      <c r="M257" s="151"/>
    </row>
    <row r="258" spans="1:13" ht="9" customHeight="1" x14ac:dyDescent="0.25">
      <c r="A258" s="150"/>
      <c r="B258" s="150"/>
      <c r="C258" s="150"/>
      <c r="D258" s="150"/>
      <c r="E258" s="150"/>
      <c r="G258" s="150"/>
      <c r="H258" s="150"/>
      <c r="I258" s="150"/>
      <c r="M258" s="151"/>
    </row>
    <row r="259" spans="1:13" ht="9" customHeight="1" x14ac:dyDescent="0.25">
      <c r="A259" s="150"/>
      <c r="B259" s="150"/>
      <c r="C259" s="150"/>
      <c r="D259" s="150"/>
      <c r="E259" s="150"/>
      <c r="M259" s="151"/>
    </row>
    <row r="260" spans="1:13" ht="9" customHeight="1" x14ac:dyDescent="0.25">
      <c r="A260" s="150"/>
      <c r="B260" s="150"/>
      <c r="C260" s="150"/>
      <c r="D260" s="150"/>
      <c r="E260" s="150"/>
      <c r="M260" s="151"/>
    </row>
    <row r="261" spans="1:13" ht="9" customHeight="1" x14ac:dyDescent="0.25">
      <c r="A261" s="150"/>
      <c r="B261" s="150"/>
      <c r="C261" s="150"/>
      <c r="D261" s="150"/>
      <c r="E261" s="150"/>
      <c r="M261" s="151"/>
    </row>
    <row r="262" spans="1:13" ht="9" customHeight="1" x14ac:dyDescent="0.25">
      <c r="A262" s="150"/>
      <c r="B262" s="150"/>
      <c r="C262" s="150"/>
      <c r="D262" s="150"/>
      <c r="E262" s="150"/>
      <c r="M262" s="151"/>
    </row>
    <row r="263" spans="1:13" ht="9" customHeight="1" x14ac:dyDescent="0.25">
      <c r="A263" s="150"/>
      <c r="B263" s="150"/>
      <c r="C263" s="150"/>
      <c r="D263" s="150"/>
      <c r="E263" s="150"/>
      <c r="M263" s="151"/>
    </row>
    <row r="264" spans="1:13" ht="9" customHeight="1" x14ac:dyDescent="0.25">
      <c r="A264" s="150"/>
      <c r="B264" s="150"/>
      <c r="C264" s="150"/>
      <c r="D264" s="150"/>
      <c r="E264" s="150"/>
      <c r="M264" s="151"/>
    </row>
    <row r="265" spans="1:13" ht="9" customHeight="1" x14ac:dyDescent="0.25">
      <c r="A265" s="150"/>
      <c r="B265" s="150"/>
      <c r="C265" s="150"/>
      <c r="D265" s="150"/>
      <c r="E265" s="150"/>
      <c r="M265" s="151"/>
    </row>
    <row r="266" spans="1:13" ht="9" customHeight="1" x14ac:dyDescent="0.25">
      <c r="A266" s="150"/>
      <c r="B266" s="150"/>
      <c r="C266" s="150"/>
      <c r="D266" s="150"/>
      <c r="E266" s="150"/>
      <c r="M266" s="151"/>
    </row>
    <row r="267" spans="1:13" ht="9" customHeight="1" x14ac:dyDescent="0.25">
      <c r="A267" s="150"/>
      <c r="B267" s="150"/>
      <c r="C267" s="150"/>
      <c r="D267" s="150"/>
      <c r="E267" s="150"/>
      <c r="M267" s="151"/>
    </row>
    <row r="268" spans="1:13" ht="9" customHeight="1" x14ac:dyDescent="0.25">
      <c r="A268" s="150"/>
      <c r="B268" s="150"/>
      <c r="C268" s="150"/>
      <c r="D268" s="150"/>
      <c r="E268" s="150"/>
      <c r="M268" s="151"/>
    </row>
    <row r="269" spans="1:13" ht="9" customHeight="1" x14ac:dyDescent="0.25">
      <c r="A269" s="150"/>
      <c r="B269" s="150"/>
      <c r="C269" s="150"/>
      <c r="D269" s="150"/>
      <c r="E269" s="150"/>
      <c r="M269" s="151"/>
    </row>
    <row r="270" spans="1:13" ht="9" customHeight="1" x14ac:dyDescent="0.25">
      <c r="A270" s="150"/>
      <c r="B270" s="150"/>
      <c r="C270" s="150"/>
      <c r="D270" s="150"/>
      <c r="E270" s="150"/>
      <c r="M270" s="151"/>
    </row>
    <row r="271" spans="1:13" ht="9" customHeight="1" x14ac:dyDescent="0.25">
      <c r="A271" s="150"/>
      <c r="B271" s="150"/>
      <c r="C271" s="150"/>
      <c r="D271" s="150"/>
      <c r="E271" s="150"/>
      <c r="M271" s="151"/>
    </row>
    <row r="272" spans="1:13" ht="9" customHeight="1" x14ac:dyDescent="0.25">
      <c r="A272" s="150"/>
      <c r="B272" s="150"/>
      <c r="C272" s="150"/>
      <c r="D272" s="150"/>
      <c r="E272" s="150"/>
      <c r="M272" s="151"/>
    </row>
    <row r="273" spans="1:13" ht="9" customHeight="1" x14ac:dyDescent="0.25">
      <c r="A273" s="150"/>
      <c r="B273" s="150"/>
      <c r="C273" s="150"/>
      <c r="D273" s="150"/>
      <c r="E273" s="150"/>
      <c r="M273" s="151"/>
    </row>
    <row r="274" spans="1:13" ht="9" customHeight="1" x14ac:dyDescent="0.25">
      <c r="A274" s="150"/>
      <c r="B274" s="150"/>
      <c r="C274" s="150"/>
      <c r="D274" s="150"/>
      <c r="E274" s="150"/>
      <c r="M274" s="151"/>
    </row>
    <row r="275" spans="1:13" ht="9" customHeight="1" x14ac:dyDescent="0.25">
      <c r="A275" s="150"/>
      <c r="B275" s="150"/>
      <c r="C275" s="150"/>
      <c r="D275" s="150"/>
      <c r="E275" s="150"/>
      <c r="M275" s="151"/>
    </row>
    <row r="276" spans="1:13" ht="9" customHeight="1" x14ac:dyDescent="0.25">
      <c r="A276" s="150"/>
      <c r="B276" s="150"/>
      <c r="C276" s="150"/>
      <c r="D276" s="150"/>
      <c r="E276" s="150"/>
      <c r="M276" s="151"/>
    </row>
    <row r="277" spans="1:13" ht="9" customHeight="1" x14ac:dyDescent="0.25">
      <c r="A277" s="150"/>
      <c r="B277" s="150"/>
      <c r="C277" s="150"/>
      <c r="D277" s="150"/>
      <c r="E277" s="150"/>
      <c r="M277" s="151"/>
    </row>
    <row r="278" spans="1:13" ht="9" customHeight="1" x14ac:dyDescent="0.25">
      <c r="A278" s="150"/>
      <c r="B278" s="150"/>
      <c r="C278" s="150"/>
      <c r="D278" s="150"/>
      <c r="E278" s="150"/>
      <c r="M278" s="151"/>
    </row>
    <row r="279" spans="1:13" ht="9" customHeight="1" x14ac:dyDescent="0.25">
      <c r="A279" s="150"/>
      <c r="B279" s="150"/>
      <c r="C279" s="150"/>
      <c r="D279" s="150"/>
      <c r="E279" s="150"/>
      <c r="M279" s="151"/>
    </row>
    <row r="280" spans="1:13" ht="9" customHeight="1" x14ac:dyDescent="0.25">
      <c r="A280" s="150"/>
      <c r="B280" s="150"/>
      <c r="C280" s="150"/>
      <c r="D280" s="150"/>
      <c r="E280" s="150"/>
      <c r="M280" s="151"/>
    </row>
    <row r="281" spans="1:13" ht="9" customHeight="1" x14ac:dyDescent="0.25">
      <c r="A281" s="150"/>
      <c r="B281" s="150"/>
      <c r="C281" s="150"/>
      <c r="D281" s="150"/>
      <c r="E281" s="150"/>
      <c r="M281" s="151"/>
    </row>
    <row r="282" spans="1:13" ht="9" customHeight="1" x14ac:dyDescent="0.25">
      <c r="A282" s="150"/>
      <c r="B282" s="150"/>
      <c r="C282" s="150"/>
      <c r="D282" s="150"/>
      <c r="E282" s="150"/>
      <c r="M282" s="151"/>
    </row>
    <row r="283" spans="1:13" ht="9" customHeight="1" x14ac:dyDescent="0.25">
      <c r="A283" s="150"/>
      <c r="B283" s="150"/>
      <c r="C283" s="150"/>
      <c r="D283" s="150"/>
      <c r="E283" s="150"/>
      <c r="M283" s="151"/>
    </row>
    <row r="284" spans="1:13" ht="9" customHeight="1" x14ac:dyDescent="0.25">
      <c r="A284" s="150"/>
      <c r="B284" s="150"/>
      <c r="C284" s="150"/>
      <c r="D284" s="150"/>
      <c r="E284" s="150"/>
      <c r="M284" s="151"/>
    </row>
    <row r="285" spans="1:13" ht="9" customHeight="1" x14ac:dyDescent="0.25">
      <c r="A285" s="150"/>
      <c r="B285" s="150"/>
      <c r="C285" s="150"/>
      <c r="D285" s="150"/>
      <c r="E285" s="150"/>
      <c r="M285" s="151"/>
    </row>
    <row r="286" spans="1:13" ht="9" customHeight="1" x14ac:dyDescent="0.25">
      <c r="A286" s="150"/>
      <c r="B286" s="150"/>
      <c r="C286" s="150"/>
      <c r="D286" s="150"/>
      <c r="E286" s="150"/>
      <c r="M286" s="151"/>
    </row>
    <row r="287" spans="1:13" ht="9" customHeight="1" x14ac:dyDescent="0.25">
      <c r="A287" s="150"/>
      <c r="B287" s="150"/>
      <c r="C287" s="150"/>
      <c r="D287" s="150"/>
      <c r="E287" s="150"/>
      <c r="M287" s="151"/>
    </row>
    <row r="288" spans="1:13" ht="9" customHeight="1" x14ac:dyDescent="0.25">
      <c r="A288" s="150"/>
      <c r="B288" s="150"/>
      <c r="C288" s="150"/>
      <c r="D288" s="150"/>
      <c r="E288" s="150"/>
      <c r="M288" s="151"/>
    </row>
    <row r="289" spans="1:13" ht="9" customHeight="1" x14ac:dyDescent="0.25">
      <c r="A289" s="150"/>
      <c r="B289" s="150"/>
      <c r="C289" s="150"/>
      <c r="D289" s="150"/>
      <c r="E289" s="150"/>
      <c r="M289" s="151"/>
    </row>
    <row r="290" spans="1:13" ht="9" customHeight="1" x14ac:dyDescent="0.25">
      <c r="A290" s="150"/>
      <c r="B290" s="150"/>
      <c r="C290" s="150"/>
      <c r="D290" s="150"/>
      <c r="E290" s="150"/>
      <c r="M290" s="151"/>
    </row>
    <row r="291" spans="1:13" ht="9" customHeight="1" x14ac:dyDescent="0.25">
      <c r="A291" s="150"/>
      <c r="B291" s="150"/>
      <c r="C291" s="150"/>
      <c r="D291" s="150"/>
      <c r="E291" s="150"/>
      <c r="M291" s="151"/>
    </row>
    <row r="292" spans="1:13" ht="9" customHeight="1" x14ac:dyDescent="0.25">
      <c r="A292" s="150"/>
      <c r="B292" s="150"/>
      <c r="C292" s="150"/>
      <c r="D292" s="150"/>
      <c r="E292" s="150"/>
      <c r="M292" s="151"/>
    </row>
    <row r="293" spans="1:13" ht="9" customHeight="1" x14ac:dyDescent="0.25">
      <c r="A293" s="150"/>
      <c r="B293" s="150"/>
      <c r="C293" s="150"/>
      <c r="D293" s="150"/>
      <c r="E293" s="150"/>
      <c r="M293" s="151"/>
    </row>
    <row r="294" spans="1:13" ht="9" customHeight="1" x14ac:dyDescent="0.25">
      <c r="A294" s="150"/>
      <c r="B294" s="150"/>
      <c r="C294" s="150"/>
      <c r="D294" s="150"/>
      <c r="E294" s="150"/>
      <c r="M294" s="151"/>
    </row>
    <row r="295" spans="1:13" ht="9" customHeight="1" x14ac:dyDescent="0.25">
      <c r="A295" s="150"/>
      <c r="B295" s="150"/>
      <c r="C295" s="150"/>
      <c r="D295" s="150"/>
      <c r="E295" s="150"/>
      <c r="M295" s="151"/>
    </row>
    <row r="296" spans="1:13" ht="9" customHeight="1" x14ac:dyDescent="0.25">
      <c r="A296" s="150"/>
      <c r="B296" s="150"/>
      <c r="C296" s="150"/>
      <c r="D296" s="150"/>
      <c r="E296" s="150"/>
      <c r="M296" s="151"/>
    </row>
    <row r="297" spans="1:13" ht="9" customHeight="1" x14ac:dyDescent="0.25">
      <c r="A297" s="150"/>
      <c r="B297" s="150"/>
      <c r="C297" s="150"/>
      <c r="D297" s="150"/>
      <c r="E297" s="150"/>
      <c r="M297" s="151"/>
    </row>
    <row r="298" spans="1:13" ht="9" customHeight="1" x14ac:dyDescent="0.25">
      <c r="A298" s="150"/>
      <c r="B298" s="150"/>
      <c r="C298" s="150"/>
      <c r="D298" s="150"/>
      <c r="E298" s="150"/>
      <c r="M298" s="151"/>
    </row>
    <row r="299" spans="1:13" ht="9" customHeight="1" x14ac:dyDescent="0.25">
      <c r="A299" s="150"/>
      <c r="B299" s="150"/>
      <c r="C299" s="150"/>
      <c r="D299" s="150"/>
      <c r="E299" s="150"/>
      <c r="M299" s="151"/>
    </row>
    <row r="300" spans="1:13" ht="9" customHeight="1" x14ac:dyDescent="0.25">
      <c r="A300" s="150"/>
      <c r="B300" s="150"/>
      <c r="C300" s="150"/>
      <c r="D300" s="150"/>
      <c r="E300" s="150"/>
      <c r="M300" s="151"/>
    </row>
    <row r="301" spans="1:13" ht="9" customHeight="1" x14ac:dyDescent="0.25">
      <c r="A301" s="150"/>
      <c r="B301" s="150"/>
      <c r="C301" s="150"/>
      <c r="D301" s="150"/>
      <c r="E301" s="150"/>
      <c r="M301" s="151"/>
    </row>
    <row r="302" spans="1:13" ht="9" customHeight="1" x14ac:dyDescent="0.25">
      <c r="A302" s="150"/>
      <c r="B302" s="150"/>
      <c r="C302" s="150"/>
      <c r="D302" s="150"/>
      <c r="E302" s="150"/>
      <c r="M302" s="151"/>
    </row>
    <row r="303" spans="1:13" ht="9" customHeight="1" x14ac:dyDescent="0.25">
      <c r="A303" s="150"/>
      <c r="B303" s="150"/>
      <c r="C303" s="150"/>
      <c r="D303" s="150"/>
      <c r="E303" s="150"/>
      <c r="M303" s="151"/>
    </row>
    <row r="304" spans="1:13" ht="9" customHeight="1" x14ac:dyDescent="0.25">
      <c r="A304" s="150"/>
      <c r="B304" s="150"/>
      <c r="C304" s="150"/>
      <c r="D304" s="150"/>
      <c r="E304" s="150"/>
      <c r="M304" s="151"/>
    </row>
    <row r="305" spans="1:13" ht="9" customHeight="1" x14ac:dyDescent="0.25">
      <c r="A305" s="150"/>
      <c r="B305" s="150"/>
      <c r="C305" s="150"/>
      <c r="D305" s="150"/>
      <c r="E305" s="150"/>
      <c r="M305" s="151"/>
    </row>
    <row r="306" spans="1:13" ht="9" customHeight="1" x14ac:dyDescent="0.25">
      <c r="A306" s="150"/>
      <c r="B306" s="150"/>
      <c r="C306" s="150"/>
      <c r="D306" s="150"/>
      <c r="E306" s="150"/>
      <c r="M306" s="151"/>
    </row>
    <row r="307" spans="1:13" ht="9" customHeight="1" x14ac:dyDescent="0.25">
      <c r="A307" s="150"/>
      <c r="B307" s="150"/>
      <c r="C307" s="150"/>
      <c r="D307" s="150"/>
      <c r="E307" s="150"/>
      <c r="M307" s="151"/>
    </row>
    <row r="308" spans="1:13" ht="9" customHeight="1" x14ac:dyDescent="0.25">
      <c r="A308" s="150"/>
      <c r="B308" s="150"/>
      <c r="C308" s="150"/>
      <c r="D308" s="150"/>
      <c r="E308" s="150"/>
      <c r="M308" s="151"/>
    </row>
    <row r="309" spans="1:13" ht="9" customHeight="1" x14ac:dyDescent="0.25">
      <c r="A309" s="150"/>
      <c r="B309" s="150"/>
      <c r="C309" s="150"/>
      <c r="D309" s="150"/>
      <c r="E309" s="150"/>
      <c r="M309" s="151"/>
    </row>
    <row r="310" spans="1:13" ht="9" customHeight="1" x14ac:dyDescent="0.25">
      <c r="A310" s="150"/>
      <c r="B310" s="150"/>
      <c r="C310" s="150"/>
      <c r="D310" s="150"/>
      <c r="E310" s="150"/>
      <c r="M310" s="151"/>
    </row>
    <row r="311" spans="1:13" ht="9" customHeight="1" x14ac:dyDescent="0.25">
      <c r="A311" s="150"/>
      <c r="B311" s="150"/>
      <c r="C311" s="150"/>
      <c r="D311" s="150"/>
      <c r="E311" s="150"/>
      <c r="M311" s="151"/>
    </row>
    <row r="312" spans="1:13" ht="9" customHeight="1" x14ac:dyDescent="0.25">
      <c r="A312" s="150"/>
      <c r="B312" s="150"/>
      <c r="C312" s="150"/>
      <c r="D312" s="150"/>
      <c r="E312" s="150"/>
      <c r="M312" s="151"/>
    </row>
    <row r="313" spans="1:13" ht="9" customHeight="1" x14ac:dyDescent="0.25">
      <c r="A313" s="150"/>
      <c r="B313" s="150"/>
      <c r="C313" s="150"/>
      <c r="D313" s="150"/>
      <c r="E313" s="150"/>
      <c r="M313" s="151"/>
    </row>
    <row r="314" spans="1:13" ht="9" customHeight="1" x14ac:dyDescent="0.25">
      <c r="A314" s="150"/>
      <c r="B314" s="150"/>
      <c r="C314" s="150"/>
      <c r="D314" s="150"/>
      <c r="E314" s="150"/>
      <c r="M314" s="151"/>
    </row>
    <row r="315" spans="1:13" ht="9" customHeight="1" x14ac:dyDescent="0.25">
      <c r="A315" s="150"/>
      <c r="B315" s="150"/>
      <c r="C315" s="150"/>
      <c r="D315" s="150"/>
      <c r="E315" s="150"/>
      <c r="M315" s="151"/>
    </row>
    <row r="316" spans="1:13" ht="9" customHeight="1" x14ac:dyDescent="0.25">
      <c r="A316" s="150"/>
      <c r="B316" s="150"/>
      <c r="C316" s="150"/>
      <c r="D316" s="150"/>
      <c r="E316" s="150"/>
      <c r="M316" s="151"/>
    </row>
    <row r="317" spans="1:13" ht="9" customHeight="1" x14ac:dyDescent="0.25">
      <c r="A317" s="150"/>
      <c r="B317" s="150"/>
      <c r="C317" s="150"/>
      <c r="D317" s="150"/>
      <c r="E317" s="150"/>
      <c r="M317" s="151"/>
    </row>
    <row r="318" spans="1:13" ht="9" customHeight="1" x14ac:dyDescent="0.25">
      <c r="A318" s="150"/>
      <c r="B318" s="150"/>
      <c r="C318" s="150"/>
      <c r="D318" s="150"/>
      <c r="E318" s="150"/>
      <c r="M318" s="151"/>
    </row>
    <row r="319" spans="1:13" ht="9" customHeight="1" x14ac:dyDescent="0.25">
      <c r="A319" s="150"/>
      <c r="B319" s="150"/>
      <c r="C319" s="150"/>
      <c r="D319" s="150"/>
      <c r="E319" s="150"/>
      <c r="M319" s="151"/>
    </row>
    <row r="320" spans="1:13" ht="9" customHeight="1" x14ac:dyDescent="0.25">
      <c r="M320" s="151"/>
    </row>
    <row r="321" spans="13:13" ht="9" customHeight="1" x14ac:dyDescent="0.25">
      <c r="M321" s="151"/>
    </row>
    <row r="322" spans="13:13" ht="9" customHeight="1" x14ac:dyDescent="0.25">
      <c r="M322" s="151"/>
    </row>
    <row r="323" spans="13:13" ht="9" customHeight="1" x14ac:dyDescent="0.25">
      <c r="M323" s="151"/>
    </row>
    <row r="324" spans="13:13" ht="9" customHeight="1" x14ac:dyDescent="0.25">
      <c r="M324" s="151"/>
    </row>
    <row r="325" spans="13:13" ht="9" customHeight="1" x14ac:dyDescent="0.25">
      <c r="M325" s="151"/>
    </row>
    <row r="326" spans="13:13" ht="9" customHeight="1" x14ac:dyDescent="0.25">
      <c r="M326" s="151"/>
    </row>
    <row r="327" spans="13:13" ht="9" customHeight="1" x14ac:dyDescent="0.25">
      <c r="M327" s="151"/>
    </row>
    <row r="328" spans="13:13" ht="9" customHeight="1" x14ac:dyDescent="0.25">
      <c r="M328" s="151"/>
    </row>
    <row r="329" spans="13:13" ht="9" customHeight="1" x14ac:dyDescent="0.25">
      <c r="M329" s="151"/>
    </row>
    <row r="330" spans="13:13" ht="9" customHeight="1" x14ac:dyDescent="0.25">
      <c r="M330" s="151"/>
    </row>
    <row r="331" spans="13:13" ht="9" customHeight="1" x14ac:dyDescent="0.25">
      <c r="M331" s="151"/>
    </row>
    <row r="332" spans="13:13" ht="9" customHeight="1" x14ac:dyDescent="0.25">
      <c r="M332" s="151"/>
    </row>
    <row r="333" spans="13:13" ht="9" customHeight="1" x14ac:dyDescent="0.25">
      <c r="M333" s="151"/>
    </row>
    <row r="334" spans="13:13" ht="9" customHeight="1" x14ac:dyDescent="0.25">
      <c r="M334" s="151"/>
    </row>
    <row r="335" spans="13:13" ht="9" customHeight="1" x14ac:dyDescent="0.25">
      <c r="M335" s="151"/>
    </row>
    <row r="336" spans="13:13" ht="9" customHeight="1" x14ac:dyDescent="0.25">
      <c r="M336" s="151"/>
    </row>
    <row r="337" spans="13:13" ht="9" customHeight="1" x14ac:dyDescent="0.25">
      <c r="M337" s="151"/>
    </row>
    <row r="338" spans="13:13" ht="9" customHeight="1" x14ac:dyDescent="0.25">
      <c r="M338" s="151"/>
    </row>
    <row r="339" spans="13:13" ht="9" customHeight="1" x14ac:dyDescent="0.25">
      <c r="M339" s="151"/>
    </row>
    <row r="340" spans="13:13" ht="9" customHeight="1" x14ac:dyDescent="0.25">
      <c r="M340" s="151"/>
    </row>
    <row r="341" spans="13:13" ht="9" customHeight="1" x14ac:dyDescent="0.25">
      <c r="M341" s="151"/>
    </row>
    <row r="342" spans="13:13" ht="9" customHeight="1" x14ac:dyDescent="0.25">
      <c r="M342" s="151"/>
    </row>
    <row r="343" spans="13:13" ht="9" customHeight="1" x14ac:dyDescent="0.25">
      <c r="M343" s="151"/>
    </row>
    <row r="344" spans="13:13" ht="9" customHeight="1" x14ac:dyDescent="0.25">
      <c r="M344" s="151"/>
    </row>
    <row r="345" spans="13:13" ht="9" customHeight="1" x14ac:dyDescent="0.25">
      <c r="M345" s="151"/>
    </row>
    <row r="346" spans="13:13" ht="9" customHeight="1" x14ac:dyDescent="0.25">
      <c r="M346" s="151"/>
    </row>
    <row r="347" spans="13:13" ht="9" customHeight="1" x14ac:dyDescent="0.25">
      <c r="M347" s="151"/>
    </row>
    <row r="348" spans="13:13" ht="9" customHeight="1" x14ac:dyDescent="0.25">
      <c r="M348" s="151"/>
    </row>
    <row r="349" spans="13:13" ht="9" customHeight="1" x14ac:dyDescent="0.25">
      <c r="M349" s="151"/>
    </row>
    <row r="350" spans="13:13" ht="9" customHeight="1" x14ac:dyDescent="0.25">
      <c r="M350" s="151"/>
    </row>
    <row r="351" spans="13:13" ht="9" customHeight="1" x14ac:dyDescent="0.25">
      <c r="M351" s="151"/>
    </row>
    <row r="352" spans="13:13" ht="9" customHeight="1" x14ac:dyDescent="0.25">
      <c r="M352" s="151"/>
    </row>
    <row r="353" spans="13:13" ht="9" customHeight="1" x14ac:dyDescent="0.25">
      <c r="M353" s="151"/>
    </row>
    <row r="354" spans="13:13" ht="9" customHeight="1" x14ac:dyDescent="0.25">
      <c r="M354" s="151"/>
    </row>
    <row r="355" spans="13:13" ht="9" customHeight="1" x14ac:dyDescent="0.25">
      <c r="M355" s="151"/>
    </row>
    <row r="356" spans="13:13" ht="9" customHeight="1" x14ac:dyDescent="0.25">
      <c r="M356" s="151"/>
    </row>
    <row r="357" spans="13:13" ht="9" customHeight="1" x14ac:dyDescent="0.25">
      <c r="M357" s="151"/>
    </row>
    <row r="358" spans="13:13" ht="9" customHeight="1" x14ac:dyDescent="0.25">
      <c r="M358" s="151"/>
    </row>
    <row r="359" spans="13:13" ht="9" customHeight="1" x14ac:dyDescent="0.25">
      <c r="M359" s="151"/>
    </row>
    <row r="360" spans="13:13" ht="9" customHeight="1" x14ac:dyDescent="0.25">
      <c r="M360" s="151"/>
    </row>
    <row r="361" spans="13:13" ht="9" customHeight="1" x14ac:dyDescent="0.25">
      <c r="M361" s="151"/>
    </row>
    <row r="362" spans="13:13" ht="9" customHeight="1" x14ac:dyDescent="0.25">
      <c r="M362" s="151"/>
    </row>
    <row r="363" spans="13:13" ht="9" customHeight="1" x14ac:dyDescent="0.25">
      <c r="M363" s="151"/>
    </row>
    <row r="364" spans="13:13" ht="9" customHeight="1" x14ac:dyDescent="0.25">
      <c r="M364" s="151"/>
    </row>
    <row r="365" spans="13:13" ht="9" customHeight="1" x14ac:dyDescent="0.25">
      <c r="M365" s="151"/>
    </row>
  </sheetData>
  <sheetProtection selectLockedCells="1"/>
  <mergeCells count="127">
    <mergeCell ref="AI78:AJ79"/>
    <mergeCell ref="AA9:AJ11"/>
    <mergeCell ref="D4:N5"/>
    <mergeCell ref="D2:N3"/>
    <mergeCell ref="AA78:AA79"/>
    <mergeCell ref="AB78:AC79"/>
    <mergeCell ref="AD78:AE79"/>
    <mergeCell ref="AF78:AF79"/>
    <mergeCell ref="AG78:AH79"/>
    <mergeCell ref="AI66:AJ67"/>
    <mergeCell ref="AF70:AF71"/>
    <mergeCell ref="AG70:AH71"/>
    <mergeCell ref="AI70:AJ71"/>
    <mergeCell ref="AF74:AF75"/>
    <mergeCell ref="AG74:AH75"/>
    <mergeCell ref="AI74:AJ75"/>
    <mergeCell ref="AI54:AJ55"/>
    <mergeCell ref="AF58:AF59"/>
    <mergeCell ref="AG58:AH59"/>
    <mergeCell ref="AI58:AJ59"/>
    <mergeCell ref="AF62:AF63"/>
    <mergeCell ref="AG62:AH63"/>
    <mergeCell ref="AI62:AJ63"/>
    <mergeCell ref="AI42:AJ43"/>
    <mergeCell ref="AA74:AA75"/>
    <mergeCell ref="AB74:AC75"/>
    <mergeCell ref="AD74:AE75"/>
    <mergeCell ref="AF18:AF19"/>
    <mergeCell ref="AG18:AH19"/>
    <mergeCell ref="AF30:AF31"/>
    <mergeCell ref="AG30:AH31"/>
    <mergeCell ref="AF42:AF43"/>
    <mergeCell ref="AG42:AH43"/>
    <mergeCell ref="AF54:AF55"/>
    <mergeCell ref="AG54:AH55"/>
    <mergeCell ref="AF66:AF67"/>
    <mergeCell ref="AG66:AH67"/>
    <mergeCell ref="AA66:AA67"/>
    <mergeCell ref="AB66:AC67"/>
    <mergeCell ref="AD66:AE67"/>
    <mergeCell ref="AA70:AA71"/>
    <mergeCell ref="AF46:AF47"/>
    <mergeCell ref="AG46:AH47"/>
    <mergeCell ref="AF50:AF51"/>
    <mergeCell ref="AG50:AH51"/>
    <mergeCell ref="AF34:AF35"/>
    <mergeCell ref="AG34:AH35"/>
    <mergeCell ref="AF38:AF39"/>
    <mergeCell ref="AB50:AC51"/>
    <mergeCell ref="AD50:AE51"/>
    <mergeCell ref="AA54:AA55"/>
    <mergeCell ref="AB54:AC55"/>
    <mergeCell ref="AD54:AE55"/>
    <mergeCell ref="AI18:AJ19"/>
    <mergeCell ref="AF22:AF23"/>
    <mergeCell ref="AG22:AH23"/>
    <mergeCell ref="AI22:AJ23"/>
    <mergeCell ref="AF26:AF27"/>
    <mergeCell ref="AG26:AH27"/>
    <mergeCell ref="AI26:AJ27"/>
    <mergeCell ref="AI46:AJ47"/>
    <mergeCell ref="AI50:AJ51"/>
    <mergeCell ref="AI30:AJ31"/>
    <mergeCell ref="AI34:AJ35"/>
    <mergeCell ref="AG38:AH39"/>
    <mergeCell ref="AI38:AJ39"/>
    <mergeCell ref="AB18:AC19"/>
    <mergeCell ref="AD18:AE19"/>
    <mergeCell ref="AA18:AA19"/>
    <mergeCell ref="AA22:AA23"/>
    <mergeCell ref="AB22:AC23"/>
    <mergeCell ref="AD22:AE23"/>
    <mergeCell ref="AA42:AA43"/>
    <mergeCell ref="AB42:AC43"/>
    <mergeCell ref="AD42:AE43"/>
    <mergeCell ref="AA34:AA35"/>
    <mergeCell ref="AB34:AC35"/>
    <mergeCell ref="AD34:AE35"/>
    <mergeCell ref="AA38:AA39"/>
    <mergeCell ref="AB38:AC39"/>
    <mergeCell ref="AD38:AE39"/>
    <mergeCell ref="H166:H167"/>
    <mergeCell ref="J166:J167"/>
    <mergeCell ref="L166:M167"/>
    <mergeCell ref="D85:N86"/>
    <mergeCell ref="D87:N88"/>
    <mergeCell ref="L156:M157"/>
    <mergeCell ref="AA26:AA27"/>
    <mergeCell ref="AB26:AC27"/>
    <mergeCell ref="AD26:AE27"/>
    <mergeCell ref="AA30:AA31"/>
    <mergeCell ref="AB30:AC31"/>
    <mergeCell ref="AD30:AE31"/>
    <mergeCell ref="AA46:AA47"/>
    <mergeCell ref="AB46:AC47"/>
    <mergeCell ref="AD46:AE47"/>
    <mergeCell ref="AB70:AC71"/>
    <mergeCell ref="AD70:AE71"/>
    <mergeCell ref="AA58:AA59"/>
    <mergeCell ref="AB58:AC59"/>
    <mergeCell ref="AD58:AE59"/>
    <mergeCell ref="AA62:AA63"/>
    <mergeCell ref="AB62:AC63"/>
    <mergeCell ref="AD62:AE63"/>
    <mergeCell ref="AA50:AA51"/>
    <mergeCell ref="O2:Y3"/>
    <mergeCell ref="O74:P75"/>
    <mergeCell ref="O58:P59"/>
    <mergeCell ref="O4:Y5"/>
    <mergeCell ref="D154:E155"/>
    <mergeCell ref="D128:E129"/>
    <mergeCell ref="L142:M143"/>
    <mergeCell ref="W25:X26"/>
    <mergeCell ref="W38:X39"/>
    <mergeCell ref="W52:X53"/>
    <mergeCell ref="W66:X67"/>
    <mergeCell ref="D90:E91"/>
    <mergeCell ref="F82:F83"/>
    <mergeCell ref="H82:H83"/>
    <mergeCell ref="K72:M73"/>
    <mergeCell ref="O8:P9"/>
    <mergeCell ref="O30:P31"/>
    <mergeCell ref="O44:P45"/>
    <mergeCell ref="J82:K83"/>
    <mergeCell ref="R82:R83"/>
    <mergeCell ref="T82:T83"/>
    <mergeCell ref="V82:W83"/>
  </mergeCells>
  <pageMargins left="0.25" right="0.25" top="0.75" bottom="0.75" header="0.3" footer="0.3"/>
  <pageSetup paperSize="9" fitToWidth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</vt:i4>
      </vt:variant>
    </vt:vector>
  </HeadingPairs>
  <TitlesOfParts>
    <vt:vector size="17" baseType="lpstr">
      <vt:lpstr>Infos générales</vt:lpstr>
      <vt:lpstr>Infos joueurs</vt:lpstr>
      <vt:lpstr>FM Poule 3j</vt:lpstr>
      <vt:lpstr>FM Poule 4j</vt:lpstr>
      <vt:lpstr>FM Poule 5j</vt:lpstr>
      <vt:lpstr>FM Poule 6j</vt:lpstr>
      <vt:lpstr>Poule 3j (2)</vt:lpstr>
      <vt:lpstr>Poule 3j</vt:lpstr>
      <vt:lpstr>Poule 4j</vt:lpstr>
      <vt:lpstr>Poule 5j</vt:lpstr>
      <vt:lpstr>Poule 6j</vt:lpstr>
      <vt:lpstr>Classement pour tableau final</vt:lpstr>
      <vt:lpstr>Final 8 joueurs</vt:lpstr>
      <vt:lpstr>Final 16 joueurs</vt:lpstr>
      <vt:lpstr>Final 32 joueurs</vt:lpstr>
      <vt:lpstr>FM_Poule_3j</vt:lpstr>
      <vt:lpstr>'Infos joueurs'!Zone_d_impression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2018-08-20T01:54:31Z</dcterms:created>
  <dcterms:modified xsi:type="dcterms:W3CDTF">2018-08-20T06:39:06Z</dcterms:modified>
</cp:coreProperties>
</file>