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260" windowHeight="5160" activeTab="1"/>
  </bookViews>
  <sheets>
    <sheet name="cover page" sheetId="1" r:id="rId1"/>
    <sheet name="passage" sheetId="2" r:id="rId2"/>
    <sheet name="list of waypoints" sheetId="6" r:id="rId3"/>
    <sheet name="squat" sheetId="4" r:id="rId4"/>
  </sheets>
  <definedNames>
    <definedName name="_box2">"Button 2,Label 4,Label 6,Button 3,Label 7,Label 8,Label 9,Label 15,Edit Box 16,Edit Box 17,Edit Box 18,Edit Box 19,Edit Box 20,Edit Box 21,Label 22,Edit Box 23,Label 25,Label 26,Edit Box 27,Edit Box 28,Label 30,Label 31,Label 32,Edit Box 45"</definedName>
    <definedName name="_Key1" hidden="1">#REF!</definedName>
    <definedName name="_Order1" hidden="1">255</definedName>
    <definedName name="_Sort" hidden="1">#REF!</definedName>
    <definedName name="_xlnm.Database">#REF!</definedName>
    <definedName name="brutees">#REF!</definedName>
    <definedName name="BZ">#REF!</definedName>
    <definedName name="CA">#REF!</definedName>
    <definedName name="date">"Edit Box 18"</definedName>
    <definedName name="EV">#REF!</definedName>
    <definedName name="_xlnm.Recorder">#REF!</definedName>
    <definedName name="G">#REF!</definedName>
    <definedName name="_xlnm.Print_Titles" localSheetId="1">passage!$A:$S,passage!$1:$4</definedName>
    <definedName name="num">"Edit Box 17"</definedName>
    <definedName name="port">"Edit Box 16"</definedName>
  </definedNames>
  <calcPr calcId="152511" iterate="1" iterateCount="1"/>
</workbook>
</file>

<file path=xl/calcChain.xml><?xml version="1.0" encoding="utf-8"?>
<calcChain xmlns="http://schemas.openxmlformats.org/spreadsheetml/2006/main">
  <c r="AU8" i="2" l="1"/>
  <c r="AU10" i="2"/>
  <c r="AU12" i="2"/>
  <c r="AU14" i="2"/>
  <c r="AU16" i="2"/>
  <c r="AU18" i="2"/>
  <c r="AU20" i="2"/>
  <c r="AU22" i="2"/>
  <c r="AU24" i="2"/>
  <c r="AU26" i="2"/>
  <c r="AU28" i="2"/>
  <c r="AU30" i="2"/>
  <c r="AU32" i="2"/>
  <c r="AU34" i="2"/>
  <c r="AU36" i="2"/>
  <c r="AU38" i="2"/>
  <c r="AU40" i="2"/>
  <c r="AU42" i="2"/>
  <c r="AU44" i="2"/>
  <c r="AT8" i="2"/>
  <c r="AT10" i="2"/>
  <c r="AT12" i="2"/>
  <c r="AT14" i="2"/>
  <c r="AT16" i="2"/>
  <c r="AT18" i="2"/>
  <c r="AT20" i="2"/>
  <c r="AT22" i="2"/>
  <c r="AT24" i="2"/>
  <c r="AT26" i="2"/>
  <c r="AT28" i="2"/>
  <c r="AT30" i="2"/>
  <c r="AT32" i="2"/>
  <c r="AT34" i="2"/>
  <c r="AT36" i="2"/>
  <c r="AT38" i="2"/>
  <c r="AT40" i="2"/>
  <c r="AT42" i="2"/>
  <c r="AT44" i="2"/>
  <c r="AS8" i="2"/>
  <c r="AS10" i="2"/>
  <c r="AS12" i="2"/>
  <c r="AS14" i="2"/>
  <c r="AS16" i="2"/>
  <c r="AS18" i="2"/>
  <c r="AS20" i="2"/>
  <c r="AS22" i="2"/>
  <c r="AS24" i="2"/>
  <c r="AS26" i="2"/>
  <c r="AS28" i="2"/>
  <c r="AS30" i="2"/>
  <c r="AS32" i="2"/>
  <c r="AS34" i="2"/>
  <c r="AS36" i="2"/>
  <c r="AS38" i="2"/>
  <c r="AS40" i="2"/>
  <c r="AS42" i="2"/>
  <c r="AS44" i="2"/>
  <c r="AR8" i="2"/>
  <c r="AR10" i="2"/>
  <c r="AR12" i="2"/>
  <c r="AR14" i="2"/>
  <c r="AR16" i="2"/>
  <c r="AR18" i="2"/>
  <c r="AR20" i="2"/>
  <c r="AR22" i="2"/>
  <c r="AR24" i="2"/>
  <c r="AR26" i="2"/>
  <c r="AR28" i="2"/>
  <c r="AR30" i="2"/>
  <c r="AR32" i="2"/>
  <c r="AR34" i="2"/>
  <c r="AR36" i="2"/>
  <c r="AR38" i="2"/>
  <c r="AR40" i="2"/>
  <c r="AR42" i="2"/>
  <c r="AR44" i="2"/>
  <c r="AL8" i="2"/>
  <c r="AN8" i="2" s="1"/>
  <c r="AL10" i="2"/>
  <c r="AN10" i="2" s="1"/>
  <c r="AL12" i="2"/>
  <c r="AN12" i="2" s="1"/>
  <c r="AL14" i="2"/>
  <c r="AN14" i="2" s="1"/>
  <c r="AP14" i="2" s="1"/>
  <c r="AL16" i="2"/>
  <c r="AN16" i="2" s="1"/>
  <c r="AL18" i="2"/>
  <c r="AN18" i="2" s="1"/>
  <c r="AL20" i="2"/>
  <c r="AN20" i="2" s="1"/>
  <c r="AL22" i="2"/>
  <c r="AN22" i="2" s="1"/>
  <c r="AP22" i="2" s="1"/>
  <c r="AL24" i="2"/>
  <c r="AN24" i="2" s="1"/>
  <c r="AL26" i="2"/>
  <c r="AN26" i="2" s="1"/>
  <c r="AL28" i="2"/>
  <c r="AN28" i="2" s="1"/>
  <c r="AO28" i="2" s="1"/>
  <c r="AL30" i="2"/>
  <c r="AN30" i="2" s="1"/>
  <c r="AP30" i="2" s="1"/>
  <c r="AL32" i="2"/>
  <c r="AN32" i="2" s="1"/>
  <c r="AL34" i="2"/>
  <c r="AN34" i="2" s="1"/>
  <c r="AL36" i="2"/>
  <c r="AN36" i="2" s="1"/>
  <c r="AP36" i="2" s="1"/>
  <c r="AL38" i="2"/>
  <c r="AN38" i="2" s="1"/>
  <c r="AL40" i="2"/>
  <c r="AN40" i="2" s="1"/>
  <c r="AP40" i="2" s="1"/>
  <c r="AL42" i="2"/>
  <c r="AN42" i="2" s="1"/>
  <c r="AL44" i="2"/>
  <c r="AN44" i="2" s="1"/>
  <c r="AO44" i="2" s="1"/>
  <c r="AC6" i="2"/>
  <c r="AC8" i="2"/>
  <c r="AC10" i="2"/>
  <c r="AC12" i="2"/>
  <c r="AC14" i="2"/>
  <c r="AC16" i="2"/>
  <c r="AC18" i="2"/>
  <c r="AC20" i="2"/>
  <c r="AC22" i="2"/>
  <c r="AC24" i="2"/>
  <c r="AC26" i="2"/>
  <c r="AC28" i="2"/>
  <c r="AC30" i="2"/>
  <c r="AC32" i="2"/>
  <c r="AC34" i="2"/>
  <c r="AC36" i="2"/>
  <c r="AC38" i="2"/>
  <c r="AC40" i="2"/>
  <c r="AC42" i="2"/>
  <c r="AC44" i="2"/>
  <c r="AB6" i="2"/>
  <c r="AB8" i="2"/>
  <c r="AB10" i="2"/>
  <c r="AB12" i="2"/>
  <c r="AB14" i="2"/>
  <c r="AB16" i="2"/>
  <c r="AB18" i="2"/>
  <c r="AB20" i="2"/>
  <c r="AB22" i="2"/>
  <c r="AB24" i="2"/>
  <c r="AB26" i="2"/>
  <c r="AB28" i="2"/>
  <c r="AB30" i="2"/>
  <c r="AB32" i="2"/>
  <c r="AB34" i="2"/>
  <c r="AB36" i="2"/>
  <c r="AB38" i="2"/>
  <c r="AB40" i="2"/>
  <c r="AB42" i="2"/>
  <c r="AB44" i="2"/>
  <c r="AA6" i="2"/>
  <c r="AA8" i="2"/>
  <c r="AA10" i="2"/>
  <c r="AA12" i="2"/>
  <c r="AA14" i="2"/>
  <c r="AA16" i="2"/>
  <c r="AA18" i="2"/>
  <c r="AA20" i="2"/>
  <c r="AA22" i="2"/>
  <c r="AA24" i="2"/>
  <c r="AA26" i="2"/>
  <c r="AA28" i="2"/>
  <c r="AA30" i="2"/>
  <c r="AA32" i="2"/>
  <c r="AA34" i="2"/>
  <c r="AA36" i="2"/>
  <c r="AA38" i="2"/>
  <c r="AA40" i="2"/>
  <c r="AA42" i="2"/>
  <c r="AA44" i="2"/>
  <c r="Z6" i="2"/>
  <c r="AD6" i="2" s="1"/>
  <c r="Z8" i="2"/>
  <c r="AD8" i="2" s="1"/>
  <c r="Z10" i="2"/>
  <c r="AD10" i="2" s="1"/>
  <c r="Z12" i="2"/>
  <c r="AD12" i="2" s="1"/>
  <c r="Z14" i="2"/>
  <c r="AD14" i="2" s="1"/>
  <c r="Z16" i="2"/>
  <c r="AD16" i="2" s="1"/>
  <c r="Z18" i="2"/>
  <c r="AD18" i="2" s="1"/>
  <c r="Z20" i="2"/>
  <c r="AD20" i="2" s="1"/>
  <c r="Z22" i="2"/>
  <c r="AD22" i="2" s="1"/>
  <c r="Z24" i="2"/>
  <c r="AD24" i="2" s="1"/>
  <c r="Z26" i="2"/>
  <c r="AD26" i="2" s="1"/>
  <c r="Z28" i="2"/>
  <c r="AD28" i="2" s="1"/>
  <c r="Z30" i="2"/>
  <c r="AD30" i="2" s="1"/>
  <c r="Z32" i="2"/>
  <c r="AD32" i="2" s="1"/>
  <c r="Z34" i="2"/>
  <c r="AD34" i="2" s="1"/>
  <c r="Z36" i="2"/>
  <c r="AD36" i="2" s="1"/>
  <c r="Z38" i="2"/>
  <c r="AD38" i="2" s="1"/>
  <c r="Z40" i="2"/>
  <c r="AD40" i="2" s="1"/>
  <c r="Z42" i="2"/>
  <c r="AD42" i="2" s="1"/>
  <c r="Z44" i="2"/>
  <c r="AD44" i="2" s="1"/>
  <c r="Y6" i="2"/>
  <c r="Y8" i="2"/>
  <c r="Y10" i="2"/>
  <c r="Y12" i="2"/>
  <c r="Y14" i="2"/>
  <c r="Y16" i="2"/>
  <c r="Y18" i="2"/>
  <c r="Y20" i="2"/>
  <c r="Y22" i="2"/>
  <c r="Y24" i="2"/>
  <c r="Y26" i="2"/>
  <c r="Y28" i="2"/>
  <c r="Y30" i="2"/>
  <c r="Y32" i="2"/>
  <c r="Y34" i="2"/>
  <c r="Y36" i="2"/>
  <c r="Y38" i="2"/>
  <c r="Y40" i="2"/>
  <c r="Y42" i="2"/>
  <c r="Y44" i="2"/>
  <c r="X6" i="2"/>
  <c r="X8" i="2"/>
  <c r="X10" i="2"/>
  <c r="X12" i="2"/>
  <c r="X14" i="2"/>
  <c r="X16" i="2"/>
  <c r="X18" i="2"/>
  <c r="X20" i="2"/>
  <c r="X22" i="2"/>
  <c r="X24" i="2"/>
  <c r="X26" i="2"/>
  <c r="X28" i="2"/>
  <c r="X30" i="2"/>
  <c r="X32" i="2"/>
  <c r="X34" i="2"/>
  <c r="X36" i="2"/>
  <c r="X38" i="2"/>
  <c r="X40" i="2"/>
  <c r="X42" i="2"/>
  <c r="X44" i="2"/>
  <c r="AU6" i="2"/>
  <c r="AT6" i="2"/>
  <c r="AS6" i="2"/>
  <c r="AR6" i="2"/>
  <c r="AW6" i="2" s="1"/>
  <c r="AL6" i="2"/>
  <c r="AN6" i="2" s="1"/>
  <c r="AP6" i="2" s="1"/>
  <c r="F6" i="2"/>
  <c r="F7" i="2"/>
  <c r="AC7" i="2" s="1"/>
  <c r="F8" i="2"/>
  <c r="F9" i="2"/>
  <c r="AC9" i="2" s="1"/>
  <c r="F10" i="2"/>
  <c r="F11" i="2"/>
  <c r="AC11" i="2" s="1"/>
  <c r="F12" i="2"/>
  <c r="F13" i="2"/>
  <c r="AC13" i="2" s="1"/>
  <c r="F14" i="2"/>
  <c r="F15" i="2"/>
  <c r="AC15" i="2" s="1"/>
  <c r="F16" i="2"/>
  <c r="F17" i="2"/>
  <c r="AC17" i="2" s="1"/>
  <c r="F18" i="2"/>
  <c r="F19" i="2"/>
  <c r="AC19" i="2" s="1"/>
  <c r="F20" i="2"/>
  <c r="F21" i="2"/>
  <c r="AC21" i="2" s="1"/>
  <c r="F22" i="2"/>
  <c r="F23" i="2"/>
  <c r="AC23" i="2" s="1"/>
  <c r="F24" i="2"/>
  <c r="F25" i="2"/>
  <c r="AC25" i="2" s="1"/>
  <c r="F26" i="2"/>
  <c r="F27" i="2"/>
  <c r="AC27" i="2" s="1"/>
  <c r="F28" i="2"/>
  <c r="F29" i="2"/>
  <c r="AC29" i="2" s="1"/>
  <c r="F30" i="2"/>
  <c r="F31" i="2"/>
  <c r="AC31" i="2" s="1"/>
  <c r="F32" i="2"/>
  <c r="F33" i="2"/>
  <c r="AC33" i="2" s="1"/>
  <c r="F34" i="2"/>
  <c r="F35" i="2"/>
  <c r="AC35" i="2" s="1"/>
  <c r="F36" i="2"/>
  <c r="F37" i="2"/>
  <c r="AC37" i="2" s="1"/>
  <c r="F38" i="2"/>
  <c r="F39" i="2"/>
  <c r="AC39" i="2" s="1"/>
  <c r="F40" i="2"/>
  <c r="F41" i="2"/>
  <c r="AC41" i="2" s="1"/>
  <c r="F42" i="2"/>
  <c r="F43" i="2"/>
  <c r="AC43" i="2" s="1"/>
  <c r="F44" i="2"/>
  <c r="F45" i="2"/>
  <c r="AC45" i="2" s="1"/>
  <c r="E6" i="2"/>
  <c r="E7" i="2"/>
  <c r="AA7" i="2" s="1"/>
  <c r="E8" i="2"/>
  <c r="E9" i="2"/>
  <c r="AA9" i="2" s="1"/>
  <c r="E10" i="2"/>
  <c r="E11" i="2"/>
  <c r="AA11" i="2" s="1"/>
  <c r="E12" i="2"/>
  <c r="E13" i="2"/>
  <c r="AA13" i="2" s="1"/>
  <c r="E14" i="2"/>
  <c r="E15" i="2"/>
  <c r="AA15" i="2" s="1"/>
  <c r="E16" i="2"/>
  <c r="E17" i="2"/>
  <c r="AA17" i="2" s="1"/>
  <c r="E18" i="2"/>
  <c r="E19" i="2"/>
  <c r="AA19" i="2" s="1"/>
  <c r="E20" i="2"/>
  <c r="E21" i="2"/>
  <c r="AA21" i="2" s="1"/>
  <c r="E22" i="2"/>
  <c r="E23" i="2"/>
  <c r="AA23" i="2" s="1"/>
  <c r="E24" i="2"/>
  <c r="E25" i="2"/>
  <c r="AA25" i="2" s="1"/>
  <c r="E26" i="2"/>
  <c r="E27" i="2"/>
  <c r="AA27" i="2" s="1"/>
  <c r="E28" i="2"/>
  <c r="E29" i="2"/>
  <c r="AA29" i="2" s="1"/>
  <c r="E30" i="2"/>
  <c r="E31" i="2"/>
  <c r="AA31" i="2" s="1"/>
  <c r="E32" i="2"/>
  <c r="E33" i="2"/>
  <c r="AA33" i="2" s="1"/>
  <c r="E34" i="2"/>
  <c r="E35" i="2"/>
  <c r="AA35" i="2" s="1"/>
  <c r="E36" i="2"/>
  <c r="E37" i="2"/>
  <c r="AA37" i="2" s="1"/>
  <c r="E38" i="2"/>
  <c r="E39" i="2"/>
  <c r="AA39" i="2" s="1"/>
  <c r="E40" i="2"/>
  <c r="E41" i="2"/>
  <c r="AA41" i="2" s="1"/>
  <c r="E42" i="2"/>
  <c r="E43" i="2"/>
  <c r="AA43" i="2" s="1"/>
  <c r="E44" i="2"/>
  <c r="E45" i="2"/>
  <c r="D6" i="2"/>
  <c r="D7" i="2"/>
  <c r="Z7" i="2" s="1"/>
  <c r="D8" i="2"/>
  <c r="D9" i="2"/>
  <c r="Z9" i="2" s="1"/>
  <c r="D10" i="2"/>
  <c r="D11" i="2"/>
  <c r="Z11" i="2" s="1"/>
  <c r="D12" i="2"/>
  <c r="D13" i="2"/>
  <c r="Z13" i="2" s="1"/>
  <c r="D14" i="2"/>
  <c r="D15" i="2"/>
  <c r="Z15" i="2" s="1"/>
  <c r="D16" i="2"/>
  <c r="D17" i="2"/>
  <c r="Z17" i="2" s="1"/>
  <c r="D18" i="2"/>
  <c r="D19" i="2"/>
  <c r="Z19" i="2" s="1"/>
  <c r="D20" i="2"/>
  <c r="D21" i="2"/>
  <c r="Z21" i="2" s="1"/>
  <c r="D22" i="2"/>
  <c r="D23" i="2"/>
  <c r="Z23" i="2" s="1"/>
  <c r="D24" i="2"/>
  <c r="D25" i="2"/>
  <c r="Z25" i="2" s="1"/>
  <c r="D26" i="2"/>
  <c r="D27" i="2"/>
  <c r="Z27" i="2" s="1"/>
  <c r="D28" i="2"/>
  <c r="D29" i="2"/>
  <c r="Z29" i="2" s="1"/>
  <c r="D30" i="2"/>
  <c r="D31" i="2"/>
  <c r="Z31" i="2" s="1"/>
  <c r="D32" i="2"/>
  <c r="D33" i="2"/>
  <c r="Z33" i="2" s="1"/>
  <c r="D34" i="2"/>
  <c r="D35" i="2"/>
  <c r="Z35" i="2" s="1"/>
  <c r="D36" i="2"/>
  <c r="D37" i="2"/>
  <c r="Z37" i="2" s="1"/>
  <c r="D38" i="2"/>
  <c r="D39" i="2"/>
  <c r="Z39" i="2" s="1"/>
  <c r="D40" i="2"/>
  <c r="D41" i="2"/>
  <c r="Z41" i="2" s="1"/>
  <c r="D42" i="2"/>
  <c r="D43" i="2"/>
  <c r="Z43" i="2" s="1"/>
  <c r="D44" i="2"/>
  <c r="D45" i="2"/>
  <c r="Z45" i="2" s="1"/>
  <c r="C6" i="2"/>
  <c r="H7" i="2" s="1"/>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5" i="2"/>
  <c r="AW40" i="2" l="1"/>
  <c r="AW32" i="2"/>
  <c r="AW24" i="2"/>
  <c r="AW16" i="2"/>
  <c r="AW8" i="2"/>
  <c r="AV42" i="2"/>
  <c r="AX42" i="2" s="1"/>
  <c r="AV38" i="2"/>
  <c r="AX38" i="2" s="1"/>
  <c r="AV34" i="2"/>
  <c r="AX34" i="2" s="1"/>
  <c r="AV30" i="2"/>
  <c r="AV26" i="2"/>
  <c r="AX26" i="2" s="1"/>
  <c r="AV22" i="2"/>
  <c r="AX22" i="2" s="1"/>
  <c r="AV18" i="2"/>
  <c r="AX18" i="2" s="1"/>
  <c r="AV14" i="2"/>
  <c r="AV10" i="2"/>
  <c r="AX10" i="2" s="1"/>
  <c r="AX30" i="2"/>
  <c r="AX14" i="2"/>
  <c r="AO30" i="2"/>
  <c r="AW44" i="2"/>
  <c r="AW36" i="2"/>
  <c r="AW28" i="2"/>
  <c r="AW20" i="2"/>
  <c r="AW12" i="2"/>
  <c r="AV6" i="2"/>
  <c r="AO14" i="2"/>
  <c r="AW42" i="2"/>
  <c r="AW38" i="2"/>
  <c r="AW34" i="2"/>
  <c r="AW30" i="2"/>
  <c r="AW26" i="2"/>
  <c r="AW22" i="2"/>
  <c r="AW18" i="2"/>
  <c r="AW14" i="2"/>
  <c r="AW10" i="2"/>
  <c r="X41" i="2"/>
  <c r="Y41" i="2" s="1"/>
  <c r="X37" i="2"/>
  <c r="Y37" i="2" s="1"/>
  <c r="X33" i="2"/>
  <c r="Y33" i="2" s="1"/>
  <c r="X29" i="2"/>
  <c r="Y29" i="2" s="1"/>
  <c r="X25" i="2"/>
  <c r="Y25" i="2" s="1"/>
  <c r="X17" i="2"/>
  <c r="Y17" i="2" s="1"/>
  <c r="H45" i="2"/>
  <c r="G45" i="2"/>
  <c r="H43" i="2"/>
  <c r="N44" i="2" s="1"/>
  <c r="G43" i="2"/>
  <c r="H41" i="2"/>
  <c r="N42" i="2" s="1"/>
  <c r="G41" i="2"/>
  <c r="H39" i="2"/>
  <c r="N40" i="2" s="1"/>
  <c r="G39" i="2"/>
  <c r="H37" i="2"/>
  <c r="N38" i="2" s="1"/>
  <c r="G37" i="2"/>
  <c r="H35" i="2"/>
  <c r="N36" i="2" s="1"/>
  <c r="G35" i="2"/>
  <c r="H33" i="2"/>
  <c r="N34" i="2" s="1"/>
  <c r="G33" i="2"/>
  <c r="H31" i="2"/>
  <c r="N32" i="2" s="1"/>
  <c r="G31" i="2"/>
  <c r="H29" i="2"/>
  <c r="N30" i="2" s="1"/>
  <c r="G29" i="2"/>
  <c r="H27" i="2"/>
  <c r="N28" i="2" s="1"/>
  <c r="G27" i="2"/>
  <c r="H25" i="2"/>
  <c r="N26" i="2" s="1"/>
  <c r="G25" i="2"/>
  <c r="H23" i="2"/>
  <c r="N24" i="2" s="1"/>
  <c r="G23" i="2"/>
  <c r="H21" i="2"/>
  <c r="N22" i="2" s="1"/>
  <c r="G21" i="2"/>
  <c r="H19" i="2"/>
  <c r="N20" i="2" s="1"/>
  <c r="H17" i="2"/>
  <c r="N18" i="2" s="1"/>
  <c r="H15" i="2"/>
  <c r="N16" i="2" s="1"/>
  <c r="H13" i="2"/>
  <c r="N14" i="2" s="1"/>
  <c r="H11" i="2"/>
  <c r="N12" i="2" s="1"/>
  <c r="H9" i="2"/>
  <c r="N10" i="2" s="1"/>
  <c r="AO6" i="2"/>
  <c r="AP42" i="2"/>
  <c r="AO42" i="2"/>
  <c r="AP34" i="2"/>
  <c r="AO34" i="2"/>
  <c r="AP26" i="2"/>
  <c r="AO26" i="2"/>
  <c r="AP18" i="2"/>
  <c r="AO18" i="2"/>
  <c r="AP10" i="2"/>
  <c r="AO10" i="2"/>
  <c r="AO40" i="2"/>
  <c r="AP44" i="2"/>
  <c r="AP28" i="2"/>
  <c r="X21" i="2"/>
  <c r="Y21" i="2" s="1"/>
  <c r="X13" i="2"/>
  <c r="Y13" i="2" s="1"/>
  <c r="X9" i="2"/>
  <c r="Y9" i="2" s="1"/>
  <c r="AO32" i="2"/>
  <c r="AP32" i="2"/>
  <c r="AO24" i="2"/>
  <c r="AP24" i="2"/>
  <c r="AO20" i="2"/>
  <c r="AP20" i="2"/>
  <c r="AO16" i="2"/>
  <c r="AP16" i="2"/>
  <c r="AO12" i="2"/>
  <c r="AP12" i="2"/>
  <c r="AO8" i="2"/>
  <c r="AP8" i="2"/>
  <c r="AP38" i="2"/>
  <c r="AO38" i="2"/>
  <c r="AO36" i="2"/>
  <c r="AO22" i="2"/>
  <c r="AV44" i="2"/>
  <c r="AX44" i="2" s="1"/>
  <c r="AV40" i="2"/>
  <c r="AX40" i="2" s="1"/>
  <c r="AV36" i="2"/>
  <c r="AX36" i="2" s="1"/>
  <c r="AV32" i="2"/>
  <c r="AX32" i="2" s="1"/>
  <c r="AV28" i="2"/>
  <c r="AX28" i="2" s="1"/>
  <c r="AV24" i="2"/>
  <c r="AX24" i="2" s="1"/>
  <c r="AV20" i="2"/>
  <c r="AX20" i="2" s="1"/>
  <c r="AV16" i="2"/>
  <c r="AX16" i="2" s="1"/>
  <c r="AV12" i="2"/>
  <c r="AX12" i="2" s="1"/>
  <c r="AV8" i="2"/>
  <c r="AX8" i="2" s="1"/>
  <c r="AA45" i="2"/>
  <c r="X45" i="2"/>
  <c r="Y45" i="2" s="1"/>
  <c r="AE45" i="2" s="1"/>
  <c r="G13" i="2"/>
  <c r="AE41" i="2"/>
  <c r="AE29" i="2"/>
  <c r="AH19" i="2"/>
  <c r="G19" i="2"/>
  <c r="G11" i="2"/>
  <c r="X43" i="2"/>
  <c r="X39" i="2"/>
  <c r="X35" i="2"/>
  <c r="Y35" i="2" s="1"/>
  <c r="X31" i="2"/>
  <c r="Y31" i="2" s="1"/>
  <c r="X27" i="2"/>
  <c r="X23" i="2"/>
  <c r="Y23" i="2" s="1"/>
  <c r="X19" i="2"/>
  <c r="X15" i="2"/>
  <c r="X11" i="2"/>
  <c r="X7" i="2"/>
  <c r="AH45" i="2"/>
  <c r="AB41" i="2"/>
  <c r="AG41" i="2" s="1"/>
  <c r="AS41" i="2" s="1"/>
  <c r="AB37" i="2"/>
  <c r="AJ35" i="2" s="1"/>
  <c r="AB33" i="2"/>
  <c r="AJ31" i="2" s="1"/>
  <c r="AB29" i="2"/>
  <c r="AJ27" i="2" s="1"/>
  <c r="AB25" i="2"/>
  <c r="AJ23" i="2" s="1"/>
  <c r="AB21" i="2"/>
  <c r="AJ19" i="2" s="1"/>
  <c r="AB17" i="2"/>
  <c r="AJ15" i="2" s="1"/>
  <c r="AB13" i="2"/>
  <c r="AJ11" i="2" s="1"/>
  <c r="AB9" i="2"/>
  <c r="AG9" i="2" s="1"/>
  <c r="AS9" i="2" s="1"/>
  <c r="G17" i="2"/>
  <c r="G9" i="2"/>
  <c r="Y43" i="2"/>
  <c r="Y39" i="2"/>
  <c r="G15" i="2"/>
  <c r="G7" i="2"/>
  <c r="AB43" i="2"/>
  <c r="AJ41" i="2" s="1"/>
  <c r="AB39" i="2"/>
  <c r="AJ37" i="2" s="1"/>
  <c r="AB35" i="2"/>
  <c r="AG35" i="2" s="1"/>
  <c r="AS35" i="2" s="1"/>
  <c r="AB31" i="2"/>
  <c r="AJ29" i="2" s="1"/>
  <c r="AB27" i="2"/>
  <c r="AG27" i="2" s="1"/>
  <c r="AS27" i="2" s="1"/>
  <c r="AB23" i="2"/>
  <c r="AJ21" i="2" s="1"/>
  <c r="AB19" i="2"/>
  <c r="AG19" i="2" s="1"/>
  <c r="AS19" i="2" s="1"/>
  <c r="AB15" i="2"/>
  <c r="AJ13" i="2" s="1"/>
  <c r="AB11" i="2"/>
  <c r="AG11" i="2" s="1"/>
  <c r="AS11" i="2" s="1"/>
  <c r="AB7" i="2"/>
  <c r="AG7" i="2" s="1"/>
  <c r="AS7" i="2" s="1"/>
  <c r="AJ45" i="2"/>
  <c r="AX6" i="2"/>
  <c r="F5" i="2"/>
  <c r="AC5" i="2" s="1"/>
  <c r="E5" i="2"/>
  <c r="D5" i="2"/>
  <c r="Z5" i="2" s="1"/>
  <c r="C5" i="2"/>
  <c r="X5" i="2" s="1"/>
  <c r="Y5" i="2" s="1"/>
  <c r="AH23" i="2" l="1"/>
  <c r="AE33" i="2"/>
  <c r="AR33" i="2" s="1"/>
  <c r="AE9" i="2"/>
  <c r="AH11" i="2"/>
  <c r="AT11" i="2" s="1"/>
  <c r="AE25" i="2"/>
  <c r="AR25" i="2" s="1"/>
  <c r="AH31" i="2"/>
  <c r="AT31" i="2" s="1"/>
  <c r="AH39" i="2"/>
  <c r="AI39" i="2" s="1"/>
  <c r="AH7" i="2"/>
  <c r="AI7" i="2" s="1"/>
  <c r="AH15" i="2"/>
  <c r="AI15" i="2" s="1"/>
  <c r="AE21" i="2"/>
  <c r="AR21" i="2" s="1"/>
  <c r="AH35" i="2"/>
  <c r="AT35" i="2" s="1"/>
  <c r="AE13" i="2"/>
  <c r="AR13" i="2" s="1"/>
  <c r="AE17" i="2"/>
  <c r="AR17" i="2" s="1"/>
  <c r="AH27" i="2"/>
  <c r="AT27" i="2" s="1"/>
  <c r="AE37" i="2"/>
  <c r="AF37" i="2" s="1"/>
  <c r="AB45" i="2"/>
  <c r="AJ43" i="2" s="1"/>
  <c r="AU43" i="2" s="1"/>
  <c r="AH43" i="2"/>
  <c r="AI43" i="2" s="1"/>
  <c r="AJ17" i="2"/>
  <c r="AU17" i="2" s="1"/>
  <c r="AJ33" i="2"/>
  <c r="AU33" i="2" s="1"/>
  <c r="AE5" i="2"/>
  <c r="AF5" i="2" s="1"/>
  <c r="AH33" i="2"/>
  <c r="AE23" i="2"/>
  <c r="AR23" i="2" s="1"/>
  <c r="AE39" i="2"/>
  <c r="AF39" i="2" s="1"/>
  <c r="Y7" i="2"/>
  <c r="AH5" i="2" s="1"/>
  <c r="AT5" i="2" s="1"/>
  <c r="AH41" i="2"/>
  <c r="AK41" i="2" s="1"/>
  <c r="AU23" i="2"/>
  <c r="AR39" i="2"/>
  <c r="AU21" i="2"/>
  <c r="AU37" i="2"/>
  <c r="AU11" i="2"/>
  <c r="AV11" i="2" s="1"/>
  <c r="AM11" i="2"/>
  <c r="AU27" i="2"/>
  <c r="AV27" i="2" s="1"/>
  <c r="AM27" i="2"/>
  <c r="AU29" i="2"/>
  <c r="AU41" i="2"/>
  <c r="AV41" i="2" s="1"/>
  <c r="AM41" i="2"/>
  <c r="AU15" i="2"/>
  <c r="AU31" i="2"/>
  <c r="AU13" i="2"/>
  <c r="AU19" i="2"/>
  <c r="AV19" i="2" s="1"/>
  <c r="AM19" i="2"/>
  <c r="AU35" i="2"/>
  <c r="AV35" i="2" s="1"/>
  <c r="AM35" i="2"/>
  <c r="AJ9" i="2"/>
  <c r="AJ25" i="2"/>
  <c r="AT45" i="2"/>
  <c r="AK45" i="2"/>
  <c r="AI45" i="2"/>
  <c r="AJ7" i="2"/>
  <c r="AG17" i="2"/>
  <c r="AS17" i="2" s="1"/>
  <c r="AG25" i="2"/>
  <c r="AS25" i="2" s="1"/>
  <c r="AG33" i="2"/>
  <c r="AS33" i="2" s="1"/>
  <c r="AJ39" i="2"/>
  <c r="AF13" i="2"/>
  <c r="AT19" i="2"/>
  <c r="AI19" i="2"/>
  <c r="AI35" i="2"/>
  <c r="Y27" i="2"/>
  <c r="AH25" i="2" s="1"/>
  <c r="AH21" i="2"/>
  <c r="AE35" i="2"/>
  <c r="AH37" i="2"/>
  <c r="AA5" i="2"/>
  <c r="AB5" i="2" s="1"/>
  <c r="AG39" i="2"/>
  <c r="AS39" i="2" s="1"/>
  <c r="AR45" i="2"/>
  <c r="AP45" i="2"/>
  <c r="AF45" i="2"/>
  <c r="AG15" i="2"/>
  <c r="AS15" i="2" s="1"/>
  <c r="AG23" i="2"/>
  <c r="AS23" i="2" s="1"/>
  <c r="AG31" i="2"/>
  <c r="AS31" i="2" s="1"/>
  <c r="AJ5" i="2"/>
  <c r="Y15" i="2"/>
  <c r="AH13" i="2" s="1"/>
  <c r="Y11" i="2"/>
  <c r="AH9" i="2" s="1"/>
  <c r="AH29" i="2"/>
  <c r="AU45" i="2"/>
  <c r="AT43" i="2"/>
  <c r="AG43" i="2"/>
  <c r="AS43" i="2" s="1"/>
  <c r="AG13" i="2"/>
  <c r="AS13" i="2" s="1"/>
  <c r="AG21" i="2"/>
  <c r="AS21" i="2" s="1"/>
  <c r="AG29" i="2"/>
  <c r="AS29" i="2" s="1"/>
  <c r="AG37" i="2"/>
  <c r="AS37" i="2" s="1"/>
  <c r="AR9" i="2"/>
  <c r="AF9" i="2"/>
  <c r="AF17" i="2"/>
  <c r="AF25" i="2"/>
  <c r="AR29" i="2"/>
  <c r="AF29" i="2"/>
  <c r="AR41" i="2"/>
  <c r="AF41" i="2"/>
  <c r="Y19" i="2"/>
  <c r="AE19" i="2" s="1"/>
  <c r="AE31" i="2"/>
  <c r="AE43" i="2"/>
  <c r="AT15" i="2"/>
  <c r="AT23" i="2"/>
  <c r="AI23" i="2"/>
  <c r="AT39" i="2"/>
  <c r="AF21" i="2" l="1"/>
  <c r="AI5" i="2"/>
  <c r="AI31" i="2"/>
  <c r="AF33" i="2"/>
  <c r="AT7" i="2"/>
  <c r="AI27" i="2"/>
  <c r="AI11" i="2"/>
  <c r="AK33" i="2"/>
  <c r="AE27" i="2"/>
  <c r="AK27" i="2" s="1"/>
  <c r="AR37" i="2"/>
  <c r="AI33" i="2"/>
  <c r="AK35" i="2"/>
  <c r="AT33" i="2"/>
  <c r="AW33" i="2" s="1"/>
  <c r="AT41" i="2"/>
  <c r="AW41" i="2" s="1"/>
  <c r="AE7" i="2"/>
  <c r="AG45" i="2"/>
  <c r="AR5" i="2"/>
  <c r="AW5" i="2" s="1"/>
  <c r="AL39" i="2"/>
  <c r="AM43" i="2"/>
  <c r="AK5" i="2"/>
  <c r="AK39" i="2"/>
  <c r="AF23" i="2"/>
  <c r="AL23" i="2" s="1"/>
  <c r="AW23" i="2"/>
  <c r="AL5" i="2"/>
  <c r="AW39" i="2"/>
  <c r="AK23" i="2"/>
  <c r="AI41" i="2"/>
  <c r="AL41" i="2" s="1"/>
  <c r="AN41" i="2" s="1"/>
  <c r="AG5" i="2"/>
  <c r="AS5" i="2" s="1"/>
  <c r="AT25" i="2"/>
  <c r="AW25" i="2" s="1"/>
  <c r="AK25" i="2"/>
  <c r="AI25" i="2"/>
  <c r="AL25" i="2" s="1"/>
  <c r="AR19" i="2"/>
  <c r="AX19" i="2" s="1"/>
  <c r="AF19" i="2"/>
  <c r="AL19" i="2" s="1"/>
  <c r="AN19" i="2" s="1"/>
  <c r="AK19" i="2"/>
  <c r="AT9" i="2"/>
  <c r="AW9" i="2" s="1"/>
  <c r="AK9" i="2"/>
  <c r="AI9" i="2"/>
  <c r="AL9" i="2" s="1"/>
  <c r="AT13" i="2"/>
  <c r="AW13" i="2" s="1"/>
  <c r="AK13" i="2"/>
  <c r="AI13" i="2"/>
  <c r="AL13" i="2" s="1"/>
  <c r="AE11" i="2"/>
  <c r="AR35" i="2"/>
  <c r="AX35" i="2" s="1"/>
  <c r="AD35" i="2" s="1"/>
  <c r="AF35" i="2"/>
  <c r="AL35" i="2" s="1"/>
  <c r="AN35" i="2" s="1"/>
  <c r="AL45" i="2"/>
  <c r="AN45" i="2" s="1"/>
  <c r="AO45" i="2" s="1"/>
  <c r="AV33" i="2"/>
  <c r="AU9" i="2"/>
  <c r="AV9" i="2" s="1"/>
  <c r="AM9" i="2"/>
  <c r="AE15" i="2"/>
  <c r="AV15" i="2"/>
  <c r="AV29" i="2"/>
  <c r="AV37" i="2"/>
  <c r="AM23" i="2"/>
  <c r="AT29" i="2"/>
  <c r="AW29" i="2" s="1"/>
  <c r="AK29" i="2"/>
  <c r="AI29" i="2"/>
  <c r="AL29" i="2" s="1"/>
  <c r="AU5" i="2"/>
  <c r="AT21" i="2"/>
  <c r="AW21" i="2" s="1"/>
  <c r="AI21" i="2"/>
  <c r="AL21" i="2" s="1"/>
  <c r="AK21" i="2"/>
  <c r="AU25" i="2"/>
  <c r="AV25" i="2" s="1"/>
  <c r="AM25" i="2"/>
  <c r="AH17" i="2"/>
  <c r="AM31" i="2"/>
  <c r="AM21" i="2"/>
  <c r="AV23" i="2"/>
  <c r="AX23" i="2" s="1"/>
  <c r="AD23" i="2" s="1"/>
  <c r="AR31" i="2"/>
  <c r="AW31" i="2" s="1"/>
  <c r="AF31" i="2"/>
  <c r="AV43" i="2"/>
  <c r="AF27" i="2"/>
  <c r="AL27" i="2" s="1"/>
  <c r="AN27" i="2" s="1"/>
  <c r="AK31" i="2"/>
  <c r="AW45" i="2"/>
  <c r="AM17" i="2"/>
  <c r="AL33" i="2"/>
  <c r="AM13" i="2"/>
  <c r="AV31" i="2"/>
  <c r="AV21" i="2"/>
  <c r="AR43" i="2"/>
  <c r="AF43" i="2"/>
  <c r="AL43" i="2" s="1"/>
  <c r="AK43" i="2"/>
  <c r="AT37" i="2"/>
  <c r="AK37" i="2"/>
  <c r="AI37" i="2"/>
  <c r="AL37" i="2" s="1"/>
  <c r="AU39" i="2"/>
  <c r="AV39" i="2" s="1"/>
  <c r="AX39" i="2" s="1"/>
  <c r="AD39" i="2" s="1"/>
  <c r="AM39" i="2"/>
  <c r="AU7" i="2"/>
  <c r="AV7" i="2" s="1"/>
  <c r="AM7" i="2"/>
  <c r="AM33" i="2"/>
  <c r="AV17" i="2"/>
  <c r="AV13" i="2"/>
  <c r="AX13" i="2" s="1"/>
  <c r="AD13" i="2" s="1"/>
  <c r="AM15" i="2"/>
  <c r="AM29" i="2"/>
  <c r="AM37"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6" i="2"/>
  <c r="M13" i="4"/>
  <c r="L4" i="4"/>
  <c r="M4" i="4" s="1"/>
  <c r="L5" i="4"/>
  <c r="M5" i="4" s="1"/>
  <c r="L6" i="4"/>
  <c r="M6" i="4" s="1"/>
  <c r="L7" i="4"/>
  <c r="M7" i="4" s="1"/>
  <c r="L8" i="4"/>
  <c r="M8" i="4" s="1"/>
  <c r="L9" i="4"/>
  <c r="M9" i="4" s="1"/>
  <c r="L12" i="4"/>
  <c r="M12" i="4" s="1"/>
  <c r="L14" i="4"/>
  <c r="M14" i="4" s="1"/>
  <c r="L15" i="4"/>
  <c r="M15" i="4" s="1"/>
  <c r="L16" i="4"/>
  <c r="M16" i="4" s="1"/>
  <c r="L17" i="4"/>
  <c r="M17" i="4" s="1"/>
  <c r="L18" i="4"/>
  <c r="M18" i="4" s="1"/>
  <c r="L19" i="4"/>
  <c r="M19" i="4" s="1"/>
  <c r="L20" i="4"/>
  <c r="M20" i="4" s="1"/>
  <c r="L21" i="4"/>
  <c r="M21" i="4" s="1"/>
  <c r="L22" i="4"/>
  <c r="M22" i="4" s="1"/>
  <c r="L23" i="4"/>
  <c r="M23" i="4" s="1"/>
  <c r="L24" i="4"/>
  <c r="M24" i="4" s="1"/>
  <c r="L25" i="4"/>
  <c r="M25" i="4" s="1"/>
  <c r="L26" i="4"/>
  <c r="M26" i="4" s="1"/>
  <c r="L3" i="4"/>
  <c r="M3" i="4" s="1"/>
  <c r="K9" i="4"/>
  <c r="K4" i="4"/>
  <c r="K5" i="4"/>
  <c r="K6" i="4"/>
  <c r="K7" i="4"/>
  <c r="K8" i="4"/>
  <c r="K12" i="4"/>
  <c r="K13" i="4"/>
  <c r="K14" i="4"/>
  <c r="K15" i="4"/>
  <c r="K16" i="4"/>
  <c r="K17" i="4"/>
  <c r="K18" i="4"/>
  <c r="K19" i="4"/>
  <c r="K20" i="4"/>
  <c r="K21" i="4"/>
  <c r="K3" i="4"/>
  <c r="AW37" i="2" l="1"/>
  <c r="AX41" i="2"/>
  <c r="AD41" i="2" s="1"/>
  <c r="AR27" i="2"/>
  <c r="AX27" i="2" s="1"/>
  <c r="AD27" i="2" s="1"/>
  <c r="AL31" i="2"/>
  <c r="AN31" i="2" s="1"/>
  <c r="AP31" i="2" s="1"/>
  <c r="G32" i="2" s="1"/>
  <c r="AX33" i="2"/>
  <c r="AD33" i="2" s="1"/>
  <c r="AN39" i="2"/>
  <c r="AO39" i="2" s="1"/>
  <c r="H40" i="2" s="1"/>
  <c r="AW19" i="2"/>
  <c r="AM5" i="2"/>
  <c r="AN5" i="2" s="1"/>
  <c r="AP5" i="2" s="1"/>
  <c r="G6" i="2" s="1"/>
  <c r="AN23" i="2"/>
  <c r="AO23" i="2" s="1"/>
  <c r="H24" i="2" s="1"/>
  <c r="AN43" i="2"/>
  <c r="AP43" i="2" s="1"/>
  <c r="G44" i="2" s="1"/>
  <c r="AW27" i="2"/>
  <c r="AX9" i="2"/>
  <c r="AD9" i="2" s="1"/>
  <c r="AO19" i="2"/>
  <c r="H20" i="2" s="1"/>
  <c r="AR7" i="2"/>
  <c r="AW7" i="2" s="1"/>
  <c r="AF7" i="2"/>
  <c r="AL7" i="2" s="1"/>
  <c r="AN7" i="2" s="1"/>
  <c r="AK7" i="2"/>
  <c r="AX43" i="2"/>
  <c r="AD43" i="2" s="1"/>
  <c r="AS45" i="2"/>
  <c r="AV45" i="2" s="1"/>
  <c r="AX45" i="2" s="1"/>
  <c r="AD45" i="2" s="1"/>
  <c r="AM45" i="2"/>
  <c r="AV5" i="2"/>
  <c r="AX5" i="2" s="1"/>
  <c r="AD5" i="2" s="1"/>
  <c r="AX29" i="2"/>
  <c r="AD29" i="2" s="1"/>
  <c r="AX31" i="2"/>
  <c r="AD31" i="2" s="1"/>
  <c r="AN33" i="2"/>
  <c r="AP33" i="2" s="1"/>
  <c r="G34" i="2" s="1"/>
  <c r="AX25" i="2"/>
  <c r="AD25" i="2" s="1"/>
  <c r="AP39" i="2"/>
  <c r="G40" i="2" s="1"/>
  <c r="AO35" i="2"/>
  <c r="H36" i="2" s="1"/>
  <c r="AP35" i="2"/>
  <c r="G36" i="2" s="1"/>
  <c r="AO27" i="2"/>
  <c r="H28" i="2" s="1"/>
  <c r="AP27" i="2"/>
  <c r="G28" i="2" s="1"/>
  <c r="AX21" i="2"/>
  <c r="AD21" i="2" s="1"/>
  <c r="AN13" i="2"/>
  <c r="AP23" i="2"/>
  <c r="G24" i="2" s="1"/>
  <c r="AN37" i="2"/>
  <c r="AO41" i="2"/>
  <c r="H42" i="2" s="1"/>
  <c r="AP41" i="2"/>
  <c r="G42" i="2" s="1"/>
  <c r="AW35" i="2"/>
  <c r="AN9" i="2"/>
  <c r="AN25" i="2"/>
  <c r="AX37" i="2"/>
  <c r="AD37" i="2" s="1"/>
  <c r="AR11" i="2"/>
  <c r="AF11" i="2"/>
  <c r="AL11" i="2" s="1"/>
  <c r="AN11" i="2" s="1"/>
  <c r="AP11" i="2" s="1"/>
  <c r="G12" i="2" s="1"/>
  <c r="AK11" i="2"/>
  <c r="AP19" i="2"/>
  <c r="G20" i="2" s="1"/>
  <c r="AO33" i="2"/>
  <c r="H34" i="2" s="1"/>
  <c r="AT17" i="2"/>
  <c r="AK17" i="2"/>
  <c r="AI17" i="2"/>
  <c r="AL17" i="2" s="1"/>
  <c r="AN17" i="2" s="1"/>
  <c r="AN21" i="2"/>
  <c r="AN29" i="2"/>
  <c r="AW43" i="2"/>
  <c r="AR15" i="2"/>
  <c r="AF15" i="2"/>
  <c r="AL15" i="2" s="1"/>
  <c r="AN15" i="2" s="1"/>
  <c r="AP15" i="2" s="1"/>
  <c r="G16" i="2" s="1"/>
  <c r="AK15" i="2"/>
  <c r="AD19" i="2"/>
  <c r="Q8" i="2"/>
  <c r="Q10" i="2"/>
  <c r="Q12" i="2"/>
  <c r="Q14" i="2"/>
  <c r="Q16" i="2"/>
  <c r="Q18" i="2"/>
  <c r="Q20" i="2"/>
  <c r="Q22" i="2"/>
  <c r="Q24" i="2"/>
  <c r="Q26" i="2"/>
  <c r="Q28" i="2"/>
  <c r="Q30" i="2"/>
  <c r="Q32" i="2"/>
  <c r="Q34" i="2"/>
  <c r="Q36" i="2"/>
  <c r="Q38" i="2"/>
  <c r="Q40" i="2"/>
  <c r="Q42" i="2"/>
  <c r="Q44" i="2"/>
  <c r="Q6" i="2"/>
  <c r="AO5" i="2" l="1"/>
  <c r="H6" i="2" s="1"/>
  <c r="N7" i="2" s="1"/>
  <c r="AO43" i="2"/>
  <c r="H44" i="2" s="1"/>
  <c r="AO7" i="2"/>
  <c r="H8" i="2" s="1"/>
  <c r="N9" i="2" s="1"/>
  <c r="AP7" i="2"/>
  <c r="G8" i="2" s="1"/>
  <c r="AO17" i="2"/>
  <c r="H18" i="2" s="1"/>
  <c r="AO31" i="2"/>
  <c r="H32" i="2" s="1"/>
  <c r="AX7" i="2"/>
  <c r="AD7" i="2" s="1"/>
  <c r="AO9" i="2"/>
  <c r="H10" i="2" s="1"/>
  <c r="AP9" i="2"/>
  <c r="G10" i="2" s="1"/>
  <c r="AO37" i="2"/>
  <c r="H38" i="2" s="1"/>
  <c r="AP37" i="2"/>
  <c r="G38" i="2" s="1"/>
  <c r="AO15" i="2"/>
  <c r="H16" i="2" s="1"/>
  <c r="AO29" i="2"/>
  <c r="H30" i="2" s="1"/>
  <c r="AP29" i="2"/>
  <c r="G30" i="2" s="1"/>
  <c r="AX11" i="2"/>
  <c r="AD11" i="2" s="1"/>
  <c r="AW11" i="2"/>
  <c r="AO21" i="2"/>
  <c r="H22" i="2" s="1"/>
  <c r="AP21" i="2"/>
  <c r="G22" i="2" s="1"/>
  <c r="AW17" i="2"/>
  <c r="AX17" i="2"/>
  <c r="AD17" i="2" s="1"/>
  <c r="AO13" i="2"/>
  <c r="H14" i="2" s="1"/>
  <c r="AP13" i="2"/>
  <c r="G14" i="2" s="1"/>
  <c r="AX15" i="2"/>
  <c r="AD15" i="2" s="1"/>
  <c r="AW15" i="2"/>
  <c r="AP17" i="2"/>
  <c r="G18" i="2" s="1"/>
  <c r="AO11" i="2"/>
  <c r="H12" i="2" s="1"/>
  <c r="AO25" i="2"/>
  <c r="H26" i="2" s="1"/>
  <c r="AP25" i="2"/>
  <c r="G26" i="2" s="1"/>
  <c r="N6" i="2"/>
  <c r="C2" i="2"/>
  <c r="D1" i="2"/>
  <c r="C18" i="4"/>
  <c r="C19" i="4" s="1"/>
  <c r="C20" i="4" s="1"/>
  <c r="C23" i="4" s="1"/>
  <c r="C12" i="4"/>
  <c r="C13" i="4"/>
  <c r="K1" i="2"/>
  <c r="F4" i="1" l="1"/>
  <c r="M5" i="2" s="1"/>
  <c r="M7" i="2" s="1"/>
  <c r="M9" i="2" s="1"/>
  <c r="M11" i="2" s="1"/>
  <c r="M13" i="2" s="1"/>
  <c r="M15" i="2" s="1"/>
  <c r="M17" i="2" s="1"/>
  <c r="M19" i="2" s="1"/>
  <c r="M21" i="2" s="1"/>
  <c r="M23" i="2" s="1"/>
  <c r="M25" i="2" s="1"/>
  <c r="M27" i="2" s="1"/>
  <c r="M29" i="2" s="1"/>
  <c r="M31" i="2" s="1"/>
  <c r="M33" i="2" s="1"/>
  <c r="M35" i="2" s="1"/>
  <c r="M37" i="2" s="1"/>
  <c r="M39" i="2" s="1"/>
  <c r="M41" i="2" s="1"/>
  <c r="M43" i="2" s="1"/>
  <c r="M45" i="2" s="1"/>
  <c r="N11" i="2"/>
  <c r="N13" i="2" s="1"/>
  <c r="N15" i="2" s="1"/>
  <c r="N17" i="2" s="1"/>
  <c r="N19" i="2" s="1"/>
  <c r="N21" i="2" s="1"/>
  <c r="N23" i="2" s="1"/>
  <c r="N25" i="2" s="1"/>
  <c r="N27" i="2" s="1"/>
  <c r="N29" i="2" s="1"/>
  <c r="N31" i="2" s="1"/>
  <c r="N33" i="2" s="1"/>
  <c r="N35" i="2" s="1"/>
  <c r="N37" i="2" s="1"/>
  <c r="N39" i="2" s="1"/>
  <c r="N41" i="2" s="1"/>
  <c r="N43" i="2" s="1"/>
  <c r="N45" i="2" s="1"/>
  <c r="C15" i="4"/>
  <c r="C16" i="4" s="1"/>
  <c r="C22" i="4" s="1"/>
</calcChain>
</file>

<file path=xl/comments1.xml><?xml version="1.0" encoding="utf-8"?>
<comments xmlns="http://schemas.openxmlformats.org/spreadsheetml/2006/main">
  <authors>
    <author>off1</author>
  </authors>
  <commentList>
    <comment ref="O2" authorId="0" shapeId="0">
      <text>
        <r>
          <rPr>
            <sz val="10"/>
            <color indexed="81"/>
            <rFont val="Tahoma"/>
            <family val="2"/>
          </rPr>
          <t xml:space="preserve">enter </t>
        </r>
        <r>
          <rPr>
            <u/>
            <sz val="10"/>
            <color indexed="81"/>
            <rFont val="Tahoma"/>
            <family val="2"/>
          </rPr>
          <t>depth on chart</t>
        </r>
        <r>
          <rPr>
            <sz val="10"/>
            <color indexed="81"/>
            <rFont val="Tahoma"/>
            <family val="2"/>
          </rPr>
          <t xml:space="preserve">, </t>
        </r>
        <r>
          <rPr>
            <u/>
            <sz val="10"/>
            <color indexed="81"/>
            <rFont val="Tahoma"/>
            <family val="2"/>
          </rPr>
          <t xml:space="preserve">water level or tide  </t>
        </r>
        <r>
          <rPr>
            <sz val="10"/>
            <color indexed="81"/>
            <rFont val="Tahoma"/>
            <family val="2"/>
          </rPr>
          <t xml:space="preserve">and </t>
        </r>
        <r>
          <rPr>
            <u/>
            <sz val="10"/>
            <color indexed="81"/>
            <rFont val="Tahoma"/>
            <family val="2"/>
          </rPr>
          <t>DWA</t>
        </r>
        <r>
          <rPr>
            <sz val="10"/>
            <color indexed="81"/>
            <rFont val="Tahoma"/>
            <family val="2"/>
          </rPr>
          <t xml:space="preserve"> from colums T, U and V</t>
        </r>
        <r>
          <rPr>
            <sz val="8"/>
            <color indexed="81"/>
            <rFont val="Tahoma"/>
            <family val="2"/>
          </rPr>
          <t xml:space="preserve">
</t>
        </r>
      </text>
    </comment>
    <comment ref="P2" authorId="0" shapeId="0">
      <text>
        <r>
          <rPr>
            <b/>
            <sz val="10"/>
            <color indexed="81"/>
            <rFont val="Tahoma"/>
            <family val="2"/>
          </rPr>
          <t>Enter Squat as calculated on squat page.</t>
        </r>
      </text>
    </comment>
    <comment ref="Q2" authorId="0" shapeId="0">
      <text>
        <r>
          <rPr>
            <b/>
            <sz val="10"/>
            <color indexed="81"/>
            <rFont val="Tahoma"/>
            <family val="2"/>
          </rPr>
          <t>Draft must be entered in the cover page (in meters)</t>
        </r>
        <r>
          <rPr>
            <sz val="8"/>
            <color indexed="81"/>
            <rFont val="Tahoma"/>
            <family val="2"/>
          </rPr>
          <t xml:space="preserve">
</t>
        </r>
      </text>
    </comment>
    <comment ref="V2" authorId="0" shapeId="0">
      <text>
        <r>
          <rPr>
            <b/>
            <sz val="10"/>
            <color indexed="81"/>
            <rFont val="Tahoma"/>
            <family val="2"/>
          </rPr>
          <t>Must be calculated in the squat page</t>
        </r>
        <r>
          <rPr>
            <sz val="10"/>
            <color indexed="81"/>
            <rFont val="Tahoma"/>
            <family val="2"/>
          </rPr>
          <t xml:space="preserve">
</t>
        </r>
      </text>
    </comment>
  </commentList>
</comments>
</file>

<file path=xl/comments2.xml><?xml version="1.0" encoding="utf-8"?>
<comments xmlns="http://schemas.openxmlformats.org/spreadsheetml/2006/main">
  <authors>
    <author>Captain</author>
  </authors>
  <commentList>
    <comment ref="C2" authorId="0" shapeId="0">
      <text>
        <r>
          <rPr>
            <sz val="10"/>
            <color indexed="81"/>
            <rFont val="Arial"/>
            <family val="2"/>
          </rPr>
          <t xml:space="preserve">
</t>
        </r>
        <r>
          <rPr>
            <b/>
            <sz val="10"/>
            <color indexed="10"/>
            <rFont val="Arial"/>
            <family val="2"/>
          </rPr>
          <t>Enter Degrees and Minutes as a 4 digit number with one decimal place ie 4409.0</t>
        </r>
      </text>
    </comment>
    <comment ref="E2" authorId="0" shapeId="0">
      <text>
        <r>
          <rPr>
            <sz val="10"/>
            <color indexed="81"/>
            <rFont val="Arial"/>
            <family val="2"/>
          </rPr>
          <t xml:space="preserve">
</t>
        </r>
        <r>
          <rPr>
            <b/>
            <sz val="10"/>
            <color indexed="10"/>
            <rFont val="Arial"/>
            <family val="2"/>
          </rPr>
          <t>Enter Degrees and Minutes as a 4 digit number with one decimal place ie 4409.0</t>
        </r>
      </text>
    </comment>
  </commentList>
</comments>
</file>

<file path=xl/comments3.xml><?xml version="1.0" encoding="utf-8"?>
<comments xmlns="http://schemas.openxmlformats.org/spreadsheetml/2006/main">
  <authors>
    <author>off1</author>
  </authors>
  <commentList>
    <comment ref="C9" authorId="0" shapeId="0">
      <text>
        <r>
          <rPr>
            <sz val="8"/>
            <color indexed="81"/>
            <rFont val="Tahoma"/>
            <family val="2"/>
          </rPr>
          <t xml:space="preserve">enter in this format: 1.000 
</t>
        </r>
      </text>
    </comment>
  </commentList>
</comments>
</file>

<file path=xl/sharedStrings.xml><?xml version="1.0" encoding="utf-8"?>
<sst xmlns="http://schemas.openxmlformats.org/spreadsheetml/2006/main" count="605" uniqueCount="334">
  <si>
    <t>Vessel:</t>
  </si>
  <si>
    <t>From:</t>
  </si>
  <si>
    <t>To:</t>
  </si>
  <si>
    <t>Date:</t>
  </si>
  <si>
    <t>ECDIS ROUTE NAME:</t>
  </si>
  <si>
    <t>Nautical  publications in use :</t>
  </si>
  <si>
    <t>Charts Catalogs ( CAN./ U.S. ) :</t>
  </si>
  <si>
    <t>Nautical books</t>
  </si>
  <si>
    <t>U.S. coast pilot :</t>
  </si>
  <si>
    <t>Admirality pilot book:</t>
  </si>
  <si>
    <t>Can. Sailing Directions :</t>
  </si>
  <si>
    <t>Tide &amp; Current Tables :</t>
  </si>
  <si>
    <t>List of Lights, Buoys &amp; Fog Signals</t>
  </si>
  <si>
    <t>Radio aids to marine navigation :</t>
  </si>
  <si>
    <t>FWD:</t>
  </si>
  <si>
    <t>Others :</t>
  </si>
  <si>
    <t>AFT:</t>
  </si>
  <si>
    <t>Nautical charts in use :</t>
  </si>
  <si>
    <t>For Departure:</t>
  </si>
  <si>
    <t>For Passage:</t>
  </si>
  <si>
    <t>For Arrival:</t>
  </si>
  <si>
    <t>Abort points:</t>
  </si>
  <si>
    <t>When approaching constrained or restricted waters the vessel may go beyond a point where it will not be possible to do anything but</t>
  </si>
  <si>
    <t>considered as the final point along the route that the vessel can still be safely navigated so as to be able to turn or retrace its track, ''the</t>
  </si>
  <si>
    <t>Hazardous Areas:</t>
  </si>
  <si>
    <t>Anchorages may be used whenever required and will be indicated on the appropriate chart(s). Contingency Anchorages shall be considered as the</t>
  </si>
  <si>
    <t>Anchorages:</t>
  </si>
  <si>
    <t>water and the nature of the emergency.</t>
  </si>
  <si>
    <t>primary position fixing will be GPS. During this stage of any voyage the OOW should make use of DR (Dead Reckoning) or if circumstances</t>
  </si>
  <si>
    <t>Position Fixing:</t>
  </si>
  <si>
    <t>Aditional Remarks:</t>
  </si>
  <si>
    <t>No Go Zones:</t>
  </si>
  <si>
    <t>The minimun U.K.C. for deep sea and near coastal water is 10% of the Loaded Water Line. The minimum U.K.C. is 0.30 meter when</t>
  </si>
  <si>
    <t>Coordinates :</t>
  </si>
  <si>
    <t>Reporting points :</t>
  </si>
  <si>
    <t>(All VTS that will be crossed</t>
  </si>
  <si>
    <t>during the passage)</t>
  </si>
  <si>
    <t>Party &amp;</t>
  </si>
  <si>
    <t>Frequencies :</t>
  </si>
  <si>
    <t>Means :</t>
  </si>
  <si>
    <t>Notes:</t>
  </si>
  <si>
    <t>Prepared by 2/0 :</t>
  </si>
  <si>
    <t>Signature:</t>
  </si>
  <si>
    <t>Approved by Master:</t>
  </si>
  <si>
    <t>Chief Officer:</t>
  </si>
  <si>
    <t>Third Officer:</t>
  </si>
  <si>
    <t>Extra officer if any:</t>
  </si>
  <si>
    <r>
      <t xml:space="preserve">At all times </t>
    </r>
    <r>
      <rPr>
        <b/>
        <sz val="11"/>
        <rFont val="Arial"/>
        <family val="2"/>
      </rPr>
      <t>2 or more means</t>
    </r>
    <r>
      <rPr>
        <sz val="11"/>
        <rFont val="Arial"/>
        <family val="2"/>
      </rPr>
      <t xml:space="preserve"> of position fixing/checking shall be maintained. On a voyage when the vessel is out of sight of land, the </t>
    </r>
  </si>
  <si>
    <t>The Officer Of The Watch shall plot the vessel's position on the appropriate chart at regular intervals, which intervals shall not exceed</t>
  </si>
  <si>
    <t>voyage number:</t>
  </si>
  <si>
    <t>total distance of voyage:</t>
  </si>
  <si>
    <t>Always make sure that all</t>
  </si>
  <si>
    <t>carried on board and that</t>
  </si>
  <si>
    <t>for intended voyage are</t>
  </si>
  <si>
    <r>
      <t>necessary</t>
    </r>
    <r>
      <rPr>
        <b/>
        <u/>
        <sz val="12"/>
        <rFont val="Arial"/>
        <family val="2"/>
      </rPr>
      <t xml:space="preserve"> large scale charts</t>
    </r>
  </si>
  <si>
    <t>Departure drafts</t>
  </si>
  <si>
    <t>IMPORTANT NOTE:</t>
  </si>
  <si>
    <t>Air draft:</t>
  </si>
  <si>
    <t>point of no return''. These positions should take into consideration any ''escape routes'' which may be encountered along the passage. The</t>
  </si>
  <si>
    <t>reasons to abort may include but are not limited to: machinery failure, instrument failure, non availability of tugs, danger situation ashore</t>
  </si>
  <si>
    <t>or on board, poor visibility or any situation when proceeding may be deem unsafe. Abort locations will be clearly marked on chart(s).Some</t>
  </si>
  <si>
    <t>areas such as the SEAWAY, won't require abort points since the vessel will already be commited.</t>
  </si>
  <si>
    <r>
      <t xml:space="preserve">Hazardous areas such as shallower spot of water on a course for example, will be marked as </t>
    </r>
    <r>
      <rPr>
        <b/>
        <sz val="11"/>
        <rFont val="Arial"/>
        <family val="2"/>
      </rPr>
      <t>hazard</t>
    </r>
    <r>
      <rPr>
        <sz val="11"/>
        <rFont val="Arial"/>
        <family val="2"/>
      </rPr>
      <t xml:space="preserve"> and highlighted with a line with bordered gashes.</t>
    </r>
  </si>
  <si>
    <t>permit celestian navigation as a secondary means or backup check of the vessel's position. As the vessel approaches coastal waters, the GPS will remain</t>
  </si>
  <si>
    <t xml:space="preserve"> the primary mean, but the Radar should be used as the secondary to confirm the GPS fix. When the vessel is navigating in coastal</t>
  </si>
  <si>
    <t>waters the role of the GPS and Radar should be reversed, the Radar becomes the primary and the GPS the secondary. The OOW</t>
  </si>
  <si>
    <t>is reminded that at this stage of the passage the echo sounder is another valuable additional check especially if the weather conditions</t>
  </si>
  <si>
    <t>are such as to interfer with the other means of position fixing (heavy precipitations). When the vessel in under pilotage or in confined</t>
  </si>
  <si>
    <t>or restricted waters the duties of the OOW may not allow him the opportunity to make full use of all aids available. At this stage the</t>
  </si>
  <si>
    <t>primary means should be visual with a quick check on the Radar as a secondary. Again at this stage the echo sounder is a very</t>
  </si>
  <si>
    <t>valuable aid and should be used as such. The OOW is also reminded that the ECDIS should be used to it's full extent at all times of the</t>
  </si>
  <si>
    <t>passage and especially when in confined or restricted waters as a very quick visual check of the vessel's position and track.</t>
  </si>
  <si>
    <r>
      <rPr>
        <b/>
        <sz val="11"/>
        <rFont val="Arial"/>
        <family val="2"/>
      </rPr>
      <t>30 minutes</t>
    </r>
    <r>
      <rPr>
        <sz val="11"/>
        <rFont val="Arial"/>
        <family val="2"/>
      </rPr>
      <t xml:space="preserve"> when vessel is in visual or radar range of land and shall not exceed </t>
    </r>
    <r>
      <rPr>
        <b/>
        <sz val="11"/>
        <rFont val="Arial"/>
        <family val="2"/>
      </rPr>
      <t>10 minutes</t>
    </r>
    <r>
      <rPr>
        <sz val="11"/>
        <rFont val="Arial"/>
        <family val="2"/>
      </rPr>
      <t xml:space="preserve"> when the vessel is being navigated in </t>
    </r>
  </si>
  <si>
    <t>the watch shall ensure himself that the vessel is maintaining position and if any doubt exists, he should inform the Master immediately.</t>
  </si>
  <si>
    <t>Areas where the vessel will not be able to transit due to permanent dangers such as awash rocks or shallow water sectors. These</t>
  </si>
  <si>
    <t xml:space="preserve">zones will be determined based on the vessel's maximum drafts and the Master's decision. The contour of these areas will be marked by a </t>
  </si>
  <si>
    <t>continuous line and the interior with hatching when possible. Make sure that the hatching lines do not hide informations already</t>
  </si>
  <si>
    <t>written on the chart.</t>
  </si>
  <si>
    <t>Under Keel Clearance (U.K.C.):</t>
  </si>
  <si>
    <t>vessel is alongside and 0.60 meter on approach or when vessel is underway. The U.K.C. in the approaches of berth might be reduced in a</t>
  </si>
  <si>
    <t>very famillar area with favorable conditions but not less than 0.30 meter. Whenever in doubt, do not hesitate to call the Master.</t>
  </si>
  <si>
    <t>VOYAGE PLAN</t>
  </si>
  <si>
    <t>FROM :</t>
  </si>
  <si>
    <t>Ecdis Route Name:</t>
  </si>
  <si>
    <t>Distance</t>
  </si>
  <si>
    <t>Distance:</t>
  </si>
  <si>
    <t>Depth</t>
  </si>
  <si>
    <t>Squat</t>
  </si>
  <si>
    <t>UKC</t>
  </si>
  <si>
    <t>Wpt No</t>
  </si>
  <si>
    <t>Lat</t>
  </si>
  <si>
    <t>Long</t>
  </si>
  <si>
    <t xml:space="preserve"> next Wpt</t>
  </si>
  <si>
    <t>Parallel Indexes</t>
  </si>
  <si>
    <t>Ran:</t>
  </si>
  <si>
    <t>M</t>
  </si>
  <si>
    <t>Max</t>
  </si>
  <si>
    <t>speed:</t>
  </si>
  <si>
    <t>course</t>
  </si>
  <si>
    <t>next WP</t>
  </si>
  <si>
    <t>N</t>
  </si>
  <si>
    <t>S</t>
  </si>
  <si>
    <t>W</t>
  </si>
  <si>
    <t>E</t>
  </si>
  <si>
    <r>
      <t>TO</t>
    </r>
    <r>
      <rPr>
        <sz val="10"/>
        <rFont val="Times New Roman"/>
        <family val="1"/>
      </rPr>
      <t>:</t>
    </r>
  </si>
  <si>
    <t>Landmark</t>
  </si>
  <si>
    <t>Messages</t>
  </si>
  <si>
    <t>to be sent:</t>
  </si>
  <si>
    <t>b= breadth of ship</t>
  </si>
  <si>
    <t>T= ship's even-keel static draft</t>
  </si>
  <si>
    <t>Cb= block coefficient</t>
  </si>
  <si>
    <t>Vk= ship speed relative to the water or current</t>
  </si>
  <si>
    <t>As= cross-sectionb of ship at amidships= b*T</t>
  </si>
  <si>
    <t>Ac= cross-section of canal= B*H</t>
  </si>
  <si>
    <t>meters</t>
  </si>
  <si>
    <t>confined</t>
  </si>
  <si>
    <t>channels</t>
  </si>
  <si>
    <t xml:space="preserve">open </t>
  </si>
  <si>
    <t>water</t>
  </si>
  <si>
    <t>S=blockage factor= CSA of ship/CSA of river or canal</t>
  </si>
  <si>
    <t>Maximum squat= (Cb*S^0.81* Vk^2.08)/20</t>
  </si>
  <si>
    <t>B= (7.7+20 (1-Cb)^2)*b</t>
  </si>
  <si>
    <t>S= (b*T)/(B*H)</t>
  </si>
  <si>
    <t>Maximum squat= (Cb*S^0.81*Vk^2.08)/20</t>
  </si>
  <si>
    <r>
      <t xml:space="preserve">Max squat </t>
    </r>
    <r>
      <rPr>
        <b/>
        <sz val="11"/>
        <color theme="1"/>
        <rFont val="Calibri"/>
        <family val="2"/>
        <scheme val="minor"/>
      </rPr>
      <t xml:space="preserve">confined </t>
    </r>
    <r>
      <rPr>
        <sz val="11"/>
        <color theme="1"/>
        <rFont val="Calibri"/>
        <family val="2"/>
        <scheme val="minor"/>
      </rPr>
      <t>channels (m):</t>
    </r>
  </si>
  <si>
    <r>
      <t xml:space="preserve">Max squat </t>
    </r>
    <r>
      <rPr>
        <b/>
        <sz val="11"/>
        <color theme="1"/>
        <rFont val="Calibri"/>
        <family val="2"/>
        <scheme val="minor"/>
      </rPr>
      <t>open</t>
    </r>
    <r>
      <rPr>
        <sz val="11"/>
        <color theme="1"/>
        <rFont val="Calibri"/>
        <family val="2"/>
        <scheme val="minor"/>
      </rPr>
      <t xml:space="preserve"> water (m):</t>
    </r>
  </si>
  <si>
    <t>fix</t>
  </si>
  <si>
    <t>min</t>
  </si>
  <si>
    <t>posn</t>
  </si>
  <si>
    <t>over</t>
  </si>
  <si>
    <t>head</t>
  </si>
  <si>
    <t>Nbr</t>
  </si>
  <si>
    <r>
      <t>proceed. An</t>
    </r>
    <r>
      <rPr>
        <b/>
        <sz val="11"/>
        <rFont val="Arial"/>
        <family val="2"/>
      </rPr>
      <t xml:space="preserve"> abort location</t>
    </r>
    <r>
      <rPr>
        <sz val="11"/>
        <rFont val="Arial"/>
        <family val="2"/>
      </rPr>
      <t xml:space="preserve"> shall take this into consideration and shall be marked on the chart. This location should be, for all purposes</t>
    </r>
  </si>
  <si>
    <r>
      <t>usual anchorage(s) of the relevant port as listed in the Sailing Directions, Coast Pilots or as indicated on the Charts. An</t>
    </r>
    <r>
      <rPr>
        <b/>
        <sz val="12"/>
        <rFont val="Arial"/>
        <family val="2"/>
      </rPr>
      <t xml:space="preserve"> emergency</t>
    </r>
  </si>
  <si>
    <r>
      <t>anchorage</t>
    </r>
    <r>
      <rPr>
        <sz val="12"/>
        <rFont val="Arial"/>
        <family val="2"/>
      </rPr>
      <t xml:space="preserve"> will be determined by the prevaling circumstances. All anchorages will take in consideration present wind, sea, tide, depth of</t>
    </r>
  </si>
  <si>
    <t xml:space="preserve">confined waters, under pilotage, or approaching a danger to navigation. These intervals are given as the absolute minimum that must </t>
  </si>
  <si>
    <t>be carried out and if the circumstances call for, shall be reduced in accordance with good semanship. While at anchor the officer of</t>
  </si>
  <si>
    <t xml:space="preserve">the current voyage. Squat should be calculated considering the worst case scenario, tide and water levels must be included in the </t>
  </si>
  <si>
    <t>Refer to charts for areas being transited with particular consideration for vessel squat. Squat information is included in the waypoint list of the</t>
  </si>
  <si>
    <t xml:space="preserve">depth calculation. The Officer Of The Watch shall ensure that all local Notices to Shipping, whether received by NAVTEX, TELEX or </t>
  </si>
  <si>
    <t xml:space="preserve">RADIO broadcasts, for the area being transited are monitored. Any notices to shipping that are relevant to the intended voyage are to </t>
  </si>
  <si>
    <t>brought to the attention of the Master and the other watchkeeping officers as soon as possible. Confirm courses prior to alterations</t>
  </si>
  <si>
    <t>marked on charts. Anchors to be cleared 15 minutes prior to pilot pickup unless instructed otherwise. Be aware of crossing traffic,</t>
  </si>
  <si>
    <t>especially when approaching traffic separation schemes. One hour notice to be marked on chart. Two steering motors required for</t>
  </si>
  <si>
    <t>manoeuvering. Ensure sounder is running and set to appropriate scale in shallow waters and when approaching port. Be aware that</t>
  </si>
  <si>
    <t xml:space="preserve">the vessel will handle significantly different in loaded condition and more time will be required for course alterations. Consult </t>
  </si>
  <si>
    <t>manoeuvering characteristics' diagram. Avoid altering with excessive wheel. Confirm pilot as required. If issued, ensure that all</t>
  </si>
  <si>
    <t>terminal guidelines and regulations, if applicable, are read and understood by the Master and all deck officers and comply with. Notes</t>
  </si>
  <si>
    <t>should be written on chart(s) when chart datum is different than WGS84 (or NAD83) so that the OOW use caution.</t>
  </si>
  <si>
    <t>they are readily available.</t>
  </si>
  <si>
    <t>Intl. Rules of the road, Nautical Almanach, Bridge Team management</t>
  </si>
  <si>
    <t>Annual Notices to mariner, Code of procedure and practice, Desgagne's BIM</t>
  </si>
  <si>
    <t>Passage Plan BIM-006</t>
  </si>
  <si>
    <t>Latitude</t>
  </si>
  <si>
    <t>Longitude</t>
  </si>
  <si>
    <t>Escoumins Pilot</t>
  </si>
  <si>
    <t>Haut Fond Prince</t>
  </si>
  <si>
    <t>Cap au Saumon</t>
  </si>
  <si>
    <t>Gros Cap A l'Aigle</t>
  </si>
  <si>
    <t>Pointe au Pic</t>
  </si>
  <si>
    <t>Cap aux Oies</t>
  </si>
  <si>
    <t>Cap Martin</t>
  </si>
  <si>
    <t>Cap aux Corbeaux</t>
  </si>
  <si>
    <t>Grande-Pointe</t>
  </si>
  <si>
    <t>Cap d'Eboulis</t>
  </si>
  <si>
    <t>CIP 9</t>
  </si>
  <si>
    <t>Pointe du Debarquement</t>
  </si>
  <si>
    <t>Cap Brule</t>
  </si>
  <si>
    <t>Le Banc de Sable</t>
  </si>
  <si>
    <t>Pointe Saint-Michel</t>
  </si>
  <si>
    <t>Saint-Laurent</t>
  </si>
  <si>
    <t>CIP 10</t>
  </si>
  <si>
    <t>Power Cables</t>
  </si>
  <si>
    <t>CIP 11</t>
  </si>
  <si>
    <t>Levy Shipyard</t>
  </si>
  <si>
    <t>Quebec Hbr North</t>
  </si>
  <si>
    <t>Quebec Pilot</t>
  </si>
  <si>
    <t>Anse Russell</t>
  </si>
  <si>
    <t>St Rom 86-87</t>
  </si>
  <si>
    <t>Quebec Hbr South</t>
  </si>
  <si>
    <t>Sillery</t>
  </si>
  <si>
    <t>Quebec Bridges</t>
  </si>
  <si>
    <t>Saint-Nicolas</t>
  </si>
  <si>
    <t>CIP 14</t>
  </si>
  <si>
    <t>Pointe Aubin</t>
  </si>
  <si>
    <t>Pointe aux Trembles</t>
  </si>
  <si>
    <t>Pointe du Chalet des Phares</t>
  </si>
  <si>
    <t>Sainte-Croix-Est</t>
  </si>
  <si>
    <t>CIP 15</t>
  </si>
  <si>
    <t>Sainte-Croix</t>
  </si>
  <si>
    <t>Pointe Platon</t>
  </si>
  <si>
    <t>Portneuf</t>
  </si>
  <si>
    <t>Ile Richelieu North</t>
  </si>
  <si>
    <t>Ile Richelieu South</t>
  </si>
  <si>
    <t>Grondines-Est</t>
  </si>
  <si>
    <t>Grondines</t>
  </si>
  <si>
    <t>CIP 16</t>
  </si>
  <si>
    <t>Cap Charles East</t>
  </si>
  <si>
    <t>Cap Charles West</t>
  </si>
  <si>
    <t>Buoy D29-D30</t>
  </si>
  <si>
    <t>Buoy D31-D32</t>
  </si>
  <si>
    <t>Buoy D35-D36</t>
  </si>
  <si>
    <t>Cap a la Roche</t>
  </si>
  <si>
    <t>Buoy D41-D42</t>
  </si>
  <si>
    <t>Cap Levrard</t>
  </si>
  <si>
    <t>Buoy D59-D60</t>
  </si>
  <si>
    <t>Buoy D63-D62</t>
  </si>
  <si>
    <t>Batiscan North</t>
  </si>
  <si>
    <t>CIP 17</t>
  </si>
  <si>
    <t>Batiscan South</t>
  </si>
  <si>
    <t>Pointe a la Citrouille</t>
  </si>
  <si>
    <t>Buoy C3-C2</t>
  </si>
  <si>
    <t>Buoy C4</t>
  </si>
  <si>
    <t>Champlain</t>
  </si>
  <si>
    <t>Buoy C17-C18</t>
  </si>
  <si>
    <t>Becancour</t>
  </si>
  <si>
    <t>Buoy C30</t>
  </si>
  <si>
    <t>Pointe de Becancour</t>
  </si>
  <si>
    <t>Cap de la Madeleine East</t>
  </si>
  <si>
    <t>Buoy C46</t>
  </si>
  <si>
    <t>CIP 18</t>
  </si>
  <si>
    <t>Trois Rivieres North</t>
  </si>
  <si>
    <t>Trois Rivieres South</t>
  </si>
  <si>
    <t>Laviolette Bridge</t>
  </si>
  <si>
    <t>CIP 19 Pointe aux Ormes</t>
  </si>
  <si>
    <t>CIP 20 Pointe aux Sables</t>
  </si>
  <si>
    <t>Buoy S3-S4</t>
  </si>
  <si>
    <t>Riviere Nicolet</t>
  </si>
  <si>
    <t>Buoy S10</t>
  </si>
  <si>
    <t>Buoy S17</t>
  </si>
  <si>
    <t>Buoy S21-S22</t>
  </si>
  <si>
    <t>Buoy S26</t>
  </si>
  <si>
    <t>CIP 21 Yamachiche</t>
  </si>
  <si>
    <t>Buoy S77-S80</t>
  </si>
  <si>
    <t>Buoy S81-S82</t>
  </si>
  <si>
    <t>Buoy S86</t>
  </si>
  <si>
    <t>Buoy S97</t>
  </si>
  <si>
    <t>La Grande Pointe</t>
  </si>
  <si>
    <t>Buoy S103</t>
  </si>
  <si>
    <t>Le Banc de Sable North</t>
  </si>
  <si>
    <t>Le Banc de Sable South</t>
  </si>
  <si>
    <t>Buoy S117</t>
  </si>
  <si>
    <t>CIP 22</t>
  </si>
  <si>
    <t>Ile du Moine</t>
  </si>
  <si>
    <t>Sainte Anne de Sorel</t>
  </si>
  <si>
    <t>Sorel North</t>
  </si>
  <si>
    <t>Pointe de Sorel</t>
  </si>
  <si>
    <t>Sorel South</t>
  </si>
  <si>
    <t>CIP 23 Tracy North</t>
  </si>
  <si>
    <t>Tracy South</t>
  </si>
  <si>
    <t>Pointe Saint-Ours North</t>
  </si>
  <si>
    <t>Pointe Saint-Ours South</t>
  </si>
  <si>
    <t>Ile Saint-Ours North</t>
  </si>
  <si>
    <t>Ile Saint-Ours South</t>
  </si>
  <si>
    <t>Buoy M32</t>
  </si>
  <si>
    <t>Buoy M45-M46</t>
  </si>
  <si>
    <t>Contrecoeur North</t>
  </si>
  <si>
    <t>CIP 24 Contrecoeur</t>
  </si>
  <si>
    <t>Contrecoeur South</t>
  </si>
  <si>
    <t>Vercheres</t>
  </si>
  <si>
    <t>CIP 25</t>
  </si>
  <si>
    <t>Cap Saint-Michel North</t>
  </si>
  <si>
    <t>Cap Saint-Michel South</t>
  </si>
  <si>
    <t>Varennes North</t>
  </si>
  <si>
    <t>Varennes</t>
  </si>
  <si>
    <t>Varennes South</t>
  </si>
  <si>
    <t>Ile aux Vaches</t>
  </si>
  <si>
    <t>Montreal North</t>
  </si>
  <si>
    <t>CIP 26</t>
  </si>
  <si>
    <t>Buoy M166</t>
  </si>
  <si>
    <t>Buoy M167</t>
  </si>
  <si>
    <t>Buoy M171</t>
  </si>
  <si>
    <t>Buoy M175</t>
  </si>
  <si>
    <t>Longueuil</t>
  </si>
  <si>
    <t>Montreal South</t>
  </si>
  <si>
    <t>Cb</t>
  </si>
  <si>
    <t>Cw</t>
  </si>
  <si>
    <t>Area</t>
  </si>
  <si>
    <t>Draft</t>
  </si>
  <si>
    <t>TPC</t>
  </si>
  <si>
    <t>DWA</t>
  </si>
  <si>
    <t>knots</t>
  </si>
  <si>
    <t xml:space="preserve">Depth on </t>
  </si>
  <si>
    <t>chart</t>
  </si>
  <si>
    <t>water level</t>
  </si>
  <si>
    <t>or tide</t>
  </si>
  <si>
    <t>B= channel breadth</t>
  </si>
  <si>
    <t>H= channel depth</t>
  </si>
  <si>
    <t>L= length overall (LOA)</t>
  </si>
  <si>
    <t>U/W Volume</t>
  </si>
  <si>
    <t>d= water density</t>
  </si>
  <si>
    <t>Kgs/cu. M</t>
  </si>
  <si>
    <t>1.000</t>
  </si>
  <si>
    <t>W= displacement</t>
  </si>
  <si>
    <t>DWA= dock water allowance</t>
  </si>
  <si>
    <t>metric tons</t>
  </si>
  <si>
    <t>SQUAT CALCULATION FOR ONE LEG</t>
  </si>
  <si>
    <t>dist</t>
  </si>
  <si>
    <t>MP2</t>
  </si>
  <si>
    <t>MP1</t>
  </si>
  <si>
    <t>Dist. GC</t>
  </si>
  <si>
    <t>Dlat</t>
  </si>
  <si>
    <t>dmp</t>
  </si>
  <si>
    <t>Dlg</t>
  </si>
  <si>
    <t>Qco</t>
  </si>
  <si>
    <t>Dist</t>
  </si>
  <si>
    <t>Dlong</t>
  </si>
  <si>
    <t>LAT1</t>
  </si>
  <si>
    <t>LONG1</t>
  </si>
  <si>
    <t>LAT2</t>
  </si>
  <si>
    <t>LONG2</t>
  </si>
  <si>
    <t>0</t>
  </si>
  <si>
    <t>Amélia</t>
  </si>
  <si>
    <t>Escoumins</t>
  </si>
  <si>
    <t>Cap Vincent</t>
  </si>
  <si>
    <t>Escoumins-Cap Vincent</t>
  </si>
  <si>
    <t>Sarah Desgagnés</t>
  </si>
  <si>
    <t>*</t>
  </si>
  <si>
    <t>Colonne1</t>
  </si>
  <si>
    <t>Colonne2</t>
  </si>
  <si>
    <t>Colonne3</t>
  </si>
  <si>
    <t>Colonne12</t>
  </si>
  <si>
    <t>Colonne13</t>
  </si>
  <si>
    <t>Colonne14</t>
  </si>
  <si>
    <t>Colonne15</t>
  </si>
  <si>
    <t>Colonne16</t>
  </si>
  <si>
    <t>M7</t>
  </si>
  <si>
    <t>M8</t>
  </si>
  <si>
    <t>M9</t>
  </si>
  <si>
    <t>M10</t>
  </si>
  <si>
    <t>M11</t>
  </si>
  <si>
    <t xml:space="preserve"> </t>
  </si>
  <si>
    <t xml:space="preserve"> 2</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</si>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</sst>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00\'"/>
    <numFmt numFmtId="165" formatCode="0.0"/>
    <numFmt numFmtId="166" formatCode="&quot;$&quot;#,##0_);[Red]\(&quot;$&quot;#,##0\)"/>
    <numFmt numFmtId="167" formatCode="&quot;$&quot;#,##0.00_);[Red]\(&quot;$&quot;#,##0.00\)"/>
    <numFmt numFmtId="168" formatCode="000.0"/>
  </numFmts>
  <fonts count="40" x14ac:knownFonts="1">
    <font>
      <sz val="11"/>
      <color theme="1"/>
      <name val="Calibri"/>
      <family val="2"/>
      <scheme val="minor"/>
    </font>
    <font>
      <sz val="10"/>
      <name val="MS Sans Serif"/>
      <family val="2"/>
    </font>
    <font>
      <sz val="10"/>
      <name val="MS Sans Serif"/>
      <family val="2"/>
    </font>
    <font>
      <b/>
      <sz val="12"/>
      <name val="Arial"/>
      <family val="2"/>
    </font>
    <font>
      <sz val="12"/>
      <name val="Arial"/>
      <family val="2"/>
    </font>
    <font>
      <sz val="10"/>
      <name val="Arial"/>
      <family val="2"/>
    </font>
    <font>
      <b/>
      <u/>
      <sz val="12"/>
      <name val="Arial"/>
      <family val="2"/>
    </font>
    <font>
      <b/>
      <sz val="10"/>
      <name val="Arial"/>
      <family val="2"/>
    </font>
    <font>
      <sz val="12"/>
      <color indexed="10"/>
      <name val="Arial"/>
      <family val="2"/>
    </font>
    <font>
      <b/>
      <sz val="12"/>
      <color indexed="10"/>
      <name val="Arial"/>
      <family val="2"/>
    </font>
    <font>
      <b/>
      <sz val="14"/>
      <name val="Arial"/>
      <family val="2"/>
    </font>
    <font>
      <b/>
      <sz val="11"/>
      <name val="Arial"/>
      <family val="2"/>
    </font>
    <font>
      <sz val="11"/>
      <name val="Arial"/>
      <family val="2"/>
    </font>
    <font>
      <sz val="10"/>
      <name val="Times New Roman"/>
      <family val="1"/>
    </font>
    <font>
      <b/>
      <sz val="10"/>
      <name val="Times New Roman"/>
      <family val="1"/>
    </font>
    <font>
      <b/>
      <sz val="11"/>
      <color theme="1"/>
      <name val="Calibri"/>
      <family val="2"/>
      <scheme val="minor"/>
    </font>
    <font>
      <b/>
      <sz val="8"/>
      <name val="Arial"/>
      <family val="2"/>
    </font>
    <font>
      <sz val="10"/>
      <color indexed="81"/>
      <name val="Arial"/>
      <family val="2"/>
    </font>
    <font>
      <b/>
      <sz val="10"/>
      <color indexed="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sz val="10"/>
      <name val="MS Sans Serif"/>
      <family val="2"/>
    </font>
    <font>
      <b/>
      <sz val="10"/>
      <color indexed="81"/>
      <name val="Tahoma"/>
      <family val="2"/>
    </font>
    <font>
      <sz val="10"/>
      <color indexed="81"/>
      <name val="Tahoma"/>
      <family val="2"/>
    </font>
    <font>
      <sz val="8"/>
      <color indexed="81"/>
      <name val="Tahoma"/>
      <family val="2"/>
    </font>
    <font>
      <u/>
      <sz val="10"/>
      <color indexed="81"/>
      <name val="Tahoma"/>
      <family val="2"/>
    </font>
  </fonts>
  <fills count="24">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6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style="double">
        <color indexed="64"/>
      </left>
      <right/>
      <top/>
      <bottom style="double">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bottom/>
      <diagonal/>
    </border>
    <border>
      <left/>
      <right style="double">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46">
    <xf numFmtId="0" fontId="0" fillId="0" borderId="0"/>
    <xf numFmtId="0" fontId="1" fillId="0" borderId="0"/>
    <xf numFmtId="0" fontId="2" fillId="0" borderId="0"/>
    <xf numFmtId="0" fontId="5" fillId="0" borderId="0"/>
    <xf numFmtId="0" fontId="5" fillId="0" borderId="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20" fillId="16"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1" fillId="7" borderId="0" applyNumberFormat="0" applyBorder="0" applyAlignment="0" applyProtection="0"/>
    <xf numFmtId="0" fontId="22" fillId="20" borderId="50" applyNumberFormat="0" applyAlignment="0" applyProtection="0"/>
    <xf numFmtId="0" fontId="23" fillId="21" borderId="51" applyNumberFormat="0" applyAlignment="0" applyProtection="0"/>
    <xf numFmtId="38" fontId="1" fillId="0" borderId="0" applyFont="0" applyFill="0" applyBorder="0" applyAlignment="0" applyProtection="0"/>
    <xf numFmtId="40" fontId="1" fillId="0" borderId="0" applyFont="0" applyFill="0" applyBorder="0" applyAlignment="0" applyProtection="0"/>
    <xf numFmtId="0" fontId="24" fillId="0" borderId="0" applyNumberFormat="0" applyFill="0" applyBorder="0" applyAlignment="0" applyProtection="0"/>
    <xf numFmtId="0" fontId="25" fillId="8" borderId="0" applyNumberFormat="0" applyBorder="0" applyAlignment="0" applyProtection="0"/>
    <xf numFmtId="0" fontId="26" fillId="0" borderId="52" applyNumberFormat="0" applyFill="0" applyAlignment="0" applyProtection="0"/>
    <xf numFmtId="0" fontId="27" fillId="0" borderId="53" applyNumberFormat="0" applyFill="0" applyAlignment="0" applyProtection="0"/>
    <xf numFmtId="0" fontId="28" fillId="0" borderId="54" applyNumberFormat="0" applyFill="0" applyAlignment="0" applyProtection="0"/>
    <xf numFmtId="0" fontId="28" fillId="0" borderId="0" applyNumberFormat="0" applyFill="0" applyBorder="0" applyAlignment="0" applyProtection="0"/>
    <xf numFmtId="0" fontId="29" fillId="11" borderId="50" applyNumberFormat="0" applyAlignment="0" applyProtection="0"/>
    <xf numFmtId="0" fontId="30" fillId="0" borderId="55" applyNumberFormat="0" applyFill="0" applyAlignment="0" applyProtection="0"/>
    <xf numFmtId="0" fontId="31" fillId="22" borderId="0" applyNumberFormat="0" applyBorder="0" applyAlignment="0" applyProtection="0"/>
    <xf numFmtId="0" fontId="5" fillId="0" borderId="0"/>
    <xf numFmtId="0" fontId="5" fillId="23" borderId="56" applyNumberFormat="0" applyFont="0" applyAlignment="0" applyProtection="0"/>
    <xf numFmtId="0" fontId="32" fillId="20" borderId="57" applyNumberFormat="0" applyAlignment="0" applyProtection="0"/>
    <xf numFmtId="0" fontId="1" fillId="0" borderId="0"/>
    <xf numFmtId="0" fontId="33" fillId="0" borderId="0" applyNumberForma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0" fontId="34" fillId="0" borderId="0" applyNumberFormat="0" applyFill="0" applyBorder="0" applyAlignment="0" applyProtection="0"/>
    <xf numFmtId="0" fontId="35" fillId="0" borderId="0"/>
  </cellStyleXfs>
  <cellXfs count="399">
    <xf numFmtId="0" fontId="0" fillId="0" borderId="0" xfId="0"/>
    <xf numFmtId="0" fontId="5" fillId="0" borderId="0" xfId="2" applyFont="1" applyBorder="1"/>
    <xf numFmtId="0" fontId="4" fillId="0" borderId="10" xfId="1" applyFont="1" applyBorder="1" applyAlignment="1" applyProtection="1">
      <alignment shrinkToFit="1"/>
      <protection locked="0"/>
    </xf>
    <xf numFmtId="0" fontId="3" fillId="4" borderId="20" xfId="2" applyFont="1" applyFill="1" applyBorder="1" applyAlignment="1">
      <alignment horizontal="center"/>
    </xf>
    <xf numFmtId="0" fontId="3" fillId="4" borderId="1" xfId="2" applyFont="1" applyFill="1" applyBorder="1" applyAlignment="1">
      <alignment horizontal="center" vertical="center" shrinkToFit="1"/>
    </xf>
    <xf numFmtId="0" fontId="3" fillId="4" borderId="10" xfId="2" applyFont="1" applyFill="1" applyBorder="1" applyAlignment="1">
      <alignment horizontal="center" vertical="center" shrinkToFit="1"/>
    </xf>
    <xf numFmtId="0" fontId="3" fillId="4" borderId="1" xfId="1" applyFont="1" applyFill="1" applyBorder="1" applyAlignment="1">
      <alignment horizontal="center" shrinkToFit="1"/>
    </xf>
    <xf numFmtId="0" fontId="3" fillId="4" borderId="1" xfId="1" applyFont="1" applyFill="1" applyBorder="1" applyAlignment="1">
      <alignment horizontal="center"/>
    </xf>
    <xf numFmtId="0" fontId="3" fillId="4" borderId="9" xfId="1" applyFont="1" applyFill="1" applyBorder="1" applyAlignment="1" applyProtection="1">
      <alignment shrinkToFit="1"/>
      <protection locked="0"/>
    </xf>
    <xf numFmtId="0" fontId="4" fillId="0" borderId="1" xfId="1" applyFont="1" applyBorder="1" applyAlignment="1" applyProtection="1">
      <alignment shrinkToFit="1"/>
      <protection locked="0"/>
    </xf>
    <xf numFmtId="0" fontId="3" fillId="4" borderId="1" xfId="1" applyFont="1" applyFill="1" applyBorder="1" applyAlignment="1" applyProtection="1">
      <alignment shrinkToFit="1"/>
      <protection locked="0"/>
    </xf>
    <xf numFmtId="0" fontId="6" fillId="2" borderId="0" xfId="2" applyFont="1" applyFill="1" applyBorder="1" applyAlignment="1">
      <alignment horizontal="center" vertical="center" shrinkToFit="1"/>
    </xf>
    <xf numFmtId="0" fontId="12" fillId="2" borderId="0" xfId="2" applyFont="1" applyFill="1" applyBorder="1" applyAlignment="1">
      <alignment horizontal="center" vertical="center" shrinkToFit="1"/>
    </xf>
    <xf numFmtId="0" fontId="3" fillId="4" borderId="8" xfId="2" applyFont="1" applyFill="1" applyBorder="1" applyAlignment="1">
      <alignment horizontal="center"/>
    </xf>
    <xf numFmtId="0" fontId="14" fillId="3" borderId="27" xfId="0" applyFont="1" applyFill="1" applyBorder="1" applyAlignment="1">
      <alignment horizontal="center" vertical="center"/>
    </xf>
    <xf numFmtId="0" fontId="14" fillId="4" borderId="32" xfId="0" applyFont="1" applyFill="1" applyBorder="1" applyAlignment="1">
      <alignment vertical="center" shrinkToFit="1"/>
    </xf>
    <xf numFmtId="0" fontId="14" fillId="4" borderId="33" xfId="0" applyFont="1" applyFill="1" applyBorder="1" applyAlignment="1">
      <alignment vertical="center" shrinkToFit="1"/>
    </xf>
    <xf numFmtId="49" fontId="14" fillId="4" borderId="32" xfId="3" applyNumberFormat="1" applyFont="1" applyFill="1" applyBorder="1" applyAlignment="1">
      <alignment horizontal="center" vertical="center"/>
    </xf>
    <xf numFmtId="49" fontId="14" fillId="4" borderId="31" xfId="3" applyNumberFormat="1" applyFont="1" applyFill="1" applyBorder="1" applyAlignment="1">
      <alignment horizontal="center" vertical="center"/>
    </xf>
    <xf numFmtId="0" fontId="14" fillId="4" borderId="27" xfId="0" applyFont="1" applyFill="1" applyBorder="1" applyAlignment="1">
      <alignment horizontal="center" vertical="center"/>
    </xf>
    <xf numFmtId="0" fontId="2" fillId="4" borderId="9" xfId="2" applyFill="1" applyBorder="1" applyAlignment="1">
      <alignment horizontal="center"/>
    </xf>
    <xf numFmtId="0" fontId="2" fillId="4" borderId="10" xfId="2" applyFill="1" applyBorder="1" applyAlignment="1">
      <alignment horizontal="center"/>
    </xf>
    <xf numFmtId="0" fontId="3" fillId="4" borderId="4" xfId="2" applyFont="1" applyFill="1" applyBorder="1" applyAlignment="1">
      <alignment horizontal="center" vertical="center"/>
    </xf>
    <xf numFmtId="0" fontId="3" fillId="4" borderId="5" xfId="2" applyFont="1" applyFill="1" applyBorder="1" applyAlignment="1">
      <alignment horizontal="center" vertical="center"/>
    </xf>
    <xf numFmtId="0" fontId="4" fillId="4" borderId="2" xfId="2" applyFont="1" applyFill="1" applyBorder="1" applyAlignment="1" applyProtection="1">
      <alignment horizontal="center"/>
      <protection locked="0"/>
    </xf>
    <xf numFmtId="0" fontId="2" fillId="4" borderId="0" xfId="2" applyFill="1" applyBorder="1" applyAlignment="1">
      <alignment horizontal="center"/>
    </xf>
    <xf numFmtId="0" fontId="2" fillId="4" borderId="3" xfId="2" applyFill="1" applyBorder="1" applyAlignment="1">
      <alignment horizontal="center"/>
    </xf>
    <xf numFmtId="0" fontId="4" fillId="4" borderId="2" xfId="2" applyFont="1" applyFill="1" applyBorder="1" applyAlignment="1">
      <alignment horizontal="center"/>
    </xf>
    <xf numFmtId="0" fontId="4" fillId="4" borderId="0" xfId="2" applyFont="1" applyFill="1" applyBorder="1" applyAlignment="1">
      <alignment horizontal="center"/>
    </xf>
    <xf numFmtId="0" fontId="4" fillId="4" borderId="3" xfId="2" applyFont="1" applyFill="1" applyBorder="1" applyAlignment="1">
      <alignment horizontal="center"/>
    </xf>
    <xf numFmtId="0" fontId="3" fillId="4" borderId="12" xfId="2" applyFont="1" applyFill="1" applyBorder="1" applyAlignment="1">
      <alignment vertical="center" shrinkToFit="1"/>
    </xf>
    <xf numFmtId="0" fontId="3" fillId="4" borderId="2" xfId="2" applyFont="1" applyFill="1" applyBorder="1" applyAlignment="1">
      <alignment horizontal="center" vertical="center" shrinkToFit="1"/>
    </xf>
    <xf numFmtId="0" fontId="3" fillId="4" borderId="0" xfId="2" applyFont="1" applyFill="1" applyBorder="1" applyAlignment="1">
      <alignment horizontal="center" vertical="center" shrinkToFit="1"/>
    </xf>
    <xf numFmtId="0" fontId="8" fillId="4" borderId="3" xfId="2" applyFont="1" applyFill="1" applyBorder="1" applyAlignment="1" applyProtection="1">
      <alignment horizontal="center" shrinkToFit="1"/>
      <protection locked="0"/>
    </xf>
    <xf numFmtId="0" fontId="3" fillId="4" borderId="6" xfId="2" applyFont="1" applyFill="1" applyBorder="1" applyAlignment="1">
      <alignment horizontal="center" vertical="center" shrinkToFit="1"/>
    </xf>
    <xf numFmtId="0" fontId="3" fillId="4" borderId="7" xfId="2" applyFont="1" applyFill="1" applyBorder="1" applyAlignment="1">
      <alignment horizontal="center" vertical="center" shrinkToFit="1"/>
    </xf>
    <xf numFmtId="0" fontId="8" fillId="4" borderId="11" xfId="2" applyFont="1" applyFill="1" applyBorder="1" applyAlignment="1" applyProtection="1">
      <alignment horizontal="center" shrinkToFit="1"/>
      <protection locked="0"/>
    </xf>
    <xf numFmtId="0" fontId="14" fillId="3" borderId="27" xfId="3" applyFont="1" applyFill="1" applyBorder="1" applyAlignment="1">
      <alignment horizontal="center" vertical="center"/>
    </xf>
    <xf numFmtId="0" fontId="3" fillId="4" borderId="8" xfId="2" applyFont="1" applyFill="1" applyBorder="1" applyAlignment="1">
      <alignment vertical="center" shrinkToFit="1"/>
    </xf>
    <xf numFmtId="0" fontId="7" fillId="4" borderId="10" xfId="2" applyFont="1" applyFill="1" applyBorder="1" applyAlignment="1">
      <alignment vertical="center" shrinkToFit="1"/>
    </xf>
    <xf numFmtId="0" fontId="7" fillId="4" borderId="6" xfId="2" applyFont="1" applyFill="1" applyBorder="1" applyAlignment="1">
      <alignment vertical="center" shrinkToFit="1"/>
    </xf>
    <xf numFmtId="0" fontId="7" fillId="4" borderId="11" xfId="2" applyFont="1" applyFill="1" applyBorder="1" applyAlignment="1">
      <alignment vertical="center" shrinkToFit="1"/>
    </xf>
    <xf numFmtId="0" fontId="0" fillId="3" borderId="40" xfId="0" applyFill="1" applyBorder="1"/>
    <xf numFmtId="0" fontId="0" fillId="5" borderId="40" xfId="0" applyFill="1" applyBorder="1"/>
    <xf numFmtId="0" fontId="0" fillId="4" borderId="40" xfId="0" applyFill="1" applyBorder="1"/>
    <xf numFmtId="0" fontId="0" fillId="3" borderId="41" xfId="0" applyFill="1" applyBorder="1" applyAlignment="1">
      <alignment horizontal="center"/>
    </xf>
    <xf numFmtId="0" fontId="0" fillId="3" borderId="42" xfId="0" applyFill="1" applyBorder="1" applyAlignment="1">
      <alignment horizontal="center"/>
    </xf>
    <xf numFmtId="0" fontId="0" fillId="3" borderId="43" xfId="0" applyFill="1" applyBorder="1" applyAlignment="1">
      <alignment horizontal="center"/>
    </xf>
    <xf numFmtId="0" fontId="0" fillId="3" borderId="40" xfId="0" applyFill="1" applyBorder="1" applyProtection="1">
      <protection locked="0"/>
    </xf>
    <xf numFmtId="0" fontId="0" fillId="0" borderId="0" xfId="0" applyProtection="1">
      <protection locked="0"/>
    </xf>
    <xf numFmtId="0" fontId="0" fillId="0" borderId="0" xfId="0" applyProtection="1"/>
    <xf numFmtId="0" fontId="0" fillId="0" borderId="0" xfId="0" applyAlignment="1" applyProtection="1">
      <alignment horizontal="left"/>
      <protection locked="0"/>
    </xf>
    <xf numFmtId="49" fontId="3" fillId="2" borderId="14" xfId="1" applyNumberFormat="1" applyFont="1" applyFill="1" applyBorder="1" applyAlignment="1">
      <alignment horizontal="center"/>
    </xf>
    <xf numFmtId="0" fontId="14" fillId="4" borderId="31" xfId="3" applyFont="1" applyFill="1" applyBorder="1" applyAlignment="1">
      <alignment horizontal="center" vertical="center" shrinkToFit="1"/>
    </xf>
    <xf numFmtId="0" fontId="14" fillId="4" borderId="32" xfId="0" applyFont="1" applyFill="1" applyBorder="1" applyAlignment="1">
      <alignment vertical="center"/>
    </xf>
    <xf numFmtId="0" fontId="14" fillId="4" borderId="33" xfId="0" applyFont="1" applyFill="1" applyBorder="1" applyAlignment="1">
      <alignment vertical="center"/>
    </xf>
    <xf numFmtId="0" fontId="12" fillId="3" borderId="3" xfId="2" applyFont="1" applyFill="1" applyBorder="1" applyProtection="1">
      <protection locked="0"/>
    </xf>
    <xf numFmtId="0" fontId="12" fillId="3" borderId="2" xfId="2" applyFont="1" applyFill="1" applyBorder="1" applyAlignment="1" applyProtection="1">
      <protection locked="0"/>
    </xf>
    <xf numFmtId="0" fontId="12" fillId="3" borderId="0" xfId="2" applyFont="1" applyFill="1" applyBorder="1" applyAlignment="1" applyProtection="1">
      <protection locked="0"/>
    </xf>
    <xf numFmtId="0" fontId="3" fillId="4" borderId="46" xfId="2" applyFont="1" applyFill="1" applyBorder="1" applyAlignment="1">
      <alignment horizontal="center"/>
    </xf>
    <xf numFmtId="49" fontId="4" fillId="0" borderId="8" xfId="2" quotePrefix="1" applyNumberFormat="1" applyFont="1" applyBorder="1" applyAlignment="1" applyProtection="1">
      <protection locked="0"/>
    </xf>
    <xf numFmtId="49" fontId="4" fillId="0" borderId="9" xfId="2" quotePrefix="1" applyNumberFormat="1" applyFont="1" applyBorder="1" applyAlignment="1" applyProtection="1">
      <protection locked="0"/>
    </xf>
    <xf numFmtId="49" fontId="4" fillId="0" borderId="10" xfId="2" quotePrefix="1" applyNumberFormat="1" applyFont="1" applyBorder="1" applyAlignment="1" applyProtection="1">
      <protection locked="0"/>
    </xf>
    <xf numFmtId="49" fontId="4" fillId="0" borderId="2" xfId="2" applyNumberFormat="1" applyFont="1" applyBorder="1" applyAlignment="1" applyProtection="1">
      <protection locked="0"/>
    </xf>
    <xf numFmtId="49" fontId="4" fillId="0" borderId="0" xfId="2" applyNumberFormat="1" applyFont="1" applyBorder="1" applyAlignment="1" applyProtection="1">
      <protection locked="0"/>
    </xf>
    <xf numFmtId="49" fontId="4" fillId="0" borderId="3" xfId="2" applyNumberFormat="1" applyFont="1" applyBorder="1" applyAlignment="1" applyProtection="1">
      <protection locked="0"/>
    </xf>
    <xf numFmtId="49" fontId="4" fillId="0" borderId="6" xfId="2" applyNumberFormat="1" applyFont="1" applyBorder="1" applyAlignment="1" applyProtection="1">
      <protection locked="0"/>
    </xf>
    <xf numFmtId="49" fontId="4" fillId="0" borderId="7" xfId="2" applyNumberFormat="1" applyFont="1" applyBorder="1" applyAlignment="1" applyProtection="1">
      <protection locked="0"/>
    </xf>
    <xf numFmtId="49" fontId="4" fillId="0" borderId="11" xfId="2" applyNumberFormat="1" applyFont="1" applyBorder="1" applyAlignment="1" applyProtection="1">
      <protection locked="0"/>
    </xf>
    <xf numFmtId="0" fontId="4" fillId="0" borderId="13" xfId="2" applyFont="1" applyBorder="1" applyAlignment="1" applyProtection="1">
      <alignment shrinkToFit="1"/>
      <protection locked="0"/>
    </xf>
    <xf numFmtId="0" fontId="4" fillId="0" borderId="15" xfId="2" applyFont="1" applyBorder="1" applyAlignment="1" applyProtection="1">
      <alignment shrinkToFit="1"/>
      <protection locked="0"/>
    </xf>
    <xf numFmtId="0" fontId="4" fillId="0" borderId="14" xfId="2" applyFont="1" applyBorder="1" applyAlignment="1" applyProtection="1">
      <alignment shrinkToFit="1"/>
      <protection locked="0"/>
    </xf>
    <xf numFmtId="0" fontId="4" fillId="0" borderId="13" xfId="2" applyFont="1" applyBorder="1" applyAlignment="1" applyProtection="1">
      <protection locked="0"/>
    </xf>
    <xf numFmtId="0" fontId="4" fillId="0" borderId="15" xfId="2" applyFont="1" applyBorder="1" applyAlignment="1" applyProtection="1">
      <protection locked="0"/>
    </xf>
    <xf numFmtId="0" fontId="4" fillId="0" borderId="14" xfId="2" applyFont="1" applyBorder="1" applyAlignment="1" applyProtection="1">
      <protection locked="0"/>
    </xf>
    <xf numFmtId="49" fontId="0" fillId="0" borderId="0" xfId="0" applyNumberFormat="1" applyProtection="1">
      <protection locked="0"/>
    </xf>
    <xf numFmtId="0" fontId="0" fillId="2" borderId="40" xfId="0" applyFill="1" applyBorder="1" applyProtection="1">
      <protection locked="0"/>
    </xf>
    <xf numFmtId="1" fontId="5" fillId="0" borderId="40" xfId="0" applyNumberFormat="1" applyFont="1" applyBorder="1" applyAlignment="1">
      <alignment horizontal="center" vertical="center"/>
    </xf>
    <xf numFmtId="0" fontId="5" fillId="0" borderId="40" xfId="0" applyFont="1" applyBorder="1" applyAlignment="1">
      <alignment vertical="center"/>
    </xf>
    <xf numFmtId="164" fontId="5" fillId="0" borderId="40" xfId="0" applyNumberFormat="1" applyFont="1" applyFill="1" applyBorder="1" applyAlignment="1" applyProtection="1">
      <alignment horizontal="center" vertical="center"/>
      <protection locked="0"/>
    </xf>
    <xf numFmtId="0" fontId="5" fillId="0" borderId="40" xfId="0" applyNumberFormat="1" applyFont="1" applyFill="1" applyBorder="1" applyAlignment="1" applyProtection="1">
      <alignment horizontal="center" vertical="center"/>
      <protection locked="0"/>
    </xf>
    <xf numFmtId="1" fontId="5" fillId="0" borderId="40" xfId="0" applyNumberFormat="1" applyFont="1" applyFill="1" applyBorder="1" applyAlignment="1">
      <alignment horizontal="center" vertical="center"/>
    </xf>
    <xf numFmtId="0" fontId="5" fillId="0" borderId="40" xfId="0" applyFont="1" applyFill="1" applyBorder="1" applyAlignment="1">
      <alignment vertical="center"/>
    </xf>
    <xf numFmtId="1" fontId="7" fillId="3" borderId="40" xfId="0" applyNumberFormat="1" applyFont="1" applyFill="1" applyBorder="1" applyAlignment="1">
      <alignment horizontal="center" vertical="center"/>
    </xf>
    <xf numFmtId="0" fontId="7" fillId="3" borderId="40" xfId="0" applyFont="1" applyFill="1" applyBorder="1" applyAlignment="1">
      <alignment horizontal="left" vertical="center"/>
    </xf>
    <xf numFmtId="0" fontId="5" fillId="0" borderId="40" xfId="37" applyFont="1" applyBorder="1" applyAlignment="1">
      <alignment horizontal="center" vertical="center"/>
    </xf>
    <xf numFmtId="0" fontId="14" fillId="4" borderId="31" xfId="0" applyFont="1" applyFill="1" applyBorder="1" applyAlignment="1">
      <alignment horizontal="center" vertical="center"/>
    </xf>
    <xf numFmtId="0" fontId="0" fillId="3" borderId="40" xfId="0" applyFill="1" applyBorder="1" applyAlignment="1">
      <alignment horizontal="center"/>
    </xf>
    <xf numFmtId="0" fontId="0" fillId="0" borderId="40" xfId="0" applyBorder="1" applyAlignment="1">
      <alignment horizontal="center"/>
    </xf>
    <xf numFmtId="0" fontId="5" fillId="0" borderId="23" xfId="37" applyFont="1" applyBorder="1" applyAlignment="1" applyProtection="1"/>
    <xf numFmtId="0" fontId="5" fillId="0" borderId="40" xfId="37" applyFont="1" applyBorder="1" applyAlignment="1" applyProtection="1">
      <alignment vertical="center"/>
    </xf>
    <xf numFmtId="49" fontId="0" fillId="2" borderId="40" xfId="0" applyNumberFormat="1" applyFill="1" applyBorder="1" applyAlignment="1" applyProtection="1">
      <alignment horizontal="right"/>
      <protection locked="0"/>
    </xf>
    <xf numFmtId="0" fontId="0" fillId="3" borderId="23" xfId="0" applyFill="1" applyBorder="1" applyAlignment="1">
      <alignment horizontal="left"/>
    </xf>
    <xf numFmtId="0" fontId="0" fillId="3" borderId="24" xfId="0" applyFill="1" applyBorder="1" applyAlignment="1">
      <alignment horizontal="left"/>
    </xf>
    <xf numFmtId="49" fontId="0" fillId="3" borderId="40" xfId="0" applyNumberFormat="1" applyFill="1" applyBorder="1" applyAlignment="1" applyProtection="1">
      <alignment horizontal="right"/>
      <protection locked="0"/>
    </xf>
    <xf numFmtId="49" fontId="0" fillId="0" borderId="0" xfId="0" applyNumberFormat="1" applyAlignment="1" applyProtection="1">
      <alignment horizontal="right"/>
      <protection locked="0"/>
    </xf>
    <xf numFmtId="164" fontId="0" fillId="0" borderId="0" xfId="0" applyNumberFormat="1" applyProtection="1">
      <protection locked="0"/>
    </xf>
    <xf numFmtId="0" fontId="0" fillId="0" borderId="40" xfId="0" applyBorder="1"/>
    <xf numFmtId="0" fontId="0" fillId="3" borderId="58" xfId="0" applyFill="1" applyBorder="1"/>
    <xf numFmtId="0" fontId="0" fillId="0" borderId="59" xfId="0" applyBorder="1"/>
    <xf numFmtId="2" fontId="0" fillId="0" borderId="59" xfId="0" applyNumberFormat="1" applyBorder="1"/>
    <xf numFmtId="0" fontId="0" fillId="0" borderId="59" xfId="0" applyNumberFormat="1" applyBorder="1"/>
    <xf numFmtId="0" fontId="14" fillId="3" borderId="33" xfId="3" applyFont="1" applyFill="1" applyBorder="1" applyAlignment="1">
      <alignment vertical="center" shrinkToFit="1"/>
    </xf>
    <xf numFmtId="0" fontId="14" fillId="3" borderId="32" xfId="3" applyFont="1" applyFill="1" applyBorder="1" applyAlignment="1">
      <alignment vertical="center" shrinkToFit="1"/>
    </xf>
    <xf numFmtId="2" fontId="0" fillId="0" borderId="40" xfId="0" applyNumberFormat="1" applyBorder="1"/>
    <xf numFmtId="2" fontId="0" fillId="0" borderId="58" xfId="0" applyNumberFormat="1" applyBorder="1"/>
    <xf numFmtId="168" fontId="0" fillId="0" borderId="0" xfId="0" applyNumberFormat="1" applyProtection="1">
      <protection locked="0"/>
    </xf>
    <xf numFmtId="165" fontId="0" fillId="0" borderId="0" xfId="0" applyNumberFormat="1" applyProtection="1">
      <protection locked="0"/>
    </xf>
    <xf numFmtId="0" fontId="0" fillId="4" borderId="0" xfId="0" applyFill="1" applyAlignment="1">
      <alignment horizontal="center"/>
    </xf>
    <xf numFmtId="0" fontId="14" fillId="4" borderId="0" xfId="0" applyFont="1" applyFill="1" applyBorder="1" applyAlignment="1">
      <alignment horizontal="center" vertical="center"/>
    </xf>
    <xf numFmtId="49" fontId="14" fillId="3" borderId="32" xfId="3" applyNumberFormat="1" applyFont="1" applyFill="1" applyBorder="1" applyAlignment="1">
      <alignment vertical="center"/>
    </xf>
    <xf numFmtId="49" fontId="14" fillId="3" borderId="33" xfId="3" applyNumberFormat="1" applyFont="1" applyFill="1" applyBorder="1" applyAlignment="1">
      <alignment vertical="center"/>
    </xf>
    <xf numFmtId="0" fontId="14" fillId="3" borderId="32" xfId="3" applyFont="1" applyFill="1" applyBorder="1" applyAlignment="1">
      <alignment horizontal="center" vertical="center"/>
    </xf>
    <xf numFmtId="0" fontId="14" fillId="3" borderId="33" xfId="0" applyFont="1" applyFill="1" applyBorder="1" applyAlignment="1">
      <alignment horizontal="center" vertical="center"/>
    </xf>
    <xf numFmtId="0" fontId="15" fillId="0" borderId="20" xfId="0" applyFont="1" applyBorder="1" applyAlignment="1">
      <alignment horizontal="center"/>
    </xf>
    <xf numFmtId="2" fontId="4" fillId="0" borderId="14" xfId="1" applyNumberFormat="1" applyFont="1" applyBorder="1" applyAlignment="1" applyProtection="1">
      <alignment shrinkToFit="1"/>
      <protection locked="0"/>
    </xf>
    <xf numFmtId="0" fontId="0" fillId="0" borderId="0" xfId="0" applyAlignment="1" applyProtection="1">
      <alignment horizontal="center"/>
      <protection locked="0"/>
    </xf>
    <xf numFmtId="0" fontId="0" fillId="0" borderId="37" xfId="0" applyBorder="1" applyAlignment="1" applyProtection="1">
      <alignment horizontal="center"/>
      <protection locked="0"/>
    </xf>
    <xf numFmtId="0" fontId="0" fillId="0" borderId="0" xfId="0" applyBorder="1" applyAlignment="1" applyProtection="1">
      <alignment horizontal="center"/>
      <protection locked="0"/>
    </xf>
    <xf numFmtId="0" fontId="14" fillId="4" borderId="32" xfId="3" applyFont="1" applyFill="1" applyBorder="1" applyAlignment="1">
      <alignment horizontal="center" vertical="center" shrinkToFit="1"/>
    </xf>
    <xf numFmtId="0" fontId="0" fillId="0" borderId="7" xfId="0" applyBorder="1" applyAlignment="1">
      <alignment horizontal="center"/>
    </xf>
    <xf numFmtId="0" fontId="12" fillId="3" borderId="2" xfId="2" applyFont="1" applyFill="1" applyBorder="1" applyAlignment="1" applyProtection="1">
      <alignment horizontal="left" shrinkToFit="1"/>
      <protection locked="0"/>
    </xf>
    <xf numFmtId="0" fontId="12" fillId="3" borderId="0" xfId="2" applyFont="1" applyFill="1" applyBorder="1" applyAlignment="1" applyProtection="1">
      <alignment horizontal="left" shrinkToFit="1"/>
      <protection locked="0"/>
    </xf>
    <xf numFmtId="0" fontId="12" fillId="3" borderId="3" xfId="2" applyFont="1" applyFill="1" applyBorder="1" applyAlignment="1" applyProtection="1">
      <alignment horizontal="left" shrinkToFit="1"/>
      <protection locked="0"/>
    </xf>
    <xf numFmtId="0" fontId="5" fillId="0" borderId="8" xfId="2" applyFont="1" applyBorder="1" applyAlignment="1" applyProtection="1">
      <alignment horizontal="center"/>
      <protection locked="0"/>
    </xf>
    <xf numFmtId="0" fontId="5" fillId="0" borderId="9" xfId="2" applyFont="1" applyBorder="1" applyAlignment="1" applyProtection="1">
      <alignment horizontal="center"/>
      <protection locked="0"/>
    </xf>
    <xf numFmtId="0" fontId="5" fillId="0" borderId="10" xfId="2" applyFont="1" applyBorder="1" applyAlignment="1" applyProtection="1">
      <alignment horizontal="center"/>
      <protection locked="0"/>
    </xf>
    <xf numFmtId="0" fontId="5" fillId="0" borderId="2" xfId="2" applyFont="1" applyBorder="1" applyAlignment="1" applyProtection="1">
      <alignment horizontal="center"/>
      <protection locked="0"/>
    </xf>
    <xf numFmtId="0" fontId="5" fillId="0" borderId="0" xfId="2" applyFont="1" applyBorder="1" applyAlignment="1" applyProtection="1">
      <alignment horizontal="center"/>
      <protection locked="0"/>
    </xf>
    <xf numFmtId="0" fontId="5" fillId="0" borderId="3" xfId="2" applyFont="1" applyBorder="1" applyAlignment="1" applyProtection="1">
      <alignment horizontal="center"/>
      <protection locked="0"/>
    </xf>
    <xf numFmtId="0" fontId="5" fillId="0" borderId="6" xfId="2" applyFont="1" applyBorder="1" applyAlignment="1" applyProtection="1">
      <alignment horizontal="center"/>
      <protection locked="0"/>
    </xf>
    <xf numFmtId="0" fontId="5" fillId="0" borderId="7" xfId="2" applyFont="1" applyBorder="1" applyAlignment="1" applyProtection="1">
      <alignment horizontal="center"/>
      <protection locked="0"/>
    </xf>
    <xf numFmtId="0" fontId="5" fillId="0" borderId="11" xfId="2" applyFont="1" applyBorder="1" applyAlignment="1" applyProtection="1">
      <alignment horizontal="center"/>
      <protection locked="0"/>
    </xf>
    <xf numFmtId="0" fontId="9" fillId="0" borderId="2" xfId="2" applyFont="1" applyFill="1" applyBorder="1" applyAlignment="1" applyProtection="1">
      <alignment horizontal="center"/>
      <protection locked="0"/>
    </xf>
    <xf numFmtId="0" fontId="9" fillId="0" borderId="0" xfId="2" applyFont="1" applyFill="1" applyBorder="1" applyAlignment="1" applyProtection="1">
      <alignment horizontal="center"/>
      <protection locked="0"/>
    </xf>
    <xf numFmtId="0" fontId="9" fillId="0" borderId="3" xfId="2" applyFont="1" applyFill="1" applyBorder="1" applyAlignment="1" applyProtection="1">
      <alignment horizontal="center"/>
      <protection locked="0"/>
    </xf>
    <xf numFmtId="0" fontId="3" fillId="4" borderId="8" xfId="2" applyFont="1" applyFill="1" applyBorder="1" applyAlignment="1">
      <alignment horizontal="center"/>
    </xf>
    <xf numFmtId="0" fontId="3" fillId="4" borderId="9" xfId="2" applyFont="1" applyFill="1" applyBorder="1" applyAlignment="1">
      <alignment horizontal="center"/>
    </xf>
    <xf numFmtId="0" fontId="3" fillId="4" borderId="10" xfId="2" applyFont="1" applyFill="1" applyBorder="1" applyAlignment="1">
      <alignment horizontal="center"/>
    </xf>
    <xf numFmtId="0" fontId="4" fillId="2" borderId="23" xfId="2" applyFont="1" applyFill="1" applyBorder="1" applyAlignment="1" applyProtection="1">
      <alignment horizontal="left"/>
      <protection locked="0"/>
    </xf>
    <xf numFmtId="0" fontId="4" fillId="2" borderId="17" xfId="2" applyFont="1" applyFill="1" applyBorder="1" applyAlignment="1" applyProtection="1">
      <alignment horizontal="left"/>
      <protection locked="0"/>
    </xf>
    <xf numFmtId="0" fontId="4" fillId="2" borderId="24" xfId="2" applyFont="1" applyFill="1" applyBorder="1" applyAlignment="1" applyProtection="1">
      <alignment horizontal="left"/>
      <protection locked="0"/>
    </xf>
    <xf numFmtId="0" fontId="4" fillId="0" borderId="23" xfId="2" applyFont="1" applyBorder="1" applyAlignment="1" applyProtection="1">
      <alignment horizontal="left"/>
      <protection locked="0"/>
    </xf>
    <xf numFmtId="0" fontId="4" fillId="0" borderId="17" xfId="2" applyFont="1" applyBorder="1" applyAlignment="1" applyProtection="1">
      <alignment horizontal="left"/>
      <protection locked="0"/>
    </xf>
    <xf numFmtId="0" fontId="4" fillId="0" borderId="24" xfId="2" applyFont="1" applyBorder="1" applyAlignment="1" applyProtection="1">
      <alignment horizontal="left"/>
      <protection locked="0"/>
    </xf>
    <xf numFmtId="0" fontId="12" fillId="3" borderId="2" xfId="2" applyFont="1" applyFill="1" applyBorder="1" applyAlignment="1">
      <alignment horizontal="left" shrinkToFit="1"/>
    </xf>
    <xf numFmtId="0" fontId="12" fillId="3" borderId="0" xfId="2" applyFont="1" applyFill="1" applyBorder="1" applyAlignment="1">
      <alignment horizontal="left" shrinkToFit="1"/>
    </xf>
    <xf numFmtId="0" fontId="12" fillId="3" borderId="3" xfId="2" applyFont="1" applyFill="1" applyBorder="1" applyAlignment="1">
      <alignment horizontal="left" shrinkToFit="1"/>
    </xf>
    <xf numFmtId="0" fontId="3" fillId="3" borderId="8" xfId="2" applyFont="1" applyFill="1" applyBorder="1" applyAlignment="1">
      <alignment horizontal="center" vertical="center" shrinkToFit="1"/>
    </xf>
    <xf numFmtId="0" fontId="3" fillId="3" borderId="9" xfId="2" applyFont="1" applyFill="1" applyBorder="1" applyAlignment="1">
      <alignment horizontal="center" vertical="center" shrinkToFit="1"/>
    </xf>
    <xf numFmtId="0" fontId="3" fillId="3" borderId="10" xfId="2" applyFont="1" applyFill="1" applyBorder="1" applyAlignment="1">
      <alignment horizontal="center" vertical="center" shrinkToFit="1"/>
    </xf>
    <xf numFmtId="0" fontId="3" fillId="3" borderId="2" xfId="2" applyFont="1" applyFill="1" applyBorder="1" applyAlignment="1">
      <alignment horizontal="center" vertical="center" shrinkToFit="1"/>
    </xf>
    <xf numFmtId="0" fontId="3" fillId="3" borderId="0" xfId="2" applyFont="1" applyFill="1" applyBorder="1" applyAlignment="1">
      <alignment horizontal="center" vertical="center" shrinkToFit="1"/>
    </xf>
    <xf numFmtId="0" fontId="3" fillId="3" borderId="3" xfId="2" applyFont="1" applyFill="1" applyBorder="1" applyAlignment="1">
      <alignment horizontal="center" vertical="center" shrinkToFit="1"/>
    </xf>
    <xf numFmtId="0" fontId="3" fillId="3" borderId="6" xfId="2" applyFont="1" applyFill="1" applyBorder="1" applyAlignment="1">
      <alignment horizontal="center" vertical="center" shrinkToFit="1"/>
    </xf>
    <xf numFmtId="0" fontId="3" fillId="3" borderId="7" xfId="2" applyFont="1" applyFill="1" applyBorder="1" applyAlignment="1">
      <alignment horizontal="center" vertical="center" shrinkToFit="1"/>
    </xf>
    <xf numFmtId="0" fontId="3" fillId="3" borderId="11" xfId="2" applyFont="1" applyFill="1" applyBorder="1" applyAlignment="1">
      <alignment horizontal="center" vertical="center" shrinkToFit="1"/>
    </xf>
    <xf numFmtId="0" fontId="12" fillId="3" borderId="6" xfId="2" applyFont="1" applyFill="1" applyBorder="1" applyAlignment="1">
      <alignment horizontal="left" vertical="center" shrinkToFit="1"/>
    </xf>
    <xf numFmtId="0" fontId="12" fillId="3" borderId="7" xfId="2" applyFont="1" applyFill="1" applyBorder="1" applyAlignment="1">
      <alignment horizontal="left" vertical="center" shrinkToFit="1"/>
    </xf>
    <xf numFmtId="0" fontId="12" fillId="3" borderId="11" xfId="2" applyFont="1" applyFill="1" applyBorder="1" applyAlignment="1">
      <alignment horizontal="left" vertical="center" shrinkToFit="1"/>
    </xf>
    <xf numFmtId="0" fontId="12" fillId="3" borderId="2" xfId="2" applyFont="1" applyFill="1" applyBorder="1" applyAlignment="1">
      <alignment horizontal="left"/>
    </xf>
    <xf numFmtId="0" fontId="12" fillId="3" borderId="0" xfId="2" applyFont="1" applyFill="1" applyBorder="1" applyAlignment="1">
      <alignment horizontal="left"/>
    </xf>
    <xf numFmtId="0" fontId="12" fillId="3" borderId="3" xfId="2" applyFont="1" applyFill="1" applyBorder="1" applyAlignment="1">
      <alignment horizontal="left"/>
    </xf>
    <xf numFmtId="0" fontId="12" fillId="3" borderId="2" xfId="2" applyFont="1" applyFill="1" applyBorder="1" applyAlignment="1">
      <alignment shrinkToFit="1"/>
    </xf>
    <xf numFmtId="0" fontId="12" fillId="3" borderId="0" xfId="2" applyFont="1" applyFill="1" applyBorder="1" applyAlignment="1">
      <alignment shrinkToFit="1"/>
    </xf>
    <xf numFmtId="0" fontId="12" fillId="3" borderId="3" xfId="2" applyFont="1" applyFill="1" applyBorder="1" applyAlignment="1">
      <alignment shrinkToFit="1"/>
    </xf>
    <xf numFmtId="0" fontId="12" fillId="3" borderId="2"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3" xfId="2" applyFont="1" applyFill="1" applyBorder="1" applyAlignment="1">
      <alignment horizontal="left" vertical="center" shrinkToFit="1"/>
    </xf>
    <xf numFmtId="0" fontId="3" fillId="4" borderId="45" xfId="2" applyFont="1" applyFill="1" applyBorder="1" applyAlignment="1">
      <alignment horizontal="center"/>
    </xf>
    <xf numFmtId="0" fontId="3" fillId="4" borderId="19" xfId="2" applyFont="1" applyFill="1" applyBorder="1" applyAlignment="1">
      <alignment horizontal="center"/>
    </xf>
    <xf numFmtId="0" fontId="4" fillId="0" borderId="9" xfId="2" applyFont="1" applyBorder="1" applyAlignment="1" applyProtection="1">
      <protection locked="0"/>
    </xf>
    <xf numFmtId="0" fontId="4" fillId="0" borderId="10" xfId="2" applyFont="1" applyBorder="1" applyAlignment="1" applyProtection="1">
      <protection locked="0"/>
    </xf>
    <xf numFmtId="0" fontId="3" fillId="0" borderId="2" xfId="2" applyFont="1" applyFill="1" applyBorder="1" applyAlignment="1" applyProtection="1">
      <alignment horizontal="left" shrinkToFit="1"/>
      <protection locked="0"/>
    </xf>
    <xf numFmtId="0" fontId="3" fillId="0" borderId="0" xfId="2" applyFont="1" applyFill="1" applyBorder="1" applyAlignment="1" applyProtection="1">
      <alignment horizontal="left" shrinkToFit="1"/>
      <protection locked="0"/>
    </xf>
    <xf numFmtId="0" fontId="3" fillId="0" borderId="3" xfId="2" applyFont="1" applyFill="1" applyBorder="1" applyAlignment="1" applyProtection="1">
      <alignment horizontal="left" shrinkToFit="1"/>
      <protection locked="0"/>
    </xf>
    <xf numFmtId="0" fontId="8" fillId="0" borderId="8" xfId="2" applyFont="1" applyFill="1" applyBorder="1" applyAlignment="1" applyProtection="1">
      <alignment horizontal="left" shrinkToFit="1"/>
      <protection locked="0"/>
    </xf>
    <xf numFmtId="0" fontId="8" fillId="0" borderId="9" xfId="2" applyFont="1" applyFill="1" applyBorder="1" applyAlignment="1" applyProtection="1">
      <alignment horizontal="left" shrinkToFit="1"/>
      <protection locked="0"/>
    </xf>
    <xf numFmtId="0" fontId="8" fillId="0" borderId="10" xfId="2" applyFont="1" applyFill="1" applyBorder="1" applyAlignment="1" applyProtection="1">
      <alignment horizontal="left" shrinkToFit="1"/>
      <protection locked="0"/>
    </xf>
    <xf numFmtId="0" fontId="11" fillId="4" borderId="2" xfId="2" applyFont="1" applyFill="1" applyBorder="1" applyAlignment="1" applyProtection="1">
      <alignment horizontal="center" shrinkToFit="1"/>
      <protection locked="0"/>
    </xf>
    <xf numFmtId="0" fontId="11" fillId="4" borderId="0" xfId="2" applyFont="1" applyFill="1" applyBorder="1" applyAlignment="1" applyProtection="1">
      <alignment horizontal="center" shrinkToFit="1"/>
      <protection locked="0"/>
    </xf>
    <xf numFmtId="0" fontId="11" fillId="4" borderId="3" xfId="2" applyFont="1" applyFill="1" applyBorder="1" applyAlignment="1" applyProtection="1">
      <alignment horizontal="center" shrinkToFit="1"/>
      <protection locked="0"/>
    </xf>
    <xf numFmtId="0" fontId="10" fillId="4" borderId="2" xfId="2" applyFont="1" applyFill="1" applyBorder="1" applyAlignment="1">
      <alignment horizontal="center"/>
    </xf>
    <xf numFmtId="0" fontId="2" fillId="4" borderId="0" xfId="2" applyFill="1"/>
    <xf numFmtId="0" fontId="2" fillId="4" borderId="3" xfId="2" applyFill="1" applyBorder="1"/>
    <xf numFmtId="0" fontId="4" fillId="0" borderId="2" xfId="2" applyFont="1" applyBorder="1" applyAlignment="1" applyProtection="1">
      <alignment horizontal="left" shrinkToFit="1"/>
      <protection locked="0"/>
    </xf>
    <xf numFmtId="0" fontId="4" fillId="0" borderId="0" xfId="2" applyFont="1" applyBorder="1" applyAlignment="1" applyProtection="1">
      <alignment horizontal="left" shrinkToFit="1"/>
      <protection locked="0"/>
    </xf>
    <xf numFmtId="0" fontId="4" fillId="0" borderId="3" xfId="2" applyFont="1" applyBorder="1" applyAlignment="1" applyProtection="1">
      <alignment horizontal="left" shrinkToFit="1"/>
      <protection locked="0"/>
    </xf>
    <xf numFmtId="0" fontId="4" fillId="4" borderId="2" xfId="2" applyFont="1" applyFill="1" applyBorder="1" applyAlignment="1">
      <alignment horizontal="center" shrinkToFit="1"/>
    </xf>
    <xf numFmtId="0" fontId="12" fillId="3" borderId="8" xfId="2" applyFont="1" applyFill="1" applyBorder="1" applyAlignment="1">
      <alignment horizontal="left" vertical="center" shrinkToFit="1"/>
    </xf>
    <xf numFmtId="0" fontId="12" fillId="3" borderId="9" xfId="2" applyFont="1" applyFill="1" applyBorder="1" applyAlignment="1">
      <alignment horizontal="left" vertical="center" shrinkToFit="1"/>
    </xf>
    <xf numFmtId="0" fontId="12" fillId="3" borderId="10" xfId="2" applyFont="1" applyFill="1" applyBorder="1" applyAlignment="1">
      <alignment horizontal="left" vertical="center" shrinkToFit="1"/>
    </xf>
    <xf numFmtId="0" fontId="12" fillId="3" borderId="8" xfId="2" applyFont="1" applyFill="1" applyBorder="1" applyAlignment="1">
      <alignment horizontal="left"/>
    </xf>
    <xf numFmtId="0" fontId="12" fillId="3" borderId="9" xfId="2" applyFont="1" applyFill="1" applyBorder="1" applyAlignment="1">
      <alignment horizontal="left"/>
    </xf>
    <xf numFmtId="0" fontId="12" fillId="3" borderId="10" xfId="2" applyFont="1" applyFill="1" applyBorder="1" applyAlignment="1">
      <alignment horizontal="left"/>
    </xf>
    <xf numFmtId="0" fontId="3" fillId="3" borderId="2" xfId="2" applyFont="1" applyFill="1" applyBorder="1" applyAlignment="1">
      <alignment horizontal="left" vertical="center" shrinkToFit="1"/>
    </xf>
    <xf numFmtId="0" fontId="4" fillId="3" borderId="0" xfId="2" applyFont="1" applyFill="1" applyBorder="1" applyAlignment="1">
      <alignment horizontal="left" vertical="center" shrinkToFit="1"/>
    </xf>
    <xf numFmtId="0" fontId="4" fillId="3" borderId="3" xfId="2" applyFont="1" applyFill="1" applyBorder="1" applyAlignment="1">
      <alignment horizontal="left" vertical="center" shrinkToFit="1"/>
    </xf>
    <xf numFmtId="0" fontId="4" fillId="3" borderId="6" xfId="2" applyFont="1" applyFill="1" applyBorder="1" applyAlignment="1">
      <alignment horizontal="left" vertical="center" shrinkToFit="1"/>
    </xf>
    <xf numFmtId="0" fontId="4" fillId="3" borderId="7" xfId="2" applyFont="1" applyFill="1" applyBorder="1" applyAlignment="1">
      <alignment horizontal="left" vertical="center" shrinkToFit="1"/>
    </xf>
    <xf numFmtId="0" fontId="4" fillId="3" borderId="11" xfId="2" applyFont="1" applyFill="1" applyBorder="1" applyAlignment="1">
      <alignment horizontal="left" vertical="center" shrinkToFit="1"/>
    </xf>
    <xf numFmtId="0" fontId="4" fillId="3" borderId="2" xfId="2" applyFont="1" applyFill="1" applyBorder="1" applyAlignment="1">
      <alignment horizontal="left" shrinkToFit="1"/>
    </xf>
    <xf numFmtId="0" fontId="4" fillId="3" borderId="0" xfId="2" applyFont="1" applyFill="1" applyBorder="1" applyAlignment="1">
      <alignment horizontal="left" shrinkToFit="1"/>
    </xf>
    <xf numFmtId="0" fontId="4" fillId="3" borderId="3" xfId="2" applyFont="1" applyFill="1" applyBorder="1" applyAlignment="1">
      <alignment horizontal="left" shrinkToFit="1"/>
    </xf>
    <xf numFmtId="0" fontId="12" fillId="3" borderId="2" xfId="2" applyFont="1" applyFill="1" applyBorder="1" applyAlignment="1">
      <alignment horizontal="left" vertical="center"/>
    </xf>
    <xf numFmtId="0" fontId="12" fillId="3" borderId="0" xfId="2" applyFont="1" applyFill="1" applyBorder="1" applyAlignment="1">
      <alignment horizontal="left" vertical="center"/>
    </xf>
    <xf numFmtId="0" fontId="12" fillId="3" borderId="3" xfId="2" applyFont="1" applyFill="1" applyBorder="1" applyAlignment="1">
      <alignment horizontal="left" vertical="center"/>
    </xf>
    <xf numFmtId="0" fontId="9" fillId="0" borderId="2" xfId="2" applyFont="1" applyBorder="1" applyAlignment="1" applyProtection="1">
      <protection locked="0"/>
    </xf>
    <xf numFmtId="0" fontId="8" fillId="0" borderId="0" xfId="2" applyFont="1" applyBorder="1" applyAlignment="1" applyProtection="1">
      <protection locked="0"/>
    </xf>
    <xf numFmtId="0" fontId="8" fillId="0" borderId="3" xfId="2" applyFont="1" applyBorder="1" applyAlignment="1" applyProtection="1">
      <protection locked="0"/>
    </xf>
    <xf numFmtId="0" fontId="3" fillId="0" borderId="2" xfId="2" applyFont="1" applyBorder="1" applyAlignment="1" applyProtection="1">
      <alignment horizontal="left" shrinkToFit="1"/>
      <protection locked="0"/>
    </xf>
    <xf numFmtId="0" fontId="3" fillId="4" borderId="8" xfId="2" applyFont="1" applyFill="1" applyBorder="1" applyAlignment="1">
      <alignment horizontal="center" vertical="center" shrinkToFit="1"/>
    </xf>
    <xf numFmtId="0" fontId="3" fillId="4" borderId="10" xfId="2" applyFont="1" applyFill="1" applyBorder="1" applyAlignment="1">
      <alignment horizontal="center" vertical="center" shrinkToFit="1"/>
    </xf>
    <xf numFmtId="0" fontId="3" fillId="4" borderId="2" xfId="2" applyFont="1" applyFill="1" applyBorder="1" applyAlignment="1">
      <alignment horizontal="center" vertical="center" shrinkToFit="1"/>
    </xf>
    <xf numFmtId="0" fontId="3" fillId="4" borderId="3" xfId="2" applyFont="1" applyFill="1" applyBorder="1" applyAlignment="1">
      <alignment horizontal="center" vertical="center" shrinkToFit="1"/>
    </xf>
    <xf numFmtId="0" fontId="3" fillId="4" borderId="6" xfId="2" applyFont="1" applyFill="1" applyBorder="1" applyAlignment="1">
      <alignment horizontal="center" vertical="center" shrinkToFit="1"/>
    </xf>
    <xf numFmtId="0" fontId="3" fillId="4" borderId="11" xfId="2" applyFont="1" applyFill="1" applyBorder="1" applyAlignment="1">
      <alignment horizontal="center" vertical="center" shrinkToFit="1"/>
    </xf>
    <xf numFmtId="0" fontId="4" fillId="0" borderId="6" xfId="2" applyFont="1" applyBorder="1" applyAlignment="1" applyProtection="1">
      <alignment horizontal="left" shrinkToFit="1"/>
      <protection locked="0"/>
    </xf>
    <xf numFmtId="0" fontId="4" fillId="0" borderId="7" xfId="2" applyFont="1" applyBorder="1" applyAlignment="1" applyProtection="1">
      <alignment horizontal="left" shrinkToFit="1"/>
      <protection locked="0"/>
    </xf>
    <xf numFmtId="0" fontId="4" fillId="0" borderId="11" xfId="2" applyFont="1" applyBorder="1" applyAlignment="1" applyProtection="1">
      <alignment horizontal="left" shrinkToFit="1"/>
      <protection locked="0"/>
    </xf>
    <xf numFmtId="0" fontId="3" fillId="2" borderId="21" xfId="2" applyFont="1" applyFill="1" applyBorder="1" applyAlignment="1" applyProtection="1">
      <alignment horizontal="center"/>
      <protection locked="0"/>
    </xf>
    <xf numFmtId="0" fontId="3" fillId="2" borderId="20" xfId="2" applyFont="1" applyFill="1" applyBorder="1" applyAlignment="1" applyProtection="1">
      <alignment horizontal="center"/>
      <protection locked="0"/>
    </xf>
    <xf numFmtId="0" fontId="3" fillId="2" borderId="22" xfId="2" applyFont="1" applyFill="1" applyBorder="1" applyAlignment="1" applyProtection="1">
      <alignment horizontal="center"/>
      <protection locked="0"/>
    </xf>
    <xf numFmtId="0" fontId="3" fillId="3" borderId="8" xfId="2" applyFont="1" applyFill="1" applyBorder="1" applyAlignment="1">
      <alignment horizontal="center" vertical="center"/>
    </xf>
    <xf numFmtId="0" fontId="3" fillId="3" borderId="9" xfId="2" applyFont="1" applyFill="1" applyBorder="1" applyAlignment="1">
      <alignment horizontal="center" vertical="center"/>
    </xf>
    <xf numFmtId="0" fontId="3" fillId="3" borderId="10" xfId="2" applyFont="1" applyFill="1" applyBorder="1" applyAlignment="1">
      <alignment horizontal="center" vertical="center"/>
    </xf>
    <xf numFmtId="0" fontId="3" fillId="3" borderId="2" xfId="2" applyFont="1" applyFill="1" applyBorder="1" applyAlignment="1">
      <alignment horizontal="center" vertical="center"/>
    </xf>
    <xf numFmtId="0" fontId="3" fillId="3" borderId="0" xfId="2" applyFont="1" applyFill="1" applyBorder="1" applyAlignment="1">
      <alignment horizontal="center" vertical="center"/>
    </xf>
    <xf numFmtId="0" fontId="3" fillId="3" borderId="3" xfId="2" applyFont="1" applyFill="1" applyBorder="1" applyAlignment="1">
      <alignment horizontal="center" vertical="center"/>
    </xf>
    <xf numFmtId="0" fontId="12" fillId="3" borderId="2" xfId="2" applyFont="1" applyFill="1" applyBorder="1" applyAlignment="1" applyProtection="1">
      <alignment horizontal="left"/>
      <protection locked="0"/>
    </xf>
    <xf numFmtId="0" fontId="12" fillId="3" borderId="0" xfId="2" applyFont="1" applyFill="1" applyBorder="1" applyAlignment="1" applyProtection="1">
      <alignment horizontal="left"/>
      <protection locked="0"/>
    </xf>
    <xf numFmtId="0" fontId="12" fillId="3" borderId="3" xfId="2" applyFont="1" applyFill="1" applyBorder="1" applyAlignment="1" applyProtection="1">
      <alignment horizontal="left"/>
      <protection locked="0"/>
    </xf>
    <xf numFmtId="0" fontId="2" fillId="4" borderId="0" xfId="2" applyFont="1" applyFill="1"/>
    <xf numFmtId="0" fontId="2" fillId="4" borderId="3" xfId="2" applyFont="1" applyFill="1" applyBorder="1"/>
    <xf numFmtId="0" fontId="4" fillId="0" borderId="2" xfId="2" applyFont="1" applyBorder="1" applyAlignment="1" applyProtection="1">
      <protection locked="0"/>
    </xf>
    <xf numFmtId="0" fontId="4" fillId="0" borderId="0" xfId="2" applyFont="1" applyBorder="1" applyAlignment="1" applyProtection="1">
      <protection locked="0"/>
    </xf>
    <xf numFmtId="0" fontId="4" fillId="0" borderId="3" xfId="2" applyFont="1" applyBorder="1" applyAlignment="1" applyProtection="1">
      <protection locked="0"/>
    </xf>
    <xf numFmtId="0" fontId="3" fillId="4" borderId="2" xfId="2" applyFont="1" applyFill="1" applyBorder="1" applyAlignment="1" applyProtection="1">
      <alignment horizontal="center" shrinkToFit="1"/>
      <protection locked="0"/>
    </xf>
    <xf numFmtId="0" fontId="3" fillId="4" borderId="0" xfId="2" applyFont="1" applyFill="1" applyBorder="1" applyAlignment="1" applyProtection="1">
      <alignment horizontal="center" shrinkToFit="1"/>
      <protection locked="0"/>
    </xf>
    <xf numFmtId="0" fontId="3" fillId="4" borderId="3" xfId="2" applyFont="1" applyFill="1" applyBorder="1" applyAlignment="1" applyProtection="1">
      <alignment horizontal="center" shrinkToFit="1"/>
      <protection locked="0"/>
    </xf>
    <xf numFmtId="0" fontId="3" fillId="4" borderId="4" xfId="2" applyFont="1" applyFill="1" applyBorder="1" applyAlignment="1">
      <alignment horizontal="center" vertical="center" shrinkToFit="1"/>
    </xf>
    <xf numFmtId="0" fontId="3" fillId="4" borderId="12" xfId="2" applyFont="1" applyFill="1" applyBorder="1" applyAlignment="1">
      <alignment horizontal="center" vertical="center" shrinkToFit="1"/>
    </xf>
    <xf numFmtId="0" fontId="4" fillId="0" borderId="2" xfId="2" applyFont="1" applyFill="1" applyBorder="1" applyAlignment="1" applyProtection="1">
      <alignment horizontal="center"/>
      <protection locked="0"/>
    </xf>
    <xf numFmtId="0" fontId="4" fillId="0" borderId="0" xfId="2" applyFont="1" applyFill="1" applyBorder="1" applyAlignment="1" applyProtection="1">
      <alignment horizontal="center"/>
      <protection locked="0"/>
    </xf>
    <xf numFmtId="0" fontId="4" fillId="0" borderId="3" xfId="2" applyFont="1" applyFill="1" applyBorder="1" applyAlignment="1" applyProtection="1">
      <alignment horizontal="center"/>
      <protection locked="0"/>
    </xf>
    <xf numFmtId="0" fontId="4" fillId="0" borderId="2" xfId="2" applyFont="1" applyFill="1" applyBorder="1" applyAlignment="1" applyProtection="1">
      <alignment horizontal="left" shrinkToFit="1"/>
      <protection locked="0"/>
    </xf>
    <xf numFmtId="0" fontId="4" fillId="0" borderId="0" xfId="2" applyFont="1" applyFill="1" applyBorder="1" applyAlignment="1" applyProtection="1">
      <alignment horizontal="left" shrinkToFit="1"/>
      <protection locked="0"/>
    </xf>
    <xf numFmtId="0" fontId="4" fillId="0" borderId="3" xfId="2" applyFont="1" applyFill="1" applyBorder="1" applyAlignment="1" applyProtection="1">
      <alignment horizontal="left" shrinkToFit="1"/>
      <protection locked="0"/>
    </xf>
    <xf numFmtId="0" fontId="8" fillId="0" borderId="2" xfId="2" applyFont="1" applyFill="1" applyBorder="1" applyAlignment="1" applyProtection="1">
      <alignment horizontal="left" shrinkToFit="1"/>
      <protection locked="0"/>
    </xf>
    <xf numFmtId="0" fontId="8" fillId="0" borderId="0" xfId="2" applyFont="1" applyFill="1" applyBorder="1" applyAlignment="1" applyProtection="1">
      <alignment horizontal="left" shrinkToFit="1"/>
      <protection locked="0"/>
    </xf>
    <xf numFmtId="0" fontId="8" fillId="0" borderId="3" xfId="2" applyFont="1" applyFill="1" applyBorder="1" applyAlignment="1" applyProtection="1">
      <alignment horizontal="left" shrinkToFit="1"/>
      <protection locked="0"/>
    </xf>
    <xf numFmtId="0" fontId="3" fillId="4" borderId="8" xfId="2" applyFont="1" applyFill="1" applyBorder="1" applyAlignment="1">
      <alignment horizontal="center" vertical="center"/>
    </xf>
    <xf numFmtId="0" fontId="3" fillId="4" borderId="9" xfId="2" applyFont="1" applyFill="1" applyBorder="1" applyAlignment="1">
      <alignment horizontal="center" vertical="center"/>
    </xf>
    <xf numFmtId="0" fontId="3" fillId="4" borderId="2" xfId="2" applyFont="1" applyFill="1" applyBorder="1" applyAlignment="1">
      <alignment horizontal="center" vertical="center"/>
    </xf>
    <xf numFmtId="0" fontId="3" fillId="4" borderId="0"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7" xfId="2" applyFont="1" applyFill="1" applyBorder="1" applyAlignment="1">
      <alignment horizontal="center" vertical="center"/>
    </xf>
    <xf numFmtId="0" fontId="3" fillId="0" borderId="8" xfId="2" applyFont="1" applyBorder="1" applyAlignment="1" applyProtection="1">
      <alignment horizontal="left" vertical="center" shrinkToFit="1"/>
      <protection locked="0"/>
    </xf>
    <xf numFmtId="0" fontId="3" fillId="0" borderId="9" xfId="2" applyFont="1" applyBorder="1" applyAlignment="1" applyProtection="1">
      <alignment horizontal="left" vertical="center" shrinkToFit="1"/>
      <protection locked="0"/>
    </xf>
    <xf numFmtId="0" fontId="3" fillId="0" borderId="10" xfId="2" applyFont="1" applyBorder="1" applyAlignment="1" applyProtection="1">
      <alignment horizontal="left" vertical="center" shrinkToFit="1"/>
      <protection locked="0"/>
    </xf>
    <xf numFmtId="0" fontId="3" fillId="0" borderId="2" xfId="2" applyFont="1" applyBorder="1" applyAlignment="1" applyProtection="1">
      <alignment horizontal="left" vertical="center" shrinkToFit="1"/>
      <protection locked="0"/>
    </xf>
    <xf numFmtId="0" fontId="3" fillId="0" borderId="0" xfId="2" applyFont="1" applyBorder="1" applyAlignment="1" applyProtection="1">
      <alignment horizontal="left" vertical="center" shrinkToFit="1"/>
      <protection locked="0"/>
    </xf>
    <xf numFmtId="0" fontId="3" fillId="0" borderId="3" xfId="2" applyFont="1" applyBorder="1" applyAlignment="1" applyProtection="1">
      <alignment horizontal="left" vertical="center" shrinkToFit="1"/>
      <protection locked="0"/>
    </xf>
    <xf numFmtId="0" fontId="3" fillId="0" borderId="6" xfId="2" applyFont="1" applyBorder="1" applyAlignment="1" applyProtection="1">
      <alignment horizontal="left" vertical="center" shrinkToFit="1"/>
      <protection locked="0"/>
    </xf>
    <xf numFmtId="0" fontId="3" fillId="0" borderId="7" xfId="2" applyFont="1" applyBorder="1" applyAlignment="1" applyProtection="1">
      <alignment horizontal="left" vertical="center" shrinkToFit="1"/>
      <protection locked="0"/>
    </xf>
    <xf numFmtId="0" fontId="3" fillId="0" borderId="11" xfId="2" applyFont="1" applyBorder="1" applyAlignment="1" applyProtection="1">
      <alignment horizontal="left" vertical="center" shrinkToFit="1"/>
      <protection locked="0"/>
    </xf>
    <xf numFmtId="0" fontId="4" fillId="0" borderId="0" xfId="2" applyFont="1" applyBorder="1" applyAlignment="1" applyProtection="1">
      <alignment horizontal="center" shrinkToFit="1"/>
      <protection locked="0"/>
    </xf>
    <xf numFmtId="0" fontId="5" fillId="0" borderId="0" xfId="2" applyFont="1" applyBorder="1" applyAlignment="1" applyProtection="1">
      <alignment shrinkToFit="1"/>
      <protection locked="0"/>
    </xf>
    <xf numFmtId="0" fontId="5" fillId="0" borderId="3" xfId="2" applyFont="1" applyBorder="1" applyAlignment="1" applyProtection="1">
      <alignment shrinkToFit="1"/>
      <protection locked="0"/>
    </xf>
    <xf numFmtId="0" fontId="8" fillId="0" borderId="6" xfId="2" applyFont="1" applyFill="1" applyBorder="1" applyAlignment="1" applyProtection="1">
      <alignment horizontal="center" shrinkToFit="1"/>
      <protection locked="0"/>
    </xf>
    <xf numFmtId="0" fontId="8" fillId="0" borderId="7" xfId="2" applyFont="1" applyFill="1" applyBorder="1" applyAlignment="1" applyProtection="1">
      <alignment horizontal="center" shrinkToFit="1"/>
      <protection locked="0"/>
    </xf>
    <xf numFmtId="0" fontId="8" fillId="0" borderId="11" xfId="2" applyFont="1" applyFill="1" applyBorder="1" applyAlignment="1" applyProtection="1">
      <alignment horizontal="center" shrinkToFit="1"/>
      <protection locked="0"/>
    </xf>
    <xf numFmtId="0" fontId="9" fillId="0" borderId="2" xfId="2" applyFont="1" applyFill="1" applyBorder="1" applyAlignment="1" applyProtection="1">
      <alignment horizontal="left"/>
      <protection locked="0"/>
    </xf>
    <xf numFmtId="0" fontId="9" fillId="0" borderId="0" xfId="2" applyFont="1" applyFill="1" applyBorder="1" applyAlignment="1" applyProtection="1">
      <alignment horizontal="left"/>
      <protection locked="0"/>
    </xf>
    <xf numFmtId="0" fontId="9" fillId="0" borderId="3" xfId="2" applyFont="1" applyFill="1" applyBorder="1" applyAlignment="1" applyProtection="1">
      <alignment horizontal="left"/>
      <protection locked="0"/>
    </xf>
    <xf numFmtId="0" fontId="4" fillId="0" borderId="8" xfId="2" applyFont="1" applyBorder="1" applyAlignment="1" applyProtection="1">
      <alignment shrinkToFit="1"/>
      <protection locked="0"/>
    </xf>
    <xf numFmtId="0" fontId="5" fillId="0" borderId="9" xfId="2" applyFont="1" applyBorder="1" applyAlignment="1" applyProtection="1">
      <alignment shrinkToFit="1"/>
      <protection locked="0"/>
    </xf>
    <xf numFmtId="0" fontId="5" fillId="0" borderId="10" xfId="2" applyFont="1" applyBorder="1" applyAlignment="1" applyProtection="1">
      <alignment shrinkToFit="1"/>
      <protection locked="0"/>
    </xf>
    <xf numFmtId="0" fontId="4" fillId="0" borderId="6" xfId="2" applyFont="1" applyBorder="1" applyAlignment="1" applyProtection="1">
      <alignment horizontal="center"/>
      <protection locked="0"/>
    </xf>
    <xf numFmtId="0" fontId="4" fillId="0" borderId="7" xfId="2" applyFont="1" applyBorder="1" applyAlignment="1" applyProtection="1">
      <alignment horizontal="center"/>
      <protection locked="0"/>
    </xf>
    <xf numFmtId="0" fontId="4" fillId="0" borderId="11" xfId="2" applyFont="1" applyBorder="1" applyAlignment="1" applyProtection="1">
      <alignment horizontal="center"/>
      <protection locked="0"/>
    </xf>
    <xf numFmtId="0" fontId="4" fillId="4" borderId="10" xfId="2" applyFont="1" applyFill="1" applyBorder="1" applyAlignment="1">
      <alignment horizontal="center" vertical="center" shrinkToFit="1"/>
    </xf>
    <xf numFmtId="0" fontId="4" fillId="4" borderId="3" xfId="2" applyFont="1" applyFill="1" applyBorder="1" applyAlignment="1">
      <alignment horizontal="center" vertical="center" shrinkToFit="1"/>
    </xf>
    <xf numFmtId="0" fontId="5" fillId="4" borderId="6" xfId="2" applyFont="1" applyFill="1" applyBorder="1" applyAlignment="1">
      <alignment horizontal="center" vertical="center" shrinkToFit="1"/>
    </xf>
    <xf numFmtId="0" fontId="5" fillId="4" borderId="11" xfId="2" applyFont="1" applyFill="1" applyBorder="1" applyAlignment="1">
      <alignment horizontal="center" vertical="center" shrinkToFit="1"/>
    </xf>
    <xf numFmtId="0" fontId="7" fillId="0" borderId="9" xfId="2" applyFont="1" applyBorder="1" applyAlignment="1" applyProtection="1">
      <alignment horizontal="left" vertical="center" shrinkToFit="1"/>
      <protection locked="0"/>
    </xf>
    <xf numFmtId="0" fontId="7" fillId="0" borderId="9" xfId="2" applyFont="1" applyBorder="1" applyAlignment="1" applyProtection="1">
      <alignment vertical="center" shrinkToFit="1"/>
      <protection locked="0"/>
    </xf>
    <xf numFmtId="0" fontId="7" fillId="0" borderId="0" xfId="2" applyFont="1" applyBorder="1" applyAlignment="1" applyProtection="1">
      <alignment horizontal="left" vertical="center" shrinkToFit="1"/>
      <protection locked="0"/>
    </xf>
    <xf numFmtId="0" fontId="7" fillId="0" borderId="0" xfId="2" applyFont="1" applyBorder="1" applyAlignment="1" applyProtection="1">
      <alignment vertical="center" shrinkToFit="1"/>
      <protection locked="0"/>
    </xf>
    <xf numFmtId="0" fontId="7" fillId="0" borderId="7" xfId="2" applyFont="1" applyBorder="1" applyAlignment="1" applyProtection="1">
      <alignment horizontal="left" vertical="center" shrinkToFit="1"/>
      <protection locked="0"/>
    </xf>
    <xf numFmtId="0" fontId="7" fillId="0" borderId="7" xfId="2" applyFont="1" applyBorder="1" applyAlignment="1" applyProtection="1">
      <alignment vertical="center" shrinkToFit="1"/>
      <protection locked="0"/>
    </xf>
    <xf numFmtId="0" fontId="4" fillId="4" borderId="10" xfId="2" applyFont="1" applyFill="1" applyBorder="1" applyAlignment="1">
      <alignment horizontal="center" vertical="center"/>
    </xf>
    <xf numFmtId="0" fontId="4" fillId="4" borderId="2" xfId="2" applyFont="1" applyFill="1" applyBorder="1" applyAlignment="1">
      <alignment horizontal="center" vertical="center"/>
    </xf>
    <xf numFmtId="0" fontId="4" fillId="4" borderId="3" xfId="2" applyFont="1" applyFill="1" applyBorder="1" applyAlignment="1">
      <alignment horizontal="center" vertical="center"/>
    </xf>
    <xf numFmtId="0" fontId="4" fillId="4" borderId="6" xfId="2" applyFont="1" applyFill="1" applyBorder="1" applyAlignment="1">
      <alignment horizontal="center" vertical="center"/>
    </xf>
    <xf numFmtId="0" fontId="4" fillId="4" borderId="11" xfId="2" applyFont="1" applyFill="1" applyBorder="1" applyAlignment="1">
      <alignment horizontal="center" vertical="center"/>
    </xf>
    <xf numFmtId="0" fontId="4" fillId="0" borderId="2" xfId="2" applyFont="1" applyBorder="1" applyAlignment="1" applyProtection="1">
      <alignment shrinkToFit="1"/>
      <protection locked="0"/>
    </xf>
    <xf numFmtId="0" fontId="12" fillId="3" borderId="8" xfId="2" applyFont="1" applyFill="1" applyBorder="1" applyAlignment="1" applyProtection="1">
      <alignment horizontal="left" shrinkToFit="1"/>
      <protection locked="0"/>
    </xf>
    <xf numFmtId="0" fontId="12" fillId="3" borderId="9" xfId="2" applyFont="1" applyFill="1" applyBorder="1" applyAlignment="1" applyProtection="1">
      <alignment horizontal="left" shrinkToFit="1"/>
      <protection locked="0"/>
    </xf>
    <xf numFmtId="0" fontId="12" fillId="3" borderId="10" xfId="2" applyFont="1" applyFill="1" applyBorder="1" applyAlignment="1" applyProtection="1">
      <alignment horizontal="left" shrinkToFit="1"/>
      <protection locked="0"/>
    </xf>
    <xf numFmtId="0" fontId="3" fillId="4" borderId="6" xfId="2" applyFont="1" applyFill="1" applyBorder="1" applyAlignment="1" applyProtection="1">
      <alignment horizontal="left" shrinkToFit="1"/>
      <protection locked="0"/>
    </xf>
    <xf numFmtId="0" fontId="3" fillId="4" borderId="7" xfId="2" applyFont="1" applyFill="1" applyBorder="1" applyAlignment="1" applyProtection="1">
      <alignment horizontal="left" shrinkToFit="1"/>
      <protection locked="0"/>
    </xf>
    <xf numFmtId="0" fontId="3" fillId="4" borderId="11" xfId="2" applyFont="1" applyFill="1" applyBorder="1" applyAlignment="1" applyProtection="1">
      <alignment horizontal="left" shrinkToFit="1"/>
      <protection locked="0"/>
    </xf>
    <xf numFmtId="0" fontId="3" fillId="4" borderId="47" xfId="2" applyFont="1" applyFill="1" applyBorder="1" applyAlignment="1">
      <alignment horizontal="center"/>
    </xf>
    <xf numFmtId="0" fontId="3" fillId="4" borderId="48" xfId="2" applyFont="1" applyFill="1" applyBorder="1" applyAlignment="1">
      <alignment horizontal="center"/>
    </xf>
    <xf numFmtId="0" fontId="3" fillId="4" borderId="49" xfId="2" applyFont="1" applyFill="1" applyBorder="1" applyAlignment="1">
      <alignment horizontal="center"/>
    </xf>
    <xf numFmtId="0" fontId="4" fillId="0" borderId="8" xfId="2" applyFont="1" applyBorder="1" applyAlignment="1" applyProtection="1">
      <alignment horizontal="left" shrinkToFit="1"/>
      <protection locked="0"/>
    </xf>
    <xf numFmtId="0" fontId="4" fillId="0" borderId="9" xfId="2" applyFont="1" applyBorder="1" applyAlignment="1" applyProtection="1">
      <alignment horizontal="left" shrinkToFit="1"/>
      <protection locked="0"/>
    </xf>
    <xf numFmtId="0" fontId="4" fillId="0" borderId="10" xfId="2" applyFont="1" applyBorder="1" applyAlignment="1" applyProtection="1">
      <alignment horizontal="left" shrinkToFit="1"/>
      <protection locked="0"/>
    </xf>
    <xf numFmtId="0" fontId="12" fillId="3" borderId="8" xfId="2" applyFont="1" applyFill="1" applyBorder="1" applyAlignment="1">
      <alignment horizontal="left" shrinkToFit="1"/>
    </xf>
    <xf numFmtId="0" fontId="12" fillId="3" borderId="9" xfId="2" applyFont="1" applyFill="1" applyBorder="1" applyAlignment="1">
      <alignment horizontal="left" shrinkToFit="1"/>
    </xf>
    <xf numFmtId="0" fontId="12" fillId="3" borderId="10" xfId="2" applyFont="1" applyFill="1" applyBorder="1" applyAlignment="1">
      <alignment horizontal="left" shrinkToFit="1"/>
    </xf>
    <xf numFmtId="0" fontId="4" fillId="4" borderId="2" xfId="2" applyFont="1" applyFill="1" applyBorder="1" applyAlignment="1" applyProtection="1">
      <alignment horizontal="center" shrinkToFit="1"/>
      <protection locked="0"/>
    </xf>
    <xf numFmtId="0" fontId="4" fillId="4" borderId="0" xfId="2" applyFont="1" applyFill="1" applyBorder="1" applyAlignment="1" applyProtection="1">
      <alignment horizontal="center" shrinkToFit="1"/>
      <protection locked="0"/>
    </xf>
    <xf numFmtId="0" fontId="4" fillId="4" borderId="3" xfId="2" applyFont="1" applyFill="1" applyBorder="1" applyAlignment="1" applyProtection="1">
      <alignment horizontal="center" shrinkToFit="1"/>
      <protection locked="0"/>
    </xf>
    <xf numFmtId="0" fontId="4" fillId="3" borderId="8" xfId="2" applyFont="1" applyFill="1" applyBorder="1" applyAlignment="1">
      <alignment shrinkToFit="1"/>
    </xf>
    <xf numFmtId="0" fontId="4" fillId="3" borderId="9" xfId="2" applyFont="1" applyFill="1" applyBorder="1" applyAlignment="1">
      <alignment shrinkToFit="1"/>
    </xf>
    <xf numFmtId="0" fontId="4" fillId="3" borderId="10" xfId="2" applyFont="1" applyFill="1" applyBorder="1" applyAlignment="1">
      <alignment shrinkToFit="1"/>
    </xf>
    <xf numFmtId="0" fontId="4" fillId="0" borderId="13" xfId="1" applyFont="1" applyBorder="1" applyAlignment="1" applyProtection="1">
      <alignment horizontal="left" shrinkToFit="1"/>
      <protection locked="0"/>
    </xf>
    <xf numFmtId="0" fontId="4" fillId="0" borderId="15" xfId="1" applyFont="1" applyBorder="1" applyAlignment="1" applyProtection="1">
      <alignment horizontal="left" shrinkToFit="1"/>
      <protection locked="0"/>
    </xf>
    <xf numFmtId="0" fontId="4" fillId="0" borderId="14" xfId="1" applyFont="1" applyBorder="1" applyAlignment="1" applyProtection="1">
      <alignment horizontal="left" shrinkToFit="1"/>
      <protection locked="0"/>
    </xf>
    <xf numFmtId="0" fontId="3" fillId="4" borderId="14" xfId="1" applyFont="1" applyFill="1" applyBorder="1" applyAlignment="1">
      <alignment horizontal="center" shrinkToFit="1"/>
    </xf>
    <xf numFmtId="0" fontId="3" fillId="4" borderId="1" xfId="1" applyFont="1" applyFill="1" applyBorder="1" applyAlignment="1">
      <alignment horizontal="center" shrinkToFit="1"/>
    </xf>
    <xf numFmtId="0" fontId="4" fillId="0" borderId="13" xfId="1" applyFont="1" applyBorder="1" applyAlignment="1" applyProtection="1">
      <alignment shrinkToFit="1"/>
      <protection locked="0"/>
    </xf>
    <xf numFmtId="0" fontId="4" fillId="0" borderId="15" xfId="1" applyFont="1" applyBorder="1" applyAlignment="1" applyProtection="1">
      <alignment shrinkToFit="1"/>
      <protection locked="0"/>
    </xf>
    <xf numFmtId="0" fontId="4" fillId="0" borderId="14" xfId="1" applyFont="1" applyBorder="1" applyAlignment="1" applyProtection="1">
      <alignment shrinkToFit="1"/>
      <protection locked="0"/>
    </xf>
    <xf numFmtId="0" fontId="5" fillId="0" borderId="15" xfId="1" applyFont="1" applyBorder="1" applyAlignment="1" applyProtection="1">
      <alignment shrinkToFit="1"/>
      <protection locked="0"/>
    </xf>
    <xf numFmtId="0" fontId="5" fillId="0" borderId="14" xfId="1" applyFont="1" applyBorder="1" applyAlignment="1" applyProtection="1">
      <alignment shrinkToFit="1"/>
      <protection locked="0"/>
    </xf>
    <xf numFmtId="14" fontId="3" fillId="0" borderId="1" xfId="1" applyNumberFormat="1" applyFont="1" applyFill="1" applyBorder="1" applyAlignment="1" applyProtection="1">
      <alignment horizontal="center" shrinkToFit="1"/>
      <protection locked="0"/>
    </xf>
    <xf numFmtId="14" fontId="4" fillId="0" borderId="1" xfId="1" applyNumberFormat="1" applyFont="1" applyBorder="1" applyAlignment="1" applyProtection="1">
      <alignment horizontal="center" shrinkToFit="1"/>
      <protection locked="0"/>
    </xf>
    <xf numFmtId="0" fontId="3" fillId="4" borderId="13" xfId="1" applyFont="1" applyFill="1" applyBorder="1" applyAlignment="1">
      <alignment horizontal="left"/>
    </xf>
    <xf numFmtId="0" fontId="3" fillId="4" borderId="14" xfId="1" applyFont="1" applyFill="1" applyBorder="1" applyAlignment="1">
      <alignment horizontal="left"/>
    </xf>
    <xf numFmtId="0" fontId="3" fillId="3" borderId="13" xfId="1" applyFont="1" applyFill="1" applyBorder="1" applyAlignment="1">
      <alignment horizontal="center" shrinkToFit="1"/>
    </xf>
    <xf numFmtId="0" fontId="3" fillId="3" borderId="14" xfId="1" applyFont="1" applyFill="1" applyBorder="1" applyAlignment="1">
      <alignment horizontal="center" shrinkToFit="1"/>
    </xf>
    <xf numFmtId="0" fontId="3" fillId="4" borderId="2" xfId="2" applyFont="1" applyFill="1" applyBorder="1" applyAlignment="1" applyProtection="1">
      <alignment horizontal="left" shrinkToFit="1"/>
      <protection locked="0"/>
    </xf>
    <xf numFmtId="0" fontId="3" fillId="4" borderId="0" xfId="2" applyFont="1" applyFill="1" applyBorder="1" applyAlignment="1" applyProtection="1">
      <alignment horizontal="left" shrinkToFit="1"/>
      <protection locked="0"/>
    </xf>
    <xf numFmtId="0" fontId="3" fillId="4" borderId="3" xfId="2" applyFont="1" applyFill="1" applyBorder="1" applyAlignment="1" applyProtection="1">
      <alignment horizontal="left" shrinkToFit="1"/>
      <protection locked="0"/>
    </xf>
    <xf numFmtId="0" fontId="3" fillId="4" borderId="44" xfId="2" applyFont="1" applyFill="1" applyBorder="1" applyAlignment="1">
      <alignment horizontal="center" shrinkToFit="1"/>
    </xf>
    <xf numFmtId="0" fontId="3" fillId="4" borderId="18" xfId="2" applyFont="1" applyFill="1" applyBorder="1" applyAlignment="1">
      <alignment horizontal="center" shrinkToFit="1"/>
    </xf>
    <xf numFmtId="0" fontId="3" fillId="4" borderId="2" xfId="2" applyFont="1" applyFill="1" applyBorder="1" applyAlignment="1">
      <alignment horizontal="left" shrinkToFit="1"/>
    </xf>
    <xf numFmtId="0" fontId="4" fillId="4" borderId="0" xfId="2" applyFont="1" applyFill="1" applyBorder="1" applyAlignment="1">
      <alignment horizontal="left" shrinkToFit="1"/>
    </xf>
    <xf numFmtId="0" fontId="4" fillId="4" borderId="3" xfId="2" applyFont="1" applyFill="1" applyBorder="1" applyAlignment="1">
      <alignment horizontal="left" shrinkToFit="1"/>
    </xf>
    <xf numFmtId="0" fontId="3" fillId="4" borderId="8" xfId="2" applyFont="1" applyFill="1" applyBorder="1" applyAlignment="1">
      <alignment horizontal="center" shrinkToFit="1"/>
    </xf>
    <xf numFmtId="0" fontId="3" fillId="4" borderId="9" xfId="2" applyFont="1" applyFill="1" applyBorder="1" applyAlignment="1">
      <alignment horizontal="center" shrinkToFit="1"/>
    </xf>
    <xf numFmtId="0" fontId="3" fillId="4" borderId="10" xfId="2" applyFont="1" applyFill="1" applyBorder="1" applyAlignment="1">
      <alignment horizontal="center" shrinkToFit="1"/>
    </xf>
    <xf numFmtId="0" fontId="3" fillId="4" borderId="13" xfId="1" applyFont="1" applyFill="1" applyBorder="1" applyAlignment="1" applyProtection="1">
      <alignment horizontal="center" shrinkToFit="1"/>
      <protection locked="0"/>
    </xf>
    <xf numFmtId="0" fontId="3" fillId="4" borderId="14" xfId="1" applyFont="1" applyFill="1" applyBorder="1" applyAlignment="1" applyProtection="1">
      <alignment horizontal="center" shrinkToFit="1"/>
      <protection locked="0"/>
    </xf>
    <xf numFmtId="0" fontId="3" fillId="4" borderId="16" xfId="2" applyFont="1" applyFill="1" applyBorder="1" applyAlignment="1">
      <alignment horizontal="center"/>
    </xf>
    <xf numFmtId="0" fontId="3" fillId="4" borderId="17" xfId="2" applyFont="1" applyFill="1" applyBorder="1" applyAlignment="1">
      <alignment horizontal="center"/>
    </xf>
    <xf numFmtId="0" fontId="16" fillId="4" borderId="16" xfId="2" applyFont="1" applyFill="1" applyBorder="1" applyAlignment="1">
      <alignment horizontal="center"/>
    </xf>
    <xf numFmtId="0" fontId="16" fillId="4" borderId="17" xfId="2" applyFont="1" applyFill="1" applyBorder="1" applyAlignment="1">
      <alignment horizontal="center"/>
    </xf>
    <xf numFmtId="0" fontId="7" fillId="4" borderId="16" xfId="2" applyFont="1" applyFill="1" applyBorder="1" applyAlignment="1">
      <alignment horizontal="center"/>
    </xf>
    <xf numFmtId="0" fontId="7" fillId="4" borderId="17" xfId="2" applyFont="1" applyFill="1" applyBorder="1" applyAlignment="1">
      <alignment horizontal="center"/>
    </xf>
    <xf numFmtId="0" fontId="14" fillId="3" borderId="25" xfId="0" applyFont="1" applyFill="1" applyBorder="1" applyAlignment="1">
      <alignment horizontal="center" vertical="center" shrinkToFit="1"/>
    </xf>
    <xf numFmtId="0" fontId="0" fillId="3" borderId="26" xfId="0" applyFont="1" applyFill="1" applyBorder="1" applyAlignment="1">
      <alignment horizontal="center" vertical="center" shrinkToFit="1"/>
    </xf>
    <xf numFmtId="0" fontId="14" fillId="0" borderId="25" xfId="3" applyNumberFormat="1" applyFont="1" applyBorder="1" applyAlignment="1" applyProtection="1">
      <alignment horizontal="center" vertical="center" shrinkToFit="1"/>
    </xf>
    <xf numFmtId="0" fontId="14" fillId="0" borderId="28" xfId="3" applyNumberFormat="1" applyFont="1" applyBorder="1" applyAlignment="1" applyProtection="1">
      <alignment horizontal="center" vertical="center" shrinkToFit="1"/>
    </xf>
    <xf numFmtId="0" fontId="14" fillId="0" borderId="26" xfId="3" applyNumberFormat="1" applyFont="1" applyBorder="1" applyAlignment="1" applyProtection="1">
      <alignment horizontal="center" vertical="center" shrinkToFit="1"/>
    </xf>
    <xf numFmtId="0" fontId="14" fillId="0" borderId="25" xfId="3" applyFont="1" applyBorder="1" applyAlignment="1">
      <alignment horizontal="left" vertical="center" shrinkToFit="1"/>
    </xf>
    <xf numFmtId="0" fontId="13" fillId="0" borderId="28" xfId="3" applyFont="1" applyBorder="1" applyAlignment="1">
      <alignment vertical="center" shrinkToFit="1"/>
    </xf>
    <xf numFmtId="0" fontId="13" fillId="0" borderId="26" xfId="3" applyFont="1" applyBorder="1" applyAlignment="1">
      <alignment vertical="center" shrinkToFit="1"/>
    </xf>
    <xf numFmtId="0" fontId="14" fillId="3" borderId="25" xfId="0" applyFont="1" applyFill="1" applyBorder="1" applyAlignment="1">
      <alignment horizontal="center" vertical="center"/>
    </xf>
    <xf numFmtId="0" fontId="14" fillId="3" borderId="26" xfId="0" applyFont="1" applyFill="1" applyBorder="1" applyAlignment="1">
      <alignment horizontal="center" vertical="center"/>
    </xf>
    <xf numFmtId="0" fontId="14" fillId="3" borderId="32" xfId="3" applyFont="1" applyFill="1" applyBorder="1" applyAlignment="1">
      <alignment horizontal="center" vertical="center" shrinkToFit="1"/>
    </xf>
    <xf numFmtId="0" fontId="14" fillId="3" borderId="33" xfId="3" applyFont="1" applyFill="1" applyBorder="1" applyAlignment="1">
      <alignment horizontal="center" vertical="center" shrinkToFit="1"/>
    </xf>
    <xf numFmtId="0" fontId="14" fillId="4" borderId="32" xfId="3" applyFont="1" applyFill="1" applyBorder="1" applyAlignment="1">
      <alignment horizontal="center" vertical="center" shrinkToFit="1"/>
    </xf>
    <xf numFmtId="0" fontId="14" fillId="4" borderId="33" xfId="3" applyFont="1" applyFill="1" applyBorder="1" applyAlignment="1">
      <alignment horizontal="center" vertical="center" shrinkToFit="1"/>
    </xf>
    <xf numFmtId="0" fontId="14" fillId="4" borderId="38" xfId="0" applyFont="1" applyFill="1" applyBorder="1" applyAlignment="1">
      <alignment horizontal="center" vertical="center" shrinkToFit="1"/>
    </xf>
    <xf numFmtId="0" fontId="14" fillId="4" borderId="0" xfId="0" applyFont="1" applyFill="1" applyBorder="1" applyAlignment="1">
      <alignment horizontal="center" vertical="center" shrinkToFit="1"/>
    </xf>
    <xf numFmtId="0" fontId="14" fillId="4" borderId="39" xfId="0" applyFont="1" applyFill="1" applyBorder="1" applyAlignment="1">
      <alignment horizontal="center" vertical="center" shrinkToFit="1"/>
    </xf>
    <xf numFmtId="0" fontId="14" fillId="3" borderId="34" xfId="3" applyFont="1" applyFill="1" applyBorder="1" applyAlignment="1">
      <alignment horizontal="center" vertical="center" shrinkToFit="1"/>
    </xf>
    <xf numFmtId="0" fontId="14" fillId="3" borderId="36" xfId="3" applyFont="1" applyFill="1" applyBorder="1" applyAlignment="1">
      <alignment horizontal="center" vertical="center" shrinkToFit="1"/>
    </xf>
    <xf numFmtId="0" fontId="14" fillId="3" borderId="35" xfId="3" applyFont="1" applyFill="1" applyBorder="1" applyAlignment="1">
      <alignment horizontal="center" vertical="center" shrinkToFit="1"/>
    </xf>
    <xf numFmtId="0" fontId="14" fillId="3" borderId="30" xfId="3" applyFont="1" applyFill="1" applyBorder="1" applyAlignment="1">
      <alignment horizontal="center" vertical="center" shrinkToFit="1"/>
    </xf>
    <xf numFmtId="0" fontId="7" fillId="3" borderId="40" xfId="0" applyFont="1" applyFill="1" applyBorder="1" applyAlignment="1" applyProtection="1">
      <alignment horizontal="center" vertical="center"/>
    </xf>
    <xf numFmtId="0" fontId="15" fillId="4" borderId="0" xfId="0" applyFont="1" applyFill="1" applyBorder="1" applyAlignment="1">
      <alignment horizontal="center"/>
    </xf>
    <xf numFmtId="0" fontId="0" fillId="3" borderId="23" xfId="0" applyFill="1" applyBorder="1" applyAlignment="1">
      <alignment horizontal="left"/>
    </xf>
    <xf numFmtId="0" fontId="0" fillId="3" borderId="24" xfId="0" applyFill="1" applyBorder="1" applyAlignment="1">
      <alignment horizontal="left"/>
    </xf>
    <xf numFmtId="0" fontId="0" fillId="4" borderId="40" xfId="0" applyFill="1" applyBorder="1" applyAlignment="1">
      <alignment horizontal="left"/>
    </xf>
    <xf numFmtId="0" fontId="0" fillId="3" borderId="40" xfId="0" applyFill="1" applyBorder="1" applyAlignment="1">
      <alignment horizontal="left"/>
    </xf>
    <xf numFmtId="0" fontId="0" fillId="4" borderId="23" xfId="0" applyFill="1" applyBorder="1" applyAlignment="1">
      <alignment horizontal="left"/>
    </xf>
    <xf numFmtId="0" fontId="0" fillId="4" borderId="24" xfId="0" applyFill="1" applyBorder="1" applyAlignment="1">
      <alignment horizontal="left"/>
    </xf>
    <xf numFmtId="0" fontId="14" fillId="0" borderId="25" xfId="3" applyFont="1" applyBorder="1" applyAlignment="1">
      <alignment horizontal="center" vertical="center" shrinkToFit="1"/>
    </xf>
    <xf numFmtId="0" fontId="14" fillId="0" borderId="28" xfId="3" applyFont="1" applyBorder="1" applyAlignment="1">
      <alignment horizontal="center" vertical="center" shrinkToFit="1"/>
    </xf>
    <xf numFmtId="0" fontId="14" fillId="0" borderId="26" xfId="3" applyFont="1" applyBorder="1" applyAlignment="1">
      <alignment horizontal="center" vertical="center" shrinkToFit="1"/>
    </xf>
    <xf numFmtId="0" fontId="14" fillId="3" borderId="32" xfId="0" applyFont="1" applyFill="1" applyBorder="1" applyAlignment="1">
      <alignment horizontal="center" vertical="center"/>
    </xf>
    <xf numFmtId="0" fontId="0" fillId="3" borderId="60" xfId="0" applyFill="1" applyBorder="1" applyAlignment="1">
      <alignment horizontal="center"/>
    </xf>
    <xf numFmtId="0" fontId="0" fillId="3" borderId="61" xfId="0" applyFill="1" applyBorder="1" applyAlignment="1">
      <alignment horizontal="center"/>
    </xf>
    <xf numFmtId="0" fontId="0" fillId="3" borderId="58" xfId="0" applyFill="1" applyBorder="1" applyAlignment="1">
      <alignment horizontal="center"/>
    </xf>
    <xf numFmtId="0" fontId="14" fillId="4" borderId="37" xfId="0" applyFont="1" applyFill="1" applyBorder="1" applyAlignment="1">
      <alignment vertical="center" shrinkToFit="1"/>
    </xf>
    <xf numFmtId="0" fontId="14" fillId="4" borderId="36" xfId="0" applyFont="1" applyFill="1" applyBorder="1" applyAlignment="1">
      <alignment vertical="center" shrinkToFit="1"/>
    </xf>
    <xf numFmtId="0" fontId="14" fillId="4" borderId="35" xfId="0" applyFont="1" applyFill="1" applyBorder="1" applyAlignment="1">
      <alignment vertical="center" shrinkToFit="1"/>
    </xf>
    <xf numFmtId="0" fontId="14" fillId="4" borderId="29" xfId="0" applyFont="1" applyFill="1" applyBorder="1" applyAlignment="1">
      <alignment vertical="center" shrinkToFit="1"/>
    </xf>
    <xf numFmtId="0" fontId="14" fillId="4" borderId="30" xfId="0" applyFont="1" applyFill="1" applyBorder="1" applyAlignment="1">
      <alignment vertical="center" shrinkToFit="1"/>
    </xf>
    <xf numFmtId="0" fontId="14" fillId="3" borderId="32" xfId="0" applyFont="1" applyFill="1" applyBorder="1" applyAlignment="1">
      <alignment vertical="center"/>
    </xf>
    <xf numFmtId="0" fontId="14" fillId="3" borderId="33" xfId="0" applyFont="1" applyFill="1" applyBorder="1" applyAlignment="1">
      <alignment vertical="center"/>
    </xf>
    <xf numFmtId="0" fontId="0" fillId="3" borderId="60" xfId="0" applyFill="1" applyBorder="1"/>
    <xf numFmtId="165" fontId="0" fillId="0" borderId="60" xfId="0" applyNumberFormat="1" applyBorder="1"/>
    <xf numFmtId="0" fontId="14" fillId="3" borderId="31" xfId="0" applyFont="1" applyFill="1" applyBorder="1" applyAlignment="1">
      <alignment horizontal="center" vertical="top"/>
    </xf>
  </cellXfs>
  <cellStyles count="46">
    <cellStyle name="20% - Accent1" xfId="5"/>
    <cellStyle name="20% - Accent2" xfId="6"/>
    <cellStyle name="20% - Accent3" xfId="7"/>
    <cellStyle name="20% - Accent4" xfId="8"/>
    <cellStyle name="20% - Accent5" xfId="9"/>
    <cellStyle name="20% - Accent6" xfId="10"/>
    <cellStyle name="40% - Accent1" xfId="11"/>
    <cellStyle name="40% - Accent2" xfId="12"/>
    <cellStyle name="40% - Accent3" xfId="13"/>
    <cellStyle name="40% - Accent4" xfId="14"/>
    <cellStyle name="40% - Accent5" xfId="15"/>
    <cellStyle name="40% - Accent6" xfId="16"/>
    <cellStyle name="60% - Accent1" xfId="17"/>
    <cellStyle name="60% - Accent2" xfId="18"/>
    <cellStyle name="60% - Accent3" xfId="19"/>
    <cellStyle name="60% - Accent4" xfId="20"/>
    <cellStyle name="60% - Accent5" xfId="21"/>
    <cellStyle name="60% - Accent6" xfId="22"/>
    <cellStyle name="Bad" xfId="23"/>
    <cellStyle name="Calculation" xfId="24"/>
    <cellStyle name="Check Cell" xfId="25"/>
    <cellStyle name="Dezimal [0]_FEUIL5" xfId="26"/>
    <cellStyle name="Dezimal_FEUIL5" xfId="27"/>
    <cellStyle name="Explanatory Text" xfId="28"/>
    <cellStyle name="Good" xfId="29"/>
    <cellStyle name="Heading 1" xfId="30"/>
    <cellStyle name="Heading 2" xfId="31"/>
    <cellStyle name="Heading 3" xfId="32"/>
    <cellStyle name="Heading 4" xfId="33"/>
    <cellStyle name="Input" xfId="34"/>
    <cellStyle name="Linked Cell" xfId="35"/>
    <cellStyle name="Neutral" xfId="36"/>
    <cellStyle name="Normal" xfId="0" builtinId="0"/>
    <cellStyle name="Normal 2" xfId="1"/>
    <cellStyle name="Normal 3" xfId="2"/>
    <cellStyle name="Normal 4" xfId="4"/>
    <cellStyle name="Normal 5" xfId="45"/>
    <cellStyle name="Normal_Qc 104 to CIP 2" xfId="3"/>
    <cellStyle name="Normal_Squad Sarah" xfId="37"/>
    <cellStyle name="Note" xfId="38"/>
    <cellStyle name="Output" xfId="39"/>
    <cellStyle name="Standard_FEUIL5" xfId="40"/>
    <cellStyle name="Title" xfId="41"/>
    <cellStyle name="Währung [0]_FEUIL5" xfId="42"/>
    <cellStyle name="Währung_FEUIL5" xfId="43"/>
    <cellStyle name="Warning Text" xfId="44"/>
  </cellStyles>
  <dxfs count="43">
    <dxf>
      <fill>
        <patternFill patternType="solid">
          <fgColor indexed="64"/>
          <bgColor theme="2" tint="-9.9978637043366805E-2"/>
        </patternFill>
      </fill>
      <border diagonalUp="0" diagonalDown="0" outline="0">
        <left style="thin">
          <color auto="1"/>
        </left>
        <right style="thin">
          <color auto="1"/>
        </right>
        <top/>
        <bottom/>
      </border>
    </dxf>
    <dxf>
      <numFmt numFmtId="165" formatCode="0.0"/>
      <border diagonalUp="0" diagonalDown="0">
        <left style="thin">
          <color auto="1"/>
        </left>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2" formatCode="0.00"/>
      <border diagonalUp="0" diagonalDown="0">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numFmt numFmtId="0" formatCode="General"/>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numFmt numFmtId="2" formatCode="0.00"/>
      <border diagonalUp="0" diagonalDown="0">
        <left style="thin">
          <color auto="1"/>
        </left>
        <right style="thin">
          <color auto="1"/>
        </right>
        <top style="thin">
          <color auto="1"/>
        </top>
        <bottom style="thin">
          <color auto="1"/>
        </bottom>
        <vertical/>
        <horizontal/>
      </border>
    </dxf>
    <dxf>
      <border diagonalUp="0" diagonalDown="0">
        <left style="thin">
          <color auto="1"/>
        </left>
        <right style="thin">
          <color auto="1"/>
        </right>
        <top style="thin">
          <color auto="1"/>
        </top>
        <bottom style="thin">
          <color auto="1"/>
        </bottom>
        <vertical/>
        <horizontal/>
      </border>
    </dxf>
    <dxf>
      <protection locked="0" hidden="0"/>
    </dxf>
    <dxf>
      <protection locked="0" hidden="0"/>
    </dxf>
    <dxf>
      <protection locked="0" hidden="0"/>
    </dxf>
    <dxf>
      <protection locked="0" hidden="0"/>
    </dxf>
    <dxf>
      <protection locked="0" hidden="0"/>
    </dxf>
    <dxf>
      <protection locked="0" hidden="0"/>
    </dxf>
    <dxf>
      <protection locked="0" hidden="0"/>
    </dxf>
    <dxf>
      <numFmt numFmtId="30" formatCode="@"/>
      <alignment horizontal="right" vertical="bottom" textRotation="0" wrapText="0" indent="0" justifyLastLine="0" shrinkToFit="0" readingOrder="0"/>
      <protection locked="0" hidden="0"/>
    </dxf>
    <dxf>
      <numFmt numFmtId="165" formatCode="0.0"/>
      <protection locked="0" hidden="0"/>
    </dxf>
    <dxf>
      <numFmt numFmtId="165" formatCode="0.0"/>
      <protection locked="0" hidden="0"/>
    </dxf>
    <dxf>
      <protection locked="0" hidden="0"/>
    </dxf>
    <dxf>
      <protection locked="0" hidden="0"/>
    </dxf>
    <dxf>
      <protection locked="0" hidden="0"/>
    </dxf>
    <dxf>
      <protection locked="0" hidden="0"/>
    </dxf>
    <dxf>
      <numFmt numFmtId="165" formatCode="0.0"/>
      <protection locked="0" hidden="0"/>
    </dxf>
    <dxf>
      <numFmt numFmtId="168" formatCode="000.0"/>
      <protection locked="0" hidden="0"/>
    </dxf>
    <dxf>
      <protection locked="0" hidden="0"/>
    </dxf>
    <dxf>
      <numFmt numFmtId="164" formatCode="0\°00.00\'"/>
      <protection locked="0" hidden="0"/>
    </dxf>
    <dxf>
      <protection locked="0" hidden="0"/>
    </dxf>
    <dxf>
      <numFmt numFmtId="164" formatCode="0\°00.00\'"/>
      <protection locked="0" hidden="0"/>
    </dxf>
    <dxf>
      <protection locked="0" hidden="0"/>
    </dxf>
    <dxf>
      <alignment horizontal="left" vertical="bottom" textRotation="0" wrapText="0" indent="0" justifyLastLine="0" shrinkToFit="0" readingOrder="0"/>
      <protection locked="0" hidden="0"/>
    </dxf>
    <dxf>
      <border outline="0">
        <right style="thin">
          <color auto="1"/>
        </right>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409576</xdr:colOff>
      <xdr:row>25</xdr:row>
      <xdr:rowOff>85726</xdr:rowOff>
    </xdr:from>
    <xdr:to>
      <xdr:col>3</xdr:col>
      <xdr:colOff>314616</xdr:colOff>
      <xdr:row>38</xdr:row>
      <xdr:rowOff>28576</xdr:rowOff>
    </xdr:to>
    <xdr:pic>
      <xdr:nvPicPr>
        <xdr:cNvPr id="30" name="Image 29"/>
        <xdr:cNvPicPr>
          <a:picLocks noChangeAspect="1"/>
        </xdr:cNvPicPr>
      </xdr:nvPicPr>
      <xdr:blipFill>
        <a:blip xmlns:r="http://schemas.openxmlformats.org/officeDocument/2006/relationships" r:embed="rId1"/>
        <a:stretch>
          <a:fillRect/>
        </a:stretch>
      </xdr:blipFill>
      <xdr:spPr>
        <a:xfrm>
          <a:off x="409576" y="4086226"/>
          <a:ext cx="4496090" cy="2419350"/>
        </a:xfrm>
        <a:prstGeom prst="rect">
          <a:avLst/>
        </a:prstGeom>
      </xdr:spPr>
    </xdr:pic>
    <xdr:clientData/>
  </xdr:twoCellAnchor>
</xdr:wsDr>
</file>

<file path=xl/tables/table1.xml><?xml version="1.0" encoding="utf-8"?>
<table xmlns="http://schemas.openxmlformats.org/spreadsheetml/2006/main" id="4" name="Tableau4" displayName="Tableau4" ref="A4:AP45" totalsRowShown="0" headerRowDxfId="0" tableBorderDxfId="42">
  <autoFilter ref="A4:AP45"/>
  <tableColumns count="42">
    <tableColumn id="1" name="Nbr" dataDxfId="41"/>
    <tableColumn id="2" name="Landmark" dataDxfId="40">
      <calculatedColumnFormula>IF($A5="","",VLOOKUP($A5,'list of waypoints'!$A$2:'list of waypoints'!$F$126,2))</calculatedColumnFormula>
    </tableColumn>
    <tableColumn id="3" name="Colonne2" dataDxfId="39">
      <calculatedColumnFormula>IF($A5="","",VLOOKUP($A5,'list of waypoints'!$A$2:$F$2001,3))</calculatedColumnFormula>
    </tableColumn>
    <tableColumn id="4" name="S" dataDxfId="38">
      <calculatedColumnFormula>IF($A5="","",VLOOKUP($A5,'list of waypoints'!$A$2:$F$2001,4))</calculatedColumnFormula>
    </tableColumn>
    <tableColumn id="5" name="Colonne3" dataDxfId="37">
      <calculatedColumnFormula>IF($A5="","",VLOOKUP($A5,'list of waypoints'!$A$2:$F$2001,5))</calculatedColumnFormula>
    </tableColumn>
    <tableColumn id="6" name="E" dataDxfId="36">
      <calculatedColumnFormula>IF($A5="","",VLOOKUP($A5,'list of waypoints'!$A$2:$F$2001,6))</calculatedColumnFormula>
    </tableColumn>
    <tableColumn id="7" name="next WP" dataDxfId="35">
      <calculatedColumnFormula>IF(C4="","",AP4)</calculatedColumnFormula>
    </tableColumn>
    <tableColumn id="8" name=" next Wpt" dataDxfId="34">
      <calculatedColumnFormula>IF(C4="","",AO4)</calculatedColumnFormula>
    </tableColumn>
    <tableColumn id="9" name="speed:" dataDxfId="33"/>
    <tableColumn id="10" name=" ," dataDxfId="32"/>
    <tableColumn id="11" name=" " dataDxfId="31"/>
    <tableColumn id="12" name=" 2" dataDxfId="30"/>
    <tableColumn id="13" name="Colonne1" dataDxfId="29"/>
    <tableColumn id="14" name="Ran:" dataDxfId="28"/>
    <tableColumn id="15" name="M" dataDxfId="27">
      <calculatedColumnFormula>T5+U5+V5</calculatedColumnFormula>
    </tableColumn>
    <tableColumn id="16" name="M7" dataDxfId="26"/>
    <tableColumn id="17" name="M8" dataDxfId="25"/>
    <tableColumn id="18" name="M9" dataDxfId="24"/>
    <tableColumn id="19" name="min" dataDxfId="23"/>
    <tableColumn id="20" name="M10" dataDxfId="22"/>
    <tableColumn id="21" name="M11" dataDxfId="21"/>
    <tableColumn id="22" name="Colonne12" dataDxfId="20"/>
    <tableColumn id="23" name="*"/>
    <tableColumn id="24" name="Latitude" dataDxfId="19">
      <calculatedColumnFormula>IF(A5="","",INT(C5/100))</calculatedColumnFormula>
    </tableColumn>
    <tableColumn id="25" name="Colonne13" dataDxfId="18">
      <calculatedColumnFormula>IF(A5="","",(C5/100-X5)*100)</calculatedColumnFormula>
    </tableColumn>
    <tableColumn id="26" name="Colonne14" dataDxfId="17">
      <calculatedColumnFormula>IF(A5="","",D5)</calculatedColumnFormula>
    </tableColumn>
    <tableColumn id="27" name="Longitude" dataDxfId="16">
      <calculatedColumnFormula>IF(A5="","",INT(E5/100))</calculatedColumnFormula>
    </tableColumn>
    <tableColumn id="28" name="Colonne15" dataDxfId="15">
      <calculatedColumnFormula>IF(A5="","",(E5/100-AA5)*100)</calculatedColumnFormula>
    </tableColumn>
    <tableColumn id="29" name="Colonne16" dataDxfId="14">
      <calculatedColumnFormula>IF(A5="","",F5)</calculatedColumnFormula>
    </tableColumn>
    <tableColumn id="30" name="Dist. GC" dataDxfId="13">
      <calculatedColumnFormula>IF(Z5="","",AX5)</calculatedColumnFormula>
    </tableColumn>
    <tableColumn id="31" name="LAT1" dataDxfId="12"/>
    <tableColumn id="32" name="MP1" dataDxfId="11"/>
    <tableColumn id="33" name="LONG1" dataDxfId="10"/>
    <tableColumn id="34" name="LAT2" dataDxfId="9"/>
    <tableColumn id="35" name="MP2" dataDxfId="8"/>
    <tableColumn id="36" name="LONG2" dataDxfId="7"/>
    <tableColumn id="37" name="Dlat" dataDxfId="6"/>
    <tableColumn id="38" name="dmp" dataDxfId="5">
      <calculatedColumnFormula>IF(AI5&gt;AF5,(AI5-AF5),(AI5-AF5))</calculatedColumnFormula>
    </tableColumn>
    <tableColumn id="39" name="Dlg" dataDxfId="4"/>
    <tableColumn id="40" name="Qco" dataDxfId="3">
      <calculatedColumnFormula>IF(AL5=0,SQRT(SUMSQ(ATAN(AM5/(AL5+0.0001))*(180/PI()))),SQRT(SUMSQ(ATAN(AM5/AL5)*(180/PI()))))</calculatedColumnFormula>
    </tableColumn>
    <tableColumn id="41" name="Dist" dataDxfId="2">
      <calculatedColumnFormula>SQRT(SUMSQ(1/(COS(AN5*PI()/180))*AK5))</calculatedColumnFormula>
    </tableColumn>
    <tableColumn id="42" name="course" dataDxfId="1">
      <calculatedColumnFormula>IF(AE5&gt;AH5,IF(AG5&gt;AJ5,180+AN5,180-AN5),(IF(AG5&gt;AJ5,360-AN5,AN5)))</calculatedColumnFormula>
    </tableColumn>
  </tableColumns>
  <tableStyleInfo name="TableStyleMedium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13"/>
  <sheetViews>
    <sheetView topLeftCell="A79" zoomScale="75" zoomScaleNormal="75" workbookViewId="0">
      <selection activeCell="D6" sqref="D6:N6"/>
    </sheetView>
  </sheetViews>
  <sheetFormatPr baseColWidth="10" defaultRowHeight="15" x14ac:dyDescent="0.25"/>
  <cols>
    <col min="2" max="2" width="10.140625" customWidth="1"/>
    <col min="4" max="4" width="15.28515625" customWidth="1"/>
    <col min="5" max="5" width="8.5703125" customWidth="1"/>
    <col min="6" max="6" width="10" customWidth="1"/>
    <col min="8" max="8" width="9.85546875" customWidth="1"/>
  </cols>
  <sheetData>
    <row r="1" spans="1:14" ht="15.75" thickBot="1" x14ac:dyDescent="0.3">
      <c r="A1" s="120" t="s">
        <v>152</v>
      </c>
      <c r="B1" s="120"/>
      <c r="C1" s="120"/>
      <c r="D1" s="120"/>
      <c r="E1" s="120"/>
      <c r="F1" s="120"/>
      <c r="G1" s="120"/>
      <c r="H1" s="120"/>
      <c r="I1" s="120"/>
      <c r="J1" s="120"/>
      <c r="K1" s="120"/>
      <c r="L1" s="120"/>
      <c r="M1" s="120"/>
      <c r="N1" s="120"/>
    </row>
    <row r="2" spans="1:14" ht="16.5" thickBot="1" x14ac:dyDescent="0.3">
      <c r="A2" s="6" t="s">
        <v>0</v>
      </c>
      <c r="B2" s="324" t="s">
        <v>312</v>
      </c>
      <c r="C2" s="326"/>
      <c r="D2" s="327"/>
      <c r="E2" s="7" t="s">
        <v>1</v>
      </c>
      <c r="F2" s="318" t="s">
        <v>313</v>
      </c>
      <c r="G2" s="319"/>
      <c r="H2" s="319"/>
      <c r="I2" s="320"/>
      <c r="J2" s="7" t="s">
        <v>2</v>
      </c>
      <c r="K2" s="323" t="s">
        <v>314</v>
      </c>
      <c r="L2" s="324"/>
      <c r="M2" s="324"/>
      <c r="N2" s="325"/>
    </row>
    <row r="3" spans="1:14" ht="16.5" thickBot="1" x14ac:dyDescent="0.3">
      <c r="A3" s="7" t="s">
        <v>3</v>
      </c>
      <c r="B3" s="328">
        <v>41628</v>
      </c>
      <c r="C3" s="329"/>
      <c r="D3" s="321" t="s">
        <v>4</v>
      </c>
      <c r="E3" s="322"/>
      <c r="F3" s="318" t="s">
        <v>315</v>
      </c>
      <c r="G3" s="319"/>
      <c r="H3" s="319"/>
      <c r="I3" s="319"/>
      <c r="J3" s="319"/>
      <c r="K3" s="319"/>
      <c r="L3" s="319"/>
      <c r="M3" s="319"/>
      <c r="N3" s="320"/>
    </row>
    <row r="4" spans="1:14" ht="16.5" thickBot="1" x14ac:dyDescent="0.3">
      <c r="A4" s="330" t="s">
        <v>49</v>
      </c>
      <c r="B4" s="331"/>
      <c r="C4" s="52"/>
      <c r="D4" s="332" t="s">
        <v>50</v>
      </c>
      <c r="E4" s="333"/>
      <c r="F4" s="115">
        <f>SUMIF(passage!H5:H45,"&gt;0")</f>
        <v>124.42511882166187</v>
      </c>
      <c r="G4" s="345" t="s">
        <v>55</v>
      </c>
      <c r="H4" s="346"/>
      <c r="I4" s="8" t="s">
        <v>14</v>
      </c>
      <c r="J4" s="9"/>
      <c r="K4" s="8" t="s">
        <v>16</v>
      </c>
      <c r="L4" s="9"/>
      <c r="M4" s="10" t="s">
        <v>57</v>
      </c>
      <c r="N4" s="2"/>
    </row>
    <row r="5" spans="1:14" ht="16.5" thickBot="1" x14ac:dyDescent="0.3">
      <c r="A5" s="136" t="s">
        <v>5</v>
      </c>
      <c r="B5" s="137"/>
      <c r="C5" s="137"/>
      <c r="D5" s="137"/>
      <c r="E5" s="137"/>
      <c r="F5" s="137"/>
      <c r="G5" s="137"/>
      <c r="H5" s="137"/>
      <c r="I5" s="137"/>
      <c r="J5" s="137"/>
      <c r="K5" s="137"/>
      <c r="L5" s="137"/>
      <c r="M5" s="137"/>
      <c r="N5" s="138"/>
    </row>
    <row r="6" spans="1:14" ht="15.75" x14ac:dyDescent="0.25">
      <c r="A6" s="337" t="s">
        <v>6</v>
      </c>
      <c r="B6" s="338"/>
      <c r="C6" s="338"/>
      <c r="D6" s="139"/>
      <c r="E6" s="140"/>
      <c r="F6" s="140"/>
      <c r="G6" s="140"/>
      <c r="H6" s="140"/>
      <c r="I6" s="140"/>
      <c r="J6" s="140"/>
      <c r="K6" s="140"/>
      <c r="L6" s="140"/>
      <c r="M6" s="140"/>
      <c r="N6" s="141"/>
    </row>
    <row r="7" spans="1:14" ht="15.75" x14ac:dyDescent="0.25">
      <c r="A7" s="347" t="s">
        <v>7</v>
      </c>
      <c r="B7" s="348"/>
      <c r="C7" s="348"/>
      <c r="D7" s="139" t="s">
        <v>150</v>
      </c>
      <c r="E7" s="140"/>
      <c r="F7" s="140"/>
      <c r="G7" s="140"/>
      <c r="H7" s="140"/>
      <c r="I7" s="140"/>
      <c r="J7" s="140"/>
      <c r="K7" s="140"/>
      <c r="L7" s="140"/>
      <c r="M7" s="140"/>
      <c r="N7" s="141"/>
    </row>
    <row r="8" spans="1:14" ht="15.75" x14ac:dyDescent="0.25">
      <c r="A8" s="347" t="s">
        <v>8</v>
      </c>
      <c r="B8" s="348"/>
      <c r="C8" s="348"/>
      <c r="D8" s="139"/>
      <c r="E8" s="140"/>
      <c r="F8" s="140"/>
      <c r="G8" s="140"/>
      <c r="H8" s="140"/>
      <c r="I8" s="140"/>
      <c r="J8" s="140"/>
      <c r="K8" s="140"/>
      <c r="L8" s="140"/>
      <c r="M8" s="140"/>
      <c r="N8" s="141"/>
    </row>
    <row r="9" spans="1:14" ht="15.75" x14ac:dyDescent="0.25">
      <c r="A9" s="347" t="s">
        <v>9</v>
      </c>
      <c r="B9" s="348"/>
      <c r="C9" s="348"/>
      <c r="D9" s="139"/>
      <c r="E9" s="140"/>
      <c r="F9" s="140"/>
      <c r="G9" s="140"/>
      <c r="H9" s="140"/>
      <c r="I9" s="140"/>
      <c r="J9" s="140"/>
      <c r="K9" s="140"/>
      <c r="L9" s="140"/>
      <c r="M9" s="140"/>
      <c r="N9" s="141"/>
    </row>
    <row r="10" spans="1:14" ht="15.75" x14ac:dyDescent="0.25">
      <c r="A10" s="347" t="s">
        <v>10</v>
      </c>
      <c r="B10" s="348"/>
      <c r="C10" s="348"/>
      <c r="D10" s="142"/>
      <c r="E10" s="143"/>
      <c r="F10" s="143"/>
      <c r="G10" s="143"/>
      <c r="H10" s="143"/>
      <c r="I10" s="143"/>
      <c r="J10" s="143"/>
      <c r="K10" s="143"/>
      <c r="L10" s="143"/>
      <c r="M10" s="143"/>
      <c r="N10" s="144"/>
    </row>
    <row r="11" spans="1:14" ht="15.75" x14ac:dyDescent="0.25">
      <c r="A11" s="347" t="s">
        <v>11</v>
      </c>
      <c r="B11" s="348"/>
      <c r="C11" s="348"/>
      <c r="D11" s="142"/>
      <c r="E11" s="143"/>
      <c r="F11" s="143"/>
      <c r="G11" s="143"/>
      <c r="H11" s="143"/>
      <c r="I11" s="143"/>
      <c r="J11" s="143"/>
      <c r="K11" s="143"/>
      <c r="L11" s="143"/>
      <c r="M11" s="143"/>
      <c r="N11" s="144"/>
    </row>
    <row r="12" spans="1:14" ht="15.75" x14ac:dyDescent="0.25">
      <c r="A12" s="349" t="s">
        <v>12</v>
      </c>
      <c r="B12" s="350"/>
      <c r="C12" s="350"/>
      <c r="D12" s="142"/>
      <c r="E12" s="143"/>
      <c r="F12" s="143"/>
      <c r="G12" s="143"/>
      <c r="H12" s="143"/>
      <c r="I12" s="143"/>
      <c r="J12" s="143"/>
      <c r="K12" s="143"/>
      <c r="L12" s="143"/>
      <c r="M12" s="143"/>
      <c r="N12" s="144"/>
    </row>
    <row r="13" spans="1:14" ht="15.75" x14ac:dyDescent="0.25">
      <c r="A13" s="351" t="s">
        <v>13</v>
      </c>
      <c r="B13" s="352"/>
      <c r="C13" s="352"/>
      <c r="D13" s="142"/>
      <c r="E13" s="143"/>
      <c r="F13" s="143"/>
      <c r="G13" s="143"/>
      <c r="H13" s="143"/>
      <c r="I13" s="143"/>
      <c r="J13" s="143"/>
      <c r="K13" s="143"/>
      <c r="L13" s="143"/>
      <c r="M13" s="143"/>
      <c r="N13" s="144"/>
    </row>
    <row r="14" spans="1:14" ht="15.75" x14ac:dyDescent="0.25">
      <c r="A14" s="169" t="s">
        <v>15</v>
      </c>
      <c r="B14" s="170"/>
      <c r="C14" s="170"/>
      <c r="D14" s="142" t="s">
        <v>151</v>
      </c>
      <c r="E14" s="143"/>
      <c r="F14" s="143"/>
      <c r="G14" s="143"/>
      <c r="H14" s="143"/>
      <c r="I14" s="143"/>
      <c r="J14" s="143"/>
      <c r="K14" s="143"/>
      <c r="L14" s="143"/>
      <c r="M14" s="143"/>
      <c r="N14" s="144"/>
    </row>
    <row r="15" spans="1:14" ht="15.75" x14ac:dyDescent="0.25">
      <c r="A15" s="59"/>
      <c r="B15" s="3"/>
      <c r="C15" s="3"/>
      <c r="D15" s="220"/>
      <c r="E15" s="221"/>
      <c r="F15" s="221"/>
      <c r="G15" s="221"/>
      <c r="H15" s="221"/>
      <c r="I15" s="221"/>
      <c r="J15" s="221"/>
      <c r="K15" s="221"/>
      <c r="L15" s="221"/>
      <c r="M15" s="221"/>
      <c r="N15" s="222"/>
    </row>
    <row r="16" spans="1:14" ht="16.5" thickBot="1" x14ac:dyDescent="0.3">
      <c r="A16" s="303" t="s">
        <v>17</v>
      </c>
      <c r="B16" s="304"/>
      <c r="C16" s="304"/>
      <c r="D16" s="304"/>
      <c r="E16" s="304"/>
      <c r="F16" s="304"/>
      <c r="G16" s="304"/>
      <c r="H16" s="304"/>
      <c r="I16" s="304"/>
      <c r="J16" s="304"/>
      <c r="K16" s="304"/>
      <c r="L16" s="304"/>
      <c r="M16" s="304"/>
      <c r="N16" s="305"/>
    </row>
    <row r="17" spans="1:14" ht="16.5" thickBot="1" x14ac:dyDescent="0.3">
      <c r="A17" s="342" t="s">
        <v>56</v>
      </c>
      <c r="B17" s="343"/>
      <c r="C17" s="344"/>
      <c r="D17" s="4" t="s">
        <v>18</v>
      </c>
      <c r="E17" s="69"/>
      <c r="F17" s="70"/>
      <c r="G17" s="70"/>
      <c r="H17" s="70"/>
      <c r="I17" s="70"/>
      <c r="J17" s="70"/>
      <c r="K17" s="70"/>
      <c r="L17" s="70"/>
      <c r="M17" s="70"/>
      <c r="N17" s="71"/>
    </row>
    <row r="18" spans="1:14" ht="15.75" x14ac:dyDescent="0.25">
      <c r="A18" s="339" t="s">
        <v>51</v>
      </c>
      <c r="B18" s="340"/>
      <c r="C18" s="341"/>
      <c r="D18" s="212" t="s">
        <v>19</v>
      </c>
      <c r="E18" s="60"/>
      <c r="F18" s="61"/>
      <c r="G18" s="61"/>
      <c r="H18" s="61"/>
      <c r="I18" s="61"/>
      <c r="J18" s="61"/>
      <c r="K18" s="61"/>
      <c r="L18" s="61"/>
      <c r="M18" s="61"/>
      <c r="N18" s="62"/>
    </row>
    <row r="19" spans="1:14" ht="15.75" x14ac:dyDescent="0.25">
      <c r="A19" s="334" t="s">
        <v>54</v>
      </c>
      <c r="B19" s="335"/>
      <c r="C19" s="336"/>
      <c r="D19" s="214"/>
      <c r="E19" s="63"/>
      <c r="F19" s="64"/>
      <c r="G19" s="64"/>
      <c r="H19" s="64"/>
      <c r="I19" s="64"/>
      <c r="J19" s="64"/>
      <c r="K19" s="64"/>
      <c r="L19" s="64"/>
      <c r="M19" s="64"/>
      <c r="N19" s="65"/>
    </row>
    <row r="20" spans="1:14" ht="15.75" x14ac:dyDescent="0.25">
      <c r="A20" s="334" t="s">
        <v>53</v>
      </c>
      <c r="B20" s="335"/>
      <c r="C20" s="336"/>
      <c r="D20" s="214"/>
      <c r="E20" s="63"/>
      <c r="F20" s="64"/>
      <c r="G20" s="64"/>
      <c r="H20" s="64"/>
      <c r="I20" s="64"/>
      <c r="J20" s="64"/>
      <c r="K20" s="64"/>
      <c r="L20" s="64"/>
      <c r="M20" s="64"/>
      <c r="N20" s="65"/>
    </row>
    <row r="21" spans="1:14" ht="16.5" thickBot="1" x14ac:dyDescent="0.3">
      <c r="A21" s="334" t="s">
        <v>52</v>
      </c>
      <c r="B21" s="335"/>
      <c r="C21" s="336"/>
      <c r="D21" s="216"/>
      <c r="E21" s="66"/>
      <c r="F21" s="67"/>
      <c r="G21" s="67"/>
      <c r="H21" s="67"/>
      <c r="I21" s="67"/>
      <c r="J21" s="67"/>
      <c r="K21" s="67"/>
      <c r="L21" s="67"/>
      <c r="M21" s="67"/>
      <c r="N21" s="68"/>
    </row>
    <row r="22" spans="1:14" ht="16.5" thickBot="1" x14ac:dyDescent="0.3">
      <c r="A22" s="300" t="s">
        <v>149</v>
      </c>
      <c r="B22" s="301"/>
      <c r="C22" s="302"/>
      <c r="D22" s="5" t="s">
        <v>20</v>
      </c>
      <c r="E22" s="72"/>
      <c r="F22" s="73"/>
      <c r="G22" s="73"/>
      <c r="H22" s="73"/>
      <c r="I22" s="73"/>
      <c r="J22" s="73"/>
      <c r="K22" s="73"/>
      <c r="L22" s="73"/>
      <c r="M22" s="73"/>
      <c r="N22" s="74"/>
    </row>
    <row r="23" spans="1:14" ht="15" customHeight="1" x14ac:dyDescent="0.25">
      <c r="A23" s="148" t="s">
        <v>21</v>
      </c>
      <c r="B23" s="149"/>
      <c r="C23" s="150"/>
      <c r="D23" s="309" t="s">
        <v>22</v>
      </c>
      <c r="E23" s="310"/>
      <c r="F23" s="310"/>
      <c r="G23" s="310"/>
      <c r="H23" s="310"/>
      <c r="I23" s="310"/>
      <c r="J23" s="310"/>
      <c r="K23" s="310"/>
      <c r="L23" s="310"/>
      <c r="M23" s="310"/>
      <c r="N23" s="311"/>
    </row>
    <row r="24" spans="1:14" ht="15" customHeight="1" x14ac:dyDescent="0.25">
      <c r="A24" s="151"/>
      <c r="B24" s="152"/>
      <c r="C24" s="153"/>
      <c r="D24" s="163" t="s">
        <v>132</v>
      </c>
      <c r="E24" s="164"/>
      <c r="F24" s="164"/>
      <c r="G24" s="164"/>
      <c r="H24" s="164"/>
      <c r="I24" s="164"/>
      <c r="J24" s="164"/>
      <c r="K24" s="164"/>
      <c r="L24" s="164"/>
      <c r="M24" s="164"/>
      <c r="N24" s="165"/>
    </row>
    <row r="25" spans="1:14" ht="15" customHeight="1" x14ac:dyDescent="0.25">
      <c r="A25" s="151"/>
      <c r="B25" s="152"/>
      <c r="C25" s="153"/>
      <c r="D25" s="163" t="s">
        <v>23</v>
      </c>
      <c r="E25" s="164"/>
      <c r="F25" s="164"/>
      <c r="G25" s="164"/>
      <c r="H25" s="164"/>
      <c r="I25" s="164"/>
      <c r="J25" s="164"/>
      <c r="K25" s="164"/>
      <c r="L25" s="164"/>
      <c r="M25" s="164"/>
      <c r="N25" s="165"/>
    </row>
    <row r="26" spans="1:14" ht="15" customHeight="1" x14ac:dyDescent="0.25">
      <c r="A26" s="151"/>
      <c r="B26" s="152"/>
      <c r="C26" s="153"/>
      <c r="D26" s="163" t="s">
        <v>58</v>
      </c>
      <c r="E26" s="164"/>
      <c r="F26" s="164"/>
      <c r="G26" s="164"/>
      <c r="H26" s="164"/>
      <c r="I26" s="164"/>
      <c r="J26" s="164"/>
      <c r="K26" s="164"/>
      <c r="L26" s="164"/>
      <c r="M26" s="164"/>
      <c r="N26" s="165"/>
    </row>
    <row r="27" spans="1:14" ht="15" customHeight="1" x14ac:dyDescent="0.25">
      <c r="A27" s="151"/>
      <c r="B27" s="152"/>
      <c r="C27" s="153"/>
      <c r="D27" s="163" t="s">
        <v>59</v>
      </c>
      <c r="E27" s="164"/>
      <c r="F27" s="164"/>
      <c r="G27" s="164"/>
      <c r="H27" s="164"/>
      <c r="I27" s="164"/>
      <c r="J27" s="164"/>
      <c r="K27" s="164"/>
      <c r="L27" s="164"/>
      <c r="M27" s="164"/>
      <c r="N27" s="165"/>
    </row>
    <row r="28" spans="1:14" ht="15" customHeight="1" x14ac:dyDescent="0.25">
      <c r="A28" s="151"/>
      <c r="B28" s="152"/>
      <c r="C28" s="153"/>
      <c r="D28" s="163" t="s">
        <v>60</v>
      </c>
      <c r="E28" s="164"/>
      <c r="F28" s="164"/>
      <c r="G28" s="164"/>
      <c r="H28" s="164"/>
      <c r="I28" s="164"/>
      <c r="J28" s="164"/>
      <c r="K28" s="164"/>
      <c r="L28" s="164"/>
      <c r="M28" s="164"/>
      <c r="N28" s="165"/>
    </row>
    <row r="29" spans="1:14" ht="16.5" customHeight="1" thickBot="1" x14ac:dyDescent="0.3">
      <c r="A29" s="154"/>
      <c r="B29" s="155"/>
      <c r="C29" s="156"/>
      <c r="D29" s="166" t="s">
        <v>61</v>
      </c>
      <c r="E29" s="167"/>
      <c r="F29" s="167"/>
      <c r="G29" s="167"/>
      <c r="H29" s="167"/>
      <c r="I29" s="167"/>
      <c r="J29" s="167"/>
      <c r="K29" s="167"/>
      <c r="L29" s="167"/>
      <c r="M29" s="167"/>
      <c r="N29" s="168"/>
    </row>
    <row r="30" spans="1:14" ht="15.75" customHeight="1" x14ac:dyDescent="0.25">
      <c r="A30" s="148" t="s">
        <v>24</v>
      </c>
      <c r="B30" s="149"/>
      <c r="C30" s="150"/>
      <c r="D30" s="189" t="s">
        <v>62</v>
      </c>
      <c r="E30" s="190"/>
      <c r="F30" s="190"/>
      <c r="G30" s="190"/>
      <c r="H30" s="190"/>
      <c r="I30" s="190"/>
      <c r="J30" s="190"/>
      <c r="K30" s="190"/>
      <c r="L30" s="190"/>
      <c r="M30" s="190"/>
      <c r="N30" s="191"/>
    </row>
    <row r="31" spans="1:14" ht="15.75" thickBot="1" x14ac:dyDescent="0.3">
      <c r="A31" s="154"/>
      <c r="B31" s="155"/>
      <c r="C31" s="156"/>
      <c r="D31" s="157"/>
      <c r="E31" s="158"/>
      <c r="F31" s="158"/>
      <c r="G31" s="158"/>
      <c r="H31" s="158"/>
      <c r="I31" s="158"/>
      <c r="J31" s="158"/>
      <c r="K31" s="158"/>
      <c r="L31" s="158"/>
      <c r="M31" s="158"/>
      <c r="N31" s="159"/>
    </row>
    <row r="32" spans="1:14" ht="15.75" x14ac:dyDescent="0.25">
      <c r="A32" s="11"/>
      <c r="B32" s="11"/>
      <c r="C32" s="11"/>
      <c r="D32" s="12"/>
      <c r="E32" s="12"/>
      <c r="F32" s="12"/>
      <c r="G32" s="12"/>
      <c r="H32" s="12"/>
      <c r="I32" s="12"/>
      <c r="J32" s="12"/>
      <c r="K32" s="12"/>
      <c r="L32" s="12"/>
      <c r="M32" s="12"/>
      <c r="N32" s="12"/>
    </row>
    <row r="33" spans="1:14" ht="16.5" thickBot="1" x14ac:dyDescent="0.3">
      <c r="A33" s="11"/>
      <c r="B33" s="11"/>
      <c r="C33" s="11"/>
      <c r="D33" s="12"/>
      <c r="E33" s="12"/>
      <c r="F33" s="12"/>
      <c r="G33" s="12"/>
      <c r="H33" s="12"/>
      <c r="I33" s="12"/>
      <c r="J33" s="12"/>
      <c r="K33" s="12"/>
      <c r="L33" s="12"/>
      <c r="M33" s="12"/>
      <c r="N33" s="12"/>
    </row>
    <row r="34" spans="1:14" ht="15.75" x14ac:dyDescent="0.25">
      <c r="A34" s="148" t="s">
        <v>26</v>
      </c>
      <c r="B34" s="149"/>
      <c r="C34" s="150"/>
      <c r="D34" s="315" t="s">
        <v>25</v>
      </c>
      <c r="E34" s="316"/>
      <c r="F34" s="316"/>
      <c r="G34" s="316"/>
      <c r="H34" s="316"/>
      <c r="I34" s="316"/>
      <c r="J34" s="316"/>
      <c r="K34" s="316"/>
      <c r="L34" s="316"/>
      <c r="M34" s="316"/>
      <c r="N34" s="317"/>
    </row>
    <row r="35" spans="1:14" ht="15.75" x14ac:dyDescent="0.25">
      <c r="A35" s="151"/>
      <c r="B35" s="152"/>
      <c r="C35" s="153"/>
      <c r="D35" s="201" t="s">
        <v>133</v>
      </c>
      <c r="E35" s="202"/>
      <c r="F35" s="202"/>
      <c r="G35" s="202"/>
      <c r="H35" s="202"/>
      <c r="I35" s="202"/>
      <c r="J35" s="202"/>
      <c r="K35" s="202"/>
      <c r="L35" s="202"/>
      <c r="M35" s="202"/>
      <c r="N35" s="203"/>
    </row>
    <row r="36" spans="1:14" ht="15.75" x14ac:dyDescent="0.25">
      <c r="A36" s="151"/>
      <c r="B36" s="152"/>
      <c r="C36" s="153"/>
      <c r="D36" s="195" t="s">
        <v>134</v>
      </c>
      <c r="E36" s="196"/>
      <c r="F36" s="196"/>
      <c r="G36" s="196"/>
      <c r="H36" s="196"/>
      <c r="I36" s="196"/>
      <c r="J36" s="196"/>
      <c r="K36" s="196"/>
      <c r="L36" s="196"/>
      <c r="M36" s="196"/>
      <c r="N36" s="197"/>
    </row>
    <row r="37" spans="1:14" ht="15.75" thickBot="1" x14ac:dyDescent="0.3">
      <c r="A37" s="154"/>
      <c r="B37" s="155"/>
      <c r="C37" s="156"/>
      <c r="D37" s="198" t="s">
        <v>27</v>
      </c>
      <c r="E37" s="199"/>
      <c r="F37" s="199"/>
      <c r="G37" s="199"/>
      <c r="H37" s="199"/>
      <c r="I37" s="199"/>
      <c r="J37" s="199"/>
      <c r="K37" s="199"/>
      <c r="L37" s="199"/>
      <c r="M37" s="199"/>
      <c r="N37" s="200"/>
    </row>
    <row r="38" spans="1:14" ht="15.75" customHeight="1" x14ac:dyDescent="0.25">
      <c r="A38" s="223" t="s">
        <v>29</v>
      </c>
      <c r="B38" s="224"/>
      <c r="C38" s="225"/>
      <c r="D38" s="192" t="s">
        <v>47</v>
      </c>
      <c r="E38" s="193"/>
      <c r="F38" s="193"/>
      <c r="G38" s="193"/>
      <c r="H38" s="193"/>
      <c r="I38" s="193"/>
      <c r="J38" s="193"/>
      <c r="K38" s="193"/>
      <c r="L38" s="193"/>
      <c r="M38" s="193"/>
      <c r="N38" s="194"/>
    </row>
    <row r="39" spans="1:14" ht="15.75" customHeight="1" x14ac:dyDescent="0.25">
      <c r="A39" s="226"/>
      <c r="B39" s="227"/>
      <c r="C39" s="228"/>
      <c r="D39" s="145" t="s">
        <v>28</v>
      </c>
      <c r="E39" s="146"/>
      <c r="F39" s="146"/>
      <c r="G39" s="146"/>
      <c r="H39" s="146"/>
      <c r="I39" s="146"/>
      <c r="J39" s="146"/>
      <c r="K39" s="146"/>
      <c r="L39" s="146"/>
      <c r="M39" s="146"/>
      <c r="N39" s="147"/>
    </row>
    <row r="40" spans="1:14" ht="15.75" customHeight="1" x14ac:dyDescent="0.25">
      <c r="A40" s="226"/>
      <c r="B40" s="227"/>
      <c r="C40" s="228"/>
      <c r="D40" s="166" t="s">
        <v>63</v>
      </c>
      <c r="E40" s="167"/>
      <c r="F40" s="167"/>
      <c r="G40" s="167"/>
      <c r="H40" s="167"/>
      <c r="I40" s="167"/>
      <c r="J40" s="167"/>
      <c r="K40" s="167"/>
      <c r="L40" s="167"/>
      <c r="M40" s="167"/>
      <c r="N40" s="168"/>
    </row>
    <row r="41" spans="1:14" ht="15.75" customHeight="1" x14ac:dyDescent="0.25">
      <c r="A41" s="226"/>
      <c r="B41" s="227"/>
      <c r="C41" s="228"/>
      <c r="D41" s="204" t="s">
        <v>64</v>
      </c>
      <c r="E41" s="205"/>
      <c r="F41" s="205"/>
      <c r="G41" s="205"/>
      <c r="H41" s="205"/>
      <c r="I41" s="205"/>
      <c r="J41" s="205"/>
      <c r="K41" s="205"/>
      <c r="L41" s="205"/>
      <c r="M41" s="205"/>
      <c r="N41" s="206"/>
    </row>
    <row r="42" spans="1:14" ht="15.75" customHeight="1" x14ac:dyDescent="0.25">
      <c r="A42" s="226"/>
      <c r="B42" s="227"/>
      <c r="C42" s="228"/>
      <c r="D42" s="204" t="s">
        <v>65</v>
      </c>
      <c r="E42" s="205"/>
      <c r="F42" s="205"/>
      <c r="G42" s="205"/>
      <c r="H42" s="205"/>
      <c r="I42" s="205"/>
      <c r="J42" s="205"/>
      <c r="K42" s="205"/>
      <c r="L42" s="205"/>
      <c r="M42" s="205"/>
      <c r="N42" s="206"/>
    </row>
    <row r="43" spans="1:14" ht="15.75" customHeight="1" x14ac:dyDescent="0.25">
      <c r="A43" s="226"/>
      <c r="B43" s="227"/>
      <c r="C43" s="228"/>
      <c r="D43" s="204" t="s">
        <v>66</v>
      </c>
      <c r="E43" s="205"/>
      <c r="F43" s="205"/>
      <c r="G43" s="205"/>
      <c r="H43" s="205"/>
      <c r="I43" s="205"/>
      <c r="J43" s="205"/>
      <c r="K43" s="205"/>
      <c r="L43" s="205"/>
      <c r="M43" s="205"/>
      <c r="N43" s="206"/>
    </row>
    <row r="44" spans="1:14" ht="15.75" customHeight="1" x14ac:dyDescent="0.25">
      <c r="A44" s="226"/>
      <c r="B44" s="227"/>
      <c r="C44" s="228"/>
      <c r="D44" s="166" t="s">
        <v>67</v>
      </c>
      <c r="E44" s="167"/>
      <c r="F44" s="167"/>
      <c r="G44" s="167"/>
      <c r="H44" s="167"/>
      <c r="I44" s="167"/>
      <c r="J44" s="167"/>
      <c r="K44" s="167"/>
      <c r="L44" s="167"/>
      <c r="M44" s="167"/>
      <c r="N44" s="168"/>
    </row>
    <row r="45" spans="1:14" ht="15.75" customHeight="1" x14ac:dyDescent="0.25">
      <c r="A45" s="226"/>
      <c r="B45" s="227"/>
      <c r="C45" s="228"/>
      <c r="D45" s="166" t="s">
        <v>68</v>
      </c>
      <c r="E45" s="167"/>
      <c r="F45" s="167"/>
      <c r="G45" s="167"/>
      <c r="H45" s="167"/>
      <c r="I45" s="167"/>
      <c r="J45" s="167"/>
      <c r="K45" s="167"/>
      <c r="L45" s="167"/>
      <c r="M45" s="167"/>
      <c r="N45" s="168"/>
    </row>
    <row r="46" spans="1:14" x14ac:dyDescent="0.25">
      <c r="A46" s="226"/>
      <c r="B46" s="227"/>
      <c r="C46" s="228"/>
      <c r="D46" s="166" t="s">
        <v>69</v>
      </c>
      <c r="E46" s="167"/>
      <c r="F46" s="167"/>
      <c r="G46" s="167"/>
      <c r="H46" s="167"/>
      <c r="I46" s="167"/>
      <c r="J46" s="167"/>
      <c r="K46" s="167"/>
      <c r="L46" s="167"/>
      <c r="M46" s="167"/>
      <c r="N46" s="168"/>
    </row>
    <row r="47" spans="1:14" ht="15.75" customHeight="1" x14ac:dyDescent="0.25">
      <c r="A47" s="226"/>
      <c r="B47" s="227"/>
      <c r="C47" s="228"/>
      <c r="D47" s="160" t="s">
        <v>70</v>
      </c>
      <c r="E47" s="161"/>
      <c r="F47" s="161"/>
      <c r="G47" s="161"/>
      <c r="H47" s="161"/>
      <c r="I47" s="161"/>
      <c r="J47" s="161"/>
      <c r="K47" s="161"/>
      <c r="L47" s="161"/>
      <c r="M47" s="161"/>
      <c r="N47" s="162"/>
    </row>
    <row r="48" spans="1:14" ht="15.75" customHeight="1" x14ac:dyDescent="0.25">
      <c r="A48" s="226"/>
      <c r="B48" s="227"/>
      <c r="C48" s="228"/>
      <c r="D48" s="145" t="s">
        <v>71</v>
      </c>
      <c r="E48" s="146"/>
      <c r="F48" s="146"/>
      <c r="G48" s="146"/>
      <c r="H48" s="146"/>
      <c r="I48" s="146"/>
      <c r="J48" s="146"/>
      <c r="K48" s="146"/>
      <c r="L48" s="146"/>
      <c r="M48" s="146"/>
      <c r="N48" s="147"/>
    </row>
    <row r="49" spans="1:14" ht="15.75" customHeight="1" x14ac:dyDescent="0.25">
      <c r="A49" s="226"/>
      <c r="B49" s="227"/>
      <c r="C49" s="228"/>
      <c r="D49" s="145" t="s">
        <v>48</v>
      </c>
      <c r="E49" s="146"/>
      <c r="F49" s="146"/>
      <c r="G49" s="146"/>
      <c r="H49" s="146"/>
      <c r="I49" s="146"/>
      <c r="J49" s="146"/>
      <c r="K49" s="146"/>
      <c r="L49" s="146"/>
      <c r="M49" s="146"/>
      <c r="N49" s="147"/>
    </row>
    <row r="50" spans="1:14" ht="15.75" customHeight="1" x14ac:dyDescent="0.25">
      <c r="A50" s="226"/>
      <c r="B50" s="227"/>
      <c r="C50" s="228"/>
      <c r="D50" s="145" t="s">
        <v>72</v>
      </c>
      <c r="E50" s="146"/>
      <c r="F50" s="146"/>
      <c r="G50" s="146"/>
      <c r="H50" s="146"/>
      <c r="I50" s="146"/>
      <c r="J50" s="146"/>
      <c r="K50" s="146"/>
      <c r="L50" s="146"/>
      <c r="M50" s="146"/>
      <c r="N50" s="147"/>
    </row>
    <row r="51" spans="1:14" ht="15.75" customHeight="1" x14ac:dyDescent="0.25">
      <c r="A51" s="226"/>
      <c r="B51" s="227"/>
      <c r="C51" s="228"/>
      <c r="D51" s="145" t="s">
        <v>135</v>
      </c>
      <c r="E51" s="146"/>
      <c r="F51" s="146"/>
      <c r="G51" s="146"/>
      <c r="H51" s="146"/>
      <c r="I51" s="146"/>
      <c r="J51" s="146"/>
      <c r="K51" s="146"/>
      <c r="L51" s="146"/>
      <c r="M51" s="146"/>
      <c r="N51" s="147"/>
    </row>
    <row r="52" spans="1:14" ht="15.75" customHeight="1" x14ac:dyDescent="0.25">
      <c r="A52" s="226"/>
      <c r="B52" s="227"/>
      <c r="C52" s="228"/>
      <c r="D52" s="145" t="s">
        <v>136</v>
      </c>
      <c r="E52" s="146"/>
      <c r="F52" s="146"/>
      <c r="G52" s="146"/>
      <c r="H52" s="146"/>
      <c r="I52" s="146"/>
      <c r="J52" s="146"/>
      <c r="K52" s="146"/>
      <c r="L52" s="146"/>
      <c r="M52" s="146"/>
      <c r="N52" s="147"/>
    </row>
    <row r="53" spans="1:14" ht="15.75" customHeight="1" thickBot="1" x14ac:dyDescent="0.3">
      <c r="A53" s="226"/>
      <c r="B53" s="227"/>
      <c r="C53" s="228"/>
      <c r="D53" s="145" t="s">
        <v>73</v>
      </c>
      <c r="E53" s="146"/>
      <c r="F53" s="146"/>
      <c r="G53" s="146"/>
      <c r="H53" s="146"/>
      <c r="I53" s="146"/>
      <c r="J53" s="146"/>
      <c r="K53" s="146"/>
      <c r="L53" s="146"/>
      <c r="M53" s="146"/>
      <c r="N53" s="147"/>
    </row>
    <row r="54" spans="1:14" x14ac:dyDescent="0.25">
      <c r="A54" s="148" t="s">
        <v>30</v>
      </c>
      <c r="B54" s="149"/>
      <c r="C54" s="150"/>
      <c r="D54" s="297" t="s">
        <v>138</v>
      </c>
      <c r="E54" s="298"/>
      <c r="F54" s="298"/>
      <c r="G54" s="298"/>
      <c r="H54" s="298"/>
      <c r="I54" s="298"/>
      <c r="J54" s="298"/>
      <c r="K54" s="298"/>
      <c r="L54" s="298"/>
      <c r="M54" s="298"/>
      <c r="N54" s="299"/>
    </row>
    <row r="55" spans="1:14" x14ac:dyDescent="0.25">
      <c r="A55" s="151"/>
      <c r="B55" s="152"/>
      <c r="C55" s="153"/>
      <c r="D55" s="121" t="s">
        <v>137</v>
      </c>
      <c r="E55" s="122"/>
      <c r="F55" s="122"/>
      <c r="G55" s="122"/>
      <c r="H55" s="122"/>
      <c r="I55" s="122"/>
      <c r="J55" s="122"/>
      <c r="K55" s="122"/>
      <c r="L55" s="122"/>
      <c r="M55" s="122"/>
      <c r="N55" s="123"/>
    </row>
    <row r="56" spans="1:14" x14ac:dyDescent="0.25">
      <c r="A56" s="151"/>
      <c r="B56" s="152"/>
      <c r="C56" s="153"/>
      <c r="D56" s="229" t="s">
        <v>139</v>
      </c>
      <c r="E56" s="230"/>
      <c r="F56" s="230"/>
      <c r="G56" s="230"/>
      <c r="H56" s="230"/>
      <c r="I56" s="230"/>
      <c r="J56" s="230"/>
      <c r="K56" s="230"/>
      <c r="L56" s="230"/>
      <c r="M56" s="230"/>
      <c r="N56" s="231"/>
    </row>
    <row r="57" spans="1:14" x14ac:dyDescent="0.25">
      <c r="A57" s="151"/>
      <c r="B57" s="152"/>
      <c r="C57" s="153"/>
      <c r="D57" s="57" t="s">
        <v>140</v>
      </c>
      <c r="E57" s="58"/>
      <c r="F57" s="58"/>
      <c r="G57" s="58"/>
      <c r="H57" s="58"/>
      <c r="I57" s="58"/>
      <c r="J57" s="58"/>
      <c r="K57" s="58"/>
      <c r="L57" s="58"/>
      <c r="M57" s="58"/>
      <c r="N57" s="56"/>
    </row>
    <row r="58" spans="1:14" x14ac:dyDescent="0.25">
      <c r="A58" s="151"/>
      <c r="B58" s="152"/>
      <c r="C58" s="153"/>
      <c r="D58" s="229" t="s">
        <v>141</v>
      </c>
      <c r="E58" s="230"/>
      <c r="F58" s="230"/>
      <c r="G58" s="230"/>
      <c r="H58" s="230"/>
      <c r="I58" s="230"/>
      <c r="J58" s="230"/>
      <c r="K58" s="230"/>
      <c r="L58" s="230"/>
      <c r="M58" s="230"/>
      <c r="N58" s="231"/>
    </row>
    <row r="59" spans="1:14" x14ac:dyDescent="0.25">
      <c r="A59" s="151"/>
      <c r="B59" s="152"/>
      <c r="C59" s="153"/>
      <c r="D59" s="121" t="s">
        <v>142</v>
      </c>
      <c r="E59" s="122"/>
      <c r="F59" s="122"/>
      <c r="G59" s="122"/>
      <c r="H59" s="122"/>
      <c r="I59" s="122"/>
      <c r="J59" s="122"/>
      <c r="K59" s="122"/>
      <c r="L59" s="122"/>
      <c r="M59" s="122"/>
      <c r="N59" s="123"/>
    </row>
    <row r="60" spans="1:14" x14ac:dyDescent="0.25">
      <c r="A60" s="151"/>
      <c r="B60" s="152"/>
      <c r="C60" s="153"/>
      <c r="D60" s="229" t="s">
        <v>143</v>
      </c>
      <c r="E60" s="230"/>
      <c r="F60" s="230"/>
      <c r="G60" s="230"/>
      <c r="H60" s="230"/>
      <c r="I60" s="230"/>
      <c r="J60" s="230"/>
      <c r="K60" s="230"/>
      <c r="L60" s="230"/>
      <c r="M60" s="230"/>
      <c r="N60" s="231"/>
    </row>
    <row r="61" spans="1:14" x14ac:dyDescent="0.25">
      <c r="A61" s="151"/>
      <c r="B61" s="152"/>
      <c r="C61" s="153"/>
      <c r="D61" s="121" t="s">
        <v>144</v>
      </c>
      <c r="E61" s="122"/>
      <c r="F61" s="122"/>
      <c r="G61" s="122"/>
      <c r="H61" s="122"/>
      <c r="I61" s="122"/>
      <c r="J61" s="122"/>
      <c r="K61" s="122"/>
      <c r="L61" s="122"/>
      <c r="M61" s="122"/>
      <c r="N61" s="123"/>
    </row>
    <row r="62" spans="1:14" x14ac:dyDescent="0.25">
      <c r="A62" s="151"/>
      <c r="B62" s="152"/>
      <c r="C62" s="153"/>
      <c r="D62" s="121" t="s">
        <v>145</v>
      </c>
      <c r="E62" s="122"/>
      <c r="F62" s="122"/>
      <c r="G62" s="122"/>
      <c r="H62" s="122"/>
      <c r="I62" s="122"/>
      <c r="J62" s="122"/>
      <c r="K62" s="122"/>
      <c r="L62" s="122"/>
      <c r="M62" s="122"/>
      <c r="N62" s="123"/>
    </row>
    <row r="63" spans="1:14" x14ac:dyDescent="0.25">
      <c r="A63" s="151"/>
      <c r="B63" s="152"/>
      <c r="C63" s="153"/>
      <c r="D63" s="166" t="s">
        <v>146</v>
      </c>
      <c r="E63" s="167"/>
      <c r="F63" s="167"/>
      <c r="G63" s="167"/>
      <c r="H63" s="167"/>
      <c r="I63" s="167"/>
      <c r="J63" s="167"/>
      <c r="K63" s="167"/>
      <c r="L63" s="167"/>
      <c r="M63" s="167"/>
      <c r="N63" s="168"/>
    </row>
    <row r="64" spans="1:14" x14ac:dyDescent="0.25">
      <c r="A64" s="151"/>
      <c r="B64" s="152"/>
      <c r="C64" s="153"/>
      <c r="D64" s="166" t="s">
        <v>147</v>
      </c>
      <c r="E64" s="167"/>
      <c r="F64" s="167"/>
      <c r="G64" s="167"/>
      <c r="H64" s="167"/>
      <c r="I64" s="167"/>
      <c r="J64" s="167"/>
      <c r="K64" s="167"/>
      <c r="L64" s="167"/>
      <c r="M64" s="167"/>
      <c r="N64" s="168"/>
    </row>
    <row r="65" spans="1:14" ht="15.75" thickBot="1" x14ac:dyDescent="0.3">
      <c r="A65" s="154"/>
      <c r="B65" s="155"/>
      <c r="C65" s="156"/>
      <c r="D65" s="157" t="s">
        <v>148</v>
      </c>
      <c r="E65" s="158"/>
      <c r="F65" s="158"/>
      <c r="G65" s="158"/>
      <c r="H65" s="158"/>
      <c r="I65" s="158"/>
      <c r="J65" s="158"/>
      <c r="K65" s="158"/>
      <c r="L65" s="158"/>
      <c r="M65" s="158"/>
      <c r="N65" s="159"/>
    </row>
    <row r="66" spans="1:14" x14ac:dyDescent="0.25">
      <c r="A66" s="148" t="s">
        <v>31</v>
      </c>
      <c r="B66" s="149"/>
      <c r="C66" s="150"/>
      <c r="D66" s="189" t="s">
        <v>74</v>
      </c>
      <c r="E66" s="190"/>
      <c r="F66" s="190"/>
      <c r="G66" s="190"/>
      <c r="H66" s="190"/>
      <c r="I66" s="190"/>
      <c r="J66" s="190"/>
      <c r="K66" s="190"/>
      <c r="L66" s="190"/>
      <c r="M66" s="190"/>
      <c r="N66" s="191"/>
    </row>
    <row r="67" spans="1:14" x14ac:dyDescent="0.25">
      <c r="A67" s="151"/>
      <c r="B67" s="152"/>
      <c r="C67" s="153"/>
      <c r="D67" s="166" t="s">
        <v>75</v>
      </c>
      <c r="E67" s="167"/>
      <c r="F67" s="167"/>
      <c r="G67" s="167"/>
      <c r="H67" s="167"/>
      <c r="I67" s="167"/>
      <c r="J67" s="167"/>
      <c r="K67" s="167"/>
      <c r="L67" s="167"/>
      <c r="M67" s="167"/>
      <c r="N67" s="168"/>
    </row>
    <row r="68" spans="1:14" x14ac:dyDescent="0.25">
      <c r="A68" s="151"/>
      <c r="B68" s="152"/>
      <c r="C68" s="153"/>
      <c r="D68" s="166" t="s">
        <v>76</v>
      </c>
      <c r="E68" s="167"/>
      <c r="F68" s="167"/>
      <c r="G68" s="167"/>
      <c r="H68" s="167"/>
      <c r="I68" s="167"/>
      <c r="J68" s="167"/>
      <c r="K68" s="167"/>
      <c r="L68" s="167"/>
      <c r="M68" s="167"/>
      <c r="N68" s="168"/>
    </row>
    <row r="69" spans="1:14" ht="15.75" thickBot="1" x14ac:dyDescent="0.3">
      <c r="A69" s="154"/>
      <c r="B69" s="155"/>
      <c r="C69" s="156"/>
      <c r="D69" s="157" t="s">
        <v>77</v>
      </c>
      <c r="E69" s="158"/>
      <c r="F69" s="158"/>
      <c r="G69" s="158"/>
      <c r="H69" s="158"/>
      <c r="I69" s="158"/>
      <c r="J69" s="158"/>
      <c r="K69" s="158"/>
      <c r="L69" s="158"/>
      <c r="M69" s="158"/>
      <c r="N69" s="159"/>
    </row>
    <row r="70" spans="1:14" x14ac:dyDescent="0.25">
      <c r="A70" s="148" t="s">
        <v>78</v>
      </c>
      <c r="B70" s="149"/>
      <c r="C70" s="150"/>
      <c r="D70" s="189" t="s">
        <v>32</v>
      </c>
      <c r="E70" s="190"/>
      <c r="F70" s="190"/>
      <c r="G70" s="190"/>
      <c r="H70" s="190"/>
      <c r="I70" s="190"/>
      <c r="J70" s="190"/>
      <c r="K70" s="190"/>
      <c r="L70" s="190"/>
      <c r="M70" s="190"/>
      <c r="N70" s="191"/>
    </row>
    <row r="71" spans="1:14" x14ac:dyDescent="0.25">
      <c r="A71" s="151"/>
      <c r="B71" s="152"/>
      <c r="C71" s="153"/>
      <c r="D71" s="166" t="s">
        <v>79</v>
      </c>
      <c r="E71" s="167"/>
      <c r="F71" s="167"/>
      <c r="G71" s="167"/>
      <c r="H71" s="167"/>
      <c r="I71" s="167"/>
      <c r="J71" s="167"/>
      <c r="K71" s="167"/>
      <c r="L71" s="167"/>
      <c r="M71" s="167"/>
      <c r="N71" s="168"/>
    </row>
    <row r="72" spans="1:14" ht="15.75" thickBot="1" x14ac:dyDescent="0.3">
      <c r="A72" s="154"/>
      <c r="B72" s="155"/>
      <c r="C72" s="156"/>
      <c r="D72" s="157" t="s">
        <v>80</v>
      </c>
      <c r="E72" s="158"/>
      <c r="F72" s="158"/>
      <c r="G72" s="158"/>
      <c r="H72" s="158"/>
      <c r="I72" s="158"/>
      <c r="J72" s="158"/>
      <c r="K72" s="158"/>
      <c r="L72" s="158"/>
      <c r="M72" s="158"/>
      <c r="N72" s="159"/>
    </row>
    <row r="73" spans="1:14" ht="15.75" x14ac:dyDescent="0.25">
      <c r="A73" s="13"/>
      <c r="B73" s="20"/>
      <c r="C73" s="21"/>
      <c r="D73" s="211" t="s">
        <v>33</v>
      </c>
      <c r="E73" s="306"/>
      <c r="F73" s="307"/>
      <c r="G73" s="307"/>
      <c r="H73" s="307"/>
      <c r="I73" s="307"/>
      <c r="J73" s="307"/>
      <c r="K73" s="307"/>
      <c r="L73" s="307"/>
      <c r="M73" s="307"/>
      <c r="N73" s="308"/>
    </row>
    <row r="74" spans="1:14" ht="18" x14ac:dyDescent="0.25">
      <c r="A74" s="182"/>
      <c r="B74" s="183"/>
      <c r="C74" s="184"/>
      <c r="D74" s="213"/>
      <c r="E74" s="185"/>
      <c r="F74" s="186"/>
      <c r="G74" s="186"/>
      <c r="H74" s="186"/>
      <c r="I74" s="186"/>
      <c r="J74" s="186"/>
      <c r="K74" s="186"/>
      <c r="L74" s="186"/>
      <c r="M74" s="186"/>
      <c r="N74" s="187"/>
    </row>
    <row r="75" spans="1:14" ht="15.75" x14ac:dyDescent="0.25">
      <c r="A75" s="188"/>
      <c r="B75" s="183"/>
      <c r="C75" s="184"/>
      <c r="D75" s="213"/>
      <c r="E75" s="185"/>
      <c r="F75" s="186"/>
      <c r="G75" s="186"/>
      <c r="H75" s="186"/>
      <c r="I75" s="186"/>
      <c r="J75" s="186"/>
      <c r="K75" s="186"/>
      <c r="L75" s="186"/>
      <c r="M75" s="186"/>
      <c r="N75" s="187"/>
    </row>
    <row r="76" spans="1:14" ht="18" x14ac:dyDescent="0.25">
      <c r="A76" s="182" t="s">
        <v>34</v>
      </c>
      <c r="B76" s="232"/>
      <c r="C76" s="233"/>
      <c r="D76" s="213"/>
      <c r="E76" s="185"/>
      <c r="F76" s="186"/>
      <c r="G76" s="186"/>
      <c r="H76" s="186"/>
      <c r="I76" s="186"/>
      <c r="J76" s="186"/>
      <c r="K76" s="186"/>
      <c r="L76" s="186"/>
      <c r="M76" s="186"/>
      <c r="N76" s="187"/>
    </row>
    <row r="77" spans="1:14" ht="15.75" x14ac:dyDescent="0.25">
      <c r="A77" s="188" t="s">
        <v>35</v>
      </c>
      <c r="B77" s="183"/>
      <c r="C77" s="184"/>
      <c r="D77" s="213"/>
      <c r="E77" s="234"/>
      <c r="F77" s="235"/>
      <c r="G77" s="235"/>
      <c r="H77" s="235"/>
      <c r="I77" s="235"/>
      <c r="J77" s="235"/>
      <c r="K77" s="235"/>
      <c r="L77" s="235"/>
      <c r="M77" s="235"/>
      <c r="N77" s="236"/>
    </row>
    <row r="78" spans="1:14" ht="16.5" thickBot="1" x14ac:dyDescent="0.3">
      <c r="A78" s="312" t="s">
        <v>36</v>
      </c>
      <c r="B78" s="313"/>
      <c r="C78" s="314"/>
      <c r="D78" s="215"/>
      <c r="E78" s="217"/>
      <c r="F78" s="218"/>
      <c r="G78" s="218"/>
      <c r="H78" s="218"/>
      <c r="I78" s="218"/>
      <c r="J78" s="218"/>
      <c r="K78" s="218"/>
      <c r="L78" s="218"/>
      <c r="M78" s="218"/>
      <c r="N78" s="219"/>
    </row>
    <row r="79" spans="1:14" ht="15.75" x14ac:dyDescent="0.25">
      <c r="A79" s="179"/>
      <c r="B79" s="180"/>
      <c r="C79" s="181"/>
      <c r="D79" s="22"/>
      <c r="E79" s="171"/>
      <c r="F79" s="171"/>
      <c r="G79" s="171"/>
      <c r="H79" s="171"/>
      <c r="I79" s="171"/>
      <c r="J79" s="171"/>
      <c r="K79" s="171"/>
      <c r="L79" s="171"/>
      <c r="M79" s="171"/>
      <c r="N79" s="172"/>
    </row>
    <row r="80" spans="1:14" ht="15.75" x14ac:dyDescent="0.25">
      <c r="A80" s="237"/>
      <c r="B80" s="238"/>
      <c r="C80" s="239"/>
      <c r="D80" s="23" t="s">
        <v>37</v>
      </c>
      <c r="E80" s="185"/>
      <c r="F80" s="186"/>
      <c r="G80" s="186"/>
      <c r="H80" s="186"/>
      <c r="I80" s="186"/>
      <c r="J80" s="186"/>
      <c r="K80" s="186"/>
      <c r="L80" s="186"/>
      <c r="M80" s="186"/>
      <c r="N80" s="187"/>
    </row>
    <row r="81" spans="1:14" ht="15.75" x14ac:dyDescent="0.25">
      <c r="A81" s="24"/>
      <c r="B81" s="25"/>
      <c r="C81" s="26"/>
      <c r="D81" s="23" t="s">
        <v>38</v>
      </c>
      <c r="E81" s="266"/>
      <c r="F81" s="267"/>
      <c r="G81" s="267"/>
      <c r="H81" s="267"/>
      <c r="I81" s="267"/>
      <c r="J81" s="267"/>
      <c r="K81" s="267"/>
      <c r="L81" s="267"/>
      <c r="M81" s="267"/>
      <c r="N81" s="268"/>
    </row>
    <row r="82" spans="1:14" ht="16.5" thickBot="1" x14ac:dyDescent="0.3">
      <c r="A82" s="27"/>
      <c r="B82" s="28"/>
      <c r="C82" s="29"/>
      <c r="D82" s="30"/>
      <c r="E82" s="278"/>
      <c r="F82" s="279"/>
      <c r="G82" s="279"/>
      <c r="H82" s="279"/>
      <c r="I82" s="279"/>
      <c r="J82" s="279"/>
      <c r="K82" s="279"/>
      <c r="L82" s="279"/>
      <c r="M82" s="279"/>
      <c r="N82" s="280"/>
    </row>
    <row r="83" spans="1:14" ht="15.75" x14ac:dyDescent="0.25">
      <c r="A83" s="31"/>
      <c r="B83" s="32"/>
      <c r="C83" s="33"/>
      <c r="D83" s="240" t="s">
        <v>39</v>
      </c>
      <c r="E83" s="275"/>
      <c r="F83" s="276"/>
      <c r="G83" s="276"/>
      <c r="H83" s="276"/>
      <c r="I83" s="276"/>
      <c r="J83" s="276"/>
      <c r="K83" s="276"/>
      <c r="L83" s="276"/>
      <c r="M83" s="276"/>
      <c r="N83" s="277"/>
    </row>
    <row r="84" spans="1:14" ht="16.5" thickBot="1" x14ac:dyDescent="0.3">
      <c r="A84" s="34"/>
      <c r="B84" s="35"/>
      <c r="C84" s="36"/>
      <c r="D84" s="241"/>
      <c r="E84" s="269"/>
      <c r="F84" s="270"/>
      <c r="G84" s="270"/>
      <c r="H84" s="270"/>
      <c r="I84" s="270"/>
      <c r="J84" s="270"/>
      <c r="K84" s="270"/>
      <c r="L84" s="270"/>
      <c r="M84" s="270"/>
      <c r="N84" s="271"/>
    </row>
    <row r="85" spans="1:14" ht="15.75" x14ac:dyDescent="0.25">
      <c r="A85" s="211" t="s">
        <v>40</v>
      </c>
      <c r="B85" s="212"/>
      <c r="C85" s="176"/>
      <c r="D85" s="177"/>
      <c r="E85" s="177"/>
      <c r="F85" s="177"/>
      <c r="G85" s="177"/>
      <c r="H85" s="177"/>
      <c r="I85" s="177"/>
      <c r="J85" s="177"/>
      <c r="K85" s="177"/>
      <c r="L85" s="177"/>
      <c r="M85" s="177"/>
      <c r="N85" s="178"/>
    </row>
    <row r="86" spans="1:14" ht="15.75" x14ac:dyDescent="0.25">
      <c r="A86" s="213"/>
      <c r="B86" s="214"/>
      <c r="C86" s="248"/>
      <c r="D86" s="249"/>
      <c r="E86" s="249"/>
      <c r="F86" s="249"/>
      <c r="G86" s="249"/>
      <c r="H86" s="249"/>
      <c r="I86" s="249"/>
      <c r="J86" s="249"/>
      <c r="K86" s="249"/>
      <c r="L86" s="249"/>
      <c r="M86" s="249"/>
      <c r="N86" s="250"/>
    </row>
    <row r="87" spans="1:14" ht="15.75" x14ac:dyDescent="0.25">
      <c r="A87" s="213"/>
      <c r="B87" s="214"/>
      <c r="C87" s="133"/>
      <c r="D87" s="134"/>
      <c r="E87" s="134"/>
      <c r="F87" s="134"/>
      <c r="G87" s="134"/>
      <c r="H87" s="134"/>
      <c r="I87" s="134"/>
      <c r="J87" s="134"/>
      <c r="K87" s="134"/>
      <c r="L87" s="134"/>
      <c r="M87" s="134"/>
      <c r="N87" s="135"/>
    </row>
    <row r="88" spans="1:14" ht="15.75" x14ac:dyDescent="0.25">
      <c r="A88" s="213"/>
      <c r="B88" s="214"/>
      <c r="C88" s="272"/>
      <c r="D88" s="273"/>
      <c r="E88" s="273"/>
      <c r="F88" s="273"/>
      <c r="G88" s="273"/>
      <c r="H88" s="273"/>
      <c r="I88" s="273"/>
      <c r="J88" s="273"/>
      <c r="K88" s="273"/>
      <c r="L88" s="273"/>
      <c r="M88" s="273"/>
      <c r="N88" s="274"/>
    </row>
    <row r="89" spans="1:14" ht="15.75" x14ac:dyDescent="0.25">
      <c r="A89" s="213"/>
      <c r="B89" s="214"/>
      <c r="C89" s="173"/>
      <c r="D89" s="174"/>
      <c r="E89" s="174"/>
      <c r="F89" s="174"/>
      <c r="G89" s="174"/>
      <c r="H89" s="174"/>
      <c r="I89" s="174"/>
      <c r="J89" s="174"/>
      <c r="K89" s="174"/>
      <c r="L89" s="174"/>
      <c r="M89" s="174"/>
      <c r="N89" s="175"/>
    </row>
    <row r="90" spans="1:14" ht="15.75" x14ac:dyDescent="0.25">
      <c r="A90" s="213"/>
      <c r="B90" s="214"/>
      <c r="C90" s="245"/>
      <c r="D90" s="246"/>
      <c r="E90" s="246"/>
      <c r="F90" s="246"/>
      <c r="G90" s="246"/>
      <c r="H90" s="246"/>
      <c r="I90" s="246"/>
      <c r="J90" s="246"/>
      <c r="K90" s="246"/>
      <c r="L90" s="246"/>
      <c r="M90" s="246"/>
      <c r="N90" s="247"/>
    </row>
    <row r="91" spans="1:14" ht="15.75" x14ac:dyDescent="0.25">
      <c r="A91" s="213"/>
      <c r="B91" s="214"/>
      <c r="C91" s="173"/>
      <c r="D91" s="174"/>
      <c r="E91" s="174"/>
      <c r="F91" s="174"/>
      <c r="G91" s="174"/>
      <c r="H91" s="174"/>
      <c r="I91" s="174"/>
      <c r="J91" s="174"/>
      <c r="K91" s="174"/>
      <c r="L91" s="174"/>
      <c r="M91" s="174"/>
      <c r="N91" s="175"/>
    </row>
    <row r="92" spans="1:14" ht="15.75" x14ac:dyDescent="0.25">
      <c r="A92" s="213"/>
      <c r="B92" s="214"/>
      <c r="C92" s="248"/>
      <c r="D92" s="249"/>
      <c r="E92" s="249"/>
      <c r="F92" s="249"/>
      <c r="G92" s="249"/>
      <c r="H92" s="249"/>
      <c r="I92" s="249"/>
      <c r="J92" s="249"/>
      <c r="K92" s="249"/>
      <c r="L92" s="249"/>
      <c r="M92" s="249"/>
      <c r="N92" s="250"/>
    </row>
    <row r="93" spans="1:14" ht="15.75" x14ac:dyDescent="0.25">
      <c r="A93" s="213"/>
      <c r="B93" s="214"/>
      <c r="C93" s="248"/>
      <c r="D93" s="249"/>
      <c r="E93" s="249"/>
      <c r="F93" s="249"/>
      <c r="G93" s="249"/>
      <c r="H93" s="249"/>
      <c r="I93" s="249"/>
      <c r="J93" s="249"/>
      <c r="K93" s="249"/>
      <c r="L93" s="249"/>
      <c r="M93" s="249"/>
      <c r="N93" s="250"/>
    </row>
    <row r="94" spans="1:14" ht="15.75" x14ac:dyDescent="0.25">
      <c r="A94" s="213"/>
      <c r="B94" s="214"/>
      <c r="C94" s="133"/>
      <c r="D94" s="134"/>
      <c r="E94" s="134"/>
      <c r="F94" s="134"/>
      <c r="G94" s="134"/>
      <c r="H94" s="134"/>
      <c r="I94" s="134"/>
      <c r="J94" s="134"/>
      <c r="K94" s="134"/>
      <c r="L94" s="134"/>
      <c r="M94" s="134"/>
      <c r="N94" s="135"/>
    </row>
    <row r="95" spans="1:14" ht="15.75" x14ac:dyDescent="0.25">
      <c r="A95" s="213"/>
      <c r="B95" s="214"/>
      <c r="C95" s="133"/>
      <c r="D95" s="134"/>
      <c r="E95" s="134"/>
      <c r="F95" s="134"/>
      <c r="G95" s="134"/>
      <c r="H95" s="134"/>
      <c r="I95" s="134"/>
      <c r="J95" s="134"/>
      <c r="K95" s="134"/>
      <c r="L95" s="134"/>
      <c r="M95" s="134"/>
      <c r="N95" s="135"/>
    </row>
    <row r="96" spans="1:14" ht="15.75" x14ac:dyDescent="0.25">
      <c r="A96" s="213"/>
      <c r="B96" s="214"/>
      <c r="C96" s="242"/>
      <c r="D96" s="243"/>
      <c r="E96" s="243"/>
      <c r="F96" s="243"/>
      <c r="G96" s="243"/>
      <c r="H96" s="243"/>
      <c r="I96" s="243"/>
      <c r="J96" s="243"/>
      <c r="K96" s="243"/>
      <c r="L96" s="243"/>
      <c r="M96" s="243"/>
      <c r="N96" s="244"/>
    </row>
    <row r="97" spans="1:14" ht="16.5" thickBot="1" x14ac:dyDescent="0.3">
      <c r="A97" s="215"/>
      <c r="B97" s="216"/>
      <c r="C97" s="173"/>
      <c r="D97" s="174"/>
      <c r="E97" s="174"/>
      <c r="F97" s="174"/>
      <c r="G97" s="174"/>
      <c r="H97" s="174"/>
      <c r="I97" s="174"/>
      <c r="J97" s="174"/>
      <c r="K97" s="174"/>
      <c r="L97" s="174"/>
      <c r="M97" s="174"/>
      <c r="N97" s="175"/>
    </row>
    <row r="98" spans="1:14" ht="15.75" x14ac:dyDescent="0.25">
      <c r="A98" s="38"/>
      <c r="B98" s="39"/>
      <c r="C98" s="275"/>
      <c r="D98" s="276"/>
      <c r="E98" s="276"/>
      <c r="F98" s="276"/>
      <c r="G98" s="276"/>
      <c r="H98" s="276"/>
      <c r="I98" s="276"/>
      <c r="J98" s="276"/>
      <c r="K98" s="276"/>
      <c r="L98" s="276"/>
      <c r="M98" s="276"/>
      <c r="N98" s="277"/>
    </row>
    <row r="99" spans="1:14" ht="15.75" x14ac:dyDescent="0.25">
      <c r="A99" s="213" t="s">
        <v>106</v>
      </c>
      <c r="B99" s="214"/>
      <c r="C99" s="207"/>
      <c r="D99" s="208"/>
      <c r="E99" s="208"/>
      <c r="F99" s="208"/>
      <c r="G99" s="208"/>
      <c r="H99" s="208"/>
      <c r="I99" s="208"/>
      <c r="J99" s="208"/>
      <c r="K99" s="208"/>
      <c r="L99" s="208"/>
      <c r="M99" s="208"/>
      <c r="N99" s="209"/>
    </row>
    <row r="100" spans="1:14" ht="15.75" x14ac:dyDescent="0.25">
      <c r="A100" s="213" t="s">
        <v>107</v>
      </c>
      <c r="B100" s="214"/>
      <c r="C100" s="210"/>
      <c r="D100" s="186"/>
      <c r="E100" s="186"/>
      <c r="F100" s="186"/>
      <c r="G100" s="186"/>
      <c r="H100" s="186"/>
      <c r="I100" s="186"/>
      <c r="J100" s="186"/>
      <c r="K100" s="186"/>
      <c r="L100" s="186"/>
      <c r="M100" s="186"/>
      <c r="N100" s="187"/>
    </row>
    <row r="101" spans="1:14" ht="16.5" thickBot="1" x14ac:dyDescent="0.3">
      <c r="A101" s="40"/>
      <c r="B101" s="41"/>
      <c r="C101" s="296"/>
      <c r="D101" s="267"/>
      <c r="E101" s="267"/>
      <c r="F101" s="267"/>
      <c r="G101" s="267"/>
      <c r="H101" s="267"/>
      <c r="I101" s="267"/>
      <c r="J101" s="267"/>
      <c r="K101" s="267"/>
      <c r="L101" s="267"/>
      <c r="M101" s="267"/>
      <c r="N101" s="268"/>
    </row>
    <row r="102" spans="1:14" ht="15" customHeight="1" x14ac:dyDescent="0.25">
      <c r="A102" s="211" t="s">
        <v>41</v>
      </c>
      <c r="B102" s="281"/>
      <c r="C102" s="257" t="s">
        <v>42</v>
      </c>
      <c r="D102" s="258"/>
      <c r="E102" s="258"/>
      <c r="F102" s="285"/>
      <c r="G102" s="286"/>
      <c r="H102" s="211" t="s">
        <v>43</v>
      </c>
      <c r="I102" s="212"/>
      <c r="J102" s="257" t="s">
        <v>42</v>
      </c>
      <c r="K102" s="258"/>
      <c r="L102" s="258"/>
      <c r="M102" s="258"/>
      <c r="N102" s="259"/>
    </row>
    <row r="103" spans="1:14" ht="15" customHeight="1" x14ac:dyDescent="0.25">
      <c r="A103" s="213"/>
      <c r="B103" s="282"/>
      <c r="C103" s="260"/>
      <c r="D103" s="261"/>
      <c r="E103" s="261"/>
      <c r="F103" s="287"/>
      <c r="G103" s="288"/>
      <c r="H103" s="213"/>
      <c r="I103" s="214"/>
      <c r="J103" s="260"/>
      <c r="K103" s="261"/>
      <c r="L103" s="261"/>
      <c r="M103" s="261"/>
      <c r="N103" s="262"/>
    </row>
    <row r="104" spans="1:14" ht="15.75" thickBot="1" x14ac:dyDescent="0.3">
      <c r="A104" s="283"/>
      <c r="B104" s="284"/>
      <c r="C104" s="263"/>
      <c r="D104" s="264"/>
      <c r="E104" s="264"/>
      <c r="F104" s="289"/>
      <c r="G104" s="290"/>
      <c r="H104" s="215"/>
      <c r="I104" s="216"/>
      <c r="J104" s="263"/>
      <c r="K104" s="264"/>
      <c r="L104" s="264"/>
      <c r="M104" s="264"/>
      <c r="N104" s="265"/>
    </row>
    <row r="105" spans="1:14" x14ac:dyDescent="0.25">
      <c r="A105" s="211" t="s">
        <v>44</v>
      </c>
      <c r="B105" s="212"/>
      <c r="C105" s="257" t="s">
        <v>42</v>
      </c>
      <c r="D105" s="258"/>
      <c r="E105" s="258"/>
      <c r="F105" s="258"/>
      <c r="G105" s="259"/>
      <c r="H105" s="251" t="s">
        <v>3</v>
      </c>
      <c r="I105" s="291"/>
      <c r="J105" s="124"/>
      <c r="K105" s="125"/>
      <c r="L105" s="125"/>
      <c r="M105" s="125"/>
      <c r="N105" s="126"/>
    </row>
    <row r="106" spans="1:14" x14ac:dyDescent="0.25">
      <c r="A106" s="213"/>
      <c r="B106" s="214"/>
      <c r="C106" s="260"/>
      <c r="D106" s="261"/>
      <c r="E106" s="261"/>
      <c r="F106" s="261"/>
      <c r="G106" s="262"/>
      <c r="H106" s="292"/>
      <c r="I106" s="293"/>
      <c r="J106" s="127"/>
      <c r="K106" s="128"/>
      <c r="L106" s="128"/>
      <c r="M106" s="128"/>
      <c r="N106" s="129"/>
    </row>
    <row r="107" spans="1:14" ht="15.75" thickBot="1" x14ac:dyDescent="0.3">
      <c r="A107" s="215"/>
      <c r="B107" s="216"/>
      <c r="C107" s="263"/>
      <c r="D107" s="264"/>
      <c r="E107" s="264"/>
      <c r="F107" s="264"/>
      <c r="G107" s="265"/>
      <c r="H107" s="294"/>
      <c r="I107" s="295"/>
      <c r="J107" s="130"/>
      <c r="K107" s="131"/>
      <c r="L107" s="131"/>
      <c r="M107" s="131"/>
      <c r="N107" s="132"/>
    </row>
    <row r="108" spans="1:14" x14ac:dyDescent="0.25">
      <c r="A108" s="211" t="s">
        <v>45</v>
      </c>
      <c r="B108" s="212"/>
      <c r="C108" s="257" t="s">
        <v>42</v>
      </c>
      <c r="D108" s="258"/>
      <c r="E108" s="258"/>
      <c r="F108" s="258"/>
      <c r="G108" s="259"/>
      <c r="H108" s="1"/>
      <c r="I108" s="1"/>
      <c r="J108" s="1"/>
      <c r="K108" s="1"/>
      <c r="L108" s="1"/>
      <c r="M108" s="1"/>
      <c r="N108" s="1"/>
    </row>
    <row r="109" spans="1:14" x14ac:dyDescent="0.25">
      <c r="A109" s="213"/>
      <c r="B109" s="214"/>
      <c r="C109" s="260"/>
      <c r="D109" s="261"/>
      <c r="E109" s="261"/>
      <c r="F109" s="261"/>
      <c r="G109" s="262"/>
      <c r="H109" s="1"/>
      <c r="I109" s="1"/>
      <c r="J109" s="1"/>
      <c r="K109" s="1"/>
      <c r="L109" s="1"/>
      <c r="M109" s="1"/>
      <c r="N109" s="1"/>
    </row>
    <row r="110" spans="1:14" ht="15.75" thickBot="1" x14ac:dyDescent="0.3">
      <c r="A110" s="215"/>
      <c r="B110" s="216"/>
      <c r="C110" s="263"/>
      <c r="D110" s="264"/>
      <c r="E110" s="264"/>
      <c r="F110" s="264"/>
      <c r="G110" s="265"/>
      <c r="H110" s="1"/>
      <c r="I110" s="1"/>
      <c r="J110" s="1"/>
      <c r="K110" s="1"/>
      <c r="L110" s="1"/>
      <c r="M110" s="1"/>
      <c r="N110" s="1"/>
    </row>
    <row r="111" spans="1:14" x14ac:dyDescent="0.25">
      <c r="A111" s="251" t="s">
        <v>46</v>
      </c>
      <c r="B111" s="252"/>
      <c r="C111" s="257" t="s">
        <v>42</v>
      </c>
      <c r="D111" s="258"/>
      <c r="E111" s="258"/>
      <c r="F111" s="258"/>
      <c r="G111" s="259"/>
      <c r="H111" s="1"/>
      <c r="I111" s="1"/>
      <c r="J111" s="1"/>
      <c r="K111" s="1"/>
      <c r="L111" s="1"/>
      <c r="M111" s="1"/>
      <c r="N111" s="1"/>
    </row>
    <row r="112" spans="1:14" x14ac:dyDescent="0.25">
      <c r="A112" s="253"/>
      <c r="B112" s="254"/>
      <c r="C112" s="260"/>
      <c r="D112" s="261"/>
      <c r="E112" s="261"/>
      <c r="F112" s="261"/>
      <c r="G112" s="262"/>
      <c r="H112" s="1"/>
      <c r="I112" s="1"/>
      <c r="J112" s="1"/>
      <c r="K112" s="1"/>
      <c r="L112" s="1"/>
      <c r="M112" s="1"/>
      <c r="N112" s="1"/>
    </row>
    <row r="113" spans="1:14" ht="15.75" thickBot="1" x14ac:dyDescent="0.3">
      <c r="A113" s="255"/>
      <c r="B113" s="256"/>
      <c r="C113" s="263"/>
      <c r="D113" s="264"/>
      <c r="E113" s="264"/>
      <c r="F113" s="264"/>
      <c r="G113" s="265"/>
      <c r="H113" s="1"/>
      <c r="I113" s="1"/>
      <c r="J113" s="1"/>
      <c r="K113" s="1"/>
      <c r="L113" s="1"/>
      <c r="M113" s="1"/>
      <c r="N113" s="1"/>
    </row>
  </sheetData>
  <mergeCells count="144">
    <mergeCell ref="F3:N3"/>
    <mergeCell ref="D3:E3"/>
    <mergeCell ref="K2:N2"/>
    <mergeCell ref="B2:D2"/>
    <mergeCell ref="F2:I2"/>
    <mergeCell ref="B3:C3"/>
    <mergeCell ref="A4:B4"/>
    <mergeCell ref="D4:E4"/>
    <mergeCell ref="A19:C19"/>
    <mergeCell ref="D18:D21"/>
    <mergeCell ref="A6:C6"/>
    <mergeCell ref="A18:C18"/>
    <mergeCell ref="A17:C17"/>
    <mergeCell ref="A20:C20"/>
    <mergeCell ref="A21:C21"/>
    <mergeCell ref="G4:H4"/>
    <mergeCell ref="A7:C7"/>
    <mergeCell ref="A8:C8"/>
    <mergeCell ref="A9:C9"/>
    <mergeCell ref="A10:C10"/>
    <mergeCell ref="A11:C11"/>
    <mergeCell ref="A12:C12"/>
    <mergeCell ref="A13:C13"/>
    <mergeCell ref="D6:N6"/>
    <mergeCell ref="D54:N54"/>
    <mergeCell ref="D56:N56"/>
    <mergeCell ref="D48:N48"/>
    <mergeCell ref="D49:N49"/>
    <mergeCell ref="D50:N50"/>
    <mergeCell ref="D51:N51"/>
    <mergeCell ref="A22:C22"/>
    <mergeCell ref="A16:N16"/>
    <mergeCell ref="E73:N73"/>
    <mergeCell ref="D23:N23"/>
    <mergeCell ref="D59:N59"/>
    <mergeCell ref="D60:N60"/>
    <mergeCell ref="D62:N62"/>
    <mergeCell ref="D65:N65"/>
    <mergeCell ref="A66:C69"/>
    <mergeCell ref="A70:C72"/>
    <mergeCell ref="D73:D78"/>
    <mergeCell ref="A78:C78"/>
    <mergeCell ref="D70:N70"/>
    <mergeCell ref="D71:N71"/>
    <mergeCell ref="D29:N29"/>
    <mergeCell ref="D26:N26"/>
    <mergeCell ref="D34:N34"/>
    <mergeCell ref="D28:N28"/>
    <mergeCell ref="A111:B113"/>
    <mergeCell ref="C111:G113"/>
    <mergeCell ref="C91:N91"/>
    <mergeCell ref="C92:N92"/>
    <mergeCell ref="C93:N93"/>
    <mergeCell ref="A108:B110"/>
    <mergeCell ref="E81:N81"/>
    <mergeCell ref="E84:N84"/>
    <mergeCell ref="C97:N97"/>
    <mergeCell ref="C88:N88"/>
    <mergeCell ref="E83:N83"/>
    <mergeCell ref="E82:N82"/>
    <mergeCell ref="C108:G110"/>
    <mergeCell ref="A102:B104"/>
    <mergeCell ref="C102:G104"/>
    <mergeCell ref="A105:B107"/>
    <mergeCell ref="C105:G107"/>
    <mergeCell ref="H102:I104"/>
    <mergeCell ref="J102:N104"/>
    <mergeCell ref="H105:I107"/>
    <mergeCell ref="A99:B99"/>
    <mergeCell ref="A100:B100"/>
    <mergeCell ref="C101:N101"/>
    <mergeCell ref="C98:N98"/>
    <mergeCell ref="C99:N99"/>
    <mergeCell ref="C100:N100"/>
    <mergeCell ref="A85:B97"/>
    <mergeCell ref="E78:N78"/>
    <mergeCell ref="D30:N31"/>
    <mergeCell ref="D15:N15"/>
    <mergeCell ref="A23:C29"/>
    <mergeCell ref="A34:C37"/>
    <mergeCell ref="A38:C53"/>
    <mergeCell ref="D58:N58"/>
    <mergeCell ref="A76:C76"/>
    <mergeCell ref="E76:N76"/>
    <mergeCell ref="A75:C75"/>
    <mergeCell ref="E75:N75"/>
    <mergeCell ref="E77:N77"/>
    <mergeCell ref="A80:C80"/>
    <mergeCell ref="E80:N80"/>
    <mergeCell ref="D83:D84"/>
    <mergeCell ref="C96:N96"/>
    <mergeCell ref="C90:N90"/>
    <mergeCell ref="C86:N86"/>
    <mergeCell ref="D72:N72"/>
    <mergeCell ref="D41:N41"/>
    <mergeCell ref="D42:N42"/>
    <mergeCell ref="D64:N64"/>
    <mergeCell ref="A30:C31"/>
    <mergeCell ref="A14:C14"/>
    <mergeCell ref="E79:N79"/>
    <mergeCell ref="C89:N89"/>
    <mergeCell ref="C85:N85"/>
    <mergeCell ref="A79:C79"/>
    <mergeCell ref="A74:C74"/>
    <mergeCell ref="E74:N74"/>
    <mergeCell ref="A77:C77"/>
    <mergeCell ref="D27:N27"/>
    <mergeCell ref="D68:N68"/>
    <mergeCell ref="D66:N66"/>
    <mergeCell ref="D67:N67"/>
    <mergeCell ref="D38:N38"/>
    <mergeCell ref="D39:N39"/>
    <mergeCell ref="D36:N36"/>
    <mergeCell ref="D37:N37"/>
    <mergeCell ref="D40:N40"/>
    <mergeCell ref="D35:N35"/>
    <mergeCell ref="D43:N43"/>
    <mergeCell ref="D44:N44"/>
    <mergeCell ref="D45:N45"/>
    <mergeCell ref="D46:N46"/>
    <mergeCell ref="A1:N1"/>
    <mergeCell ref="D55:N55"/>
    <mergeCell ref="J105:N107"/>
    <mergeCell ref="C94:N94"/>
    <mergeCell ref="C95:N95"/>
    <mergeCell ref="A5:N5"/>
    <mergeCell ref="D7:N7"/>
    <mergeCell ref="D8:N8"/>
    <mergeCell ref="D9:N9"/>
    <mergeCell ref="D10:N10"/>
    <mergeCell ref="D11:N11"/>
    <mergeCell ref="D12:N12"/>
    <mergeCell ref="D13:N13"/>
    <mergeCell ref="C87:N87"/>
    <mergeCell ref="D52:N52"/>
    <mergeCell ref="D53:N53"/>
    <mergeCell ref="A54:C65"/>
    <mergeCell ref="D61:N61"/>
    <mergeCell ref="D14:N14"/>
    <mergeCell ref="D69:N69"/>
    <mergeCell ref="D47:N47"/>
    <mergeCell ref="D24:N24"/>
    <mergeCell ref="D25:N25"/>
    <mergeCell ref="D63:N63"/>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X45"/>
  <sheetViews>
    <sheetView showZeros="0" tabSelected="1" zoomScale="70" zoomScaleNormal="70" workbookViewId="0">
      <pane ySplit="4" topLeftCell="A26" activePane="bottomLeft" state="frozen"/>
      <selection activeCell="C1" sqref="C1"/>
      <selection pane="bottomLeft" activeCell="L37" sqref="L37"/>
    </sheetView>
  </sheetViews>
  <sheetFormatPr baseColWidth="10" defaultRowHeight="15" x14ac:dyDescent="0.25"/>
  <cols>
    <col min="1" max="1" width="7.140625" customWidth="1"/>
    <col min="2" max="2" width="21.7109375" customWidth="1"/>
    <col min="3" max="3" width="13.42578125" customWidth="1"/>
    <col min="4" max="4" width="4.85546875" customWidth="1"/>
    <col min="5" max="5" width="13.42578125" customWidth="1"/>
    <col min="6" max="6" width="4.85546875" customWidth="1"/>
    <col min="7" max="7" width="11.85546875" customWidth="1"/>
    <col min="8" max="8" width="12.85546875" customWidth="1"/>
    <col min="9" max="9" width="10.140625" customWidth="1"/>
    <col min="10" max="11" width="13.42578125" customWidth="1"/>
    <col min="12" max="12" width="14.28515625" customWidth="1"/>
    <col min="13" max="13" width="10.140625" customWidth="1"/>
    <col min="14" max="15" width="9.140625" customWidth="1"/>
    <col min="16" max="16" width="8.7109375" customWidth="1"/>
    <col min="17" max="18" width="8.5703125" customWidth="1"/>
    <col min="19" max="19" width="8.140625" customWidth="1"/>
    <col min="22" max="22" width="13.28515625" customWidth="1"/>
    <col min="24" max="24" width="11" customWidth="1"/>
    <col min="25" max="26" width="13.28515625" customWidth="1"/>
    <col min="27" max="27" width="12.85546875" customWidth="1"/>
    <col min="28" max="29" width="13.28515625" customWidth="1"/>
    <col min="30" max="30" width="10.85546875" customWidth="1"/>
    <col min="31" max="31" width="8.7109375" customWidth="1"/>
    <col min="32" max="32" width="15.140625" customWidth="1"/>
    <col min="33" max="33" width="10" customWidth="1"/>
    <col min="36" max="36" width="10.42578125" customWidth="1"/>
    <col min="37" max="37" width="9.5703125" customWidth="1"/>
    <col min="38" max="38" width="8.140625" customWidth="1"/>
    <col min="39" max="39" width="7.28515625" customWidth="1"/>
    <col min="40" max="40" width="11.28515625" customWidth="1"/>
    <col min="41" max="41" width="9.140625" customWidth="1"/>
    <col min="42" max="42" width="9.85546875" customWidth="1"/>
    <col min="44" max="44" width="6.28515625" customWidth="1"/>
    <col min="45" max="45" width="8.42578125" customWidth="1"/>
    <col min="46" max="46" width="6.140625" customWidth="1"/>
    <col min="47" max="47" width="8.140625" customWidth="1"/>
  </cols>
  <sheetData>
    <row r="1" spans="1:50" ht="16.5" thickTop="1" thickBot="1" x14ac:dyDescent="0.3">
      <c r="A1" s="353" t="s">
        <v>81</v>
      </c>
      <c r="B1" s="354"/>
      <c r="C1" s="37" t="s">
        <v>82</v>
      </c>
      <c r="D1" s="355" t="str">
        <f>'cover page'!F2</f>
        <v>Escoumins</v>
      </c>
      <c r="E1" s="356"/>
      <c r="F1" s="356"/>
      <c r="G1" s="356"/>
      <c r="H1" s="356"/>
      <c r="I1" s="357"/>
      <c r="J1" s="37" t="s">
        <v>104</v>
      </c>
      <c r="K1" s="358" t="str">
        <f>'cover page'!K2:N2</f>
        <v>Cap Vincent</v>
      </c>
      <c r="L1" s="359"/>
      <c r="M1" s="359"/>
      <c r="N1" s="359"/>
      <c r="O1" s="359"/>
      <c r="P1" s="359"/>
      <c r="Q1" s="359"/>
      <c r="R1" s="359"/>
      <c r="S1" s="360"/>
    </row>
    <row r="2" spans="1:50" ht="16.5" thickTop="1" thickBot="1" x14ac:dyDescent="0.3">
      <c r="A2" s="361" t="s">
        <v>83</v>
      </c>
      <c r="B2" s="362"/>
      <c r="C2" s="382" t="str">
        <f>'cover page'!F3</f>
        <v>Escoumins-Cap Vincent</v>
      </c>
      <c r="D2" s="383"/>
      <c r="E2" s="383"/>
      <c r="F2" s="383"/>
      <c r="G2" s="383"/>
      <c r="H2" s="383"/>
      <c r="I2" s="384"/>
      <c r="K2" s="389"/>
      <c r="L2" s="390"/>
      <c r="M2" s="370" t="s">
        <v>85</v>
      </c>
      <c r="N2" s="371"/>
      <c r="O2" s="363" t="s">
        <v>86</v>
      </c>
      <c r="P2" s="365" t="s">
        <v>87</v>
      </c>
      <c r="Q2" s="363" t="s">
        <v>88</v>
      </c>
      <c r="R2" s="119" t="s">
        <v>129</v>
      </c>
      <c r="S2" s="17" t="s">
        <v>128</v>
      </c>
      <c r="T2" s="108" t="s">
        <v>282</v>
      </c>
      <c r="U2" s="108" t="s">
        <v>284</v>
      </c>
      <c r="V2" s="108" t="s">
        <v>280</v>
      </c>
    </row>
    <row r="3" spans="1:50" ht="16.5" thickTop="1" thickBot="1" x14ac:dyDescent="0.3">
      <c r="A3" s="54" t="s">
        <v>89</v>
      </c>
      <c r="B3" s="385"/>
      <c r="C3" s="394" t="s">
        <v>90</v>
      </c>
      <c r="D3" s="103" t="s">
        <v>100</v>
      </c>
      <c r="E3" s="394" t="s">
        <v>91</v>
      </c>
      <c r="F3" s="103" t="s">
        <v>102</v>
      </c>
      <c r="G3" s="110" t="s">
        <v>98</v>
      </c>
      <c r="H3" s="112" t="s">
        <v>84</v>
      </c>
      <c r="I3" s="15" t="s">
        <v>96</v>
      </c>
      <c r="J3" s="367" t="s">
        <v>93</v>
      </c>
      <c r="K3" s="368"/>
      <c r="L3" s="369"/>
      <c r="M3" s="372"/>
      <c r="N3" s="373"/>
      <c r="O3" s="364"/>
      <c r="P3" s="366"/>
      <c r="Q3" s="364"/>
      <c r="R3" s="53" t="s">
        <v>130</v>
      </c>
      <c r="S3" s="18" t="s">
        <v>126</v>
      </c>
      <c r="T3" s="108" t="s">
        <v>283</v>
      </c>
      <c r="U3" s="108" t="s">
        <v>285</v>
      </c>
      <c r="V3" s="108"/>
    </row>
    <row r="4" spans="1:50" ht="16.5" thickTop="1" thickBot="1" x14ac:dyDescent="0.3">
      <c r="A4" s="55" t="s">
        <v>131</v>
      </c>
      <c r="B4" s="398" t="s">
        <v>105</v>
      </c>
      <c r="C4" s="395" t="s">
        <v>319</v>
      </c>
      <c r="D4" s="102" t="s">
        <v>101</v>
      </c>
      <c r="E4" s="395" t="s">
        <v>320</v>
      </c>
      <c r="F4" s="102" t="s">
        <v>103</v>
      </c>
      <c r="G4" s="111" t="s">
        <v>99</v>
      </c>
      <c r="H4" s="113" t="s">
        <v>92</v>
      </c>
      <c r="I4" s="16" t="s">
        <v>97</v>
      </c>
      <c r="J4" s="391" t="s">
        <v>333</v>
      </c>
      <c r="K4" s="392" t="s">
        <v>331</v>
      </c>
      <c r="L4" s="393" t="s">
        <v>332</v>
      </c>
      <c r="M4" s="14" t="s">
        <v>318</v>
      </c>
      <c r="N4" s="14" t="s">
        <v>94</v>
      </c>
      <c r="O4" s="14" t="s">
        <v>95</v>
      </c>
      <c r="P4" s="19" t="s">
        <v>326</v>
      </c>
      <c r="Q4" s="14" t="s">
        <v>327</v>
      </c>
      <c r="R4" s="19" t="s">
        <v>328</v>
      </c>
      <c r="S4" s="19" t="s">
        <v>127</v>
      </c>
      <c r="T4" s="86" t="s">
        <v>329</v>
      </c>
      <c r="U4" s="109" t="s">
        <v>330</v>
      </c>
      <c r="V4" s="108" t="s">
        <v>321</v>
      </c>
      <c r="W4" s="109" t="s">
        <v>317</v>
      </c>
      <c r="X4" s="386" t="s">
        <v>153</v>
      </c>
      <c r="Y4" s="387" t="s">
        <v>322</v>
      </c>
      <c r="Z4" s="388" t="s">
        <v>323</v>
      </c>
      <c r="AA4" s="386" t="s">
        <v>154</v>
      </c>
      <c r="AB4" s="387" t="s">
        <v>324</v>
      </c>
      <c r="AC4" s="388" t="s">
        <v>325</v>
      </c>
      <c r="AD4" s="98" t="s">
        <v>300</v>
      </c>
      <c r="AE4" s="42" t="s">
        <v>307</v>
      </c>
      <c r="AF4" s="42" t="s">
        <v>299</v>
      </c>
      <c r="AG4" s="42" t="s">
        <v>308</v>
      </c>
      <c r="AH4" s="42" t="s">
        <v>309</v>
      </c>
      <c r="AI4" s="42" t="s">
        <v>298</v>
      </c>
      <c r="AJ4" s="42" t="s">
        <v>310</v>
      </c>
      <c r="AK4" s="42" t="s">
        <v>301</v>
      </c>
      <c r="AL4" s="42" t="s">
        <v>302</v>
      </c>
      <c r="AM4" s="42" t="s">
        <v>303</v>
      </c>
      <c r="AN4" s="42" t="s">
        <v>304</v>
      </c>
      <c r="AO4" s="42" t="s">
        <v>305</v>
      </c>
      <c r="AP4" s="396" t="s">
        <v>98</v>
      </c>
      <c r="AR4" s="42" t="s">
        <v>307</v>
      </c>
      <c r="AS4" s="42" t="s">
        <v>308</v>
      </c>
      <c r="AT4" s="42" t="s">
        <v>309</v>
      </c>
      <c r="AU4" s="42" t="s">
        <v>310</v>
      </c>
      <c r="AV4" s="42" t="s">
        <v>306</v>
      </c>
      <c r="AW4" s="42" t="s">
        <v>301</v>
      </c>
      <c r="AX4" s="42" t="s">
        <v>297</v>
      </c>
    </row>
    <row r="5" spans="1:50" ht="15.75" thickTop="1" x14ac:dyDescent="0.25">
      <c r="A5" s="51">
        <v>1</v>
      </c>
      <c r="B5" s="49" t="str">
        <f>IF($A5="","",VLOOKUP($A5,'list of waypoints'!$A$2:'list of waypoints'!$F$126,2))</f>
        <v>Escoumins Pilot</v>
      </c>
      <c r="C5" s="96">
        <f>IF($A5="","",VLOOKUP($A5,'list of waypoints'!$A$2:$F$2001,3))</f>
        <v>4819</v>
      </c>
      <c r="D5" s="49" t="str">
        <f>IF($A5="","",VLOOKUP($A5,'list of waypoints'!$A$2:$F$2001,4))</f>
        <v>N</v>
      </c>
      <c r="E5" s="96">
        <f>IF($A5="","",VLOOKUP($A5,'list of waypoints'!$A$2:$F$2001,5))</f>
        <v>6924</v>
      </c>
      <c r="F5" s="49" t="str">
        <f>IF($A5="","",VLOOKUP($A5,'list of waypoints'!$A$2:$F$2001,6))</f>
        <v>W</v>
      </c>
      <c r="G5" s="75"/>
      <c r="H5" s="75"/>
      <c r="I5" s="49"/>
      <c r="J5" s="117"/>
      <c r="K5" s="117"/>
      <c r="L5" s="117"/>
      <c r="M5" s="49">
        <f>'cover page'!F4</f>
        <v>124.42511882166187</v>
      </c>
      <c r="N5" s="95" t="s">
        <v>311</v>
      </c>
      <c r="O5" s="49"/>
      <c r="P5" s="49"/>
      <c r="Q5" s="49"/>
      <c r="R5" s="49"/>
      <c r="S5" s="49"/>
      <c r="T5" s="49"/>
      <c r="U5" s="49"/>
      <c r="V5" s="49"/>
      <c r="X5" s="99">
        <f>IF(A5="","",INT(C5/100))</f>
        <v>48</v>
      </c>
      <c r="Y5" s="100">
        <f>IF(A5="","",(C5/100-X5)*100)</f>
        <v>18.999999999999773</v>
      </c>
      <c r="Z5" s="99" t="str">
        <f>IF(A5="","",D5)</f>
        <v>N</v>
      </c>
      <c r="AA5" s="101">
        <f>IF(A5="","",INT(E5/100))</f>
        <v>69</v>
      </c>
      <c r="AB5" s="100">
        <f>IF(A5="","",(E5/100-AA5)*100)</f>
        <v>23.999999999999488</v>
      </c>
      <c r="AC5" s="100" t="str">
        <f>IF(A5="","",F5)</f>
        <v>W</v>
      </c>
      <c r="AD5" s="105">
        <f>IF(Z5="","",AX5)</f>
        <v>14.987582995632481</v>
      </c>
      <c r="AE5" s="104">
        <f>IF(Z5="N",X5+(Y5/60),-(X5+(Y5/60)))</f>
        <v>48.316666666666663</v>
      </c>
      <c r="AF5" s="97">
        <f>(7915.704468*LOG10(TAN(((45+AE5/2))*PI()/180)))-(23.268932*(SIN(AE5*PI()/180)))-(0.0525*(SIN(AE5*PI()/180)))</f>
        <v>3302.5941438609657</v>
      </c>
      <c r="AG5" s="97">
        <f>IF(AC5="E",AA5+(AB5/60),-(AA5+(AB5/60)))</f>
        <v>-69.399999999999991</v>
      </c>
      <c r="AH5" s="97">
        <f>IF(Z7="N",X7+(Y7/60),-(X7+(Y7/60)))</f>
        <v>48.100116666666658</v>
      </c>
      <c r="AI5" s="104">
        <f>(7915.704468*LOG10(TAN(((45+(AH5/2))*PI()/180)))-(23.268932*(SIN(AH5*PI()/180)))-(0.0525*(SIN(AH5*PI()/180))))</f>
        <v>3283.1562262638799</v>
      </c>
      <c r="AJ5" s="104">
        <f>IF(AC7="E",AA7+(AB7/60),-(AA7+(AB7/60)))</f>
        <v>-69.586833333333345</v>
      </c>
      <c r="AK5" s="104">
        <f>IF((AH5-AE5)=0,(AH5-AE5)*60+0.001,(AH5-AE5)*60)</f>
        <v>-12.993000000000308</v>
      </c>
      <c r="AL5" s="104">
        <f>IF(AI5&gt;AF5,(AI5-AF5),(AI5-AF5))</f>
        <v>-19.437917597085743</v>
      </c>
      <c r="AM5" s="97">
        <f>(AJ5-AG5)*60</f>
        <v>-11.21000000000123</v>
      </c>
      <c r="AN5" s="97">
        <f>IF(AL5=0,SQRT(SUMSQ(ATAN(AM5/(AL5+0.0001))*(180/PI()))),SQRT(SUMSQ(ATAN(AM5/AL5)*(180/PI()))))</f>
        <v>29.972387128552509</v>
      </c>
      <c r="AO5" s="104">
        <f>SQRT(SUMSQ(1/(COS(AN5*PI()/180))*AK5))</f>
        <v>14.998852472392253</v>
      </c>
      <c r="AP5" s="397">
        <f>IF(AE5&gt;AH5,IF(AG5&gt;AJ5,180+AN5,180-AN5),(IF(AG5&gt;AJ5,360-AN5,AN5)))</f>
        <v>209.9723871285525</v>
      </c>
      <c r="AR5" s="104">
        <f>RADIANS(AE5)</f>
        <v>0.84328491692192686</v>
      </c>
      <c r="AS5" s="104">
        <f>RADIANS(AG5)</f>
        <v>-1.2112585008840646</v>
      </c>
      <c r="AT5" s="104">
        <f>RADIANS(AH5)</f>
        <v>0.83950540642673299</v>
      </c>
      <c r="AU5" s="104">
        <f>RADIANS(AJ5)</f>
        <v>-1.2145193577032076</v>
      </c>
      <c r="AV5" s="104">
        <f>AU5-AS5</f>
        <v>-3.2608568191430098E-3</v>
      </c>
      <c r="AW5" s="104">
        <f>AT5-AR5</f>
        <v>-3.7795104951938718E-3</v>
      </c>
      <c r="AX5" s="97">
        <f>DEGREES(ACOS(SIN(AR5)*SIN(AT5)+COS(AT5)*COS(AR5)*COS(AV5)))*60</f>
        <v>14.987582995632481</v>
      </c>
    </row>
    <row r="6" spans="1:50" x14ac:dyDescent="0.25">
      <c r="A6" s="51"/>
      <c r="B6" s="49" t="str">
        <f>IF($A6="","",VLOOKUP($A6,'list of waypoints'!$A$2:'list of waypoints'!$F$126,2))</f>
        <v/>
      </c>
      <c r="C6" s="96" t="str">
        <f>IF($A6="","",VLOOKUP($A6,'list of waypoints'!$A$2:$F$2001,3))</f>
        <v/>
      </c>
      <c r="D6" s="49" t="str">
        <f>IF($A6="","",VLOOKUP($A6,'list of waypoints'!$A$2:$F$2001,4))</f>
        <v/>
      </c>
      <c r="E6" s="96" t="str">
        <f>IF($A6="","",VLOOKUP($A6,'list of waypoints'!$A$2:$F$2001,5))</f>
        <v/>
      </c>
      <c r="F6" s="49" t="str">
        <f>IF($A6="","",VLOOKUP($A6,'list of waypoints'!$A$2:$F$2001,6))</f>
        <v/>
      </c>
      <c r="G6" s="106">
        <f>IF(C5="","",AP5)</f>
        <v>209.9723871285525</v>
      </c>
      <c r="H6" s="107">
        <f>IF(C5="","",AO5)</f>
        <v>14.998852472392253</v>
      </c>
      <c r="I6" s="49">
        <v>12</v>
      </c>
      <c r="J6" s="116"/>
      <c r="K6" s="116"/>
      <c r="L6" s="116"/>
      <c r="M6" s="50"/>
      <c r="N6" s="49">
        <f>H5</f>
        <v>0</v>
      </c>
      <c r="O6" s="95">
        <f>T6+U6+V6</f>
        <v>30</v>
      </c>
      <c r="P6" s="49"/>
      <c r="Q6" s="49">
        <f>O6-P6-'cover page'!L4</f>
        <v>30</v>
      </c>
      <c r="R6" s="49"/>
      <c r="S6" s="49"/>
      <c r="T6" s="49">
        <v>25</v>
      </c>
      <c r="U6" s="49">
        <v>5</v>
      </c>
      <c r="V6" s="75"/>
      <c r="X6" s="99" t="str">
        <f t="shared" ref="X6:X45" si="0">IF(A6="","",INT(C6/100))</f>
        <v/>
      </c>
      <c r="Y6" s="100" t="str">
        <f t="shared" ref="Y6:Y45" si="1">IF(A6="","",(C6/100-X6)*100)</f>
        <v/>
      </c>
      <c r="Z6" s="99" t="str">
        <f t="shared" ref="Z6:Z45" si="2">IF(A6="","",D6)</f>
        <v/>
      </c>
      <c r="AA6" s="101" t="str">
        <f t="shared" ref="AA6:AA45" si="3">IF(A6="","",INT(E6/100))</f>
        <v/>
      </c>
      <c r="AB6" s="100" t="str">
        <f t="shared" ref="AB6:AB45" si="4">IF(A6="","",(E6/100-AA6)*100)</f>
        <v/>
      </c>
      <c r="AC6" s="100" t="str">
        <f t="shared" ref="AC6:AC45" si="5">IF(A6="","",F6)</f>
        <v/>
      </c>
      <c r="AD6" s="105" t="str">
        <f>IF(Z6="","",AX6)</f>
        <v/>
      </c>
      <c r="AE6" s="104"/>
      <c r="AF6" s="97"/>
      <c r="AG6" s="97"/>
      <c r="AH6" s="97"/>
      <c r="AI6" s="104"/>
      <c r="AJ6" s="97"/>
      <c r="AK6" s="104"/>
      <c r="AL6" s="104">
        <f t="shared" ref="AL6:AL45" si="6">IF(AI6&gt;AF6,(AI6-AF6),(AI6-AF6))</f>
        <v>0</v>
      </c>
      <c r="AM6" s="97"/>
      <c r="AN6" s="97">
        <f t="shared" ref="AN6:AN45" si="7">IF(AL6=0,SQRT(SUMSQ(ATAN(AM6/(AL6+0.0001))*(180/PI()))),SQRT(SUMSQ(ATAN(AM6/AL6)*(180/PI()))))</f>
        <v>0</v>
      </c>
      <c r="AO6" s="104">
        <f t="shared" ref="AO6:AO45" si="8">SQRT(SUMSQ(1/(COS(AN6*PI()/180))*AK6))</f>
        <v>0</v>
      </c>
      <c r="AP6" s="397">
        <f t="shared" ref="AP6:AP45" si="9">IF(AE6&gt;AH6,IF(AG6&gt;AJ6,180+AN6,180-AN6),(IF(AG6&gt;AJ6,360-AN6,AN6)))</f>
        <v>0</v>
      </c>
      <c r="AR6" s="104">
        <f>RADIANS(AE6)</f>
        <v>0</v>
      </c>
      <c r="AS6" s="104">
        <f>RADIANS(AG6)</f>
        <v>0</v>
      </c>
      <c r="AT6" s="104">
        <f>RADIANS(AH6)</f>
        <v>0</v>
      </c>
      <c r="AU6" s="104">
        <f>RADIANS(AJ6)</f>
        <v>0</v>
      </c>
      <c r="AV6" s="104">
        <f t="shared" ref="AV6:AV45" si="10">AU6-AS6</f>
        <v>0</v>
      </c>
      <c r="AW6" s="104">
        <f t="shared" ref="AW6:AW45" si="11">AT6-AR6</f>
        <v>0</v>
      </c>
      <c r="AX6" s="97">
        <f t="shared" ref="AX6:AX45" si="12">DEGREES(ACOS(SIN(AR6)*SIN(AT6)+COS(AT6)*COS(AR6)*COS(AV6)))*60</f>
        <v>0</v>
      </c>
    </row>
    <row r="7" spans="1:50" x14ac:dyDescent="0.25">
      <c r="A7" s="51">
        <v>2</v>
      </c>
      <c r="B7" s="49" t="str">
        <f>IF($A7="","",VLOOKUP($A7,'list of waypoints'!$A$2:'list of waypoints'!$F$126,2))</f>
        <v>Haut Fond Prince</v>
      </c>
      <c r="C7" s="96">
        <f>IF($A7="","",VLOOKUP($A7,'list of waypoints'!$A$2:$F$2001,3))</f>
        <v>4806.0069999999996</v>
      </c>
      <c r="D7" s="49" t="str">
        <f>IF($A7="","",VLOOKUP($A7,'list of waypoints'!$A$2:$F$2001,4))</f>
        <v>N</v>
      </c>
      <c r="E7" s="96">
        <f>IF($A7="","",VLOOKUP($A7,'list of waypoints'!$A$2:$F$2001,5))</f>
        <v>6935.21</v>
      </c>
      <c r="F7" s="49" t="str">
        <f>IF($A7="","",VLOOKUP($A7,'list of waypoints'!$A$2:$F$2001,6))</f>
        <v>W</v>
      </c>
      <c r="G7" s="106" t="str">
        <f t="shared" ref="G7:G45" si="13">IF(C6="","",AP6)</f>
        <v/>
      </c>
      <c r="H7" s="107" t="str">
        <f t="shared" ref="H7:H45" si="14">IF(C6="","",AO6)</f>
        <v/>
      </c>
      <c r="I7" s="49"/>
      <c r="J7" s="116"/>
      <c r="K7" s="116"/>
      <c r="L7" s="116"/>
      <c r="M7" s="107">
        <f>M5-H6</f>
        <v>109.42626634926961</v>
      </c>
      <c r="N7" s="107">
        <f>H6</f>
        <v>14.998852472392253</v>
      </c>
      <c r="O7" s="95">
        <f t="shared" ref="O7:O45" si="15">T7+U7+V7</f>
        <v>0</v>
      </c>
      <c r="P7" s="49"/>
      <c r="Q7" s="49"/>
      <c r="R7" s="49"/>
      <c r="S7" s="49"/>
      <c r="T7" s="49"/>
      <c r="U7" s="49"/>
      <c r="V7" s="49"/>
      <c r="X7" s="99">
        <f t="shared" si="0"/>
        <v>48</v>
      </c>
      <c r="Y7" s="100">
        <f t="shared" si="1"/>
        <v>6.0069999999996071</v>
      </c>
      <c r="Z7" s="99" t="str">
        <f t="shared" si="2"/>
        <v>N</v>
      </c>
      <c r="AA7" s="101">
        <f t="shared" si="3"/>
        <v>69</v>
      </c>
      <c r="AB7" s="100">
        <f t="shared" si="4"/>
        <v>35.210000000000719</v>
      </c>
      <c r="AC7" s="100" t="str">
        <f t="shared" si="5"/>
        <v>W</v>
      </c>
      <c r="AD7" s="105">
        <f>IF(Z7="","",AX7)</f>
        <v>23.433703547035229</v>
      </c>
      <c r="AE7" s="104">
        <f t="shared" ref="AE7" si="16">IF(Z7="N",X7+(Y7/60),-(X7+(Y7/60)))</f>
        <v>48.100116666666658</v>
      </c>
      <c r="AF7" s="97">
        <f t="shared" ref="AF7" si="17">(7915.704468*LOG10(TAN(((45+AE7/2))*PI()/180)))-(23.268932*(SIN(AE7*PI()/180)))-(0.0525*(SIN(AE7*PI()/180)))</f>
        <v>3283.1562262638799</v>
      </c>
      <c r="AG7" s="97">
        <f t="shared" ref="AG7" si="18">IF(AC7="E",AA7+(AB7/60),-(AA7+(AB7/60)))</f>
        <v>-69.586833333333345</v>
      </c>
      <c r="AH7" s="97">
        <f t="shared" ref="AH7" si="19">IF(Z9="N",X9+(Y9/60),-(X9+(Y9/60)))</f>
        <v>47.76005</v>
      </c>
      <c r="AI7" s="104">
        <f t="shared" ref="AI7" si="20">(7915.704468*LOG10(TAN(((45+(AH7/2))*PI()/180)))-(23.268932*(SIN(AH7*PI()/180)))-(0.0525*(SIN(AH7*PI()/180))))</f>
        <v>3252.7967658000634</v>
      </c>
      <c r="AJ7" s="104">
        <f t="shared" ref="AJ7" si="21">IF(AC9="E",AA9+(AB9/60),-(AA9+(AB9/60)))</f>
        <v>-69.873500000000007</v>
      </c>
      <c r="AK7" s="104">
        <f t="shared" ref="AK7" si="22">IF((AH7-AE7)=0,(AH7-AE7)*60+0.001,(AH7-AE7)*60)</f>
        <v>-20.403999999999485</v>
      </c>
      <c r="AL7" s="104">
        <f t="shared" si="6"/>
        <v>-30.359460463816504</v>
      </c>
      <c r="AM7" s="97">
        <f t="shared" ref="AM7" si="23">(AJ7-AG7)*60</f>
        <v>-17.199999999999704</v>
      </c>
      <c r="AN7" s="97">
        <f t="shared" si="7"/>
        <v>29.533504620376849</v>
      </c>
      <c r="AO7" s="104">
        <f t="shared" si="8"/>
        <v>23.451051534560722</v>
      </c>
      <c r="AP7" s="397">
        <f t="shared" si="9"/>
        <v>209.53350462037685</v>
      </c>
      <c r="AR7" s="104">
        <f>RADIANS(AE7)</f>
        <v>0.83950540642673299</v>
      </c>
      <c r="AS7" s="104">
        <f>RADIANS(AG7)</f>
        <v>-1.2145193577032076</v>
      </c>
      <c r="AT7" s="104">
        <f>RADIANS(AH7)</f>
        <v>0.83357012341711778</v>
      </c>
      <c r="AU7" s="104">
        <f>RADIANS(AJ7)</f>
        <v>-1.2195226348922579</v>
      </c>
      <c r="AV7" s="104">
        <f t="shared" si="10"/>
        <v>-5.0032771890502481E-3</v>
      </c>
      <c r="AW7" s="104">
        <f t="shared" si="11"/>
        <v>-5.9352830096152109E-3</v>
      </c>
      <c r="AX7" s="97">
        <f t="shared" si="12"/>
        <v>23.433703547035229</v>
      </c>
    </row>
    <row r="8" spans="1:50" x14ac:dyDescent="0.25">
      <c r="A8" s="51"/>
      <c r="B8" s="49" t="str">
        <f>IF($A8="","",VLOOKUP($A8,'list of waypoints'!$A$2:'list of waypoints'!$F$126,2))</f>
        <v/>
      </c>
      <c r="C8" s="96" t="str">
        <f>IF($A8="","",VLOOKUP($A8,'list of waypoints'!$A$2:$F$2001,3))</f>
        <v/>
      </c>
      <c r="D8" s="49" t="str">
        <f>IF($A8="","",VLOOKUP($A8,'list of waypoints'!$A$2:$F$2001,4))</f>
        <v/>
      </c>
      <c r="E8" s="96" t="str">
        <f>IF($A8="","",VLOOKUP($A8,'list of waypoints'!$A$2:$F$2001,5))</f>
        <v/>
      </c>
      <c r="F8" s="49" t="str">
        <f>IF($A8="","",VLOOKUP($A8,'list of waypoints'!$A$2:$F$2001,6))</f>
        <v/>
      </c>
      <c r="G8" s="106">
        <f t="shared" si="13"/>
        <v>209.53350462037685</v>
      </c>
      <c r="H8" s="107">
        <f t="shared" si="14"/>
        <v>23.451051534560722</v>
      </c>
      <c r="I8" s="49">
        <v>12</v>
      </c>
      <c r="J8" s="116"/>
      <c r="K8" s="116"/>
      <c r="L8" s="116"/>
      <c r="M8" s="107"/>
      <c r="N8" s="49"/>
      <c r="O8" s="95">
        <f t="shared" si="15"/>
        <v>0</v>
      </c>
      <c r="P8" s="49"/>
      <c r="Q8" s="49">
        <f>O8-P8-'cover page'!L6</f>
        <v>0</v>
      </c>
      <c r="R8" s="49"/>
      <c r="S8" s="49"/>
      <c r="T8" s="49"/>
      <c r="U8" s="49"/>
      <c r="V8" s="49"/>
      <c r="X8" s="99" t="str">
        <f t="shared" si="0"/>
        <v/>
      </c>
      <c r="Y8" s="100" t="str">
        <f t="shared" si="1"/>
        <v/>
      </c>
      <c r="Z8" s="99" t="str">
        <f t="shared" si="2"/>
        <v/>
      </c>
      <c r="AA8" s="101" t="str">
        <f t="shared" si="3"/>
        <v/>
      </c>
      <c r="AB8" s="100" t="str">
        <f t="shared" si="4"/>
        <v/>
      </c>
      <c r="AC8" s="100" t="str">
        <f t="shared" si="5"/>
        <v/>
      </c>
      <c r="AD8" s="105" t="str">
        <f>IF(Z8="","",AX8)</f>
        <v/>
      </c>
      <c r="AE8" s="104"/>
      <c r="AF8" s="97"/>
      <c r="AG8" s="97"/>
      <c r="AH8" s="97"/>
      <c r="AI8" s="104"/>
      <c r="AJ8" s="97"/>
      <c r="AK8" s="104"/>
      <c r="AL8" s="104">
        <f t="shared" si="6"/>
        <v>0</v>
      </c>
      <c r="AM8" s="97"/>
      <c r="AN8" s="97">
        <f t="shared" si="7"/>
        <v>0</v>
      </c>
      <c r="AO8" s="104">
        <f t="shared" si="8"/>
        <v>0</v>
      </c>
      <c r="AP8" s="397">
        <f t="shared" si="9"/>
        <v>0</v>
      </c>
      <c r="AR8" s="104">
        <f>RADIANS(AE8)</f>
        <v>0</v>
      </c>
      <c r="AS8" s="104">
        <f>RADIANS(AG8)</f>
        <v>0</v>
      </c>
      <c r="AT8" s="104">
        <f>RADIANS(AH8)</f>
        <v>0</v>
      </c>
      <c r="AU8" s="104">
        <f>RADIANS(AJ8)</f>
        <v>0</v>
      </c>
      <c r="AV8" s="104">
        <f t="shared" si="10"/>
        <v>0</v>
      </c>
      <c r="AW8" s="104">
        <f t="shared" si="11"/>
        <v>0</v>
      </c>
      <c r="AX8" s="97">
        <f t="shared" si="12"/>
        <v>0</v>
      </c>
    </row>
    <row r="9" spans="1:50" x14ac:dyDescent="0.25">
      <c r="A9" s="51">
        <v>3</v>
      </c>
      <c r="B9" s="49" t="str">
        <f>IF($A9="","",VLOOKUP($A9,'list of waypoints'!$A$2:'list of waypoints'!$F$126,2))</f>
        <v>Cap au Saumon</v>
      </c>
      <c r="C9" s="96">
        <f>IF($A9="","",VLOOKUP($A9,'list of waypoints'!$A$2:$F$2001,3))</f>
        <v>4745.6030000000001</v>
      </c>
      <c r="D9" s="49" t="str">
        <f>IF($A9="","",VLOOKUP($A9,'list of waypoints'!$A$2:$F$2001,4))</f>
        <v>N</v>
      </c>
      <c r="E9" s="96">
        <f>IF($A9="","",VLOOKUP($A9,'list of waypoints'!$A$2:$F$2001,5))</f>
        <v>6952.41</v>
      </c>
      <c r="F9" s="49" t="str">
        <f>IF($A9="","",VLOOKUP($A9,'list of waypoints'!$A$2:$F$2001,6))</f>
        <v>W</v>
      </c>
      <c r="G9" s="106" t="str">
        <f t="shared" si="13"/>
        <v/>
      </c>
      <c r="H9" s="107" t="str">
        <f t="shared" si="14"/>
        <v/>
      </c>
      <c r="I9" s="49"/>
      <c r="J9" s="116"/>
      <c r="K9" s="116"/>
      <c r="L9" s="116"/>
      <c r="M9" s="107">
        <f t="shared" ref="M9" si="24">M7-H8</f>
        <v>85.975214814708892</v>
      </c>
      <c r="N9" s="107">
        <f>N7+H8</f>
        <v>38.449904006952977</v>
      </c>
      <c r="O9" s="95">
        <f t="shared" si="15"/>
        <v>0</v>
      </c>
      <c r="P9" s="49"/>
      <c r="Q9" s="49"/>
      <c r="R9" s="49"/>
      <c r="S9" s="49"/>
      <c r="T9" s="49"/>
      <c r="U9" s="49"/>
      <c r="V9" s="49"/>
      <c r="X9" s="99">
        <f t="shared" si="0"/>
        <v>47</v>
      </c>
      <c r="Y9" s="100">
        <f t="shared" si="1"/>
        <v>45.602999999999838</v>
      </c>
      <c r="Z9" s="99" t="str">
        <f t="shared" si="2"/>
        <v>N</v>
      </c>
      <c r="AA9" s="101">
        <f t="shared" si="3"/>
        <v>69</v>
      </c>
      <c r="AB9" s="100">
        <f t="shared" si="4"/>
        <v>52.410000000000423</v>
      </c>
      <c r="AC9" s="100" t="str">
        <f t="shared" si="5"/>
        <v>W</v>
      </c>
      <c r="AD9" s="105">
        <f>IF(Z9="","",AX9)</f>
        <v>5.5545565575791844</v>
      </c>
      <c r="AE9" s="104">
        <f t="shared" ref="AE9" si="25">IF(Z9="N",X9+(Y9/60),-(X9+(Y9/60)))</f>
        <v>47.76005</v>
      </c>
      <c r="AF9" s="97">
        <f t="shared" ref="AF9" si="26">(7915.704468*LOG10(TAN(((45+AE9/2))*PI()/180)))-(23.268932*(SIN(AE9*PI()/180)))-(0.0525*(SIN(AE9*PI()/180)))</f>
        <v>3252.7967658000634</v>
      </c>
      <c r="AG9" s="97">
        <f t="shared" ref="AG9" si="27">IF(AC9="E",AA9+(AB9/60),-(AA9+(AB9/60)))</f>
        <v>-69.873500000000007</v>
      </c>
      <c r="AH9" s="97">
        <f t="shared" ref="AH9" si="28">IF(Z11="N",X11+(Y11/60),-(X11+(Y11/60)))</f>
        <v>47.692833333333326</v>
      </c>
      <c r="AI9" s="104">
        <f t="shared" ref="AI9" si="29">(7915.704468*LOG10(TAN(((45+(AH9/2))*PI()/180)))-(23.268932*(SIN(AH9*PI()/180)))-(0.0525*(SIN(AH9*PI()/180))))</f>
        <v>3246.8196680604628</v>
      </c>
      <c r="AJ9" s="104">
        <f t="shared" ref="AJ9" si="30">IF(AC11="E",AA11+(AB11/60),-(AA11+(AB11/60)))</f>
        <v>-69.968133333333327</v>
      </c>
      <c r="AK9" s="104">
        <f t="shared" ref="AK9" si="31">IF((AH9-AE9)=0,(AH9-AE9)*60+0.001,(AH9-AE9)*60)</f>
        <v>-4.0330000000004418</v>
      </c>
      <c r="AL9" s="104">
        <f t="shared" si="6"/>
        <v>-5.9770977396005947</v>
      </c>
      <c r="AM9" s="97">
        <f t="shared" ref="AM9" si="32">(AJ9-AG9)*60</f>
        <v>-5.6779999999992015</v>
      </c>
      <c r="AN9" s="97">
        <f t="shared" si="7"/>
        <v>43.529975629974338</v>
      </c>
      <c r="AO9" s="104">
        <f t="shared" si="8"/>
        <v>5.5626501073720558</v>
      </c>
      <c r="AP9" s="397">
        <f t="shared" si="9"/>
        <v>223.52997562997433</v>
      </c>
      <c r="AR9" s="104">
        <f>RADIANS(AE9)</f>
        <v>0.83357012341711778</v>
      </c>
      <c r="AS9" s="104">
        <f>RADIANS(AG9)</f>
        <v>-1.2195226348922579</v>
      </c>
      <c r="AT9" s="104">
        <f>RADIANS(AH9)</f>
        <v>0.83239697127156875</v>
      </c>
      <c r="AU9" s="104">
        <f>RADIANS(AJ9)</f>
        <v>-1.2211742981410618</v>
      </c>
      <c r="AV9" s="104">
        <f t="shared" si="10"/>
        <v>-1.6516632488039473E-3</v>
      </c>
      <c r="AW9" s="104">
        <f t="shared" si="11"/>
        <v>-1.1731521455490279E-3</v>
      </c>
      <c r="AX9" s="97">
        <f t="shared" si="12"/>
        <v>5.5545565575791844</v>
      </c>
    </row>
    <row r="10" spans="1:50" x14ac:dyDescent="0.25">
      <c r="A10" s="51"/>
      <c r="B10" s="49" t="str">
        <f>IF($A10="","",VLOOKUP($A10,'list of waypoints'!$A$2:'list of waypoints'!$F$126,2))</f>
        <v/>
      </c>
      <c r="C10" s="96" t="str">
        <f>IF($A10="","",VLOOKUP($A10,'list of waypoints'!$A$2:$F$2001,3))</f>
        <v/>
      </c>
      <c r="D10" s="49" t="str">
        <f>IF($A10="","",VLOOKUP($A10,'list of waypoints'!$A$2:$F$2001,4))</f>
        <v/>
      </c>
      <c r="E10" s="96" t="str">
        <f>IF($A10="","",VLOOKUP($A10,'list of waypoints'!$A$2:$F$2001,5))</f>
        <v/>
      </c>
      <c r="F10" s="49" t="str">
        <f>IF($A10="","",VLOOKUP($A10,'list of waypoints'!$A$2:$F$2001,6))</f>
        <v/>
      </c>
      <c r="G10" s="106">
        <f>IF(C9="","",AP9)</f>
        <v>223.52997562997433</v>
      </c>
      <c r="H10" s="107">
        <f t="shared" si="14"/>
        <v>5.5626501073720558</v>
      </c>
      <c r="I10" s="49"/>
      <c r="J10" s="116"/>
      <c r="K10" s="116"/>
      <c r="L10" s="116"/>
      <c r="M10" s="107"/>
      <c r="N10" s="107" t="str">
        <f t="shared" ref="N10:N44" si="33">H9</f>
        <v/>
      </c>
      <c r="O10" s="95">
        <f t="shared" si="15"/>
        <v>0</v>
      </c>
      <c r="P10" s="49"/>
      <c r="Q10" s="49">
        <f>O10-P10-'cover page'!L8</f>
        <v>0</v>
      </c>
      <c r="R10" s="49"/>
      <c r="S10" s="49"/>
      <c r="T10" s="49"/>
      <c r="U10" s="49"/>
      <c r="V10" s="49"/>
      <c r="X10" s="99" t="str">
        <f t="shared" si="0"/>
        <v/>
      </c>
      <c r="Y10" s="100" t="str">
        <f t="shared" si="1"/>
        <v/>
      </c>
      <c r="Z10" s="99" t="str">
        <f t="shared" si="2"/>
        <v/>
      </c>
      <c r="AA10" s="101" t="str">
        <f t="shared" si="3"/>
        <v/>
      </c>
      <c r="AB10" s="100" t="str">
        <f t="shared" si="4"/>
        <v/>
      </c>
      <c r="AC10" s="100" t="str">
        <f t="shared" si="5"/>
        <v/>
      </c>
      <c r="AD10" s="105" t="str">
        <f>IF(Z10="","",AX10)</f>
        <v/>
      </c>
      <c r="AE10" s="104"/>
      <c r="AF10" s="97"/>
      <c r="AG10" s="97"/>
      <c r="AH10" s="97"/>
      <c r="AI10" s="104"/>
      <c r="AJ10" s="97"/>
      <c r="AK10" s="104"/>
      <c r="AL10" s="104">
        <f t="shared" si="6"/>
        <v>0</v>
      </c>
      <c r="AM10" s="97"/>
      <c r="AN10" s="97">
        <f t="shared" si="7"/>
        <v>0</v>
      </c>
      <c r="AO10" s="104">
        <f t="shared" si="8"/>
        <v>0</v>
      </c>
      <c r="AP10" s="397">
        <f t="shared" si="9"/>
        <v>0</v>
      </c>
      <c r="AR10" s="104">
        <f>RADIANS(AE10)</f>
        <v>0</v>
      </c>
      <c r="AS10" s="104">
        <f>RADIANS(AG10)</f>
        <v>0</v>
      </c>
      <c r="AT10" s="104">
        <f>RADIANS(AH10)</f>
        <v>0</v>
      </c>
      <c r="AU10" s="104">
        <f>RADIANS(AJ10)</f>
        <v>0</v>
      </c>
      <c r="AV10" s="104">
        <f t="shared" si="10"/>
        <v>0</v>
      </c>
      <c r="AW10" s="104">
        <f t="shared" si="11"/>
        <v>0</v>
      </c>
      <c r="AX10" s="97">
        <f t="shared" si="12"/>
        <v>0</v>
      </c>
    </row>
    <row r="11" spans="1:50" x14ac:dyDescent="0.25">
      <c r="A11" s="51">
        <v>4</v>
      </c>
      <c r="B11" s="49" t="str">
        <f>IF($A11="","",VLOOKUP($A11,'list of waypoints'!$A$2:'list of waypoints'!$F$126,2))</f>
        <v>Gros Cap A l'Aigle</v>
      </c>
      <c r="C11" s="96">
        <f>IF($A11="","",VLOOKUP($A11,'list of waypoints'!$A$2:$F$2001,3))</f>
        <v>4741.57</v>
      </c>
      <c r="D11" s="49" t="str">
        <f>IF($A11="","",VLOOKUP($A11,'list of waypoints'!$A$2:$F$2001,4))</f>
        <v>N</v>
      </c>
      <c r="E11" s="96">
        <f>IF($A11="","",VLOOKUP($A11,'list of waypoints'!$A$2:$F$2001,5))</f>
        <v>6958.0879999999997</v>
      </c>
      <c r="F11" s="49" t="str">
        <f>IF($A11="","",VLOOKUP($A11,'list of waypoints'!$A$2:$F$2001,6))</f>
        <v>W</v>
      </c>
      <c r="G11" s="106" t="str">
        <f t="shared" si="13"/>
        <v/>
      </c>
      <c r="H11" s="107" t="str">
        <f t="shared" si="14"/>
        <v/>
      </c>
      <c r="I11" s="49"/>
      <c r="J11" s="116"/>
      <c r="K11" s="116"/>
      <c r="L11" s="116"/>
      <c r="M11" s="107">
        <f t="shared" ref="M11" si="34">M9-H10</f>
        <v>80.412564707336841</v>
      </c>
      <c r="N11" s="107">
        <f t="shared" ref="N11" si="35">N9+H10</f>
        <v>44.012554114325035</v>
      </c>
      <c r="O11" s="95">
        <f t="shared" si="15"/>
        <v>0</v>
      </c>
      <c r="P11" s="49"/>
      <c r="Q11" s="49"/>
      <c r="R11" s="49"/>
      <c r="S11" s="49"/>
      <c r="T11" s="49"/>
      <c r="U11" s="49"/>
      <c r="V11" s="49"/>
      <c r="X11" s="99">
        <f t="shared" si="0"/>
        <v>47</v>
      </c>
      <c r="Y11" s="100">
        <f t="shared" si="1"/>
        <v>41.569999999999396</v>
      </c>
      <c r="Z11" s="99" t="str">
        <f t="shared" si="2"/>
        <v>N</v>
      </c>
      <c r="AA11" s="101">
        <f t="shared" si="3"/>
        <v>69</v>
      </c>
      <c r="AB11" s="100">
        <f t="shared" si="4"/>
        <v>58.08799999999934</v>
      </c>
      <c r="AC11" s="100" t="str">
        <f t="shared" si="5"/>
        <v>W</v>
      </c>
      <c r="AD11" s="105">
        <f>IF(Z11="","",AX11)</f>
        <v>7.6329564922759916</v>
      </c>
      <c r="AE11" s="104">
        <f t="shared" ref="AE11" si="36">IF(Z11="N",X11+(Y11/60),-(X11+(Y11/60)))</f>
        <v>47.692833333333326</v>
      </c>
      <c r="AF11" s="97">
        <f t="shared" ref="AF11" si="37">(7915.704468*LOG10(TAN(((45+AE11/2))*PI()/180)))-(23.268932*(SIN(AE11*PI()/180)))-(0.0525*(SIN(AE11*PI()/180)))</f>
        <v>3246.8196680604628</v>
      </c>
      <c r="AG11" s="97">
        <f t="shared" ref="AG11" si="38">IF(AC11="E",AA11+(AB11/60),-(AA11+(AB11/60)))</f>
        <v>-69.968133333333327</v>
      </c>
      <c r="AH11" s="97">
        <f t="shared" ref="AH11" si="39">IF(Z13="N",X13+(Y13/60),-(X13+(Y13/60)))</f>
        <v>47.614450000000005</v>
      </c>
      <c r="AI11" s="104">
        <f t="shared" ref="AI11" si="40">(7915.704468*LOG10(TAN(((45+(AH11/2))*PI()/180)))-(23.268932*(SIN(AH11*PI()/180)))-(0.0525*(SIN(AH11*PI()/180))))</f>
        <v>3239.8593805158903</v>
      </c>
      <c r="AJ11" s="104">
        <f t="shared" ref="AJ11" si="41">IF(AC13="E",AA13+(AB13/60),-(AA13+(AB13/60)))</f>
        <v>-70.116883333333348</v>
      </c>
      <c r="AK11" s="104">
        <f t="shared" ref="AK11" si="42">IF((AH11-AE11)=0,(AH11-AE11)*60+0.001,(AH11-AE11)*60)</f>
        <v>-4.7029999999992356</v>
      </c>
      <c r="AL11" s="104">
        <f t="shared" si="6"/>
        <v>-6.9602875445725658</v>
      </c>
      <c r="AM11" s="97">
        <f t="shared" ref="AM11" si="43">(AJ11-AG11)*60</f>
        <v>-8.9250000000012619</v>
      </c>
      <c r="AN11" s="97">
        <f t="shared" si="7"/>
        <v>52.050608783582895</v>
      </c>
      <c r="AO11" s="104">
        <f t="shared" si="8"/>
        <v>7.6475872963407978</v>
      </c>
      <c r="AP11" s="397">
        <f t="shared" si="9"/>
        <v>232.0506087835829</v>
      </c>
      <c r="AR11" s="104">
        <f>RADIANS(AE11)</f>
        <v>0.83239697127156875</v>
      </c>
      <c r="AS11" s="104">
        <f>RADIANS(AG11)</f>
        <v>-1.2211742981410618</v>
      </c>
      <c r="AT11" s="104">
        <f>RADIANS(AH11)</f>
        <v>0.83102892402621409</v>
      </c>
      <c r="AU11" s="104">
        <f>RADIANS(AJ11)</f>
        <v>-1.2237704754034036</v>
      </c>
      <c r="AV11" s="104">
        <f t="shared" si="10"/>
        <v>-2.5961772623417367E-3</v>
      </c>
      <c r="AW11" s="104">
        <f t="shared" si="11"/>
        <v>-1.3680472453546644E-3</v>
      </c>
      <c r="AX11" s="97">
        <f t="shared" si="12"/>
        <v>7.6329564922759916</v>
      </c>
    </row>
    <row r="12" spans="1:50" x14ac:dyDescent="0.25">
      <c r="A12" s="51"/>
      <c r="B12" s="49" t="str">
        <f>IF($A12="","",VLOOKUP($A12,'list of waypoints'!$A$2:'list of waypoints'!$F$126,2))</f>
        <v/>
      </c>
      <c r="C12" s="96" t="str">
        <f>IF($A12="","",VLOOKUP($A12,'list of waypoints'!$A$2:$F$2001,3))</f>
        <v/>
      </c>
      <c r="D12" s="49" t="str">
        <f>IF($A12="","",VLOOKUP($A12,'list of waypoints'!$A$2:$F$2001,4))</f>
        <v/>
      </c>
      <c r="E12" s="96" t="str">
        <f>IF($A12="","",VLOOKUP($A12,'list of waypoints'!$A$2:$F$2001,5))</f>
        <v/>
      </c>
      <c r="F12" s="49" t="str">
        <f>IF($A12="","",VLOOKUP($A12,'list of waypoints'!$A$2:$F$2001,6))</f>
        <v/>
      </c>
      <c r="G12" s="106">
        <f t="shared" si="13"/>
        <v>232.0506087835829</v>
      </c>
      <c r="H12" s="107">
        <f t="shared" si="14"/>
        <v>7.6475872963407978</v>
      </c>
      <c r="I12" s="49"/>
      <c r="J12" s="116"/>
      <c r="K12" s="116"/>
      <c r="L12" s="116"/>
      <c r="M12" s="107"/>
      <c r="N12" s="107" t="str">
        <f t="shared" si="33"/>
        <v/>
      </c>
      <c r="O12" s="95">
        <f t="shared" si="15"/>
        <v>0</v>
      </c>
      <c r="P12" s="49"/>
      <c r="Q12" s="49">
        <f>O12-P12-'cover page'!L10</f>
        <v>0</v>
      </c>
      <c r="R12" s="49"/>
      <c r="S12" s="49"/>
      <c r="T12" s="49"/>
      <c r="U12" s="49"/>
      <c r="V12" s="49"/>
      <c r="X12" s="99" t="str">
        <f t="shared" si="0"/>
        <v/>
      </c>
      <c r="Y12" s="100" t="str">
        <f t="shared" si="1"/>
        <v/>
      </c>
      <c r="Z12" s="99" t="str">
        <f t="shared" si="2"/>
        <v/>
      </c>
      <c r="AA12" s="101" t="str">
        <f t="shared" si="3"/>
        <v/>
      </c>
      <c r="AB12" s="100" t="str">
        <f t="shared" si="4"/>
        <v/>
      </c>
      <c r="AC12" s="100" t="str">
        <f t="shared" si="5"/>
        <v/>
      </c>
      <c r="AD12" s="105" t="str">
        <f>IF(Z12="","",AX12)</f>
        <v/>
      </c>
      <c r="AE12" s="104"/>
      <c r="AF12" s="97"/>
      <c r="AG12" s="97"/>
      <c r="AH12" s="97"/>
      <c r="AI12" s="104"/>
      <c r="AJ12" s="97"/>
      <c r="AK12" s="104"/>
      <c r="AL12" s="104">
        <f t="shared" si="6"/>
        <v>0</v>
      </c>
      <c r="AM12" s="97"/>
      <c r="AN12" s="97">
        <f t="shared" si="7"/>
        <v>0</v>
      </c>
      <c r="AO12" s="104">
        <f t="shared" si="8"/>
        <v>0</v>
      </c>
      <c r="AP12" s="397">
        <f t="shared" si="9"/>
        <v>0</v>
      </c>
      <c r="AR12" s="104">
        <f>RADIANS(AE12)</f>
        <v>0</v>
      </c>
      <c r="AS12" s="104">
        <f>RADIANS(AG12)</f>
        <v>0</v>
      </c>
      <c r="AT12" s="104">
        <f>RADIANS(AH12)</f>
        <v>0</v>
      </c>
      <c r="AU12" s="104">
        <f>RADIANS(AJ12)</f>
        <v>0</v>
      </c>
      <c r="AV12" s="104">
        <f t="shared" si="10"/>
        <v>0</v>
      </c>
      <c r="AW12" s="104">
        <f t="shared" si="11"/>
        <v>0</v>
      </c>
      <c r="AX12" s="97">
        <f t="shared" si="12"/>
        <v>0</v>
      </c>
    </row>
    <row r="13" spans="1:50" x14ac:dyDescent="0.25">
      <c r="A13" s="51">
        <v>5</v>
      </c>
      <c r="B13" s="49" t="str">
        <f>IF($A13="","",VLOOKUP($A13,'list of waypoints'!$A$2:'list of waypoints'!$F$126,2))</f>
        <v>Pointe au Pic</v>
      </c>
      <c r="C13" s="96">
        <f>IF($A13="","",VLOOKUP($A13,'list of waypoints'!$A$2:$F$2001,3))</f>
        <v>4736.8670000000002</v>
      </c>
      <c r="D13" s="49" t="str">
        <f>IF($A13="","",VLOOKUP($A13,'list of waypoints'!$A$2:$F$2001,4))</f>
        <v>N</v>
      </c>
      <c r="E13" s="96">
        <f>IF($A13="","",VLOOKUP($A13,'list of waypoints'!$A$2:$F$2001,5))</f>
        <v>7007.0129999999999</v>
      </c>
      <c r="F13" s="49" t="str">
        <f>IF($A13="","",VLOOKUP($A13,'list of waypoints'!$A$2:$F$2001,6))</f>
        <v>W</v>
      </c>
      <c r="G13" s="106" t="str">
        <f t="shared" si="13"/>
        <v/>
      </c>
      <c r="H13" s="107" t="str">
        <f t="shared" si="14"/>
        <v/>
      </c>
      <c r="I13" s="49"/>
      <c r="J13" s="116"/>
      <c r="K13" s="116"/>
      <c r="L13" s="116"/>
      <c r="M13" s="107">
        <f t="shared" ref="M13" si="44">M11-H12</f>
        <v>72.764977410996039</v>
      </c>
      <c r="N13" s="107">
        <f t="shared" ref="N13" si="45">N11+H12</f>
        <v>51.66014141066583</v>
      </c>
      <c r="O13" s="95">
        <f t="shared" si="15"/>
        <v>0</v>
      </c>
      <c r="P13" s="49"/>
      <c r="Q13" s="49"/>
      <c r="R13" s="49"/>
      <c r="S13" s="49"/>
      <c r="T13" s="49"/>
      <c r="U13" s="49"/>
      <c r="V13" s="49"/>
      <c r="X13" s="99">
        <f t="shared" si="0"/>
        <v>47</v>
      </c>
      <c r="Y13" s="100">
        <f t="shared" si="1"/>
        <v>36.867000000000161</v>
      </c>
      <c r="Z13" s="99" t="str">
        <f t="shared" si="2"/>
        <v>N</v>
      </c>
      <c r="AA13" s="101">
        <f t="shared" si="3"/>
        <v>70</v>
      </c>
      <c r="AB13" s="100">
        <f t="shared" si="4"/>
        <v>7.0130000000006021</v>
      </c>
      <c r="AC13" s="100" t="str">
        <f t="shared" si="5"/>
        <v>W</v>
      </c>
      <c r="AD13" s="105">
        <f>IF(Z13="","",AX13)</f>
        <v>9.6691901321148599</v>
      </c>
      <c r="AE13" s="104">
        <f t="shared" ref="AE13" si="46">IF(Z13="N",X13+(Y13/60),-(X13+(Y13/60)))</f>
        <v>47.614450000000005</v>
      </c>
      <c r="AF13" s="97">
        <f t="shared" ref="AF13" si="47">(7915.704468*LOG10(TAN(((45+AE13/2))*PI()/180)))-(23.268932*(SIN(AE13*PI()/180)))-(0.0525*(SIN(AE13*PI()/180)))</f>
        <v>3239.8593805158903</v>
      </c>
      <c r="AG13" s="97">
        <f t="shared" ref="AG13" si="48">IF(AC13="E",AA13+(AB13/60),-(AA13+(AB13/60)))</f>
        <v>-70.116883333333348</v>
      </c>
      <c r="AH13" s="97">
        <f t="shared" ref="AH13" si="49">IF(Z15="N",X15+(Y15/60),-(X15+(Y15/60)))</f>
        <v>47.471283333333332</v>
      </c>
      <c r="AI13" s="104">
        <f t="shared" ref="AI13" si="50">(7915.704468*LOG10(TAN(((45+(AH13/2))*PI()/180)))-(23.268932*(SIN(AH13*PI()/180)))-(0.0525*(SIN(AH13*PI()/180))))</f>
        <v>3227.1735047024472</v>
      </c>
      <c r="AJ13" s="104">
        <f t="shared" ref="AJ13" si="51">IF(AC15="E",AA15+(AB15/60),-(AA15+(AB15/60)))</f>
        <v>-70.226483333333334</v>
      </c>
      <c r="AK13" s="104">
        <f t="shared" ref="AK13" si="52">IF((AH13-AE13)=0,(AH13-AE13)*60+0.001,(AH13-AE13)*60)</f>
        <v>-8.5900000000003729</v>
      </c>
      <c r="AL13" s="104">
        <f t="shared" si="6"/>
        <v>-12.68587581344309</v>
      </c>
      <c r="AM13" s="97">
        <f t="shared" ref="AM13" si="53">(AJ13-AG13)*60</f>
        <v>-6.5759999999991692</v>
      </c>
      <c r="AN13" s="97">
        <f t="shared" si="7"/>
        <v>27.400948929776522</v>
      </c>
      <c r="AO13" s="104">
        <f t="shared" si="8"/>
        <v>9.6755180073542739</v>
      </c>
      <c r="AP13" s="397">
        <f t="shared" si="9"/>
        <v>207.40094892977652</v>
      </c>
      <c r="AR13" s="104">
        <f>RADIANS(AE13)</f>
        <v>0.83102892402621409</v>
      </c>
      <c r="AS13" s="104">
        <f>RADIANS(AG13)</f>
        <v>-1.2237704754034036</v>
      </c>
      <c r="AT13" s="104">
        <f>RADIANS(AH13)</f>
        <v>0.8285301943137755</v>
      </c>
      <c r="AU13" s="104">
        <f>RADIANS(AJ13)</f>
        <v>-1.2256833562635892</v>
      </c>
      <c r="AV13" s="104">
        <f t="shared" si="10"/>
        <v>-1.9128808601855951E-3</v>
      </c>
      <c r="AW13" s="104">
        <f t="shared" si="11"/>
        <v>-2.4987297124385854E-3</v>
      </c>
      <c r="AX13" s="97">
        <f t="shared" si="12"/>
        <v>9.6691901321148599</v>
      </c>
    </row>
    <row r="14" spans="1:50" x14ac:dyDescent="0.25">
      <c r="A14" s="51"/>
      <c r="B14" s="49" t="str">
        <f>IF($A14="","",VLOOKUP($A14,'list of waypoints'!$A$2:'list of waypoints'!$F$126,2))</f>
        <v/>
      </c>
      <c r="C14" s="96" t="str">
        <f>IF($A14="","",VLOOKUP($A14,'list of waypoints'!$A$2:$F$2001,3))</f>
        <v/>
      </c>
      <c r="D14" s="49" t="str">
        <f>IF($A14="","",VLOOKUP($A14,'list of waypoints'!$A$2:$F$2001,4))</f>
        <v/>
      </c>
      <c r="E14" s="96" t="str">
        <f>IF($A14="","",VLOOKUP($A14,'list of waypoints'!$A$2:$F$2001,5))</f>
        <v/>
      </c>
      <c r="F14" s="49" t="str">
        <f>IF($A14="","",VLOOKUP($A14,'list of waypoints'!$A$2:$F$2001,6))</f>
        <v/>
      </c>
      <c r="G14" s="106">
        <f t="shared" si="13"/>
        <v>207.40094892977652</v>
      </c>
      <c r="H14" s="107">
        <f t="shared" si="14"/>
        <v>9.6755180073542739</v>
      </c>
      <c r="I14" s="49"/>
      <c r="J14" s="116"/>
      <c r="K14" s="116"/>
      <c r="L14" s="116"/>
      <c r="M14" s="107"/>
      <c r="N14" s="107" t="str">
        <f t="shared" si="33"/>
        <v/>
      </c>
      <c r="O14" s="95">
        <f t="shared" si="15"/>
        <v>0</v>
      </c>
      <c r="P14" s="49"/>
      <c r="Q14" s="49">
        <f>O14-P14-'cover page'!L12</f>
        <v>0</v>
      </c>
      <c r="R14" s="49"/>
      <c r="S14" s="49"/>
      <c r="T14" s="49"/>
      <c r="U14" s="49"/>
      <c r="V14" s="49"/>
      <c r="X14" s="99" t="str">
        <f t="shared" si="0"/>
        <v/>
      </c>
      <c r="Y14" s="100" t="str">
        <f t="shared" si="1"/>
        <v/>
      </c>
      <c r="Z14" s="99" t="str">
        <f t="shared" si="2"/>
        <v/>
      </c>
      <c r="AA14" s="101" t="str">
        <f t="shared" si="3"/>
        <v/>
      </c>
      <c r="AB14" s="100" t="str">
        <f t="shared" si="4"/>
        <v/>
      </c>
      <c r="AC14" s="100" t="str">
        <f t="shared" si="5"/>
        <v/>
      </c>
      <c r="AD14" s="105" t="str">
        <f>IF(Z14="","",AX14)</f>
        <v/>
      </c>
      <c r="AE14" s="104"/>
      <c r="AF14" s="97"/>
      <c r="AG14" s="97"/>
      <c r="AH14" s="97"/>
      <c r="AI14" s="104"/>
      <c r="AJ14" s="97"/>
      <c r="AK14" s="104"/>
      <c r="AL14" s="104">
        <f t="shared" si="6"/>
        <v>0</v>
      </c>
      <c r="AM14" s="97"/>
      <c r="AN14" s="97">
        <f t="shared" si="7"/>
        <v>0</v>
      </c>
      <c r="AO14" s="104">
        <f t="shared" si="8"/>
        <v>0</v>
      </c>
      <c r="AP14" s="397">
        <f t="shared" si="9"/>
        <v>0</v>
      </c>
      <c r="AR14" s="104">
        <f>RADIANS(AE14)</f>
        <v>0</v>
      </c>
      <c r="AS14" s="104">
        <f>RADIANS(AG14)</f>
        <v>0</v>
      </c>
      <c r="AT14" s="104">
        <f>RADIANS(AH14)</f>
        <v>0</v>
      </c>
      <c r="AU14" s="104">
        <f>RADIANS(AJ14)</f>
        <v>0</v>
      </c>
      <c r="AV14" s="104">
        <f t="shared" si="10"/>
        <v>0</v>
      </c>
      <c r="AW14" s="104">
        <f t="shared" si="11"/>
        <v>0</v>
      </c>
      <c r="AX14" s="97">
        <f t="shared" si="12"/>
        <v>0</v>
      </c>
    </row>
    <row r="15" spans="1:50" x14ac:dyDescent="0.25">
      <c r="A15" s="51">
        <v>6</v>
      </c>
      <c r="B15" s="49" t="str">
        <f>IF($A15="","",VLOOKUP($A15,'list of waypoints'!$A$2:'list of waypoints'!$F$126,2))</f>
        <v>Cap aux Oies</v>
      </c>
      <c r="C15" s="96">
        <f>IF($A15="","",VLOOKUP($A15,'list of waypoints'!$A$2:$F$2001,3))</f>
        <v>4728.277</v>
      </c>
      <c r="D15" s="49" t="str">
        <f>IF($A15="","",VLOOKUP($A15,'list of waypoints'!$A$2:$F$2001,4))</f>
        <v>N</v>
      </c>
      <c r="E15" s="96">
        <f>IF($A15="","",VLOOKUP($A15,'list of waypoints'!$A$2:$F$2001,5))</f>
        <v>7013.5889999999999</v>
      </c>
      <c r="F15" s="49" t="str">
        <f>IF($A15="","",VLOOKUP($A15,'list of waypoints'!$A$2:$F$2001,6))</f>
        <v>W</v>
      </c>
      <c r="G15" s="106" t="str">
        <f t="shared" si="13"/>
        <v/>
      </c>
      <c r="H15" s="107" t="str">
        <f t="shared" si="14"/>
        <v/>
      </c>
      <c r="I15" s="49"/>
      <c r="J15" s="116"/>
      <c r="K15" s="116"/>
      <c r="L15" s="116"/>
      <c r="M15" s="107">
        <f t="shared" ref="M15" si="54">M13-H14</f>
        <v>63.089459403641769</v>
      </c>
      <c r="N15" s="107">
        <f t="shared" ref="N15" si="55">N13+H14</f>
        <v>61.3356594180201</v>
      </c>
      <c r="O15" s="95">
        <f t="shared" si="15"/>
        <v>0</v>
      </c>
      <c r="P15" s="49"/>
      <c r="Q15" s="49"/>
      <c r="R15" s="49"/>
      <c r="S15" s="49"/>
      <c r="T15" s="49"/>
      <c r="U15" s="49"/>
      <c r="V15" s="49"/>
      <c r="X15" s="99">
        <f t="shared" si="0"/>
        <v>47</v>
      </c>
      <c r="Y15" s="100">
        <f t="shared" si="1"/>
        <v>28.27699999999993</v>
      </c>
      <c r="Z15" s="99" t="str">
        <f t="shared" si="2"/>
        <v>N</v>
      </c>
      <c r="AA15" s="101">
        <f t="shared" si="3"/>
        <v>70</v>
      </c>
      <c r="AB15" s="100">
        <f t="shared" si="4"/>
        <v>13.58900000000034</v>
      </c>
      <c r="AC15" s="100" t="str">
        <f t="shared" si="5"/>
        <v>W</v>
      </c>
      <c r="AD15" s="105">
        <f>IF(Z15="","",AX15)</f>
        <v>2.7153263505640197</v>
      </c>
      <c r="AE15" s="104">
        <f t="shared" ref="AE15" si="56">IF(Z15="N",X15+(Y15/60),-(X15+(Y15/60)))</f>
        <v>47.471283333333332</v>
      </c>
      <c r="AF15" s="97">
        <f t="shared" ref="AF15" si="57">(7915.704468*LOG10(TAN(((45+AE15/2))*PI()/180)))-(23.268932*(SIN(AE15*PI()/180)))-(0.0525*(SIN(AE15*PI()/180)))</f>
        <v>3227.1735047024472</v>
      </c>
      <c r="AG15" s="97">
        <f t="shared" ref="AG15" si="58">IF(AC15="E",AA15+(AB15/60),-(AA15+(AB15/60)))</f>
        <v>-70.226483333333334</v>
      </c>
      <c r="AH15" s="97">
        <f t="shared" ref="AH15" si="59">IF(Z17="N",X17+(Y17/60),-(X17+(Y17/60)))</f>
        <v>47.449783333333329</v>
      </c>
      <c r="AI15" s="104">
        <f t="shared" ref="AI15" si="60">(7915.704468*LOG10(TAN(((45+(AH15/2))*PI()/180)))-(23.268932*(SIN(AH15*PI()/180)))-(0.0525*(SIN(AH15*PI()/180))))</f>
        <v>3225.2714136811387</v>
      </c>
      <c r="AJ15" s="104">
        <f t="shared" ref="AJ15" si="61">IF(AC17="E",AA17+(AB17/60),-(AA17+(AB17/60)))</f>
        <v>-70.285383333333328</v>
      </c>
      <c r="AK15" s="104">
        <f t="shared" ref="AK15" si="62">IF((AH15-AE15)=0,(AH15-AE15)*60+0.001,(AH15-AE15)*60)</f>
        <v>-1.290000000000191</v>
      </c>
      <c r="AL15" s="104">
        <f t="shared" si="6"/>
        <v>-1.902091021308479</v>
      </c>
      <c r="AM15" s="97">
        <f t="shared" ref="AM15" si="63">(AJ15-AG15)*60</f>
        <v>-3.5339999999996508</v>
      </c>
      <c r="AN15" s="97">
        <f t="shared" si="7"/>
        <v>61.709703021367808</v>
      </c>
      <c r="AO15" s="104">
        <f t="shared" si="8"/>
        <v>2.7218687319694599</v>
      </c>
      <c r="AP15" s="397">
        <f t="shared" si="9"/>
        <v>241.7097030213678</v>
      </c>
      <c r="AR15" s="104">
        <f>RADIANS(AE15)</f>
        <v>0.8285301943137755</v>
      </c>
      <c r="AS15" s="104">
        <f>RADIANS(AG15)</f>
        <v>-1.2256833562635892</v>
      </c>
      <c r="AT15" s="104">
        <f>RADIANS(AH15)</f>
        <v>0.82815494852459659</v>
      </c>
      <c r="AU15" s="104">
        <f>RADIANS(AJ15)</f>
        <v>-1.2267113551930138</v>
      </c>
      <c r="AV15" s="104">
        <f t="shared" si="10"/>
        <v>-1.0279989294246228E-3</v>
      </c>
      <c r="AW15" s="104">
        <f t="shared" si="11"/>
        <v>-3.7524578917891294E-4</v>
      </c>
      <c r="AX15" s="97">
        <f t="shared" si="12"/>
        <v>2.7153263505640197</v>
      </c>
    </row>
    <row r="16" spans="1:50" x14ac:dyDescent="0.25">
      <c r="A16" s="51"/>
      <c r="B16" s="49" t="str">
        <f>IF($A16="","",VLOOKUP($A16,'list of waypoints'!$A$2:'list of waypoints'!$F$126,2))</f>
        <v/>
      </c>
      <c r="C16" s="96" t="str">
        <f>IF($A16="","",VLOOKUP($A16,'list of waypoints'!$A$2:$F$2001,3))</f>
        <v/>
      </c>
      <c r="D16" s="49" t="str">
        <f>IF($A16="","",VLOOKUP($A16,'list of waypoints'!$A$2:$F$2001,4))</f>
        <v/>
      </c>
      <c r="E16" s="96" t="str">
        <f>IF($A16="","",VLOOKUP($A16,'list of waypoints'!$A$2:$F$2001,5))</f>
        <v/>
      </c>
      <c r="F16" s="49" t="str">
        <f>IF($A16="","",VLOOKUP($A16,'list of waypoints'!$A$2:$F$2001,6))</f>
        <v/>
      </c>
      <c r="G16" s="106">
        <f t="shared" si="13"/>
        <v>241.7097030213678</v>
      </c>
      <c r="H16" s="107">
        <f t="shared" si="14"/>
        <v>2.7218687319694599</v>
      </c>
      <c r="I16" s="49"/>
      <c r="J16" s="116"/>
      <c r="K16" s="116"/>
      <c r="L16" s="116"/>
      <c r="M16" s="107"/>
      <c r="N16" s="107" t="str">
        <f t="shared" si="33"/>
        <v/>
      </c>
      <c r="O16" s="95">
        <f t="shared" si="15"/>
        <v>0</v>
      </c>
      <c r="P16" s="49"/>
      <c r="Q16" s="49">
        <f>O16-P16-'cover page'!L14</f>
        <v>0</v>
      </c>
      <c r="R16" s="49"/>
      <c r="S16" s="49"/>
      <c r="T16" s="49"/>
      <c r="U16" s="49"/>
      <c r="V16" s="49"/>
      <c r="X16" s="99" t="str">
        <f t="shared" si="0"/>
        <v/>
      </c>
      <c r="Y16" s="100" t="str">
        <f t="shared" si="1"/>
        <v/>
      </c>
      <c r="Z16" s="99" t="str">
        <f t="shared" si="2"/>
        <v/>
      </c>
      <c r="AA16" s="101" t="str">
        <f t="shared" si="3"/>
        <v/>
      </c>
      <c r="AB16" s="100" t="str">
        <f t="shared" si="4"/>
        <v/>
      </c>
      <c r="AC16" s="100" t="str">
        <f t="shared" si="5"/>
        <v/>
      </c>
      <c r="AD16" s="105" t="str">
        <f>IF(Z16="","",AX16)</f>
        <v/>
      </c>
      <c r="AE16" s="104"/>
      <c r="AF16" s="97"/>
      <c r="AG16" s="97"/>
      <c r="AH16" s="97"/>
      <c r="AI16" s="104"/>
      <c r="AJ16" s="97"/>
      <c r="AK16" s="104"/>
      <c r="AL16" s="104">
        <f t="shared" si="6"/>
        <v>0</v>
      </c>
      <c r="AM16" s="97"/>
      <c r="AN16" s="97">
        <f t="shared" si="7"/>
        <v>0</v>
      </c>
      <c r="AO16" s="104">
        <f t="shared" si="8"/>
        <v>0</v>
      </c>
      <c r="AP16" s="397">
        <f t="shared" si="9"/>
        <v>0</v>
      </c>
      <c r="AR16" s="104">
        <f>RADIANS(AE16)</f>
        <v>0</v>
      </c>
      <c r="AS16" s="104">
        <f>RADIANS(AG16)</f>
        <v>0</v>
      </c>
      <c r="AT16" s="104">
        <f>RADIANS(AH16)</f>
        <v>0</v>
      </c>
      <c r="AU16" s="104">
        <f>RADIANS(AJ16)</f>
        <v>0</v>
      </c>
      <c r="AV16" s="104">
        <f t="shared" si="10"/>
        <v>0</v>
      </c>
      <c r="AW16" s="104">
        <f t="shared" si="11"/>
        <v>0</v>
      </c>
      <c r="AX16" s="97">
        <f t="shared" si="12"/>
        <v>0</v>
      </c>
    </row>
    <row r="17" spans="1:50" x14ac:dyDescent="0.25">
      <c r="A17" s="51">
        <v>7</v>
      </c>
      <c r="B17" s="49" t="str">
        <f>IF($A17="","",VLOOKUP($A17,'list of waypoints'!$A$2:'list of waypoints'!$F$126,2))</f>
        <v>Cap Martin</v>
      </c>
      <c r="C17" s="96">
        <f>IF($A17="","",VLOOKUP($A17,'list of waypoints'!$A$2:$F$2001,3))</f>
        <v>4726.9870000000001</v>
      </c>
      <c r="D17" s="49" t="str">
        <f>IF($A17="","",VLOOKUP($A17,'list of waypoints'!$A$2:$F$2001,4))</f>
        <v>N</v>
      </c>
      <c r="E17" s="96">
        <f>IF($A17="","",VLOOKUP($A17,'list of waypoints'!$A$2:$F$2001,5))</f>
        <v>7017.1229999999996</v>
      </c>
      <c r="F17" s="49" t="str">
        <f>IF($A17="","",VLOOKUP($A17,'list of waypoints'!$A$2:$F$2001,6))</f>
        <v>W</v>
      </c>
      <c r="G17" s="106" t="str">
        <f t="shared" si="13"/>
        <v/>
      </c>
      <c r="H17" s="107" t="str">
        <f t="shared" si="14"/>
        <v/>
      </c>
      <c r="I17" s="49"/>
      <c r="J17" s="116"/>
      <c r="K17" s="116"/>
      <c r="L17" s="116"/>
      <c r="M17" s="107">
        <f t="shared" ref="M17" si="64">M15-H16</f>
        <v>60.367590671672311</v>
      </c>
      <c r="N17" s="107">
        <f t="shared" ref="N17" si="65">N15+H16</f>
        <v>64.057528149989565</v>
      </c>
      <c r="O17" s="95">
        <f t="shared" si="15"/>
        <v>0</v>
      </c>
      <c r="P17" s="49"/>
      <c r="Q17" s="49"/>
      <c r="R17" s="49"/>
      <c r="S17" s="49"/>
      <c r="T17" s="49"/>
      <c r="U17" s="49"/>
      <c r="V17" s="49"/>
      <c r="X17" s="99">
        <f t="shared" si="0"/>
        <v>47</v>
      </c>
      <c r="Y17" s="100">
        <f t="shared" si="1"/>
        <v>26.986999999999739</v>
      </c>
      <c r="Z17" s="99" t="str">
        <f t="shared" si="2"/>
        <v>N</v>
      </c>
      <c r="AA17" s="101">
        <f t="shared" si="3"/>
        <v>70</v>
      </c>
      <c r="AB17" s="100">
        <f t="shared" si="4"/>
        <v>17.122999999999422</v>
      </c>
      <c r="AC17" s="100" t="str">
        <f t="shared" si="5"/>
        <v>W</v>
      </c>
      <c r="AD17" s="105">
        <f>IF(Z17="","",AX17)</f>
        <v>6.2516396674126939</v>
      </c>
      <c r="AE17" s="104">
        <f t="shared" ref="AE17" si="66">IF(Z17="N",X17+(Y17/60),-(X17+(Y17/60)))</f>
        <v>47.449783333333329</v>
      </c>
      <c r="AF17" s="97">
        <f t="shared" ref="AF17" si="67">(7915.704468*LOG10(TAN(((45+AE17/2))*PI()/180)))-(23.268932*(SIN(AE17*PI()/180)))-(0.0525*(SIN(AE17*PI()/180)))</f>
        <v>3225.2714136811387</v>
      </c>
      <c r="AG17" s="97">
        <f t="shared" ref="AG17" si="68">IF(AC17="E",AA17+(AB17/60),-(AA17+(AB17/60)))</f>
        <v>-70.285383333333328</v>
      </c>
      <c r="AH17" s="97">
        <f t="shared" ref="AH17" si="69">IF(Z19="N",X19+(Y19/60),-(X19+(Y19/60)))</f>
        <v>47.42466666666666</v>
      </c>
      <c r="AI17" s="104">
        <f t="shared" ref="AI17" si="70">(7915.704468*LOG10(TAN(((45+(AH17/2))*PI()/180)))-(23.268932*(SIN(AH17*PI()/180)))-(0.0525*(SIN(AH17*PI()/180))))</f>
        <v>3223.0503491240761</v>
      </c>
      <c r="AJ17" s="104">
        <f t="shared" ref="AJ17" si="71">IF(AC19="E",AA19+(AB19/60),-(AA19+(AB19/60)))</f>
        <v>-70.434883333333332</v>
      </c>
      <c r="AK17" s="104">
        <f t="shared" ref="AK17" si="72">IF((AH17-AE17)=0,(AH17-AE17)*60+0.001,(AH17-AE17)*60)</f>
        <v>-1.5070000000001471</v>
      </c>
      <c r="AL17" s="104">
        <f t="shared" si="6"/>
        <v>-2.2210645570626184</v>
      </c>
      <c r="AM17" s="97">
        <f t="shared" ref="AM17" si="73">(AJ17-AG17)*60</f>
        <v>-8.9700000000001978</v>
      </c>
      <c r="AN17" s="97">
        <f t="shared" si="7"/>
        <v>76.092693437472505</v>
      </c>
      <c r="AO17" s="104">
        <f t="shared" si="8"/>
        <v>6.2699751506726038</v>
      </c>
      <c r="AP17" s="397">
        <f t="shared" si="9"/>
        <v>256.09269343747252</v>
      </c>
      <c r="AR17" s="104">
        <f>RADIANS(AE17)</f>
        <v>0.82815494852459659</v>
      </c>
      <c r="AS17" s="104">
        <f>RADIANS(AG17)</f>
        <v>-1.2267113551930138</v>
      </c>
      <c r="AT17" s="104">
        <f>RADIANS(AH17)</f>
        <v>0.82771657999413739</v>
      </c>
      <c r="AU17" s="104">
        <f>RADIANS(AJ17)</f>
        <v>-1.2293206224247453</v>
      </c>
      <c r="AV17" s="104">
        <f t="shared" si="10"/>
        <v>-2.6092672317314936E-3</v>
      </c>
      <c r="AW17" s="104">
        <f t="shared" si="11"/>
        <v>-4.3836853045919888E-4</v>
      </c>
      <c r="AX17" s="97">
        <f t="shared" si="12"/>
        <v>6.2516396674126939</v>
      </c>
    </row>
    <row r="18" spans="1:50" x14ac:dyDescent="0.25">
      <c r="A18" s="51"/>
      <c r="B18" s="49" t="str">
        <f>IF($A18="","",VLOOKUP($A18,'list of waypoints'!$A$2:'list of waypoints'!$F$126,2))</f>
        <v/>
      </c>
      <c r="C18" s="96" t="str">
        <f>IF($A18="","",VLOOKUP($A18,'list of waypoints'!$A$2:$F$2001,3))</f>
        <v/>
      </c>
      <c r="D18" s="49" t="str">
        <f>IF($A18="","",VLOOKUP($A18,'list of waypoints'!$A$2:$F$2001,4))</f>
        <v/>
      </c>
      <c r="E18" s="96" t="str">
        <f>IF($A18="","",VLOOKUP($A18,'list of waypoints'!$A$2:$F$2001,5))</f>
        <v/>
      </c>
      <c r="F18" s="49" t="str">
        <f>IF($A18="","",VLOOKUP($A18,'list of waypoints'!$A$2:$F$2001,6))</f>
        <v/>
      </c>
      <c r="G18" s="106">
        <f t="shared" si="13"/>
        <v>256.09269343747252</v>
      </c>
      <c r="H18" s="107">
        <f t="shared" si="14"/>
        <v>6.2699751506726038</v>
      </c>
      <c r="I18" s="49"/>
      <c r="J18" s="116"/>
      <c r="K18" s="116"/>
      <c r="L18" s="116"/>
      <c r="M18" s="107"/>
      <c r="N18" s="107" t="str">
        <f t="shared" si="33"/>
        <v/>
      </c>
      <c r="O18" s="95">
        <f t="shared" si="15"/>
        <v>0</v>
      </c>
      <c r="P18" s="49"/>
      <c r="Q18" s="49">
        <f>O18-P18-'cover page'!L16</f>
        <v>0</v>
      </c>
      <c r="R18" s="49"/>
      <c r="S18" s="49"/>
      <c r="T18" s="49"/>
      <c r="U18" s="49"/>
      <c r="V18" s="49"/>
      <c r="X18" s="99" t="str">
        <f t="shared" si="0"/>
        <v/>
      </c>
      <c r="Y18" s="100" t="str">
        <f t="shared" si="1"/>
        <v/>
      </c>
      <c r="Z18" s="99" t="str">
        <f t="shared" si="2"/>
        <v/>
      </c>
      <c r="AA18" s="101" t="str">
        <f t="shared" si="3"/>
        <v/>
      </c>
      <c r="AB18" s="100" t="str">
        <f t="shared" si="4"/>
        <v/>
      </c>
      <c r="AC18" s="100" t="str">
        <f t="shared" si="5"/>
        <v/>
      </c>
      <c r="AD18" s="105" t="str">
        <f>IF(Z18="","",AX18)</f>
        <v/>
      </c>
      <c r="AE18" s="104"/>
      <c r="AF18" s="97"/>
      <c r="AG18" s="97"/>
      <c r="AH18" s="97"/>
      <c r="AI18" s="104"/>
      <c r="AJ18" s="97"/>
      <c r="AK18" s="104"/>
      <c r="AL18" s="104">
        <f t="shared" si="6"/>
        <v>0</v>
      </c>
      <c r="AM18" s="97"/>
      <c r="AN18" s="97">
        <f t="shared" si="7"/>
        <v>0</v>
      </c>
      <c r="AO18" s="104">
        <f t="shared" si="8"/>
        <v>0</v>
      </c>
      <c r="AP18" s="397">
        <f t="shared" si="9"/>
        <v>0</v>
      </c>
      <c r="AR18" s="104">
        <f>RADIANS(AE18)</f>
        <v>0</v>
      </c>
      <c r="AS18" s="104">
        <f>RADIANS(AG18)</f>
        <v>0</v>
      </c>
      <c r="AT18" s="104">
        <f>RADIANS(AH18)</f>
        <v>0</v>
      </c>
      <c r="AU18" s="104">
        <f>RADIANS(AJ18)</f>
        <v>0</v>
      </c>
      <c r="AV18" s="104">
        <f t="shared" si="10"/>
        <v>0</v>
      </c>
      <c r="AW18" s="104">
        <f t="shared" si="11"/>
        <v>0</v>
      </c>
      <c r="AX18" s="97">
        <f t="shared" si="12"/>
        <v>0</v>
      </c>
    </row>
    <row r="19" spans="1:50" x14ac:dyDescent="0.25">
      <c r="A19" s="51">
        <v>8</v>
      </c>
      <c r="B19" s="49" t="str">
        <f>IF($A19="","",VLOOKUP($A19,'list of waypoints'!$A$2:'list of waypoints'!$F$126,2))</f>
        <v>Cap aux Corbeaux</v>
      </c>
      <c r="C19" s="96">
        <f>IF($A19="","",VLOOKUP($A19,'list of waypoints'!$A$2:$F$2001,3))</f>
        <v>4725.4799999999996</v>
      </c>
      <c r="D19" s="49" t="str">
        <f>IF($A19="","",VLOOKUP($A19,'list of waypoints'!$A$2:$F$2001,4))</f>
        <v>N</v>
      </c>
      <c r="E19" s="96">
        <f>IF($A19="","",VLOOKUP($A19,'list of waypoints'!$A$2:$F$2001,5))</f>
        <v>7026.0929999999998</v>
      </c>
      <c r="F19" s="49" t="str">
        <f>IF($A19="","",VLOOKUP($A19,'list of waypoints'!$A$2:$F$2001,6))</f>
        <v>W</v>
      </c>
      <c r="G19" s="106" t="str">
        <f t="shared" si="13"/>
        <v/>
      </c>
      <c r="H19" s="107" t="str">
        <f t="shared" si="14"/>
        <v/>
      </c>
      <c r="I19" s="49"/>
      <c r="J19" s="116"/>
      <c r="K19" s="116"/>
      <c r="L19" s="116"/>
      <c r="M19" s="107">
        <f t="shared" ref="M19" si="74">M17-H18</f>
        <v>54.09761552099971</v>
      </c>
      <c r="N19" s="107">
        <f t="shared" ref="N19" si="75">N17+H18</f>
        <v>70.327503300662173</v>
      </c>
      <c r="O19" s="95">
        <f t="shared" si="15"/>
        <v>0</v>
      </c>
      <c r="P19" s="49"/>
      <c r="Q19" s="49"/>
      <c r="R19" s="49"/>
      <c r="S19" s="49"/>
      <c r="T19" s="49"/>
      <c r="U19" s="49"/>
      <c r="V19" s="49"/>
      <c r="X19" s="99">
        <f t="shared" si="0"/>
        <v>47</v>
      </c>
      <c r="Y19" s="100">
        <f t="shared" si="1"/>
        <v>25.479999999999592</v>
      </c>
      <c r="Z19" s="99" t="str">
        <f t="shared" si="2"/>
        <v>N</v>
      </c>
      <c r="AA19" s="101">
        <f t="shared" si="3"/>
        <v>70</v>
      </c>
      <c r="AB19" s="100">
        <f t="shared" si="4"/>
        <v>26.093000000000188</v>
      </c>
      <c r="AC19" s="100" t="str">
        <f t="shared" si="5"/>
        <v>W</v>
      </c>
      <c r="AD19" s="105">
        <f>IF(Z19="","",AX19)</f>
        <v>10.38581131209482</v>
      </c>
      <c r="AE19" s="104">
        <f t="shared" ref="AE19" si="76">IF(Z19="N",X19+(Y19/60),-(X19+(Y19/60)))</f>
        <v>47.42466666666666</v>
      </c>
      <c r="AF19" s="97">
        <f t="shared" ref="AF19" si="77">(7915.704468*LOG10(TAN(((45+AE19/2))*PI()/180)))-(23.268932*(SIN(AE19*PI()/180)))-(0.0525*(SIN(AE19*PI()/180)))</f>
        <v>3223.0503491240761</v>
      </c>
      <c r="AG19" s="97">
        <f t="shared" ref="AG19" si="78">IF(AC19="E",AA19+(AB19/60),-(AA19+(AB19/60)))</f>
        <v>-70.434883333333332</v>
      </c>
      <c r="AH19" s="97">
        <f t="shared" ref="AH19" si="79">IF(Z21="N",X21+(Y21/60),-(X21+(Y21/60)))</f>
        <v>47.266633333333331</v>
      </c>
      <c r="AI19" s="104">
        <f t="shared" ref="AI19" si="80">(7915.704468*LOG10(TAN(((45+(AH19/2))*PI()/180)))-(23.268932*(SIN(AH19*PI()/180)))-(0.0525*(SIN(AH19*PI()/180))))</f>
        <v>3209.0998741391991</v>
      </c>
      <c r="AJ19" s="104">
        <f t="shared" ref="AJ19" si="81">IF(AC21="E",AA21+(AB21/60),-(AA21+(AB21/60)))</f>
        <v>-70.539116666666672</v>
      </c>
      <c r="AK19" s="104">
        <f t="shared" ref="AK19" si="82">IF((AH19-AE19)=0,(AH19-AE19)*60+0.001,(AH19-AE19)*60)</f>
        <v>-9.4819999999997151</v>
      </c>
      <c r="AL19" s="104">
        <f t="shared" si="6"/>
        <v>-13.950474984877019</v>
      </c>
      <c r="AM19" s="97">
        <f t="shared" ref="AM19" si="83">(AJ19-AG19)*60</f>
        <v>-6.254000000000417</v>
      </c>
      <c r="AN19" s="97">
        <f t="shared" si="7"/>
        <v>24.146700597905678</v>
      </c>
      <c r="AO19" s="104">
        <f t="shared" si="8"/>
        <v>10.391220892543075</v>
      </c>
      <c r="AP19" s="397">
        <f t="shared" si="9"/>
        <v>204.14670059790569</v>
      </c>
      <c r="AR19" s="104">
        <f>RADIANS(AE19)</f>
        <v>0.82771657999413739</v>
      </c>
      <c r="AS19" s="104">
        <f>RADIANS(AG19)</f>
        <v>-1.2293206224247453</v>
      </c>
      <c r="AT19" s="104">
        <f>RADIANS(AH19)</f>
        <v>0.82495837799956906</v>
      </c>
      <c r="AU19" s="104">
        <f>RADIANS(AJ19)</f>
        <v>-1.2311398372817408</v>
      </c>
      <c r="AV19" s="104">
        <f t="shared" si="10"/>
        <v>-1.8192148569955435E-3</v>
      </c>
      <c r="AW19" s="104">
        <f t="shared" si="11"/>
        <v>-2.7582019945683323E-3</v>
      </c>
      <c r="AX19" s="97">
        <f t="shared" si="12"/>
        <v>10.38581131209482</v>
      </c>
    </row>
    <row r="20" spans="1:50" x14ac:dyDescent="0.25">
      <c r="A20" s="51"/>
      <c r="B20" s="49" t="str">
        <f>IF($A20="","",VLOOKUP($A20,'list of waypoints'!$A$2:'list of waypoints'!$F$126,2))</f>
        <v/>
      </c>
      <c r="C20" s="96" t="str">
        <f>IF($A20="","",VLOOKUP($A20,'list of waypoints'!$A$2:$F$2001,3))</f>
        <v/>
      </c>
      <c r="D20" s="49" t="str">
        <f>IF($A20="","",VLOOKUP($A20,'list of waypoints'!$A$2:$F$2001,4))</f>
        <v/>
      </c>
      <c r="E20" s="96" t="str">
        <f>IF($A20="","",VLOOKUP($A20,'list of waypoints'!$A$2:$F$2001,5))</f>
        <v/>
      </c>
      <c r="F20" s="49" t="str">
        <f>IF($A20="","",VLOOKUP($A20,'list of waypoints'!$A$2:$F$2001,6))</f>
        <v/>
      </c>
      <c r="G20" s="106">
        <f t="shared" si="13"/>
        <v>204.14670059790569</v>
      </c>
      <c r="H20" s="107">
        <f t="shared" si="14"/>
        <v>10.391220892543075</v>
      </c>
      <c r="I20" s="49"/>
      <c r="J20" s="116"/>
      <c r="K20" s="116"/>
      <c r="L20" s="116"/>
      <c r="M20" s="107"/>
      <c r="N20" s="107" t="str">
        <f t="shared" si="33"/>
        <v/>
      </c>
      <c r="O20" s="95">
        <f t="shared" si="15"/>
        <v>0</v>
      </c>
      <c r="P20" s="49"/>
      <c r="Q20" s="49">
        <f>O20-P20-'cover page'!L18</f>
        <v>0</v>
      </c>
      <c r="R20" s="49"/>
      <c r="S20" s="49"/>
      <c r="T20" s="49"/>
      <c r="U20" s="49"/>
      <c r="V20" s="49"/>
      <c r="X20" s="99" t="str">
        <f t="shared" si="0"/>
        <v/>
      </c>
      <c r="Y20" s="100" t="str">
        <f t="shared" si="1"/>
        <v/>
      </c>
      <c r="Z20" s="99" t="str">
        <f t="shared" si="2"/>
        <v/>
      </c>
      <c r="AA20" s="101" t="str">
        <f t="shared" si="3"/>
        <v/>
      </c>
      <c r="AB20" s="100" t="str">
        <f t="shared" si="4"/>
        <v/>
      </c>
      <c r="AC20" s="100" t="str">
        <f t="shared" si="5"/>
        <v/>
      </c>
      <c r="AD20" s="105" t="str">
        <f>IF(Z20="","",AX20)</f>
        <v/>
      </c>
      <c r="AE20" s="104"/>
      <c r="AF20" s="97"/>
      <c r="AG20" s="97"/>
      <c r="AH20" s="97"/>
      <c r="AI20" s="104"/>
      <c r="AJ20" s="97"/>
      <c r="AK20" s="104"/>
      <c r="AL20" s="104">
        <f t="shared" si="6"/>
        <v>0</v>
      </c>
      <c r="AM20" s="97"/>
      <c r="AN20" s="97">
        <f t="shared" si="7"/>
        <v>0</v>
      </c>
      <c r="AO20" s="104">
        <f t="shared" si="8"/>
        <v>0</v>
      </c>
      <c r="AP20" s="397">
        <f t="shared" si="9"/>
        <v>0</v>
      </c>
      <c r="AR20" s="104">
        <f>RADIANS(AE20)</f>
        <v>0</v>
      </c>
      <c r="AS20" s="104">
        <f>RADIANS(AG20)</f>
        <v>0</v>
      </c>
      <c r="AT20" s="104">
        <f>RADIANS(AH20)</f>
        <v>0</v>
      </c>
      <c r="AU20" s="104">
        <f>RADIANS(AJ20)</f>
        <v>0</v>
      </c>
      <c r="AV20" s="104">
        <f t="shared" si="10"/>
        <v>0</v>
      </c>
      <c r="AW20" s="104">
        <f t="shared" si="11"/>
        <v>0</v>
      </c>
      <c r="AX20" s="97">
        <f t="shared" si="12"/>
        <v>0</v>
      </c>
    </row>
    <row r="21" spans="1:50" x14ac:dyDescent="0.25">
      <c r="A21" s="51">
        <v>9</v>
      </c>
      <c r="B21" s="49" t="str">
        <f>IF($A21="","",VLOOKUP($A21,'list of waypoints'!$A$2:'list of waypoints'!$F$126,2))</f>
        <v>Grande-Pointe</v>
      </c>
      <c r="C21" s="96">
        <f>IF($A21="","",VLOOKUP($A21,'list of waypoints'!$A$2:$F$2001,3))</f>
        <v>4715.9979999999996</v>
      </c>
      <c r="D21" s="49" t="str">
        <f>IF($A21="","",VLOOKUP($A21,'list of waypoints'!$A$2:$F$2001,4))</f>
        <v>N</v>
      </c>
      <c r="E21" s="96">
        <f>IF($A21="","",VLOOKUP($A21,'list of waypoints'!$A$2:$F$2001,5))</f>
        <v>7032.3469999999998</v>
      </c>
      <c r="F21" s="49" t="str">
        <f>IF($A21="","",VLOOKUP($A21,'list of waypoints'!$A$2:$F$2001,6))</f>
        <v>W</v>
      </c>
      <c r="G21" s="106" t="str">
        <f t="shared" si="13"/>
        <v/>
      </c>
      <c r="H21" s="107" t="str">
        <f t="shared" si="14"/>
        <v/>
      </c>
      <c r="I21" s="49"/>
      <c r="J21" s="116"/>
      <c r="K21" s="116"/>
      <c r="L21" s="116"/>
      <c r="M21" s="107">
        <f t="shared" ref="M21" si="84">M19-H20</f>
        <v>43.706394628456636</v>
      </c>
      <c r="N21" s="107">
        <f t="shared" ref="N21" si="85">N19+H20</f>
        <v>80.718724193205247</v>
      </c>
      <c r="O21" s="95">
        <f t="shared" si="15"/>
        <v>0</v>
      </c>
      <c r="P21" s="49"/>
      <c r="Q21" s="49"/>
      <c r="R21" s="49"/>
      <c r="S21" s="49"/>
      <c r="T21" s="49"/>
      <c r="U21" s="49"/>
      <c r="V21" s="49"/>
      <c r="X21" s="99">
        <f t="shared" si="0"/>
        <v>47</v>
      </c>
      <c r="Y21" s="100">
        <f t="shared" si="1"/>
        <v>15.997999999999735</v>
      </c>
      <c r="Z21" s="99" t="str">
        <f t="shared" si="2"/>
        <v>N</v>
      </c>
      <c r="AA21" s="101">
        <f t="shared" si="3"/>
        <v>70</v>
      </c>
      <c r="AB21" s="100">
        <f t="shared" si="4"/>
        <v>32.347000000000037</v>
      </c>
      <c r="AC21" s="100" t="str">
        <f t="shared" si="5"/>
        <v>W</v>
      </c>
      <c r="AD21" s="105">
        <f>IF(Z21="","",AX21)</f>
        <v>4.5181990232757592</v>
      </c>
      <c r="AE21" s="104">
        <f t="shared" ref="AE21" si="86">IF(Z21="N",X21+(Y21/60),-(X21+(Y21/60)))</f>
        <v>47.266633333333331</v>
      </c>
      <c r="AF21" s="97">
        <f t="shared" ref="AF21" si="87">(7915.704468*LOG10(TAN(((45+AE21/2))*PI()/180)))-(23.268932*(SIN(AE21*PI()/180)))-(0.0525*(SIN(AE21*PI()/180)))</f>
        <v>3209.0998741391991</v>
      </c>
      <c r="AG21" s="97">
        <f t="shared" ref="AG21" si="88">IF(AC21="E",AA21+(AB21/60),-(AA21+(AB21/60)))</f>
        <v>-70.539116666666672</v>
      </c>
      <c r="AH21" s="97">
        <f t="shared" ref="AH21" si="89">IF(Z23="N",X23+(Y23/60),-(X23+(Y23/60)))</f>
        <v>47.203833333333328</v>
      </c>
      <c r="AI21" s="104">
        <f t="shared" ref="AI21" si="90">(7915.704468*LOG10(TAN(((45+(AH21/2))*PI()/180)))-(23.268932*(SIN(AH21*PI()/180)))-(0.0525*(SIN(AH21*PI()/180))))</f>
        <v>3203.5678102763409</v>
      </c>
      <c r="AJ21" s="104">
        <f t="shared" ref="AJ21" si="91">IF(AC23="E",AA23+(AB23/60),-(AA23+(AB23/60)))</f>
        <v>-70.600316666666671</v>
      </c>
      <c r="AK21" s="104">
        <f t="shared" ref="AK21" si="92">IF((AH21-AE21)=0,(AH21-AE21)*60+0.001,(AH21-AE21)*60)</f>
        <v>-3.7680000000001712</v>
      </c>
      <c r="AL21" s="104">
        <f t="shared" si="6"/>
        <v>-5.5320638628581946</v>
      </c>
      <c r="AM21" s="97">
        <f t="shared" ref="AM21" si="93">(AJ21-AG21)*60</f>
        <v>-3.6719999999999686</v>
      </c>
      <c r="AN21" s="97">
        <f t="shared" si="7"/>
        <v>33.574884160126075</v>
      </c>
      <c r="AO21" s="104">
        <f t="shared" si="8"/>
        <v>4.5225203755950858</v>
      </c>
      <c r="AP21" s="397">
        <f t="shared" si="9"/>
        <v>213.57488416012609</v>
      </c>
      <c r="AR21" s="104">
        <f>RADIANS(AE21)</f>
        <v>0.82495837799956906</v>
      </c>
      <c r="AS21" s="104">
        <f>RADIANS(AG21)</f>
        <v>-1.2311398372817408</v>
      </c>
      <c r="AT21" s="104">
        <f>RADIANS(AH21)</f>
        <v>0.82386231122931652</v>
      </c>
      <c r="AU21" s="104">
        <f>RADIANS(AJ21)</f>
        <v>-1.2322079787839615</v>
      </c>
      <c r="AV21" s="104">
        <f t="shared" si="10"/>
        <v>-1.0681415022206764E-3</v>
      </c>
      <c r="AW21" s="104">
        <f t="shared" si="11"/>
        <v>-1.0960667702525351E-3</v>
      </c>
      <c r="AX21" s="97">
        <f t="shared" si="12"/>
        <v>4.5181990232757592</v>
      </c>
    </row>
    <row r="22" spans="1:50" x14ac:dyDescent="0.25">
      <c r="A22" s="51"/>
      <c r="B22" s="49" t="str">
        <f>IF($A22="","",VLOOKUP($A22,'list of waypoints'!$A$2:'list of waypoints'!$F$126,2))</f>
        <v/>
      </c>
      <c r="C22" s="96" t="str">
        <f>IF($A22="","",VLOOKUP($A22,'list of waypoints'!$A$2:$F$2001,3))</f>
        <v/>
      </c>
      <c r="D22" s="49" t="str">
        <f>IF($A22="","",VLOOKUP($A22,'list of waypoints'!$A$2:$F$2001,4))</f>
        <v/>
      </c>
      <c r="E22" s="96" t="str">
        <f>IF($A22="","",VLOOKUP($A22,'list of waypoints'!$A$2:$F$2001,5))</f>
        <v/>
      </c>
      <c r="F22" s="49" t="str">
        <f>IF($A22="","",VLOOKUP($A22,'list of waypoints'!$A$2:$F$2001,6))</f>
        <v/>
      </c>
      <c r="G22" s="106">
        <f t="shared" si="13"/>
        <v>213.57488416012609</v>
      </c>
      <c r="H22" s="107">
        <f t="shared" si="14"/>
        <v>4.5225203755950858</v>
      </c>
      <c r="I22" s="49"/>
      <c r="J22" s="116"/>
      <c r="K22" s="116"/>
      <c r="L22" s="116"/>
      <c r="M22" s="107"/>
      <c r="N22" s="107" t="str">
        <f t="shared" si="33"/>
        <v/>
      </c>
      <c r="O22" s="95">
        <f t="shared" si="15"/>
        <v>0</v>
      </c>
      <c r="P22" s="49"/>
      <c r="Q22" s="49">
        <f>O22-P22-'cover page'!L20</f>
        <v>0</v>
      </c>
      <c r="R22" s="49"/>
      <c r="S22" s="49"/>
      <c r="T22" s="49"/>
      <c r="U22" s="49"/>
      <c r="V22" s="49"/>
      <c r="X22" s="99" t="str">
        <f t="shared" si="0"/>
        <v/>
      </c>
      <c r="Y22" s="100" t="str">
        <f t="shared" si="1"/>
        <v/>
      </c>
      <c r="Z22" s="99" t="str">
        <f t="shared" si="2"/>
        <v/>
      </c>
      <c r="AA22" s="101" t="str">
        <f t="shared" si="3"/>
        <v/>
      </c>
      <c r="AB22" s="100" t="str">
        <f t="shared" si="4"/>
        <v/>
      </c>
      <c r="AC22" s="100" t="str">
        <f t="shared" si="5"/>
        <v/>
      </c>
      <c r="AD22" s="105" t="str">
        <f>IF(Z22="","",AX22)</f>
        <v/>
      </c>
      <c r="AE22" s="104"/>
      <c r="AF22" s="97"/>
      <c r="AG22" s="97"/>
      <c r="AH22" s="97"/>
      <c r="AI22" s="104"/>
      <c r="AJ22" s="97"/>
      <c r="AK22" s="104"/>
      <c r="AL22" s="104">
        <f t="shared" si="6"/>
        <v>0</v>
      </c>
      <c r="AM22" s="97"/>
      <c r="AN22" s="97">
        <f t="shared" si="7"/>
        <v>0</v>
      </c>
      <c r="AO22" s="104">
        <f t="shared" si="8"/>
        <v>0</v>
      </c>
      <c r="AP22" s="397">
        <f t="shared" si="9"/>
        <v>0</v>
      </c>
      <c r="AR22" s="104">
        <f>RADIANS(AE22)</f>
        <v>0</v>
      </c>
      <c r="AS22" s="104">
        <f>RADIANS(AG22)</f>
        <v>0</v>
      </c>
      <c r="AT22" s="104">
        <f>RADIANS(AH22)</f>
        <v>0</v>
      </c>
      <c r="AU22" s="104">
        <f>RADIANS(AJ22)</f>
        <v>0</v>
      </c>
      <c r="AV22" s="104">
        <f t="shared" si="10"/>
        <v>0</v>
      </c>
      <c r="AW22" s="104">
        <f t="shared" si="11"/>
        <v>0</v>
      </c>
      <c r="AX22" s="97">
        <f t="shared" si="12"/>
        <v>0</v>
      </c>
    </row>
    <row r="23" spans="1:50" x14ac:dyDescent="0.25">
      <c r="A23" s="51">
        <v>10</v>
      </c>
      <c r="B23" s="49" t="str">
        <f>IF($A23="","",VLOOKUP($A23,'list of waypoints'!$A$2:'list of waypoints'!$F$126,2))</f>
        <v>Cap d'Eboulis</v>
      </c>
      <c r="C23" s="96">
        <f>IF($A23="","",VLOOKUP($A23,'list of waypoints'!$A$2:$F$2001,3))</f>
        <v>4712.2299999999996</v>
      </c>
      <c r="D23" s="49" t="str">
        <f>IF($A23="","",VLOOKUP($A23,'list of waypoints'!$A$2:$F$2001,4))</f>
        <v>N</v>
      </c>
      <c r="E23" s="96">
        <f>IF($A23="","",VLOOKUP($A23,'list of waypoints'!$A$2:$F$2001,5))</f>
        <v>7036.0190000000002</v>
      </c>
      <c r="F23" s="49" t="str">
        <f>IF($A23="","",VLOOKUP($A23,'list of waypoints'!$A$2:$F$2001,6))</f>
        <v>W</v>
      </c>
      <c r="G23" s="106" t="str">
        <f t="shared" si="13"/>
        <v/>
      </c>
      <c r="H23" s="107" t="str">
        <f t="shared" si="14"/>
        <v/>
      </c>
      <c r="I23" s="49"/>
      <c r="J23" s="116"/>
      <c r="K23" s="116"/>
      <c r="L23" s="116"/>
      <c r="M23" s="107">
        <f t="shared" ref="M23" si="94">M21-H22</f>
        <v>39.18387425286155</v>
      </c>
      <c r="N23" s="107">
        <f t="shared" ref="N23" si="95">N21+H22</f>
        <v>85.24124456880034</v>
      </c>
      <c r="O23" s="95">
        <f t="shared" si="15"/>
        <v>0</v>
      </c>
      <c r="P23" s="49"/>
      <c r="Q23" s="49"/>
      <c r="R23" s="49"/>
      <c r="S23" s="49"/>
      <c r="T23" s="49"/>
      <c r="U23" s="49"/>
      <c r="V23" s="49"/>
      <c r="X23" s="99">
        <f t="shared" si="0"/>
        <v>47</v>
      </c>
      <c r="Y23" s="100">
        <f t="shared" si="1"/>
        <v>12.229999999999563</v>
      </c>
      <c r="Z23" s="99" t="str">
        <f t="shared" si="2"/>
        <v>N</v>
      </c>
      <c r="AA23" s="101">
        <f t="shared" si="3"/>
        <v>70</v>
      </c>
      <c r="AB23" s="100">
        <f t="shared" si="4"/>
        <v>36.01900000000029</v>
      </c>
      <c r="AC23" s="100" t="str">
        <f t="shared" si="5"/>
        <v>W</v>
      </c>
      <c r="AD23" s="105">
        <f>IF(Z23="","",AX23)</f>
        <v>1.259466071681355</v>
      </c>
      <c r="AE23" s="104">
        <f t="shared" ref="AE23" si="96">IF(Z23="N",X23+(Y23/60),-(X23+(Y23/60)))</f>
        <v>47.203833333333328</v>
      </c>
      <c r="AF23" s="97">
        <f t="shared" ref="AF23" si="97">(7915.704468*LOG10(TAN(((45+AE23/2))*PI()/180)))-(23.268932*(SIN(AE23*PI()/180)))-(0.0525*(SIN(AE23*PI()/180)))</f>
        <v>3203.5678102763409</v>
      </c>
      <c r="AG23" s="97">
        <f t="shared" ref="AG23" si="98">IF(AC23="E",AA23+(AB23/60),-(AA23+(AB23/60)))</f>
        <v>-70.600316666666671</v>
      </c>
      <c r="AH23" s="97">
        <f t="shared" ref="AH23" si="99">IF(Z25="N",X25+(Y25/60),-(X25+(Y25/60)))</f>
        <v>47.188099999999999</v>
      </c>
      <c r="AI23" s="104">
        <f t="shared" ref="AI23" si="100">(7915.704468*LOG10(TAN(((45+(AH23/2))*PI()/180)))-(23.268932*(SIN(AH23*PI()/180)))-(0.0525*(SIN(AH23*PI()/180))))</f>
        <v>3202.1828905412103</v>
      </c>
      <c r="AJ23" s="104">
        <f t="shared" ref="AJ23" si="101">IF(AC25="E",AA25+(AB25/60),-(AA25+(AB25/60)))</f>
        <v>-70.620766666666668</v>
      </c>
      <c r="AK23" s="104">
        <f t="shared" ref="AK23" si="102">IF((AH23-AE23)=0,(AH23-AE23)*60+0.001,(AH23-AE23)*60)</f>
        <v>-0.94399999999978945</v>
      </c>
      <c r="AL23" s="104">
        <f t="shared" si="6"/>
        <v>-1.384919735130552</v>
      </c>
      <c r="AM23" s="97">
        <f t="shared" ref="AM23" si="103">(AJ23-AG23)*60</f>
        <v>-1.2269999999998049</v>
      </c>
      <c r="AN23" s="97">
        <f t="shared" si="7"/>
        <v>41.540041790319059</v>
      </c>
      <c r="AO23" s="104">
        <f t="shared" si="8"/>
        <v>1.2612017518614576</v>
      </c>
      <c r="AP23" s="397">
        <f t="shared" si="9"/>
        <v>221.54004179031907</v>
      </c>
      <c r="AR23" s="104">
        <f>RADIANS(AE23)</f>
        <v>0.82386231122931652</v>
      </c>
      <c r="AS23" s="104">
        <f>RADIANS(AG23)</f>
        <v>-1.2322079787839615</v>
      </c>
      <c r="AT23" s="104">
        <f>RADIANS(AH23)</f>
        <v>0.82358771276033615</v>
      </c>
      <c r="AU23" s="104">
        <f>RADIANS(AJ23)</f>
        <v>-1.2325648986159943</v>
      </c>
      <c r="AV23" s="104">
        <f t="shared" si="10"/>
        <v>-3.569198320327871E-4</v>
      </c>
      <c r="AW23" s="104">
        <f t="shared" si="11"/>
        <v>-2.7459846898036933E-4</v>
      </c>
      <c r="AX23" s="97">
        <f t="shared" si="12"/>
        <v>1.259466071681355</v>
      </c>
    </row>
    <row r="24" spans="1:50" x14ac:dyDescent="0.25">
      <c r="A24" s="51"/>
      <c r="B24" s="49" t="str">
        <f>IF($A24="","",VLOOKUP($A24,'list of waypoints'!$A$2:'list of waypoints'!$F$126,2))</f>
        <v/>
      </c>
      <c r="C24" s="96" t="str">
        <f>IF($A24="","",VLOOKUP($A24,'list of waypoints'!$A$2:$F$2001,3))</f>
        <v/>
      </c>
      <c r="D24" s="49" t="str">
        <f>IF($A24="","",VLOOKUP($A24,'list of waypoints'!$A$2:$F$2001,4))</f>
        <v/>
      </c>
      <c r="E24" s="96" t="str">
        <f>IF($A24="","",VLOOKUP($A24,'list of waypoints'!$A$2:$F$2001,5))</f>
        <v/>
      </c>
      <c r="F24" s="49" t="str">
        <f>IF($A24="","",VLOOKUP($A24,'list of waypoints'!$A$2:$F$2001,6))</f>
        <v/>
      </c>
      <c r="G24" s="106">
        <f t="shared" si="13"/>
        <v>221.54004179031907</v>
      </c>
      <c r="H24" s="107">
        <f t="shared" si="14"/>
        <v>1.2612017518614576</v>
      </c>
      <c r="I24" s="49"/>
      <c r="J24" s="116"/>
      <c r="K24" s="116"/>
      <c r="L24" s="116"/>
      <c r="M24" s="107"/>
      <c r="N24" s="107" t="str">
        <f t="shared" si="33"/>
        <v/>
      </c>
      <c r="O24" s="95">
        <f t="shared" si="15"/>
        <v>0</v>
      </c>
      <c r="P24" s="49"/>
      <c r="Q24" s="49">
        <f>O24-P24-'cover page'!L22</f>
        <v>0</v>
      </c>
      <c r="R24" s="49"/>
      <c r="S24" s="49"/>
      <c r="T24" s="49"/>
      <c r="U24" s="49"/>
      <c r="V24" s="49"/>
      <c r="X24" s="99" t="str">
        <f t="shared" si="0"/>
        <v/>
      </c>
      <c r="Y24" s="100" t="str">
        <f t="shared" si="1"/>
        <v/>
      </c>
      <c r="Z24" s="99" t="str">
        <f t="shared" si="2"/>
        <v/>
      </c>
      <c r="AA24" s="101" t="str">
        <f t="shared" si="3"/>
        <v/>
      </c>
      <c r="AB24" s="100" t="str">
        <f t="shared" si="4"/>
        <v/>
      </c>
      <c r="AC24" s="100" t="str">
        <f t="shared" si="5"/>
        <v/>
      </c>
      <c r="AD24" s="105" t="str">
        <f>IF(Z24="","",AX24)</f>
        <v/>
      </c>
      <c r="AE24" s="104"/>
      <c r="AF24" s="97"/>
      <c r="AG24" s="97"/>
      <c r="AH24" s="97"/>
      <c r="AI24" s="104"/>
      <c r="AJ24" s="97"/>
      <c r="AK24" s="104"/>
      <c r="AL24" s="104">
        <f t="shared" si="6"/>
        <v>0</v>
      </c>
      <c r="AM24" s="97"/>
      <c r="AN24" s="97">
        <f t="shared" si="7"/>
        <v>0</v>
      </c>
      <c r="AO24" s="104">
        <f t="shared" si="8"/>
        <v>0</v>
      </c>
      <c r="AP24" s="397">
        <f t="shared" si="9"/>
        <v>0</v>
      </c>
      <c r="AR24" s="104">
        <f>RADIANS(AE24)</f>
        <v>0</v>
      </c>
      <c r="AS24" s="104">
        <f>RADIANS(AG24)</f>
        <v>0</v>
      </c>
      <c r="AT24" s="104">
        <f>RADIANS(AH24)</f>
        <v>0</v>
      </c>
      <c r="AU24" s="104">
        <f>RADIANS(AJ24)</f>
        <v>0</v>
      </c>
      <c r="AV24" s="104">
        <f t="shared" si="10"/>
        <v>0</v>
      </c>
      <c r="AW24" s="104">
        <f t="shared" si="11"/>
        <v>0</v>
      </c>
      <c r="AX24" s="97">
        <f t="shared" si="12"/>
        <v>0</v>
      </c>
    </row>
    <row r="25" spans="1:50" x14ac:dyDescent="0.25">
      <c r="A25" s="51">
        <v>11</v>
      </c>
      <c r="B25" s="49" t="str">
        <f>IF($A25="","",VLOOKUP($A25,'list of waypoints'!$A$2:'list of waypoints'!$F$126,2))</f>
        <v>CIP 9</v>
      </c>
      <c r="C25" s="96">
        <f>IF($A25="","",VLOOKUP($A25,'list of waypoints'!$A$2:$F$2001,3))</f>
        <v>4711.2860000000001</v>
      </c>
      <c r="D25" s="49" t="str">
        <f>IF($A25="","",VLOOKUP($A25,'list of waypoints'!$A$2:$F$2001,4))</f>
        <v>N</v>
      </c>
      <c r="E25" s="96">
        <f>IF($A25="","",VLOOKUP($A25,'list of waypoints'!$A$2:$F$2001,5))</f>
        <v>7037.2460000000001</v>
      </c>
      <c r="F25" s="49" t="str">
        <f>IF($A25="","",VLOOKUP($A25,'list of waypoints'!$A$2:$F$2001,6))</f>
        <v>W</v>
      </c>
      <c r="G25" s="106" t="str">
        <f t="shared" si="13"/>
        <v/>
      </c>
      <c r="H25" s="107" t="str">
        <f t="shared" si="14"/>
        <v/>
      </c>
      <c r="I25" s="49"/>
      <c r="J25" s="116"/>
      <c r="K25" s="116"/>
      <c r="L25" s="116"/>
      <c r="M25" s="107">
        <f t="shared" ref="M25" si="104">M23-H24</f>
        <v>37.922672501000093</v>
      </c>
      <c r="N25" s="107">
        <f t="shared" ref="N25" si="105">N23+H24</f>
        <v>86.502446320661804</v>
      </c>
      <c r="O25" s="95">
        <f t="shared" si="15"/>
        <v>0</v>
      </c>
      <c r="P25" s="49"/>
      <c r="Q25" s="49"/>
      <c r="R25" s="49"/>
      <c r="S25" s="49"/>
      <c r="T25" s="49"/>
      <c r="U25" s="49"/>
      <c r="V25" s="49"/>
      <c r="X25" s="99">
        <f t="shared" si="0"/>
        <v>47</v>
      </c>
      <c r="Y25" s="100">
        <f t="shared" si="1"/>
        <v>11.285999999999774</v>
      </c>
      <c r="Z25" s="99" t="str">
        <f t="shared" si="2"/>
        <v>N</v>
      </c>
      <c r="AA25" s="101">
        <f t="shared" si="3"/>
        <v>70</v>
      </c>
      <c r="AB25" s="100">
        <f t="shared" si="4"/>
        <v>37.246000000000379</v>
      </c>
      <c r="AC25" s="100" t="str">
        <f t="shared" si="5"/>
        <v>W</v>
      </c>
      <c r="AD25" s="105">
        <f>IF(Z25="","",AX25)</f>
        <v>2.3470065038882302</v>
      </c>
      <c r="AE25" s="104">
        <f t="shared" ref="AE25" si="106">IF(Z25="N",X25+(Y25/60),-(X25+(Y25/60)))</f>
        <v>47.188099999999999</v>
      </c>
      <c r="AF25" s="97">
        <f t="shared" ref="AF25" si="107">(7915.704468*LOG10(TAN(((45+AE25/2))*PI()/180)))-(23.268932*(SIN(AE25*PI()/180)))-(0.0525*(SIN(AE25*PI()/180)))</f>
        <v>3202.1828905412103</v>
      </c>
      <c r="AG25" s="97">
        <f t="shared" ref="AG25" si="108">IF(AC25="E",AA25+(AB25/60),-(AA25+(AB25/60)))</f>
        <v>-70.620766666666668</v>
      </c>
      <c r="AH25" s="97">
        <f t="shared" ref="AH25" si="109">IF(Z27="N",X27+(Y27/60),-(X27+(Y27/60)))</f>
        <v>47.15861666666666</v>
      </c>
      <c r="AI25" s="104">
        <f t="shared" ref="AI25" si="110">(7915.704468*LOG10(TAN(((45+(AH25/2))*PI()/180)))-(23.268932*(SIN(AH25*PI()/180)))-(0.0525*(SIN(AH25*PI()/180))))</f>
        <v>3199.5887450489226</v>
      </c>
      <c r="AJ25" s="104">
        <f t="shared" ref="AJ25" si="111">IF(AC27="E",AA27+(AB27/60),-(AA27+(AB27/60)))</f>
        <v>-70.65858333333334</v>
      </c>
      <c r="AK25" s="104">
        <f t="shared" ref="AK25" si="112">IF((AH25-AE25)=0,(AH25-AE25)*60+0.001,(AH25-AE25)*60)</f>
        <v>-1.7690000000003181</v>
      </c>
      <c r="AL25" s="104">
        <f t="shared" si="6"/>
        <v>-2.5941454922876801</v>
      </c>
      <c r="AM25" s="97">
        <f t="shared" ref="AM25" si="113">(AJ25-AG25)*60</f>
        <v>-2.2690000000002897</v>
      </c>
      <c r="AN25" s="97">
        <f t="shared" si="7"/>
        <v>41.174948925649304</v>
      </c>
      <c r="AO25" s="104">
        <f t="shared" si="8"/>
        <v>2.3501970839777031</v>
      </c>
      <c r="AP25" s="397">
        <f t="shared" si="9"/>
        <v>221.17494892564929</v>
      </c>
      <c r="AR25" s="104">
        <f>RADIANS(AE25)</f>
        <v>0.82358771276033615</v>
      </c>
      <c r="AS25" s="104">
        <f>RADIANS(AG25)</f>
        <v>-1.2325648986159943</v>
      </c>
      <c r="AT25" s="104">
        <f>RADIANS(AH25)</f>
        <v>0.82307313151920647</v>
      </c>
      <c r="AU25" s="104">
        <f>RADIANS(AJ25)</f>
        <v>-1.2332249239614568</v>
      </c>
      <c r="AV25" s="104">
        <f t="shared" si="10"/>
        <v>-6.6002534546250047E-4</v>
      </c>
      <c r="AW25" s="104">
        <f t="shared" si="11"/>
        <v>-5.1458124112968573E-4</v>
      </c>
      <c r="AX25" s="97">
        <f t="shared" si="12"/>
        <v>2.3470065038882302</v>
      </c>
    </row>
    <row r="26" spans="1:50" x14ac:dyDescent="0.25">
      <c r="A26" s="51"/>
      <c r="B26" s="49" t="str">
        <f>IF($A26="","",VLOOKUP($A26,'list of waypoints'!$A$2:'list of waypoints'!$F$126,2))</f>
        <v/>
      </c>
      <c r="C26" s="96" t="str">
        <f>IF($A26="","",VLOOKUP($A26,'list of waypoints'!$A$2:$F$2001,3))</f>
        <v/>
      </c>
      <c r="D26" s="49" t="str">
        <f>IF($A26="","",VLOOKUP($A26,'list of waypoints'!$A$2:$F$2001,4))</f>
        <v/>
      </c>
      <c r="E26" s="96" t="str">
        <f>IF($A26="","",VLOOKUP($A26,'list of waypoints'!$A$2:$F$2001,5))</f>
        <v/>
      </c>
      <c r="F26" s="49" t="str">
        <f>IF($A26="","",VLOOKUP($A26,'list of waypoints'!$A$2:$F$2001,6))</f>
        <v/>
      </c>
      <c r="G26" s="106">
        <f t="shared" si="13"/>
        <v>221.17494892564929</v>
      </c>
      <c r="H26" s="107">
        <f t="shared" si="14"/>
        <v>2.3501970839777031</v>
      </c>
      <c r="I26" s="49"/>
      <c r="J26" s="116"/>
      <c r="K26" s="116"/>
      <c r="L26" s="116"/>
      <c r="M26" s="107"/>
      <c r="N26" s="107" t="str">
        <f t="shared" si="33"/>
        <v/>
      </c>
      <c r="O26" s="95">
        <f t="shared" si="15"/>
        <v>0</v>
      </c>
      <c r="P26" s="49"/>
      <c r="Q26" s="49">
        <f>O26-P26-'cover page'!L24</f>
        <v>0</v>
      </c>
      <c r="R26" s="49"/>
      <c r="S26" s="49"/>
      <c r="T26" s="49"/>
      <c r="U26" s="49"/>
      <c r="V26" s="49"/>
      <c r="X26" s="99" t="str">
        <f t="shared" si="0"/>
        <v/>
      </c>
      <c r="Y26" s="100" t="str">
        <f t="shared" si="1"/>
        <v/>
      </c>
      <c r="Z26" s="99" t="str">
        <f t="shared" si="2"/>
        <v/>
      </c>
      <c r="AA26" s="101" t="str">
        <f t="shared" si="3"/>
        <v/>
      </c>
      <c r="AB26" s="100" t="str">
        <f t="shared" si="4"/>
        <v/>
      </c>
      <c r="AC26" s="100" t="str">
        <f t="shared" si="5"/>
        <v/>
      </c>
      <c r="AD26" s="105" t="str">
        <f>IF(Z26="","",AX26)</f>
        <v/>
      </c>
      <c r="AE26" s="104"/>
      <c r="AF26" s="97"/>
      <c r="AG26" s="97"/>
      <c r="AH26" s="97"/>
      <c r="AI26" s="104"/>
      <c r="AJ26" s="97"/>
      <c r="AK26" s="104"/>
      <c r="AL26" s="104">
        <f t="shared" si="6"/>
        <v>0</v>
      </c>
      <c r="AM26" s="97"/>
      <c r="AN26" s="97">
        <f t="shared" si="7"/>
        <v>0</v>
      </c>
      <c r="AO26" s="104">
        <f t="shared" si="8"/>
        <v>0</v>
      </c>
      <c r="AP26" s="397">
        <f t="shared" si="9"/>
        <v>0</v>
      </c>
      <c r="AR26" s="104">
        <f>RADIANS(AE26)</f>
        <v>0</v>
      </c>
      <c r="AS26" s="104">
        <f>RADIANS(AG26)</f>
        <v>0</v>
      </c>
      <c r="AT26" s="104">
        <f>RADIANS(AH26)</f>
        <v>0</v>
      </c>
      <c r="AU26" s="104">
        <f>RADIANS(AJ26)</f>
        <v>0</v>
      </c>
      <c r="AV26" s="104">
        <f t="shared" si="10"/>
        <v>0</v>
      </c>
      <c r="AW26" s="104">
        <f t="shared" si="11"/>
        <v>0</v>
      </c>
      <c r="AX26" s="97">
        <f t="shared" si="12"/>
        <v>0</v>
      </c>
    </row>
    <row r="27" spans="1:50" x14ac:dyDescent="0.25">
      <c r="A27" s="51">
        <v>12</v>
      </c>
      <c r="B27" s="49" t="str">
        <f>IF($A27="","",VLOOKUP($A27,'list of waypoints'!$A$2:'list of waypoints'!$F$126,2))</f>
        <v>Pointe du Debarquement</v>
      </c>
      <c r="C27" s="96">
        <f>IF($A27="","",VLOOKUP($A27,'list of waypoints'!$A$2:$F$2001,3))</f>
        <v>4709.5169999999998</v>
      </c>
      <c r="D27" s="49" t="str">
        <f>IF($A27="","",VLOOKUP($A27,'list of waypoints'!$A$2:$F$2001,4))</f>
        <v>N</v>
      </c>
      <c r="E27" s="96">
        <f>IF($A27="","",VLOOKUP($A27,'list of waypoints'!$A$2:$F$2001,5))</f>
        <v>7039.5150000000003</v>
      </c>
      <c r="F27" s="49" t="str">
        <f>IF($A27="","",VLOOKUP($A27,'list of waypoints'!$A$2:$F$2001,6))</f>
        <v>W</v>
      </c>
      <c r="G27" s="106" t="str">
        <f t="shared" si="13"/>
        <v/>
      </c>
      <c r="H27" s="107" t="str">
        <f t="shared" si="14"/>
        <v/>
      </c>
      <c r="I27" s="49"/>
      <c r="J27" s="116"/>
      <c r="K27" s="116"/>
      <c r="L27" s="116"/>
      <c r="M27" s="107">
        <f t="shared" ref="M27" si="114">M25-H26</f>
        <v>35.572475417022389</v>
      </c>
      <c r="N27" s="107">
        <f t="shared" ref="N27" si="115">N25+H26</f>
        <v>88.852643404639508</v>
      </c>
      <c r="O27" s="95">
        <f t="shared" si="15"/>
        <v>0</v>
      </c>
      <c r="P27" s="49"/>
      <c r="Q27" s="49"/>
      <c r="R27" s="49"/>
      <c r="S27" s="49"/>
      <c r="T27" s="49"/>
      <c r="U27" s="49"/>
      <c r="V27" s="49"/>
      <c r="X27" s="99">
        <f t="shared" si="0"/>
        <v>47</v>
      </c>
      <c r="Y27" s="100">
        <f t="shared" si="1"/>
        <v>9.516999999999598</v>
      </c>
      <c r="Z27" s="99" t="str">
        <f t="shared" si="2"/>
        <v>N</v>
      </c>
      <c r="AA27" s="101">
        <f t="shared" si="3"/>
        <v>70</v>
      </c>
      <c r="AB27" s="100">
        <f t="shared" si="4"/>
        <v>39.5150000000001</v>
      </c>
      <c r="AC27" s="100" t="str">
        <f t="shared" si="5"/>
        <v>W</v>
      </c>
      <c r="AD27" s="105">
        <f>IF(Z27="","",AX27)</f>
        <v>3.4474475299002014</v>
      </c>
      <c r="AE27" s="104">
        <f t="shared" ref="AE27" si="116">IF(Z27="N",X27+(Y27/60),-(X27+(Y27/60)))</f>
        <v>47.15861666666666</v>
      </c>
      <c r="AF27" s="97">
        <f t="shared" ref="AF27" si="117">(7915.704468*LOG10(TAN(((45+AE27/2))*PI()/180)))-(23.268932*(SIN(AE27*PI()/180)))-(0.0525*(SIN(AE27*PI()/180)))</f>
        <v>3199.5887450489226</v>
      </c>
      <c r="AG27" s="97">
        <f t="shared" ref="AG27" si="118">IF(AC27="E",AA27+(AB27/60),-(AA27+(AB27/60)))</f>
        <v>-70.65858333333334</v>
      </c>
      <c r="AH27" s="97">
        <f t="shared" ref="AH27" si="119">IF(Z29="N",X29+(Y29/60),-(X29+(Y29/60)))</f>
        <v>47.110733333333336</v>
      </c>
      <c r="AI27" s="104">
        <f t="shared" ref="AI27" si="120">(7915.704468*LOG10(TAN(((45+(AH27/2))*PI()/180)))-(23.268932*(SIN(AH27*PI()/180)))-(0.0525*(SIN(AH27*PI()/180))))</f>
        <v>3195.3787263422778</v>
      </c>
      <c r="AJ27" s="104">
        <f t="shared" ref="AJ27" si="121">IF(AC29="E",AA29+(AB29/60),-(AA29+(AB29/60)))</f>
        <v>-70.70526666666666</v>
      </c>
      <c r="AK27" s="104">
        <f t="shared" ref="AK27" si="122">IF((AH27-AE27)=0,(AH27-AE27)*60+0.001,(AH27-AE27)*60)</f>
        <v>-2.8729999999994504</v>
      </c>
      <c r="AL27" s="104">
        <f t="shared" si="6"/>
        <v>-4.2100187066448598</v>
      </c>
      <c r="AM27" s="97">
        <f t="shared" ref="AM27" si="123">(AJ27-AG27)*60</f>
        <v>-2.8009999999991919</v>
      </c>
      <c r="AN27" s="97">
        <f t="shared" si="7"/>
        <v>33.636526028252213</v>
      </c>
      <c r="AO27" s="104">
        <f t="shared" si="8"/>
        <v>3.4507680065376087</v>
      </c>
      <c r="AP27" s="397">
        <f t="shared" si="9"/>
        <v>213.63652602825221</v>
      </c>
      <c r="AR27" s="104">
        <f>RADIANS(AE27)</f>
        <v>0.82307313151920647</v>
      </c>
      <c r="AS27" s="104">
        <f>RADIANS(AG27)</f>
        <v>-1.2332249239614568</v>
      </c>
      <c r="AT27" s="104">
        <f>RADIANS(AH27)</f>
        <v>0.82223740969571002</v>
      </c>
      <c r="AU27" s="104">
        <f>RADIANS(AJ27)</f>
        <v>-1.2340397018339293</v>
      </c>
      <c r="AV27" s="104">
        <f t="shared" si="10"/>
        <v>-8.1477787247252742E-4</v>
      </c>
      <c r="AW27" s="104">
        <f t="shared" si="11"/>
        <v>-8.3572182349644919E-4</v>
      </c>
      <c r="AX27" s="97">
        <f t="shared" si="12"/>
        <v>3.4474475299002014</v>
      </c>
    </row>
    <row r="28" spans="1:50" x14ac:dyDescent="0.25">
      <c r="A28" s="51"/>
      <c r="B28" s="49" t="str">
        <f>IF($A28="","",VLOOKUP($A28,'list of waypoints'!$A$2:'list of waypoints'!$F$126,2))</f>
        <v/>
      </c>
      <c r="C28" s="96" t="str">
        <f>IF($A28="","",VLOOKUP($A28,'list of waypoints'!$A$2:$F$2001,3))</f>
        <v/>
      </c>
      <c r="D28" s="49" t="str">
        <f>IF($A28="","",VLOOKUP($A28,'list of waypoints'!$A$2:$F$2001,4))</f>
        <v/>
      </c>
      <c r="E28" s="96" t="str">
        <f>IF($A28="","",VLOOKUP($A28,'list of waypoints'!$A$2:$F$2001,5))</f>
        <v/>
      </c>
      <c r="F28" s="49" t="str">
        <f>IF($A28="","",VLOOKUP($A28,'list of waypoints'!$A$2:$F$2001,6))</f>
        <v/>
      </c>
      <c r="G28" s="106">
        <f t="shared" si="13"/>
        <v>213.63652602825221</v>
      </c>
      <c r="H28" s="107">
        <f t="shared" si="14"/>
        <v>3.4507680065376087</v>
      </c>
      <c r="I28" s="49"/>
      <c r="J28" s="116"/>
      <c r="K28" s="116"/>
      <c r="L28" s="116"/>
      <c r="M28" s="107"/>
      <c r="N28" s="107" t="str">
        <f t="shared" si="33"/>
        <v/>
      </c>
      <c r="O28" s="95">
        <f t="shared" si="15"/>
        <v>0</v>
      </c>
      <c r="P28" s="49"/>
      <c r="Q28" s="49">
        <f>O28-P28-'cover page'!L26</f>
        <v>0</v>
      </c>
      <c r="R28" s="49"/>
      <c r="S28" s="49"/>
      <c r="T28" s="49"/>
      <c r="U28" s="49"/>
      <c r="V28" s="49"/>
      <c r="X28" s="99" t="str">
        <f t="shared" si="0"/>
        <v/>
      </c>
      <c r="Y28" s="100" t="str">
        <f t="shared" si="1"/>
        <v/>
      </c>
      <c r="Z28" s="99" t="str">
        <f t="shared" si="2"/>
        <v/>
      </c>
      <c r="AA28" s="101" t="str">
        <f t="shared" si="3"/>
        <v/>
      </c>
      <c r="AB28" s="100" t="str">
        <f t="shared" si="4"/>
        <v/>
      </c>
      <c r="AC28" s="100" t="str">
        <f t="shared" si="5"/>
        <v/>
      </c>
      <c r="AD28" s="105" t="str">
        <f>IF(Z28="","",AX28)</f>
        <v/>
      </c>
      <c r="AE28" s="104"/>
      <c r="AF28" s="97"/>
      <c r="AG28" s="97"/>
      <c r="AH28" s="97"/>
      <c r="AI28" s="104"/>
      <c r="AJ28" s="97"/>
      <c r="AK28" s="104"/>
      <c r="AL28" s="104">
        <f t="shared" si="6"/>
        <v>0</v>
      </c>
      <c r="AM28" s="97"/>
      <c r="AN28" s="97">
        <f t="shared" si="7"/>
        <v>0</v>
      </c>
      <c r="AO28" s="104">
        <f t="shared" si="8"/>
        <v>0</v>
      </c>
      <c r="AP28" s="397">
        <f t="shared" si="9"/>
        <v>0</v>
      </c>
      <c r="AR28" s="104">
        <f>RADIANS(AE28)</f>
        <v>0</v>
      </c>
      <c r="AS28" s="104">
        <f>RADIANS(AG28)</f>
        <v>0</v>
      </c>
      <c r="AT28" s="104">
        <f>RADIANS(AH28)</f>
        <v>0</v>
      </c>
      <c r="AU28" s="104">
        <f>RADIANS(AJ28)</f>
        <v>0</v>
      </c>
      <c r="AV28" s="104">
        <f t="shared" si="10"/>
        <v>0</v>
      </c>
      <c r="AW28" s="104">
        <f t="shared" si="11"/>
        <v>0</v>
      </c>
      <c r="AX28" s="97">
        <f t="shared" si="12"/>
        <v>0</v>
      </c>
    </row>
    <row r="29" spans="1:50" x14ac:dyDescent="0.25">
      <c r="A29" s="51">
        <v>13</v>
      </c>
      <c r="B29" s="49" t="str">
        <f>IF($A29="","",VLOOKUP($A29,'list of waypoints'!$A$2:'list of waypoints'!$F$126,2))</f>
        <v>Cap Brule</v>
      </c>
      <c r="C29" s="96">
        <f>IF($A29="","",VLOOKUP($A29,'list of waypoints'!$A$2:$F$2001,3))</f>
        <v>4706.6440000000002</v>
      </c>
      <c r="D29" s="49" t="str">
        <f>IF($A29="","",VLOOKUP($A29,'list of waypoints'!$A$2:$F$2001,4))</f>
        <v>N</v>
      </c>
      <c r="E29" s="96">
        <f>IF($A29="","",VLOOKUP($A29,'list of waypoints'!$A$2:$F$2001,5))</f>
        <v>7042.3159999999998</v>
      </c>
      <c r="F29" s="49" t="str">
        <f>IF($A29="","",VLOOKUP($A29,'list of waypoints'!$A$2:$F$2001,6))</f>
        <v>W</v>
      </c>
      <c r="G29" s="106" t="str">
        <f t="shared" si="13"/>
        <v/>
      </c>
      <c r="H29" s="107" t="str">
        <f t="shared" si="14"/>
        <v/>
      </c>
      <c r="I29" s="49"/>
      <c r="J29" s="116"/>
      <c r="K29" s="116"/>
      <c r="L29" s="116"/>
      <c r="M29" s="107">
        <f t="shared" ref="M29" si="124">M27-H28</f>
        <v>32.121707410484781</v>
      </c>
      <c r="N29" s="107">
        <f t="shared" ref="N29" si="125">N27+H28</f>
        <v>92.303411411177123</v>
      </c>
      <c r="O29" s="95">
        <f t="shared" si="15"/>
        <v>0</v>
      </c>
      <c r="P29" s="49"/>
      <c r="Q29" s="49"/>
      <c r="R29" s="49"/>
      <c r="S29" s="49"/>
      <c r="T29" s="49"/>
      <c r="U29" s="49"/>
      <c r="V29" s="49"/>
      <c r="X29" s="99">
        <f t="shared" si="0"/>
        <v>47</v>
      </c>
      <c r="Y29" s="100">
        <f t="shared" si="1"/>
        <v>6.6440000000000055</v>
      </c>
      <c r="Z29" s="99" t="str">
        <f t="shared" si="2"/>
        <v>N</v>
      </c>
      <c r="AA29" s="101">
        <f t="shared" si="3"/>
        <v>70</v>
      </c>
      <c r="AB29" s="100">
        <f t="shared" si="4"/>
        <v>42.315999999999576</v>
      </c>
      <c r="AC29" s="100" t="str">
        <f t="shared" si="5"/>
        <v>W</v>
      </c>
      <c r="AD29" s="105">
        <f>IF(Z29="","",AX29)</f>
        <v>3.0652565114565329</v>
      </c>
      <c r="AE29" s="104">
        <f t="shared" ref="AE29" si="126">IF(Z29="N",X29+(Y29/60),-(X29+(Y29/60)))</f>
        <v>47.110733333333336</v>
      </c>
      <c r="AF29" s="97">
        <f t="shared" ref="AF29" si="127">(7915.704468*LOG10(TAN(((45+AE29/2))*PI()/180)))-(23.268932*(SIN(AE29*PI()/180)))-(0.0525*(SIN(AE29*PI()/180)))</f>
        <v>3195.3787263422778</v>
      </c>
      <c r="AG29" s="97">
        <f t="shared" ref="AG29" si="128">IF(AC29="E",AA29+(AB29/60),-(AA29+(AB29/60)))</f>
        <v>-70.70526666666666</v>
      </c>
      <c r="AH29" s="97">
        <f t="shared" ref="AH29" si="129">IF(Z31="N",X31+(Y31/60),-(X31+(Y31/60)))</f>
        <v>47.063966666666659</v>
      </c>
      <c r="AI29" s="104">
        <f t="shared" ref="AI29" si="130">(7915.704468*LOG10(TAN(((45+(AH29/2))*PI()/180)))-(23.268932*(SIN(AH29*PI()/180)))-(0.0525*(SIN(AH29*PI()/180))))</f>
        <v>3191.2705653455769</v>
      </c>
      <c r="AJ29" s="104">
        <f t="shared" ref="AJ29" si="131">IF(AC31="E",AA31+(AB31/60),-(AA31+(AB31/60)))</f>
        <v>-70.735466666666653</v>
      </c>
      <c r="AK29" s="104">
        <f t="shared" ref="AK29" si="132">IF((AH29-AE29)=0,(AH29-AE29)*60+0.001,(AH29-AE29)*60)</f>
        <v>-2.8060000000006369</v>
      </c>
      <c r="AL29" s="104">
        <f t="shared" si="6"/>
        <v>-4.1081609967009172</v>
      </c>
      <c r="AM29" s="97">
        <f t="shared" ref="AM29" si="133">(AJ29-AG29)*60</f>
        <v>-1.8119999999996139</v>
      </c>
      <c r="AN29" s="97">
        <f t="shared" si="7"/>
        <v>23.800993690285313</v>
      </c>
      <c r="AO29" s="104">
        <f t="shared" si="8"/>
        <v>3.0668253071431879</v>
      </c>
      <c r="AP29" s="397">
        <f t="shared" si="9"/>
        <v>203.80099369028531</v>
      </c>
      <c r="AR29" s="104">
        <f>RADIANS(AE29)</f>
        <v>0.82223740969571002</v>
      </c>
      <c r="AS29" s="104">
        <f>RADIANS(AG29)</f>
        <v>-1.2340397018339293</v>
      </c>
      <c r="AT29" s="104">
        <f>RADIANS(AH29)</f>
        <v>0.82142117738219378</v>
      </c>
      <c r="AU29" s="104">
        <f>RADIANS(AJ29)</f>
        <v>-1.2345667912680314</v>
      </c>
      <c r="AV29" s="104">
        <f t="shared" si="10"/>
        <v>-5.2708943410206821E-4</v>
      </c>
      <c r="AW29" s="104">
        <f t="shared" si="11"/>
        <v>-8.1623231351624081E-4</v>
      </c>
      <c r="AX29" s="97">
        <f t="shared" si="12"/>
        <v>3.0652565114565329</v>
      </c>
    </row>
    <row r="30" spans="1:50" x14ac:dyDescent="0.25">
      <c r="A30" s="51"/>
      <c r="B30" s="49" t="str">
        <f>IF($A30="","",VLOOKUP($A30,'list of waypoints'!$A$2:'list of waypoints'!$F$126,2))</f>
        <v/>
      </c>
      <c r="C30" s="96" t="str">
        <f>IF($A30="","",VLOOKUP($A30,'list of waypoints'!$A$2:$F$2001,3))</f>
        <v/>
      </c>
      <c r="D30" s="49" t="str">
        <f>IF($A30="","",VLOOKUP($A30,'list of waypoints'!$A$2:$F$2001,4))</f>
        <v/>
      </c>
      <c r="E30" s="96" t="str">
        <f>IF($A30="","",VLOOKUP($A30,'list of waypoints'!$A$2:$F$2001,5))</f>
        <v/>
      </c>
      <c r="F30" s="49" t="str">
        <f>IF($A30="","",VLOOKUP($A30,'list of waypoints'!$A$2:$F$2001,6))</f>
        <v/>
      </c>
      <c r="G30" s="106">
        <f t="shared" si="13"/>
        <v>203.80099369028531</v>
      </c>
      <c r="H30" s="107">
        <f t="shared" si="14"/>
        <v>3.0668253071431879</v>
      </c>
      <c r="I30" s="49"/>
      <c r="J30" s="116"/>
      <c r="K30" s="116"/>
      <c r="L30" s="116"/>
      <c r="M30" s="107"/>
      <c r="N30" s="107" t="str">
        <f t="shared" si="33"/>
        <v/>
      </c>
      <c r="O30" s="95">
        <f t="shared" si="15"/>
        <v>0</v>
      </c>
      <c r="P30" s="49"/>
      <c r="Q30" s="49">
        <f>O30-P30-'cover page'!L28</f>
        <v>0</v>
      </c>
      <c r="R30" s="49"/>
      <c r="S30" s="49"/>
      <c r="T30" s="49"/>
      <c r="U30" s="49"/>
      <c r="V30" s="49"/>
      <c r="X30" s="99" t="str">
        <f t="shared" si="0"/>
        <v/>
      </c>
      <c r="Y30" s="100" t="str">
        <f t="shared" si="1"/>
        <v/>
      </c>
      <c r="Z30" s="99" t="str">
        <f t="shared" si="2"/>
        <v/>
      </c>
      <c r="AA30" s="101" t="str">
        <f t="shared" si="3"/>
        <v/>
      </c>
      <c r="AB30" s="100" t="str">
        <f t="shared" si="4"/>
        <v/>
      </c>
      <c r="AC30" s="100" t="str">
        <f t="shared" si="5"/>
        <v/>
      </c>
      <c r="AD30" s="105" t="str">
        <f>IF(Z30="","",AX30)</f>
        <v/>
      </c>
      <c r="AE30" s="104"/>
      <c r="AF30" s="97"/>
      <c r="AG30" s="97"/>
      <c r="AH30" s="97"/>
      <c r="AI30" s="104"/>
      <c r="AJ30" s="97"/>
      <c r="AK30" s="104"/>
      <c r="AL30" s="104">
        <f t="shared" si="6"/>
        <v>0</v>
      </c>
      <c r="AM30" s="97"/>
      <c r="AN30" s="97">
        <f t="shared" si="7"/>
        <v>0</v>
      </c>
      <c r="AO30" s="104">
        <f t="shared" si="8"/>
        <v>0</v>
      </c>
      <c r="AP30" s="397">
        <f t="shared" si="9"/>
        <v>0</v>
      </c>
      <c r="AR30" s="104">
        <f>RADIANS(AE30)</f>
        <v>0</v>
      </c>
      <c r="AS30" s="104">
        <f>RADIANS(AG30)</f>
        <v>0</v>
      </c>
      <c r="AT30" s="104">
        <f>RADIANS(AH30)</f>
        <v>0</v>
      </c>
      <c r="AU30" s="104">
        <f>RADIANS(AJ30)</f>
        <v>0</v>
      </c>
      <c r="AV30" s="104">
        <f t="shared" si="10"/>
        <v>0</v>
      </c>
      <c r="AW30" s="104">
        <f t="shared" si="11"/>
        <v>0</v>
      </c>
      <c r="AX30" s="97">
        <f t="shared" si="12"/>
        <v>0</v>
      </c>
    </row>
    <row r="31" spans="1:50" x14ac:dyDescent="0.25">
      <c r="A31" s="51">
        <v>14</v>
      </c>
      <c r="B31" s="49" t="str">
        <f>IF($A31="","",VLOOKUP($A31,'list of waypoints'!$A$2:'list of waypoints'!$F$126,2))</f>
        <v>Le Banc de Sable</v>
      </c>
      <c r="C31" s="96">
        <f>IF($A31="","",VLOOKUP($A31,'list of waypoints'!$A$2:$F$2001,3))</f>
        <v>4703.8379999999997</v>
      </c>
      <c r="D31" s="49" t="str">
        <f>IF($A31="","",VLOOKUP($A31,'list of waypoints'!$A$2:$F$2001,4))</f>
        <v>N</v>
      </c>
      <c r="E31" s="96">
        <f>IF($A31="","",VLOOKUP($A31,'list of waypoints'!$A$2:$F$2001,5))</f>
        <v>7044.1279999999997</v>
      </c>
      <c r="F31" s="49" t="str">
        <f>IF($A31="","",VLOOKUP($A31,'list of waypoints'!$A$2:$F$2001,6))</f>
        <v>W</v>
      </c>
      <c r="G31" s="106" t="str">
        <f t="shared" si="13"/>
        <v/>
      </c>
      <c r="H31" s="107" t="str">
        <f t="shared" si="14"/>
        <v/>
      </c>
      <c r="I31" s="49"/>
      <c r="J31" s="116"/>
      <c r="K31" s="116"/>
      <c r="L31" s="116"/>
      <c r="M31" s="107">
        <f t="shared" ref="M31" si="134">M29-H30</f>
        <v>29.054882103341594</v>
      </c>
      <c r="N31" s="107">
        <f t="shared" ref="N31" si="135">N29+H30</f>
        <v>95.370236718320314</v>
      </c>
      <c r="O31" s="95">
        <f t="shared" si="15"/>
        <v>0</v>
      </c>
      <c r="P31" s="49"/>
      <c r="Q31" s="49"/>
      <c r="R31" s="49"/>
      <c r="S31" s="49"/>
      <c r="T31" s="49"/>
      <c r="U31" s="49"/>
      <c r="V31" s="49"/>
      <c r="X31" s="99">
        <f t="shared" si="0"/>
        <v>47</v>
      </c>
      <c r="Y31" s="100">
        <f t="shared" si="1"/>
        <v>3.8379999999996528</v>
      </c>
      <c r="Z31" s="99" t="str">
        <f t="shared" si="2"/>
        <v>N</v>
      </c>
      <c r="AA31" s="101">
        <f t="shared" si="3"/>
        <v>70</v>
      </c>
      <c r="AB31" s="100">
        <f t="shared" si="4"/>
        <v>44.12799999999919</v>
      </c>
      <c r="AC31" s="100" t="str">
        <f t="shared" si="5"/>
        <v>W</v>
      </c>
      <c r="AD31" s="105">
        <f>IF(Z31="","",AX31)</f>
        <v>11.421465532075063</v>
      </c>
      <c r="AE31" s="104">
        <f t="shared" ref="AE31" si="136">IF(Z31="N",X31+(Y31/60),-(X31+(Y31/60)))</f>
        <v>47.063966666666659</v>
      </c>
      <c r="AF31" s="97">
        <f t="shared" ref="AF31" si="137">(7915.704468*LOG10(TAN(((45+AE31/2))*PI()/180)))-(23.268932*(SIN(AE31*PI()/180)))-(0.0525*(SIN(AE31*PI()/180)))</f>
        <v>3191.2705653455769</v>
      </c>
      <c r="AG31" s="97">
        <f t="shared" ref="AG31" si="138">IF(AC31="E",AA31+(AB31/60),-(AA31+(AB31/60)))</f>
        <v>-70.735466666666653</v>
      </c>
      <c r="AH31" s="97">
        <f t="shared" ref="AH31" si="139">IF(Z33="N",X33+(Y33/60),-(X33+(Y33/60)))</f>
        <v>46.904783333333334</v>
      </c>
      <c r="AI31" s="104">
        <f t="shared" ref="AI31" si="140">(7915.704468*LOG10(TAN(((45+(AH31/2))*PI()/180)))-(23.268932*(SIN(AH31*PI()/180)))-(0.0525*(SIN(AH31*PI()/180))))</f>
        <v>3177.3144136180294</v>
      </c>
      <c r="AJ31" s="104">
        <f t="shared" ref="AJ31" si="141">IF(AC33="E",AA33+(AB33/60),-(AA33+(AB33/60)))</f>
        <v>-70.88848333333334</v>
      </c>
      <c r="AK31" s="104">
        <f t="shared" ref="AK31" si="142">IF((AH31-AE31)=0,(AH31-AE31)*60+0.001,(AH31-AE31)*60)</f>
        <v>-9.5509999999994477</v>
      </c>
      <c r="AL31" s="104">
        <f t="shared" si="6"/>
        <v>-13.956151727547422</v>
      </c>
      <c r="AM31" s="97">
        <f t="shared" ref="AM31" si="143">(AJ31-AG31)*60</f>
        <v>-9.1810000000012337</v>
      </c>
      <c r="AN31" s="97">
        <f t="shared" si="7"/>
        <v>33.338762457616831</v>
      </c>
      <c r="AO31" s="104">
        <f t="shared" si="8"/>
        <v>11.432357465343202</v>
      </c>
      <c r="AP31" s="397">
        <f t="shared" si="9"/>
        <v>213.33876245761684</v>
      </c>
      <c r="AR31" s="104">
        <f>RADIANS(AE31)</f>
        <v>0.82142117738219378</v>
      </c>
      <c r="AS31" s="104">
        <f>RADIANS(AG31)</f>
        <v>-1.2345667912680314</v>
      </c>
      <c r="AT31" s="104">
        <f>RADIANS(AH31)</f>
        <v>0.81864290410122764</v>
      </c>
      <c r="AU31" s="104">
        <f>RADIANS(AJ31)</f>
        <v>-1.2372374359117917</v>
      </c>
      <c r="AV31" s="104">
        <f t="shared" si="10"/>
        <v>-2.6706446437603226E-3</v>
      </c>
      <c r="AW31" s="104">
        <f t="shared" si="11"/>
        <v>-2.778273280966137E-3</v>
      </c>
      <c r="AX31" s="97">
        <f t="shared" si="12"/>
        <v>11.421465532075063</v>
      </c>
    </row>
    <row r="32" spans="1:50" x14ac:dyDescent="0.25">
      <c r="A32" s="51"/>
      <c r="B32" s="49" t="str">
        <f>IF($A32="","",VLOOKUP($A32,'list of waypoints'!$A$2:'list of waypoints'!$F$126,2))</f>
        <v/>
      </c>
      <c r="C32" s="96" t="str">
        <f>IF($A32="","",VLOOKUP($A32,'list of waypoints'!$A$2:$F$2001,3))</f>
        <v/>
      </c>
      <c r="D32" s="49" t="str">
        <f>IF($A32="","",VLOOKUP($A32,'list of waypoints'!$A$2:$F$2001,4))</f>
        <v/>
      </c>
      <c r="E32" s="96" t="str">
        <f>IF($A32="","",VLOOKUP($A32,'list of waypoints'!$A$2:$F$2001,5))</f>
        <v/>
      </c>
      <c r="F32" s="49" t="str">
        <f>IF($A32="","",VLOOKUP($A32,'list of waypoints'!$A$2:$F$2001,6))</f>
        <v/>
      </c>
      <c r="G32" s="106">
        <f t="shared" si="13"/>
        <v>213.33876245761684</v>
      </c>
      <c r="H32" s="107">
        <f t="shared" si="14"/>
        <v>11.432357465343202</v>
      </c>
      <c r="I32" s="49"/>
      <c r="J32" s="116"/>
      <c r="K32" s="116"/>
      <c r="L32" s="116"/>
      <c r="M32" s="107"/>
      <c r="N32" s="107" t="str">
        <f t="shared" si="33"/>
        <v/>
      </c>
      <c r="O32" s="95">
        <f t="shared" si="15"/>
        <v>0</v>
      </c>
      <c r="P32" s="49"/>
      <c r="Q32" s="49">
        <f>O32-P32-'cover page'!L30</f>
        <v>0</v>
      </c>
      <c r="R32" s="49"/>
      <c r="S32" s="49"/>
      <c r="T32" s="49"/>
      <c r="U32" s="49"/>
      <c r="V32" s="49"/>
      <c r="X32" s="99" t="str">
        <f t="shared" si="0"/>
        <v/>
      </c>
      <c r="Y32" s="100" t="str">
        <f t="shared" si="1"/>
        <v/>
      </c>
      <c r="Z32" s="99" t="str">
        <f t="shared" si="2"/>
        <v/>
      </c>
      <c r="AA32" s="101" t="str">
        <f t="shared" si="3"/>
        <v/>
      </c>
      <c r="AB32" s="100" t="str">
        <f t="shared" si="4"/>
        <v/>
      </c>
      <c r="AC32" s="100" t="str">
        <f t="shared" si="5"/>
        <v/>
      </c>
      <c r="AD32" s="105" t="str">
        <f>IF(Z32="","",AX32)</f>
        <v/>
      </c>
      <c r="AE32" s="104"/>
      <c r="AF32" s="97"/>
      <c r="AG32" s="97"/>
      <c r="AH32" s="97"/>
      <c r="AI32" s="104"/>
      <c r="AJ32" s="97"/>
      <c r="AK32" s="104"/>
      <c r="AL32" s="104">
        <f t="shared" si="6"/>
        <v>0</v>
      </c>
      <c r="AM32" s="97"/>
      <c r="AN32" s="97">
        <f t="shared" si="7"/>
        <v>0</v>
      </c>
      <c r="AO32" s="104">
        <f t="shared" si="8"/>
        <v>0</v>
      </c>
      <c r="AP32" s="397">
        <f t="shared" si="9"/>
        <v>0</v>
      </c>
      <c r="AR32" s="104">
        <f>RADIANS(AE32)</f>
        <v>0</v>
      </c>
      <c r="AS32" s="104">
        <f>RADIANS(AG32)</f>
        <v>0</v>
      </c>
      <c r="AT32" s="104">
        <f>RADIANS(AH32)</f>
        <v>0</v>
      </c>
      <c r="AU32" s="104">
        <f>RADIANS(AJ32)</f>
        <v>0</v>
      </c>
      <c r="AV32" s="104">
        <f t="shared" si="10"/>
        <v>0</v>
      </c>
      <c r="AW32" s="104">
        <f t="shared" si="11"/>
        <v>0</v>
      </c>
      <c r="AX32" s="97">
        <f t="shared" si="12"/>
        <v>0</v>
      </c>
    </row>
    <row r="33" spans="1:50" x14ac:dyDescent="0.25">
      <c r="A33" s="51">
        <v>15</v>
      </c>
      <c r="B33" s="49" t="str">
        <f>IF($A33="","",VLOOKUP($A33,'list of waypoints'!$A$2:'list of waypoints'!$F$126,2))</f>
        <v>Pointe Saint-Michel</v>
      </c>
      <c r="C33" s="96">
        <f>IF($A33="","",VLOOKUP($A33,'list of waypoints'!$A$2:$F$2001,3))</f>
        <v>4654.2870000000003</v>
      </c>
      <c r="D33" s="49" t="str">
        <f>IF($A33="","",VLOOKUP($A33,'list of waypoints'!$A$2:$F$2001,4))</f>
        <v>N</v>
      </c>
      <c r="E33" s="96">
        <f>IF($A33="","",VLOOKUP($A33,'list of waypoints'!$A$2:$F$2001,5))</f>
        <v>7053.3090000000002</v>
      </c>
      <c r="F33" s="49" t="str">
        <f>IF($A33="","",VLOOKUP($A33,'list of waypoints'!$A$2:$F$2001,6))</f>
        <v>W</v>
      </c>
      <c r="G33" s="106" t="str">
        <f t="shared" si="13"/>
        <v/>
      </c>
      <c r="H33" s="107" t="str">
        <f t="shared" si="14"/>
        <v/>
      </c>
      <c r="I33" s="49"/>
      <c r="J33" s="116"/>
      <c r="K33" s="116"/>
      <c r="L33" s="116"/>
      <c r="M33" s="107">
        <f t="shared" ref="M33" si="144">M31-H32</f>
        <v>17.622524637998392</v>
      </c>
      <c r="N33" s="107">
        <f t="shared" ref="N33" si="145">N31+H32</f>
        <v>106.80259418366352</v>
      </c>
      <c r="O33" s="95">
        <f t="shared" si="15"/>
        <v>0</v>
      </c>
      <c r="P33" s="49"/>
      <c r="Q33" s="49"/>
      <c r="R33" s="49"/>
      <c r="S33" s="49"/>
      <c r="T33" s="49"/>
      <c r="U33" s="49"/>
      <c r="V33" s="49"/>
      <c r="X33" s="99">
        <f t="shared" si="0"/>
        <v>46</v>
      </c>
      <c r="Y33" s="100">
        <f t="shared" si="1"/>
        <v>54.287000000000063</v>
      </c>
      <c r="Z33" s="99" t="str">
        <f t="shared" si="2"/>
        <v>N</v>
      </c>
      <c r="AA33" s="101">
        <f t="shared" si="3"/>
        <v>70</v>
      </c>
      <c r="AB33" s="100">
        <f t="shared" si="4"/>
        <v>53.30900000000014</v>
      </c>
      <c r="AC33" s="100" t="str">
        <f t="shared" si="5"/>
        <v>W</v>
      </c>
      <c r="AD33" s="105">
        <f>IF(Z33="","",AX33)</f>
        <v>4.6168646598980594</v>
      </c>
      <c r="AE33" s="104">
        <f t="shared" ref="AE33" si="146">IF(Z33="N",X33+(Y33/60),-(X33+(Y33/60)))</f>
        <v>46.904783333333334</v>
      </c>
      <c r="AF33" s="97">
        <f t="shared" ref="AF33" si="147">(7915.704468*LOG10(TAN(((45+AE33/2))*PI()/180)))-(23.268932*(SIN(AE33*PI()/180)))-(0.0525*(SIN(AE33*PI()/180)))</f>
        <v>3177.3144136180294</v>
      </c>
      <c r="AG33" s="97">
        <f t="shared" ref="AG33" si="148">IF(AC33="E",AA33+(AB33/60),-(AA33+(AB33/60)))</f>
        <v>-70.88848333333334</v>
      </c>
      <c r="AH33" s="97">
        <f t="shared" ref="AH33" si="149">IF(Z35="N",X35+(Y35/60),-(X35+(Y35/60)))</f>
        <v>46.859216666666661</v>
      </c>
      <c r="AI33" s="104">
        <f t="shared" ref="AI33" si="150">(7915.704468*LOG10(TAN(((45+(AH33/2))*PI()/180)))-(23.268932*(SIN(AH33*PI()/180)))-(0.0525*(SIN(AH33*PI()/180))))</f>
        <v>3173.3271086853902</v>
      </c>
      <c r="AJ33" s="104">
        <f t="shared" ref="AJ33" si="151">IF(AC35="E",AA35+(AB35/60),-(AA35+(AB35/60)))</f>
        <v>-70.979199999999992</v>
      </c>
      <c r="AK33" s="104">
        <f t="shared" ref="AK33" si="152">IF((AH33-AE33)=0,(AH33-AE33)*60+0.001,(AH33-AE33)*60)</f>
        <v>-2.7340000000003783</v>
      </c>
      <c r="AL33" s="104">
        <f t="shared" si="6"/>
        <v>-3.9873049326392902</v>
      </c>
      <c r="AM33" s="97">
        <f t="shared" ref="AM33" si="153">(AJ33-AG33)*60</f>
        <v>-5.4429999999990741</v>
      </c>
      <c r="AN33" s="97">
        <f t="shared" si="7"/>
        <v>53.775117540354984</v>
      </c>
      <c r="AO33" s="104">
        <f t="shared" si="8"/>
        <v>4.626401501212495</v>
      </c>
      <c r="AP33" s="397">
        <f t="shared" si="9"/>
        <v>233.77511754035498</v>
      </c>
      <c r="AR33" s="104">
        <f>RADIANS(AE33)</f>
        <v>0.81864290410122764</v>
      </c>
      <c r="AS33" s="104">
        <f>RADIANS(AG33)</f>
        <v>-1.2372374359117917</v>
      </c>
      <c r="AT33" s="104">
        <f>RADIANS(AH33)</f>
        <v>0.81784761573873543</v>
      </c>
      <c r="AU33" s="104">
        <f>RADIANS(AJ33)</f>
        <v>-1.238820740431559</v>
      </c>
      <c r="AV33" s="104">
        <f t="shared" si="10"/>
        <v>-1.5833045197672924E-3</v>
      </c>
      <c r="AW33" s="104">
        <f t="shared" si="11"/>
        <v>-7.9528836249220802E-4</v>
      </c>
      <c r="AX33" s="97">
        <f t="shared" si="12"/>
        <v>4.6168646598980594</v>
      </c>
    </row>
    <row r="34" spans="1:50" x14ac:dyDescent="0.25">
      <c r="A34" s="51"/>
      <c r="B34" s="49" t="str">
        <f>IF($A34="","",VLOOKUP($A34,'list of waypoints'!$A$2:'list of waypoints'!$F$126,2))</f>
        <v/>
      </c>
      <c r="C34" s="96" t="str">
        <f>IF($A34="","",VLOOKUP($A34,'list of waypoints'!$A$2:$F$2001,3))</f>
        <v/>
      </c>
      <c r="D34" s="49" t="str">
        <f>IF($A34="","",VLOOKUP($A34,'list of waypoints'!$A$2:$F$2001,4))</f>
        <v/>
      </c>
      <c r="E34" s="96" t="str">
        <f>IF($A34="","",VLOOKUP($A34,'list of waypoints'!$A$2:$F$2001,5))</f>
        <v/>
      </c>
      <c r="F34" s="49" t="str">
        <f>IF($A34="","",VLOOKUP($A34,'list of waypoints'!$A$2:$F$2001,6))</f>
        <v/>
      </c>
      <c r="G34" s="106">
        <f t="shared" si="13"/>
        <v>233.77511754035498</v>
      </c>
      <c r="H34" s="107">
        <f t="shared" si="14"/>
        <v>4.626401501212495</v>
      </c>
      <c r="I34" s="49"/>
      <c r="J34" s="116"/>
      <c r="K34" s="116"/>
      <c r="L34" s="116"/>
      <c r="M34" s="107"/>
      <c r="N34" s="107" t="str">
        <f t="shared" si="33"/>
        <v/>
      </c>
      <c r="O34" s="95">
        <f t="shared" si="15"/>
        <v>0</v>
      </c>
      <c r="P34" s="49"/>
      <c r="Q34" s="49">
        <f>O34-P34-'cover page'!L32</f>
        <v>0</v>
      </c>
      <c r="R34" s="49"/>
      <c r="S34" s="49"/>
      <c r="T34" s="49"/>
      <c r="U34" s="49"/>
      <c r="V34" s="49"/>
      <c r="X34" s="99" t="str">
        <f t="shared" si="0"/>
        <v/>
      </c>
      <c r="Y34" s="100" t="str">
        <f t="shared" si="1"/>
        <v/>
      </c>
      <c r="Z34" s="99" t="str">
        <f t="shared" si="2"/>
        <v/>
      </c>
      <c r="AA34" s="101" t="str">
        <f t="shared" si="3"/>
        <v/>
      </c>
      <c r="AB34" s="100" t="str">
        <f t="shared" si="4"/>
        <v/>
      </c>
      <c r="AC34" s="100" t="str">
        <f t="shared" si="5"/>
        <v/>
      </c>
      <c r="AD34" s="105" t="str">
        <f>IF(Z34="","",AX34)</f>
        <v/>
      </c>
      <c r="AE34" s="104"/>
      <c r="AF34" s="97"/>
      <c r="AG34" s="97"/>
      <c r="AH34" s="97"/>
      <c r="AI34" s="104"/>
      <c r="AJ34" s="97"/>
      <c r="AK34" s="104"/>
      <c r="AL34" s="104">
        <f t="shared" si="6"/>
        <v>0</v>
      </c>
      <c r="AM34" s="97"/>
      <c r="AN34" s="97">
        <f t="shared" si="7"/>
        <v>0</v>
      </c>
      <c r="AO34" s="104">
        <f t="shared" si="8"/>
        <v>0</v>
      </c>
      <c r="AP34" s="397">
        <f t="shared" si="9"/>
        <v>0</v>
      </c>
      <c r="AR34" s="104">
        <f>RADIANS(AE34)</f>
        <v>0</v>
      </c>
      <c r="AS34" s="104">
        <f>RADIANS(AG34)</f>
        <v>0</v>
      </c>
      <c r="AT34" s="104">
        <f>RADIANS(AH34)</f>
        <v>0</v>
      </c>
      <c r="AU34" s="104">
        <f>RADIANS(AJ34)</f>
        <v>0</v>
      </c>
      <c r="AV34" s="104">
        <f t="shared" si="10"/>
        <v>0</v>
      </c>
      <c r="AW34" s="104">
        <f t="shared" si="11"/>
        <v>0</v>
      </c>
      <c r="AX34" s="97">
        <f t="shared" si="12"/>
        <v>0</v>
      </c>
    </row>
    <row r="35" spans="1:50" x14ac:dyDescent="0.25">
      <c r="A35" s="51">
        <v>16</v>
      </c>
      <c r="B35" s="49" t="str">
        <f>IF($A35="","",VLOOKUP($A35,'list of waypoints'!$A$2:'list of waypoints'!$F$126,2))</f>
        <v>Saint-Laurent</v>
      </c>
      <c r="C35" s="96">
        <f>IF($A35="","",VLOOKUP($A35,'list of waypoints'!$A$2:$F$2001,3))</f>
        <v>4651.5529999999999</v>
      </c>
      <c r="D35" s="49" t="str">
        <f>IF($A35="","",VLOOKUP($A35,'list of waypoints'!$A$2:$F$2001,4))</f>
        <v>N</v>
      </c>
      <c r="E35" s="96">
        <f>IF($A35="","",VLOOKUP($A35,'list of waypoints'!$A$2:$F$2001,5))</f>
        <v>7058.7520000000004</v>
      </c>
      <c r="F35" s="49" t="str">
        <f>IF($A35="","",VLOOKUP($A35,'list of waypoints'!$A$2:$F$2001,6))</f>
        <v>W</v>
      </c>
      <c r="G35" s="106" t="str">
        <f t="shared" si="13"/>
        <v/>
      </c>
      <c r="H35" s="107" t="str">
        <f t="shared" si="14"/>
        <v/>
      </c>
      <c r="I35" s="49"/>
      <c r="J35" s="116"/>
      <c r="K35" s="116"/>
      <c r="L35" s="116"/>
      <c r="M35" s="107">
        <f t="shared" ref="M35" si="154">M33-H34</f>
        <v>12.996123136785897</v>
      </c>
      <c r="N35" s="107">
        <f t="shared" ref="N35" si="155">N33+H34</f>
        <v>111.42899568487601</v>
      </c>
      <c r="O35" s="95">
        <f t="shared" si="15"/>
        <v>0</v>
      </c>
      <c r="P35" s="49"/>
      <c r="Q35" s="49"/>
      <c r="R35" s="49"/>
      <c r="S35" s="49"/>
      <c r="T35" s="49"/>
      <c r="U35" s="49"/>
      <c r="V35" s="49"/>
      <c r="X35" s="99">
        <f t="shared" si="0"/>
        <v>46</v>
      </c>
      <c r="Y35" s="100">
        <f t="shared" si="1"/>
        <v>51.552999999999827</v>
      </c>
      <c r="Z35" s="99" t="str">
        <f t="shared" si="2"/>
        <v>N</v>
      </c>
      <c r="AA35" s="101">
        <f t="shared" si="3"/>
        <v>70</v>
      </c>
      <c r="AB35" s="100">
        <f t="shared" si="4"/>
        <v>58.751999999999782</v>
      </c>
      <c r="AC35" s="100" t="str">
        <f t="shared" si="5"/>
        <v>W</v>
      </c>
      <c r="AD35" s="105">
        <f>IF(Z35="","",AX35)</f>
        <v>0.98209477214862895</v>
      </c>
      <c r="AE35" s="104">
        <f t="shared" ref="AE35" si="156">IF(Z35="N",X35+(Y35/60),-(X35+(Y35/60)))</f>
        <v>46.859216666666661</v>
      </c>
      <c r="AF35" s="97">
        <f t="shared" ref="AF35" si="157">(7915.704468*LOG10(TAN(((45+AE35/2))*PI()/180)))-(23.268932*(SIN(AE35*PI()/180)))-(0.0525*(SIN(AE35*PI()/180)))</f>
        <v>3173.3271086853902</v>
      </c>
      <c r="AG35" s="97">
        <f t="shared" ref="AG35" si="158">IF(AC35="E",AA35+(AB35/60),-(AA35+(AB35/60)))</f>
        <v>-70.979199999999992</v>
      </c>
      <c r="AH35" s="97">
        <f t="shared" ref="AH35" si="159">IF(Z37="N",X37+(Y37/60),-(X37+(Y37/60)))</f>
        <v>46.854233333333333</v>
      </c>
      <c r="AI35" s="104">
        <f t="shared" ref="AI35" si="160">(7915.704468*LOG10(TAN(((45+(AH35/2))*PI()/180)))-(23.268932*(SIN(AH35*PI()/180)))-(0.0525*(SIN(AH35*PI()/180))))</f>
        <v>3172.8912494215824</v>
      </c>
      <c r="AJ35" s="104">
        <f t="shared" ref="AJ35" si="161">IF(AC37="E",AA37+(AB37/60),-(AA37+(AB37/60)))</f>
        <v>-71.001999999999995</v>
      </c>
      <c r="AK35" s="104">
        <f t="shared" ref="AK35" si="162">IF((AH35-AE35)=0,(AH35-AE35)*60+0.001,(AH35-AE35)*60)</f>
        <v>-0.29899999999969396</v>
      </c>
      <c r="AL35" s="104">
        <f t="shared" si="6"/>
        <v>-0.43585926380774254</v>
      </c>
      <c r="AM35" s="97">
        <f t="shared" ref="AM35" si="163">(AJ35-AG35)*60</f>
        <v>-1.3680000000002224</v>
      </c>
      <c r="AN35" s="97">
        <f t="shared" si="7"/>
        <v>72.327571103112135</v>
      </c>
      <c r="AO35" s="104">
        <f t="shared" si="8"/>
        <v>0.9849308906710148</v>
      </c>
      <c r="AP35" s="397">
        <f t="shared" si="9"/>
        <v>252.32757110311212</v>
      </c>
      <c r="AR35" s="104">
        <f>RADIANS(AE35)</f>
        <v>0.81784761573873543</v>
      </c>
      <c r="AS35" s="104">
        <f>RADIANS(AG35)</f>
        <v>-1.238820740431559</v>
      </c>
      <c r="AT35" s="104">
        <f>RADIANS(AH35)</f>
        <v>0.81776064016434447</v>
      </c>
      <c r="AU35" s="104">
        <f>RADIANS(AJ35)</f>
        <v>-1.2392186755010137</v>
      </c>
      <c r="AV35" s="104">
        <f t="shared" si="10"/>
        <v>-3.9793506945473567E-4</v>
      </c>
      <c r="AW35" s="104">
        <f t="shared" si="11"/>
        <v>-8.6975574390968369E-5</v>
      </c>
      <c r="AX35" s="97">
        <f t="shared" si="12"/>
        <v>0.98209477214862895</v>
      </c>
    </row>
    <row r="36" spans="1:50" x14ac:dyDescent="0.25">
      <c r="A36" s="51"/>
      <c r="B36" s="49" t="str">
        <f>IF($A36="","",VLOOKUP($A36,'list of waypoints'!$A$2:'list of waypoints'!$F$126,2))</f>
        <v/>
      </c>
      <c r="C36" s="96" t="str">
        <f>IF($A36="","",VLOOKUP($A36,'list of waypoints'!$A$2:$F$2001,3))</f>
        <v/>
      </c>
      <c r="D36" s="49" t="str">
        <f>IF($A36="","",VLOOKUP($A36,'list of waypoints'!$A$2:$F$2001,4))</f>
        <v/>
      </c>
      <c r="E36" s="96" t="str">
        <f>IF($A36="","",VLOOKUP($A36,'list of waypoints'!$A$2:$F$2001,5))</f>
        <v/>
      </c>
      <c r="F36" s="49" t="str">
        <f>IF($A36="","",VLOOKUP($A36,'list of waypoints'!$A$2:$F$2001,6))</f>
        <v/>
      </c>
      <c r="G36" s="106">
        <f t="shared" si="13"/>
        <v>252.32757110311212</v>
      </c>
      <c r="H36" s="107">
        <f t="shared" si="14"/>
        <v>0.9849308906710148</v>
      </c>
      <c r="I36" s="49"/>
      <c r="J36" s="116"/>
      <c r="K36" s="116"/>
      <c r="L36" s="116"/>
      <c r="M36" s="107"/>
      <c r="N36" s="107" t="str">
        <f t="shared" si="33"/>
        <v/>
      </c>
      <c r="O36" s="95">
        <f t="shared" si="15"/>
        <v>0</v>
      </c>
      <c r="P36" s="49"/>
      <c r="Q36" s="49">
        <f>O36-P36-'cover page'!L34</f>
        <v>0</v>
      </c>
      <c r="R36" s="49"/>
      <c r="S36" s="49"/>
      <c r="T36" s="49"/>
      <c r="U36" s="49"/>
      <c r="V36" s="49"/>
      <c r="X36" s="99" t="str">
        <f t="shared" si="0"/>
        <v/>
      </c>
      <c r="Y36" s="100" t="str">
        <f t="shared" si="1"/>
        <v/>
      </c>
      <c r="Z36" s="99" t="str">
        <f t="shared" si="2"/>
        <v/>
      </c>
      <c r="AA36" s="101" t="str">
        <f t="shared" si="3"/>
        <v/>
      </c>
      <c r="AB36" s="100" t="str">
        <f t="shared" si="4"/>
        <v/>
      </c>
      <c r="AC36" s="100" t="str">
        <f t="shared" si="5"/>
        <v/>
      </c>
      <c r="AD36" s="105" t="str">
        <f>IF(Z36="","",AX36)</f>
        <v/>
      </c>
      <c r="AE36" s="104"/>
      <c r="AF36" s="97"/>
      <c r="AG36" s="97"/>
      <c r="AH36" s="97"/>
      <c r="AI36" s="104"/>
      <c r="AJ36" s="97"/>
      <c r="AK36" s="104"/>
      <c r="AL36" s="104">
        <f t="shared" si="6"/>
        <v>0</v>
      </c>
      <c r="AM36" s="97"/>
      <c r="AN36" s="97">
        <f t="shared" si="7"/>
        <v>0</v>
      </c>
      <c r="AO36" s="104">
        <f t="shared" si="8"/>
        <v>0</v>
      </c>
      <c r="AP36" s="397">
        <f t="shared" si="9"/>
        <v>0</v>
      </c>
      <c r="AR36" s="104">
        <f>RADIANS(AE36)</f>
        <v>0</v>
      </c>
      <c r="AS36" s="104">
        <f>RADIANS(AG36)</f>
        <v>0</v>
      </c>
      <c r="AT36" s="104">
        <f>RADIANS(AH36)</f>
        <v>0</v>
      </c>
      <c r="AU36" s="104">
        <f>RADIANS(AJ36)</f>
        <v>0</v>
      </c>
      <c r="AV36" s="104">
        <f t="shared" si="10"/>
        <v>0</v>
      </c>
      <c r="AW36" s="104">
        <f t="shared" si="11"/>
        <v>0</v>
      </c>
      <c r="AX36" s="97">
        <f t="shared" si="12"/>
        <v>0</v>
      </c>
    </row>
    <row r="37" spans="1:50" x14ac:dyDescent="0.25">
      <c r="A37" s="51">
        <v>17</v>
      </c>
      <c r="B37" s="49" t="str">
        <f>IF($A37="","",VLOOKUP($A37,'list of waypoints'!$A$2:'list of waypoints'!$F$126,2))</f>
        <v>CIP 10</v>
      </c>
      <c r="C37" s="96">
        <f>IF($A37="","",VLOOKUP($A37,'list of waypoints'!$A$2:$F$2001,3))</f>
        <v>4651.2539999999999</v>
      </c>
      <c r="D37" s="49" t="str">
        <f>IF($A37="","",VLOOKUP($A37,'list of waypoints'!$A$2:$F$2001,4))</f>
        <v>N</v>
      </c>
      <c r="E37" s="96">
        <f>IF($A37="","",VLOOKUP($A37,'list of waypoints'!$A$2:$F$2001,5))</f>
        <v>7100.12</v>
      </c>
      <c r="F37" s="49" t="str">
        <f>IF($A37="","",VLOOKUP($A37,'list of waypoints'!$A$2:$F$2001,6))</f>
        <v>W</v>
      </c>
      <c r="G37" s="106" t="str">
        <f t="shared" si="13"/>
        <v/>
      </c>
      <c r="H37" s="107" t="str">
        <f t="shared" si="14"/>
        <v/>
      </c>
      <c r="I37" s="49"/>
      <c r="J37" s="116"/>
      <c r="K37" s="116"/>
      <c r="L37" s="116"/>
      <c r="M37" s="107">
        <f t="shared" ref="M37" si="164">M35-H36</f>
        <v>12.011192246114883</v>
      </c>
      <c r="N37" s="107">
        <f t="shared" ref="N37" si="165">N35+H36</f>
        <v>112.41392657554702</v>
      </c>
      <c r="O37" s="95">
        <f t="shared" si="15"/>
        <v>0</v>
      </c>
      <c r="P37" s="49"/>
      <c r="Q37" s="49"/>
      <c r="R37" s="49"/>
      <c r="S37" s="49"/>
      <c r="T37" s="49"/>
      <c r="U37" s="49"/>
      <c r="V37" s="49"/>
      <c r="X37" s="99">
        <f t="shared" si="0"/>
        <v>46</v>
      </c>
      <c r="Y37" s="100">
        <f t="shared" si="1"/>
        <v>51.254000000000133</v>
      </c>
      <c r="Z37" s="99" t="str">
        <f t="shared" si="2"/>
        <v>N</v>
      </c>
      <c r="AA37" s="101">
        <f t="shared" si="3"/>
        <v>71</v>
      </c>
      <c r="AB37" s="100">
        <f t="shared" si="4"/>
        <v>0.11999999999972033</v>
      </c>
      <c r="AC37" s="100" t="str">
        <f t="shared" si="5"/>
        <v>W</v>
      </c>
      <c r="AD37" s="105">
        <f>IF(Z37="","",AX37)</f>
        <v>2.7980165942260551</v>
      </c>
      <c r="AE37" s="104">
        <f t="shared" ref="AE37" si="166">IF(Z37="N",X37+(Y37/60),-(X37+(Y37/60)))</f>
        <v>46.854233333333333</v>
      </c>
      <c r="AF37" s="97">
        <f t="shared" ref="AF37" si="167">(7915.704468*LOG10(TAN(((45+AE37/2))*PI()/180)))-(23.268932*(SIN(AE37*PI()/180)))-(0.0525*(SIN(AE37*PI()/180)))</f>
        <v>3172.8912494215824</v>
      </c>
      <c r="AG37" s="97">
        <f t="shared" ref="AG37" si="168">IF(AC37="E",AA37+(AB37/60),-(AA37+(AB37/60)))</f>
        <v>-71.001999999999995</v>
      </c>
      <c r="AH37" s="97">
        <f t="shared" ref="AH37" si="169">IF(Z39="N",X39+(Y39/60),-(X39+(Y39/60)))</f>
        <v>46.839866666666666</v>
      </c>
      <c r="AI37" s="104">
        <f t="shared" ref="AI37" si="170">(7915.704468*LOG10(TAN(((45+(AH37/2))*PI()/180)))-(23.268932*(SIN(AH37*PI()/180)))-(0.0525*(SIN(AH37*PI()/180))))</f>
        <v>3171.6349197186087</v>
      </c>
      <c r="AJ37" s="104">
        <f t="shared" ref="AJ37" si="171">IF(AC39="E",AA39+(AB39/60),-(AA39+(AB39/60)))</f>
        <v>-71.06686666666667</v>
      </c>
      <c r="AK37" s="104">
        <f t="shared" ref="AK37" si="172">IF((AH37-AE37)=0,(AH37-AE37)*60+0.001,(AH37-AE37)*60)</f>
        <v>-0.86200000000005161</v>
      </c>
      <c r="AL37" s="104">
        <f t="shared" si="6"/>
        <v>-1.2563297029737441</v>
      </c>
      <c r="AM37" s="97">
        <f t="shared" ref="AM37" si="173">(AJ37-AG37)*60</f>
        <v>-3.8920000000004507</v>
      </c>
      <c r="AN37" s="97">
        <f t="shared" si="7"/>
        <v>72.110025865155336</v>
      </c>
      <c r="AO37" s="104">
        <f t="shared" si="8"/>
        <v>2.8060800231473513</v>
      </c>
      <c r="AP37" s="397">
        <f t="shared" si="9"/>
        <v>252.11002586515534</v>
      </c>
      <c r="AR37" s="104">
        <f>RADIANS(AE37)</f>
        <v>0.81776064016434447</v>
      </c>
      <c r="AS37" s="104">
        <f>RADIANS(AG37)</f>
        <v>-1.2392186755010137</v>
      </c>
      <c r="AT37" s="104">
        <f>RADIANS(AH37)</f>
        <v>0.81750989452847467</v>
      </c>
      <c r="AU37" s="104">
        <f>RADIANS(AJ37)</f>
        <v>-1.2403508124091409</v>
      </c>
      <c r="AV37" s="104">
        <f t="shared" si="10"/>
        <v>-1.1321369081271904E-3</v>
      </c>
      <c r="AW37" s="104">
        <f t="shared" si="11"/>
        <v>-2.5074563586979792E-4</v>
      </c>
      <c r="AX37" s="97">
        <f t="shared" si="12"/>
        <v>2.7980165942260551</v>
      </c>
    </row>
    <row r="38" spans="1:50" x14ac:dyDescent="0.25">
      <c r="A38" s="51"/>
      <c r="B38" s="49" t="str">
        <f>IF($A38="","",VLOOKUP($A38,'list of waypoints'!$A$2:'list of waypoints'!$F$126,2))</f>
        <v/>
      </c>
      <c r="C38" s="96" t="str">
        <f>IF($A38="","",VLOOKUP($A38,'list of waypoints'!$A$2:$F$2001,3))</f>
        <v/>
      </c>
      <c r="D38" s="49" t="str">
        <f>IF($A38="","",VLOOKUP($A38,'list of waypoints'!$A$2:$F$2001,4))</f>
        <v/>
      </c>
      <c r="E38" s="96" t="str">
        <f>IF($A38="","",VLOOKUP($A38,'list of waypoints'!$A$2:$F$2001,5))</f>
        <v/>
      </c>
      <c r="F38" s="49" t="str">
        <f>IF($A38="","",VLOOKUP($A38,'list of waypoints'!$A$2:$F$2001,6))</f>
        <v/>
      </c>
      <c r="G38" s="106">
        <f t="shared" si="13"/>
        <v>252.11002586515534</v>
      </c>
      <c r="H38" s="107">
        <f t="shared" si="14"/>
        <v>2.8060800231473513</v>
      </c>
      <c r="I38" s="49"/>
      <c r="J38" s="116"/>
      <c r="K38" s="116"/>
      <c r="L38" s="116"/>
      <c r="M38" s="107"/>
      <c r="N38" s="107" t="str">
        <f t="shared" si="33"/>
        <v/>
      </c>
      <c r="O38" s="95">
        <f t="shared" si="15"/>
        <v>0</v>
      </c>
      <c r="P38" s="49"/>
      <c r="Q38" s="49">
        <f>O38-P38-'cover page'!L36</f>
        <v>0</v>
      </c>
      <c r="R38" s="49"/>
      <c r="S38" s="49"/>
      <c r="T38" s="49"/>
      <c r="U38" s="49"/>
      <c r="V38" s="49"/>
      <c r="X38" s="99" t="str">
        <f t="shared" si="0"/>
        <v/>
      </c>
      <c r="Y38" s="100" t="str">
        <f t="shared" si="1"/>
        <v/>
      </c>
      <c r="Z38" s="99" t="str">
        <f t="shared" si="2"/>
        <v/>
      </c>
      <c r="AA38" s="101" t="str">
        <f t="shared" si="3"/>
        <v/>
      </c>
      <c r="AB38" s="100" t="str">
        <f t="shared" si="4"/>
        <v/>
      </c>
      <c r="AC38" s="100" t="str">
        <f t="shared" si="5"/>
        <v/>
      </c>
      <c r="AD38" s="105" t="str">
        <f>IF(Z38="","",AX38)</f>
        <v/>
      </c>
      <c r="AE38" s="104"/>
      <c r="AF38" s="97"/>
      <c r="AG38" s="97"/>
      <c r="AH38" s="97"/>
      <c r="AI38" s="104"/>
      <c r="AJ38" s="97"/>
      <c r="AK38" s="104"/>
      <c r="AL38" s="104">
        <f t="shared" si="6"/>
        <v>0</v>
      </c>
      <c r="AM38" s="97"/>
      <c r="AN38" s="97">
        <f t="shared" si="7"/>
        <v>0</v>
      </c>
      <c r="AO38" s="104">
        <f t="shared" si="8"/>
        <v>0</v>
      </c>
      <c r="AP38" s="397">
        <f t="shared" si="9"/>
        <v>0</v>
      </c>
      <c r="AR38" s="104">
        <f>RADIANS(AE38)</f>
        <v>0</v>
      </c>
      <c r="AS38" s="104">
        <f>RADIANS(AG38)</f>
        <v>0</v>
      </c>
      <c r="AT38" s="104">
        <f>RADIANS(AH38)</f>
        <v>0</v>
      </c>
      <c r="AU38" s="104">
        <f>RADIANS(AJ38)</f>
        <v>0</v>
      </c>
      <c r="AV38" s="104">
        <f t="shared" si="10"/>
        <v>0</v>
      </c>
      <c r="AW38" s="104">
        <f t="shared" si="11"/>
        <v>0</v>
      </c>
      <c r="AX38" s="97">
        <f t="shared" si="12"/>
        <v>0</v>
      </c>
    </row>
    <row r="39" spans="1:50" x14ac:dyDescent="0.25">
      <c r="A39" s="51">
        <v>18</v>
      </c>
      <c r="B39" s="49" t="str">
        <f>IF($A39="","",VLOOKUP($A39,'list of waypoints'!$A$2:'list of waypoints'!$F$126,2))</f>
        <v>Power Cables</v>
      </c>
      <c r="C39" s="96">
        <f>IF($A39="","",VLOOKUP($A39,'list of waypoints'!$A$2:$F$2001,3))</f>
        <v>4650.3919999999998</v>
      </c>
      <c r="D39" s="49" t="str">
        <f>IF($A39="","",VLOOKUP($A39,'list of waypoints'!$A$2:$F$2001,4))</f>
        <v>N</v>
      </c>
      <c r="E39" s="96">
        <f>IF($A39="","",VLOOKUP($A39,'list of waypoints'!$A$2:$F$2001,5))</f>
        <v>7104.0119999999997</v>
      </c>
      <c r="F39" s="49" t="str">
        <f>IF($A39="","",VLOOKUP($A39,'list of waypoints'!$A$2:$F$2001,6))</f>
        <v>W</v>
      </c>
      <c r="G39" s="106" t="str">
        <f t="shared" si="13"/>
        <v/>
      </c>
      <c r="H39" s="107" t="str">
        <f t="shared" si="14"/>
        <v/>
      </c>
      <c r="I39" s="49"/>
      <c r="J39" s="116"/>
      <c r="K39" s="116"/>
      <c r="L39" s="116"/>
      <c r="M39" s="107">
        <f t="shared" ref="M39" si="174">M37-H38</f>
        <v>9.2051122229675322</v>
      </c>
      <c r="N39" s="107">
        <f t="shared" ref="N39" si="175">N37+H38</f>
        <v>115.22000659869437</v>
      </c>
      <c r="O39" s="95">
        <f t="shared" si="15"/>
        <v>0</v>
      </c>
      <c r="P39" s="49"/>
      <c r="Q39" s="49"/>
      <c r="R39" s="49"/>
      <c r="S39" s="49"/>
      <c r="T39" s="49"/>
      <c r="U39" s="49"/>
      <c r="V39" s="49"/>
      <c r="X39" s="99">
        <f t="shared" si="0"/>
        <v>46</v>
      </c>
      <c r="Y39" s="100">
        <f t="shared" si="1"/>
        <v>50.392000000000081</v>
      </c>
      <c r="Z39" s="99" t="str">
        <f t="shared" si="2"/>
        <v>N</v>
      </c>
      <c r="AA39" s="101">
        <f t="shared" si="3"/>
        <v>71</v>
      </c>
      <c r="AB39" s="100">
        <f t="shared" si="4"/>
        <v>4.012000000000171</v>
      </c>
      <c r="AC39" s="100" t="str">
        <f t="shared" si="5"/>
        <v>W</v>
      </c>
      <c r="AD39" s="105">
        <f>IF(Z39="","",AX39)</f>
        <v>2.6301601422631689</v>
      </c>
      <c r="AE39" s="104">
        <f t="shared" ref="AE39" si="176">IF(Z39="N",X39+(Y39/60),-(X39+(Y39/60)))</f>
        <v>46.839866666666666</v>
      </c>
      <c r="AF39" s="97">
        <f t="shared" ref="AF39" si="177">(7915.704468*LOG10(TAN(((45+AE39/2))*PI()/180)))-(23.268932*(SIN(AE39*PI()/180)))-(0.0525*(SIN(AE39*PI()/180)))</f>
        <v>3171.6349197186087</v>
      </c>
      <c r="AG39" s="97">
        <f t="shared" ref="AG39" si="178">IF(AC39="E",AA39+(AB39/60),-(AA39+(AB39/60)))</f>
        <v>-71.06686666666667</v>
      </c>
      <c r="AH39" s="97">
        <f t="shared" ref="AH39" si="179">IF(Z41="N",X41+(Y41/60),-(X41+(Y41/60)))</f>
        <v>46.839683333333333</v>
      </c>
      <c r="AI39" s="104">
        <f t="shared" ref="AI39" si="180">(7915.704468*LOG10(TAN(((45+(AH39/2))*PI()/180)))-(23.268932*(SIN(AH39*PI()/180)))-(0.0525*(SIN(AH39*PI()/180))))</f>
        <v>3171.6188898538708</v>
      </c>
      <c r="AJ39" s="104">
        <f t="shared" ref="AJ39" si="181">IF(AC41="E",AA41+(AB41/60),-(AA41+(AB41/60)))</f>
        <v>-71.130949999999999</v>
      </c>
      <c r="AK39" s="104">
        <f t="shared" ref="AK39" si="182">IF((AH39-AE39)=0,(AH39-AE39)*60+0.001,(AH39-AE39)*60)</f>
        <v>-1.0999999999938836E-2</v>
      </c>
      <c r="AL39" s="104">
        <f t="shared" si="6"/>
        <v>-1.6029864737902244E-2</v>
      </c>
      <c r="AM39" s="97">
        <f t="shared" ref="AM39" si="183">(AJ39-AG39)*60</f>
        <v>-3.8449999999997431</v>
      </c>
      <c r="AN39" s="97">
        <f t="shared" si="7"/>
        <v>89.761134388909852</v>
      </c>
      <c r="AO39" s="104">
        <f t="shared" si="8"/>
        <v>2.638535524027918</v>
      </c>
      <c r="AP39" s="397">
        <f t="shared" si="9"/>
        <v>269.76113438890985</v>
      </c>
      <c r="AR39" s="104">
        <f>RADIANS(AE39)</f>
        <v>0.81750989452847467</v>
      </c>
      <c r="AS39" s="104">
        <f>RADIANS(AG39)</f>
        <v>-1.2403508124091409</v>
      </c>
      <c r="AT39" s="104">
        <f>RADIANS(AH39)</f>
        <v>0.81750669475817928</v>
      </c>
      <c r="AU39" s="104">
        <f>RADIANS(AJ39)</f>
        <v>-1.2414692775714606</v>
      </c>
      <c r="AV39" s="104">
        <f t="shared" si="10"/>
        <v>-1.1184651623197261E-3</v>
      </c>
      <c r="AW39" s="104">
        <f t="shared" si="11"/>
        <v>-3.1997702953923124E-6</v>
      </c>
      <c r="AX39" s="97">
        <f t="shared" si="12"/>
        <v>2.6301601422631689</v>
      </c>
    </row>
    <row r="40" spans="1:50" x14ac:dyDescent="0.25">
      <c r="A40" s="51"/>
      <c r="B40" s="49" t="str">
        <f>IF($A40="","",VLOOKUP($A40,'list of waypoints'!$A$2:'list of waypoints'!$F$126,2))</f>
        <v/>
      </c>
      <c r="C40" s="96" t="str">
        <f>IF($A40="","",VLOOKUP($A40,'list of waypoints'!$A$2:$F$2001,3))</f>
        <v/>
      </c>
      <c r="D40" s="49" t="str">
        <f>IF($A40="","",VLOOKUP($A40,'list of waypoints'!$A$2:$F$2001,4))</f>
        <v/>
      </c>
      <c r="E40" s="96" t="str">
        <f>IF($A40="","",VLOOKUP($A40,'list of waypoints'!$A$2:$F$2001,5))</f>
        <v/>
      </c>
      <c r="F40" s="49" t="str">
        <f>IF($A40="","",VLOOKUP($A40,'list of waypoints'!$A$2:$F$2001,6))</f>
        <v/>
      </c>
      <c r="G40" s="106">
        <f t="shared" si="13"/>
        <v>269.76113438890985</v>
      </c>
      <c r="H40" s="107">
        <f t="shared" si="14"/>
        <v>2.638535524027918</v>
      </c>
      <c r="I40" s="49"/>
      <c r="J40" s="118"/>
      <c r="K40" s="118"/>
      <c r="L40" s="118"/>
      <c r="M40" s="107"/>
      <c r="N40" s="107" t="str">
        <f t="shared" si="33"/>
        <v/>
      </c>
      <c r="O40" s="95">
        <f t="shared" si="15"/>
        <v>0</v>
      </c>
      <c r="P40" s="49"/>
      <c r="Q40" s="49">
        <f>O40-P40-'cover page'!L38</f>
        <v>0</v>
      </c>
      <c r="R40" s="49"/>
      <c r="S40" s="49"/>
      <c r="T40" s="49"/>
      <c r="U40" s="49"/>
      <c r="V40" s="49"/>
      <c r="X40" s="99" t="str">
        <f t="shared" si="0"/>
        <v/>
      </c>
      <c r="Y40" s="100" t="str">
        <f t="shared" si="1"/>
        <v/>
      </c>
      <c r="Z40" s="99" t="str">
        <f t="shared" si="2"/>
        <v/>
      </c>
      <c r="AA40" s="101" t="str">
        <f t="shared" si="3"/>
        <v/>
      </c>
      <c r="AB40" s="100" t="str">
        <f t="shared" si="4"/>
        <v/>
      </c>
      <c r="AC40" s="100" t="str">
        <f t="shared" si="5"/>
        <v/>
      </c>
      <c r="AD40" s="105" t="str">
        <f>IF(Z40="","",AX40)</f>
        <v/>
      </c>
      <c r="AE40" s="104"/>
      <c r="AF40" s="97"/>
      <c r="AG40" s="97"/>
      <c r="AH40" s="97"/>
      <c r="AI40" s="104"/>
      <c r="AJ40" s="97"/>
      <c r="AK40" s="104"/>
      <c r="AL40" s="104">
        <f t="shared" si="6"/>
        <v>0</v>
      </c>
      <c r="AM40" s="97"/>
      <c r="AN40" s="97">
        <f t="shared" si="7"/>
        <v>0</v>
      </c>
      <c r="AO40" s="104">
        <f t="shared" si="8"/>
        <v>0</v>
      </c>
      <c r="AP40" s="397">
        <f t="shared" si="9"/>
        <v>0</v>
      </c>
      <c r="AR40" s="104">
        <f>RADIANS(AE40)</f>
        <v>0</v>
      </c>
      <c r="AS40" s="104">
        <f>RADIANS(AG40)</f>
        <v>0</v>
      </c>
      <c r="AT40" s="104">
        <f>RADIANS(AH40)</f>
        <v>0</v>
      </c>
      <c r="AU40" s="104">
        <f>RADIANS(AJ40)</f>
        <v>0</v>
      </c>
      <c r="AV40" s="104">
        <f t="shared" si="10"/>
        <v>0</v>
      </c>
      <c r="AW40" s="104">
        <f t="shared" si="11"/>
        <v>0</v>
      </c>
      <c r="AX40" s="97">
        <f t="shared" si="12"/>
        <v>0</v>
      </c>
    </row>
    <row r="41" spans="1:50" x14ac:dyDescent="0.25">
      <c r="A41" s="51">
        <v>19</v>
      </c>
      <c r="B41" s="49" t="str">
        <f>IF($A41="","",VLOOKUP($A41,'list of waypoints'!$A$2:'list of waypoints'!$F$126,2))</f>
        <v>CIP 11</v>
      </c>
      <c r="C41" s="96">
        <f>IF($A41="","",VLOOKUP($A41,'list of waypoints'!$A$2:$F$2001,3))</f>
        <v>4650.3810000000003</v>
      </c>
      <c r="D41" s="49" t="str">
        <f>IF($A41="","",VLOOKUP($A41,'list of waypoints'!$A$2:$F$2001,4))</f>
        <v>N</v>
      </c>
      <c r="E41" s="96">
        <f>IF($A41="","",VLOOKUP($A41,'list of waypoints'!$A$2:$F$2001,5))</f>
        <v>7107.857</v>
      </c>
      <c r="F41" s="49" t="str">
        <f>IF($A41="","",VLOOKUP($A41,'list of waypoints'!$A$2:$F$2001,6))</f>
        <v>W</v>
      </c>
      <c r="G41" s="106" t="str">
        <f t="shared" si="13"/>
        <v/>
      </c>
      <c r="H41" s="107" t="str">
        <f t="shared" si="14"/>
        <v/>
      </c>
      <c r="I41" s="49"/>
      <c r="J41" s="49"/>
      <c r="K41" s="49"/>
      <c r="L41" s="49"/>
      <c r="M41" s="107">
        <f t="shared" ref="M41" si="184">M39-H40</f>
        <v>6.5665766989396142</v>
      </c>
      <c r="N41" s="107">
        <f t="shared" ref="N41" si="185">N39+H40</f>
        <v>117.85854212272228</v>
      </c>
      <c r="O41" s="95">
        <f t="shared" si="15"/>
        <v>0</v>
      </c>
      <c r="P41" s="49"/>
      <c r="Q41" s="49"/>
      <c r="R41" s="49"/>
      <c r="S41" s="49"/>
      <c r="T41" s="49"/>
      <c r="U41" s="49"/>
      <c r="V41" s="49"/>
      <c r="X41" s="99">
        <f t="shared" si="0"/>
        <v>46</v>
      </c>
      <c r="Y41" s="100">
        <f t="shared" si="1"/>
        <v>50.381000000000142</v>
      </c>
      <c r="Z41" s="99" t="str">
        <f t="shared" si="2"/>
        <v>N</v>
      </c>
      <c r="AA41" s="101">
        <f t="shared" si="3"/>
        <v>71</v>
      </c>
      <c r="AB41" s="100">
        <f t="shared" si="4"/>
        <v>7.8569999999999141</v>
      </c>
      <c r="AC41" s="100" t="str">
        <f t="shared" si="5"/>
        <v>W</v>
      </c>
      <c r="AD41" s="105">
        <f>IF(Z41="","",AX41)</f>
        <v>0.92310847792695827</v>
      </c>
      <c r="AE41" s="104">
        <f t="shared" ref="AE41" si="186">IF(Z41="N",X41+(Y41/60),-(X41+(Y41/60)))</f>
        <v>46.839683333333333</v>
      </c>
      <c r="AF41" s="97">
        <f t="shared" ref="AF41" si="187">(7915.704468*LOG10(TAN(((45+AE41/2))*PI()/180)))-(23.268932*(SIN(AE41*PI()/180)))-(0.0525*(SIN(AE41*PI()/180)))</f>
        <v>3171.6188898538708</v>
      </c>
      <c r="AG41" s="97">
        <f t="shared" ref="AG41" si="188">IF(AC41="E",AA41+(AB41/60),-(AA41+(AB41/60)))</f>
        <v>-71.130949999999999</v>
      </c>
      <c r="AH41" s="97">
        <f t="shared" ref="AH41" si="189">IF(Z43="N",X43+(Y43/60),-(X43+(Y43/60)))</f>
        <v>46.842083333333328</v>
      </c>
      <c r="AI41" s="104">
        <f t="shared" ref="AI41" si="190">(7915.704468*LOG10(TAN(((45+(AH41/2))*PI()/180)))-(23.268932*(SIN(AH41*PI()/180)))-(0.0525*(SIN(AH41*PI()/180))))</f>
        <v>3171.8287397123268</v>
      </c>
      <c r="AJ41" s="104">
        <f t="shared" ref="AJ41" si="191">IF(AC43="E",AA43+(AB43/60),-(AA43+(AB43/60)))</f>
        <v>-71.153166666666664</v>
      </c>
      <c r="AK41" s="104">
        <f t="shared" ref="AK41" si="192">IF((AH41-AE41)=0,(AH41-AE41)*60+0.001,(AH41-AE41)*60)</f>
        <v>0.1439999999996644</v>
      </c>
      <c r="AL41" s="104">
        <f t="shared" si="6"/>
        <v>0.20984985845598203</v>
      </c>
      <c r="AM41" s="97">
        <f t="shared" ref="AM41" si="193">(AJ41-AG41)*60</f>
        <v>-1.3329999999999131</v>
      </c>
      <c r="AN41" s="97">
        <f t="shared" si="7"/>
        <v>81.053536686418511</v>
      </c>
      <c r="AO41" s="104">
        <f t="shared" si="8"/>
        <v>0.92597647985316878</v>
      </c>
      <c r="AP41" s="397">
        <f t="shared" si="9"/>
        <v>278.94646331358149</v>
      </c>
      <c r="AR41" s="104">
        <f>RADIANS(AE41)</f>
        <v>0.81750669475817928</v>
      </c>
      <c r="AS41" s="104">
        <f>RADIANS(AG41)</f>
        <v>-1.2414692775714606</v>
      </c>
      <c r="AT41" s="104">
        <f>RADIANS(AH41)</f>
        <v>0.81754858266022712</v>
      </c>
      <c r="AU41" s="104">
        <f>RADIANS(AJ41)</f>
        <v>-1.2418570315536119</v>
      </c>
      <c r="AV41" s="104">
        <f t="shared" si="10"/>
        <v>-3.8775398215129542E-4</v>
      </c>
      <c r="AW41" s="104">
        <f t="shared" si="11"/>
        <v>4.1887902047843539E-5</v>
      </c>
      <c r="AX41" s="97">
        <f t="shared" si="12"/>
        <v>0.92310847792695827</v>
      </c>
    </row>
    <row r="42" spans="1:50" x14ac:dyDescent="0.25">
      <c r="A42" s="51"/>
      <c r="B42" s="49" t="str">
        <f>IF($A42="","",VLOOKUP($A42,'list of waypoints'!$A$2:'list of waypoints'!$F$126,2))</f>
        <v/>
      </c>
      <c r="C42" s="96" t="str">
        <f>IF($A42="","",VLOOKUP($A42,'list of waypoints'!$A$2:$F$2001,3))</f>
        <v/>
      </c>
      <c r="D42" s="49" t="str">
        <f>IF($A42="","",VLOOKUP($A42,'list of waypoints'!$A$2:$F$2001,4))</f>
        <v/>
      </c>
      <c r="E42" s="96" t="str">
        <f>IF($A42="","",VLOOKUP($A42,'list of waypoints'!$A$2:$F$2001,5))</f>
        <v/>
      </c>
      <c r="F42" s="49" t="str">
        <f>IF($A42="","",VLOOKUP($A42,'list of waypoints'!$A$2:$F$2001,6))</f>
        <v/>
      </c>
      <c r="G42" s="106">
        <f t="shared" si="13"/>
        <v>278.94646331358149</v>
      </c>
      <c r="H42" s="107">
        <f t="shared" si="14"/>
        <v>0.92597647985316878</v>
      </c>
      <c r="I42" s="49"/>
      <c r="J42" s="49"/>
      <c r="K42" s="49"/>
      <c r="L42" s="49"/>
      <c r="M42" s="107"/>
      <c r="N42" s="107" t="str">
        <f t="shared" si="33"/>
        <v/>
      </c>
      <c r="O42" s="95">
        <f t="shared" si="15"/>
        <v>0</v>
      </c>
      <c r="P42" s="49"/>
      <c r="Q42" s="49">
        <f>O42-P42-'cover page'!L40</f>
        <v>0</v>
      </c>
      <c r="R42" s="49"/>
      <c r="S42" s="49"/>
      <c r="T42" s="49"/>
      <c r="U42" s="49"/>
      <c r="V42" s="49"/>
      <c r="X42" s="99" t="str">
        <f t="shared" si="0"/>
        <v/>
      </c>
      <c r="Y42" s="100" t="str">
        <f t="shared" si="1"/>
        <v/>
      </c>
      <c r="Z42" s="99" t="str">
        <f t="shared" si="2"/>
        <v/>
      </c>
      <c r="AA42" s="101" t="str">
        <f t="shared" si="3"/>
        <v/>
      </c>
      <c r="AB42" s="100" t="str">
        <f t="shared" si="4"/>
        <v/>
      </c>
      <c r="AC42" s="100" t="str">
        <f t="shared" si="5"/>
        <v/>
      </c>
      <c r="AD42" s="105" t="str">
        <f>IF(Z42="","",AX42)</f>
        <v/>
      </c>
      <c r="AE42" s="104"/>
      <c r="AF42" s="97"/>
      <c r="AG42" s="97"/>
      <c r="AH42" s="97"/>
      <c r="AI42" s="104"/>
      <c r="AJ42" s="97"/>
      <c r="AK42" s="104"/>
      <c r="AL42" s="104">
        <f t="shared" si="6"/>
        <v>0</v>
      </c>
      <c r="AM42" s="97"/>
      <c r="AN42" s="97">
        <f t="shared" si="7"/>
        <v>0</v>
      </c>
      <c r="AO42" s="104">
        <f t="shared" si="8"/>
        <v>0</v>
      </c>
      <c r="AP42" s="397">
        <f t="shared" si="9"/>
        <v>0</v>
      </c>
      <c r="AR42" s="104">
        <f>RADIANS(AE42)</f>
        <v>0</v>
      </c>
      <c r="AS42" s="104">
        <f>RADIANS(AG42)</f>
        <v>0</v>
      </c>
      <c r="AT42" s="104">
        <f>RADIANS(AH42)</f>
        <v>0</v>
      </c>
      <c r="AU42" s="104">
        <f>RADIANS(AJ42)</f>
        <v>0</v>
      </c>
      <c r="AV42" s="104">
        <f t="shared" si="10"/>
        <v>0</v>
      </c>
      <c r="AW42" s="104">
        <f t="shared" si="11"/>
        <v>0</v>
      </c>
      <c r="AX42" s="97">
        <f t="shared" si="12"/>
        <v>0</v>
      </c>
    </row>
    <row r="43" spans="1:50" x14ac:dyDescent="0.25">
      <c r="A43" s="51">
        <v>20</v>
      </c>
      <c r="B43" s="49" t="str">
        <f>IF($A43="","",VLOOKUP($A43,'list of waypoints'!$A$2:'list of waypoints'!$F$126,2))</f>
        <v>Levy Shipyard</v>
      </c>
      <c r="C43" s="96">
        <f>IF($A43="","",VLOOKUP($A43,'list of waypoints'!$A$2:$F$2001,3))</f>
        <v>4650.5249999999996</v>
      </c>
      <c r="D43" s="49" t="str">
        <f>IF($A43="","",VLOOKUP($A43,'list of waypoints'!$A$2:$F$2001,4))</f>
        <v>N</v>
      </c>
      <c r="E43" s="96">
        <f>IF($A43="","",VLOOKUP($A43,'list of waypoints'!$A$2:$F$2001,5))</f>
        <v>7109.19</v>
      </c>
      <c r="F43" s="49" t="str">
        <f>IF($A43="","",VLOOKUP($A43,'list of waypoints'!$A$2:$F$2001,6))</f>
        <v>W</v>
      </c>
      <c r="G43" s="106" t="str">
        <f t="shared" si="13"/>
        <v/>
      </c>
      <c r="H43" s="107" t="str">
        <f t="shared" si="14"/>
        <v/>
      </c>
      <c r="I43" s="49"/>
      <c r="J43" s="49"/>
      <c r="K43" s="49"/>
      <c r="L43" s="49"/>
      <c r="M43" s="107">
        <f t="shared" ref="M43" si="194">M41-H42</f>
        <v>5.640600219086445</v>
      </c>
      <c r="N43" s="107">
        <f t="shared" ref="N43" si="195">N41+H42</f>
        <v>118.78451860257545</v>
      </c>
      <c r="O43" s="95">
        <f t="shared" si="15"/>
        <v>0</v>
      </c>
      <c r="P43" s="49"/>
      <c r="Q43" s="49"/>
      <c r="R43" s="49"/>
      <c r="S43" s="49"/>
      <c r="T43" s="49"/>
      <c r="U43" s="49"/>
      <c r="V43" s="49"/>
      <c r="X43" s="99">
        <f t="shared" si="0"/>
        <v>46</v>
      </c>
      <c r="Y43" s="100">
        <f t="shared" si="1"/>
        <v>50.524999999999665</v>
      </c>
      <c r="Z43" s="99" t="str">
        <f t="shared" si="2"/>
        <v>N</v>
      </c>
      <c r="AA43" s="101">
        <f t="shared" si="3"/>
        <v>71</v>
      </c>
      <c r="AB43" s="100">
        <f t="shared" si="4"/>
        <v>9.189999999999543</v>
      </c>
      <c r="AC43" s="100" t="str">
        <f t="shared" si="5"/>
        <v>W</v>
      </c>
      <c r="AD43" s="105">
        <f>IF(Z43="","",AX43)</f>
        <v>5.6335383822059848</v>
      </c>
      <c r="AE43" s="104">
        <f t="shared" ref="AE43" si="196">IF(Z43="N",X43+(Y43/60),-(X43+(Y43/60)))</f>
        <v>46.842083333333328</v>
      </c>
      <c r="AF43" s="97">
        <f t="shared" ref="AF43" si="197">(7915.704468*LOG10(TAN(((45+AE43/2))*PI()/180)))-(23.268932*(SIN(AE43*PI()/180)))-(0.0525*(SIN(AE43*PI()/180)))</f>
        <v>3171.8287397123268</v>
      </c>
      <c r="AG43" s="97">
        <f t="shared" ref="AG43" si="198">IF(AC43="E",AA43+(AB43/60),-(AA43+(AB43/60)))</f>
        <v>-71.153166666666664</v>
      </c>
      <c r="AH43" s="97">
        <f t="shared" ref="AH43" si="199">IF(Z45="N",X45+(Y45/60),-(X45+(Y45/60)))</f>
        <v>46.768916666666669</v>
      </c>
      <c r="AI43" s="104">
        <f t="shared" ref="AI43" si="200">(7915.704468*LOG10(TAN(((45+(AH43/2))*PI()/180)))-(23.268932*(SIN(AH43*PI()/180)))-(0.0525*(SIN(AH43*PI()/180))))</f>
        <v>3165.4354682226335</v>
      </c>
      <c r="AJ43" s="104">
        <f t="shared" ref="AJ43" si="201">IF(AC45="E",AA45+(AB45/60),-(AA45+(AB45/60)))</f>
        <v>-71.239133333333328</v>
      </c>
      <c r="AK43" s="104">
        <f t="shared" ref="AK43" si="202">IF((AH43-AE43)=0,(AH43-AE43)*60+0.001,(AH43-AE43)*60)</f>
        <v>-4.3899999999995032</v>
      </c>
      <c r="AL43" s="104">
        <f t="shared" si="6"/>
        <v>-6.3932714896932339</v>
      </c>
      <c r="AM43" s="97">
        <f t="shared" ref="AM43" si="203">(AJ43-AG43)*60</f>
        <v>-5.1579999999998449</v>
      </c>
      <c r="AN43" s="97">
        <f t="shared" si="7"/>
        <v>38.896092982866271</v>
      </c>
      <c r="AO43" s="104">
        <f t="shared" si="8"/>
        <v>5.6406002190864237</v>
      </c>
      <c r="AP43" s="397">
        <f t="shared" si="9"/>
        <v>218.89609298286626</v>
      </c>
      <c r="AR43" s="104">
        <f>RADIANS(AE43)</f>
        <v>0.81754858266022712</v>
      </c>
      <c r="AS43" s="104">
        <f>RADIANS(AG43)</f>
        <v>-1.2418570315536119</v>
      </c>
      <c r="AT43" s="104">
        <f>RADIANS(AH43)</f>
        <v>0.81627158342418471</v>
      </c>
      <c r="AU43" s="104">
        <f>RADIANS(AJ43)</f>
        <v>-1.2433574329339097</v>
      </c>
      <c r="AV43" s="104">
        <f t="shared" si="10"/>
        <v>-1.5004013802977223E-3</v>
      </c>
      <c r="AW43" s="104">
        <f t="shared" si="11"/>
        <v>-1.2769992360424087E-3</v>
      </c>
      <c r="AX43" s="97">
        <f t="shared" si="12"/>
        <v>5.6335383822059848</v>
      </c>
    </row>
    <row r="44" spans="1:50" x14ac:dyDescent="0.25">
      <c r="A44" s="51"/>
      <c r="B44" s="49" t="str">
        <f>IF($A44="","",VLOOKUP($A44,'list of waypoints'!$A$2:'list of waypoints'!$F$126,2))</f>
        <v/>
      </c>
      <c r="C44" s="96" t="str">
        <f>IF($A44="","",VLOOKUP($A44,'list of waypoints'!$A$2:$F$2001,3))</f>
        <v/>
      </c>
      <c r="D44" s="49" t="str">
        <f>IF($A44="","",VLOOKUP($A44,'list of waypoints'!$A$2:$F$2001,4))</f>
        <v/>
      </c>
      <c r="E44" s="96" t="str">
        <f>IF($A44="","",VLOOKUP($A44,'list of waypoints'!$A$2:$F$2001,5))</f>
        <v/>
      </c>
      <c r="F44" s="49" t="str">
        <f>IF($A44="","",VLOOKUP($A44,'list of waypoints'!$A$2:$F$2001,6))</f>
        <v/>
      </c>
      <c r="G44" s="106">
        <f t="shared" si="13"/>
        <v>218.89609298286626</v>
      </c>
      <c r="H44" s="107">
        <f t="shared" si="14"/>
        <v>5.6406002190864237</v>
      </c>
      <c r="I44" s="49"/>
      <c r="J44" s="49"/>
      <c r="K44" s="49"/>
      <c r="L44" s="49"/>
      <c r="M44" s="107"/>
      <c r="N44" s="107" t="str">
        <f t="shared" si="33"/>
        <v/>
      </c>
      <c r="O44" s="95">
        <f t="shared" si="15"/>
        <v>0</v>
      </c>
      <c r="P44" s="49"/>
      <c r="Q44" s="49">
        <f>O44-P44-'cover page'!L42</f>
        <v>0</v>
      </c>
      <c r="R44" s="49"/>
      <c r="S44" s="49"/>
      <c r="T44" s="49"/>
      <c r="U44" s="49"/>
      <c r="V44" s="49"/>
      <c r="X44" s="99" t="str">
        <f t="shared" si="0"/>
        <v/>
      </c>
      <c r="Y44" s="100" t="str">
        <f t="shared" si="1"/>
        <v/>
      </c>
      <c r="Z44" s="99" t="str">
        <f t="shared" si="2"/>
        <v/>
      </c>
      <c r="AA44" s="101" t="str">
        <f t="shared" si="3"/>
        <v/>
      </c>
      <c r="AB44" s="100" t="str">
        <f t="shared" si="4"/>
        <v/>
      </c>
      <c r="AC44" s="100" t="str">
        <f t="shared" si="5"/>
        <v/>
      </c>
      <c r="AD44" s="105" t="str">
        <f>IF(Z44="","",AX44)</f>
        <v/>
      </c>
      <c r="AE44" s="104"/>
      <c r="AF44" s="97"/>
      <c r="AG44" s="97"/>
      <c r="AH44" s="97"/>
      <c r="AI44" s="104"/>
      <c r="AJ44" s="97"/>
      <c r="AK44" s="104"/>
      <c r="AL44" s="104">
        <f t="shared" si="6"/>
        <v>0</v>
      </c>
      <c r="AM44" s="97"/>
      <c r="AN44" s="97">
        <f t="shared" si="7"/>
        <v>0</v>
      </c>
      <c r="AO44" s="104">
        <f t="shared" si="8"/>
        <v>0</v>
      </c>
      <c r="AP44" s="397">
        <f t="shared" si="9"/>
        <v>0</v>
      </c>
      <c r="AR44" s="104">
        <f>RADIANS(AE44)</f>
        <v>0</v>
      </c>
      <c r="AS44" s="104">
        <f>RADIANS(AG44)</f>
        <v>0</v>
      </c>
      <c r="AT44" s="104">
        <f>RADIANS(AH44)</f>
        <v>0</v>
      </c>
      <c r="AU44" s="104">
        <f>RADIANS(AJ44)</f>
        <v>0</v>
      </c>
      <c r="AV44" s="104">
        <f t="shared" si="10"/>
        <v>0</v>
      </c>
      <c r="AW44" s="104">
        <f t="shared" si="11"/>
        <v>0</v>
      </c>
      <c r="AX44" s="97">
        <f t="shared" si="12"/>
        <v>0</v>
      </c>
    </row>
    <row r="45" spans="1:50" x14ac:dyDescent="0.25">
      <c r="A45" s="51">
        <v>25</v>
      </c>
      <c r="B45" s="49" t="str">
        <f>IF($A45="","",VLOOKUP($A45,'list of waypoints'!$A$2:'list of waypoints'!$F$126,2))</f>
        <v>Quebec Hbr South</v>
      </c>
      <c r="C45" s="96">
        <f>IF($A45="","",VLOOKUP($A45,'list of waypoints'!$A$2:$F$2001,3))</f>
        <v>4646.1350000000002</v>
      </c>
      <c r="D45" s="49" t="str">
        <f>IF($A45="","",VLOOKUP($A45,'list of waypoints'!$A$2:$F$2001,4))</f>
        <v>N</v>
      </c>
      <c r="E45" s="96">
        <f>IF($A45="","",VLOOKUP($A45,'list of waypoints'!$A$2:$F$2001,5))</f>
        <v>7114.348</v>
      </c>
      <c r="F45" s="49" t="str">
        <f>IF($A45="","",VLOOKUP($A45,'list of waypoints'!$A$2:$F$2001,6))</f>
        <v>W</v>
      </c>
      <c r="G45" s="106" t="str">
        <f t="shared" si="13"/>
        <v/>
      </c>
      <c r="H45" s="107" t="str">
        <f t="shared" si="14"/>
        <v/>
      </c>
      <c r="I45" s="49"/>
      <c r="J45" s="49"/>
      <c r="K45" s="49"/>
      <c r="L45" s="49"/>
      <c r="M45" s="107">
        <f t="shared" ref="M45" si="204">M43-H44</f>
        <v>2.1316282072803006E-14</v>
      </c>
      <c r="N45" s="107">
        <f t="shared" ref="N45" si="205">N43+H44</f>
        <v>124.42511882166187</v>
      </c>
      <c r="O45" s="95">
        <f t="shared" si="15"/>
        <v>0</v>
      </c>
      <c r="P45" s="49"/>
      <c r="Q45" s="49"/>
      <c r="R45" s="49"/>
      <c r="S45" s="49"/>
      <c r="T45" s="49"/>
      <c r="U45" s="49"/>
      <c r="V45" s="49"/>
      <c r="X45" s="99">
        <f t="shared" si="0"/>
        <v>46</v>
      </c>
      <c r="Y45" s="100">
        <f t="shared" si="1"/>
        <v>46.135000000000304</v>
      </c>
      <c r="Z45" s="99" t="str">
        <f t="shared" si="2"/>
        <v>N</v>
      </c>
      <c r="AA45" s="101">
        <f t="shared" si="3"/>
        <v>71</v>
      </c>
      <c r="AB45" s="100">
        <f t="shared" si="4"/>
        <v>14.347999999999672</v>
      </c>
      <c r="AC45" s="100" t="str">
        <f t="shared" si="5"/>
        <v>W</v>
      </c>
      <c r="AD45" s="105" t="e">
        <f>IF(Z45="","",AX45)</f>
        <v>#REF!</v>
      </c>
      <c r="AE45" s="104">
        <f t="shared" ref="AE45" si="206">IF(Z45="N",X45+(Y45/60),-(X45+(Y45/60)))</f>
        <v>46.768916666666669</v>
      </c>
      <c r="AF45" s="97">
        <f t="shared" ref="AF45" si="207">(7915.704468*LOG10(TAN(((45+AE45/2))*PI()/180)))-(23.268932*(SIN(AE45*PI()/180)))-(0.0525*(SIN(AE45*PI()/180)))</f>
        <v>3165.4354682226335</v>
      </c>
      <c r="AG45" s="97">
        <f t="shared" ref="AG45" si="208">IF(AC45="E",AA45+(AB45/60),-(AA45+(AB45/60)))</f>
        <v>-71.239133333333328</v>
      </c>
      <c r="AH45" s="97" t="e">
        <f>IF(#REF!="N",#REF!+(#REF!/60),-(#REF!+(#REF!/60)))</f>
        <v>#REF!</v>
      </c>
      <c r="AI45" s="104" t="e">
        <f t="shared" ref="AI45" si="209">(7915.704468*LOG10(TAN(((45+(AH45/2))*PI()/180)))-(23.268932*(SIN(AH45*PI()/180)))-(0.0525*(SIN(AH45*PI()/180))))</f>
        <v>#REF!</v>
      </c>
      <c r="AJ45" s="104" t="e">
        <f>IF(#REF!="E",#REF!+(#REF!/60),-(#REF!+(#REF!/60)))</f>
        <v>#REF!</v>
      </c>
      <c r="AK45" s="104" t="e">
        <f t="shared" ref="AK45" si="210">IF((AH45-AE45)=0,(AH45-AE45)*60+0.001,(AH45-AE45)*60)</f>
        <v>#REF!</v>
      </c>
      <c r="AL45" s="104" t="e">
        <f t="shared" si="6"/>
        <v>#REF!</v>
      </c>
      <c r="AM45" s="97" t="e">
        <f t="shared" ref="AM45" si="211">(AJ45-AG45)*60</f>
        <v>#REF!</v>
      </c>
      <c r="AN45" s="97" t="e">
        <f t="shared" si="7"/>
        <v>#REF!</v>
      </c>
      <c r="AO45" s="104" t="e">
        <f t="shared" si="8"/>
        <v>#REF!</v>
      </c>
      <c r="AP45" s="397" t="e">
        <f t="shared" si="9"/>
        <v>#REF!</v>
      </c>
      <c r="AR45" s="104">
        <f>RADIANS(AE45)</f>
        <v>0.81627158342418471</v>
      </c>
      <c r="AS45" s="104">
        <f>RADIANS(AG45)</f>
        <v>-1.2433574329339097</v>
      </c>
      <c r="AT45" s="104" t="e">
        <f>RADIANS(AH45)</f>
        <v>#REF!</v>
      </c>
      <c r="AU45" s="104" t="e">
        <f>RADIANS(AJ45)</f>
        <v>#REF!</v>
      </c>
      <c r="AV45" s="104" t="e">
        <f t="shared" si="10"/>
        <v>#REF!</v>
      </c>
      <c r="AW45" s="104" t="e">
        <f t="shared" si="11"/>
        <v>#REF!</v>
      </c>
      <c r="AX45" s="97" t="e">
        <f t="shared" si="12"/>
        <v>#REF!</v>
      </c>
    </row>
  </sheetData>
  <mergeCells count="10">
    <mergeCell ref="A1:B1"/>
    <mergeCell ref="D1:I1"/>
    <mergeCell ref="K1:S1"/>
    <mergeCell ref="A2:B2"/>
    <mergeCell ref="O2:O3"/>
    <mergeCell ref="P2:P3"/>
    <mergeCell ref="Q2:Q3"/>
    <mergeCell ref="M2:N3"/>
    <mergeCell ref="C2:I2"/>
    <mergeCell ref="J3:L3"/>
  </mergeCells>
  <pageMargins left="0.70866141732283472" right="0.70866141732283472" top="0.74803149606299213" bottom="0.74803149606299213" header="0.31496062992125984" footer="0.31496062992125984"/>
  <pageSetup paperSize="5" scale="85" orientation="landscape"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F126"/>
  <sheetViews>
    <sheetView topLeftCell="A43" workbookViewId="0">
      <selection activeCell="J19" sqref="J19"/>
    </sheetView>
  </sheetViews>
  <sheetFormatPr baseColWidth="10" defaultRowHeight="15" x14ac:dyDescent="0.25"/>
  <cols>
    <col min="2" max="2" width="22.7109375" customWidth="1"/>
  </cols>
  <sheetData>
    <row r="1" spans="1:6" x14ac:dyDescent="0.25">
      <c r="A1" s="83" t="s">
        <v>89</v>
      </c>
      <c r="B1" s="84" t="s">
        <v>105</v>
      </c>
      <c r="C1" s="374" t="s">
        <v>153</v>
      </c>
      <c r="D1" s="374"/>
      <c r="E1" s="374" t="s">
        <v>154</v>
      </c>
      <c r="F1" s="374"/>
    </row>
    <row r="2" spans="1:6" x14ac:dyDescent="0.25">
      <c r="A2" s="77">
        <v>1</v>
      </c>
      <c r="B2" s="78" t="s">
        <v>155</v>
      </c>
      <c r="C2" s="79">
        <v>4819</v>
      </c>
      <c r="D2" s="80" t="s">
        <v>100</v>
      </c>
      <c r="E2" s="79">
        <v>6924</v>
      </c>
      <c r="F2" s="80" t="s">
        <v>102</v>
      </c>
    </row>
    <row r="3" spans="1:6" x14ac:dyDescent="0.25">
      <c r="A3" s="77">
        <v>2</v>
      </c>
      <c r="B3" s="78" t="s">
        <v>156</v>
      </c>
      <c r="C3" s="79">
        <v>4806.0069999999996</v>
      </c>
      <c r="D3" s="80" t="s">
        <v>100</v>
      </c>
      <c r="E3" s="79">
        <v>6935.21</v>
      </c>
      <c r="F3" s="80" t="s">
        <v>102</v>
      </c>
    </row>
    <row r="4" spans="1:6" x14ac:dyDescent="0.25">
      <c r="A4" s="77">
        <v>3</v>
      </c>
      <c r="B4" s="78" t="s">
        <v>157</v>
      </c>
      <c r="C4" s="79">
        <v>4745.6030000000001</v>
      </c>
      <c r="D4" s="80" t="s">
        <v>100</v>
      </c>
      <c r="E4" s="79">
        <v>6952.41</v>
      </c>
      <c r="F4" s="80" t="s">
        <v>102</v>
      </c>
    </row>
    <row r="5" spans="1:6" x14ac:dyDescent="0.25">
      <c r="A5" s="77">
        <v>4</v>
      </c>
      <c r="B5" s="78" t="s">
        <v>158</v>
      </c>
      <c r="C5" s="79">
        <v>4741.57</v>
      </c>
      <c r="D5" s="80" t="s">
        <v>100</v>
      </c>
      <c r="E5" s="79">
        <v>6958.0879999999997</v>
      </c>
      <c r="F5" s="80" t="s">
        <v>102</v>
      </c>
    </row>
    <row r="6" spans="1:6" x14ac:dyDescent="0.25">
      <c r="A6" s="77">
        <v>5</v>
      </c>
      <c r="B6" s="78" t="s">
        <v>159</v>
      </c>
      <c r="C6" s="79">
        <v>4736.8670000000002</v>
      </c>
      <c r="D6" s="80" t="s">
        <v>100</v>
      </c>
      <c r="E6" s="79">
        <v>7007.0129999999999</v>
      </c>
      <c r="F6" s="80" t="s">
        <v>102</v>
      </c>
    </row>
    <row r="7" spans="1:6" x14ac:dyDescent="0.25">
      <c r="A7" s="77">
        <v>6</v>
      </c>
      <c r="B7" s="78" t="s">
        <v>160</v>
      </c>
      <c r="C7" s="79">
        <v>4728.277</v>
      </c>
      <c r="D7" s="80" t="s">
        <v>100</v>
      </c>
      <c r="E7" s="79">
        <v>7013.5889999999999</v>
      </c>
      <c r="F7" s="80" t="s">
        <v>102</v>
      </c>
    </row>
    <row r="8" spans="1:6" x14ac:dyDescent="0.25">
      <c r="A8" s="77">
        <v>7</v>
      </c>
      <c r="B8" s="78" t="s">
        <v>161</v>
      </c>
      <c r="C8" s="79">
        <v>4726.9870000000001</v>
      </c>
      <c r="D8" s="80" t="s">
        <v>100</v>
      </c>
      <c r="E8" s="79">
        <v>7017.1229999999996</v>
      </c>
      <c r="F8" s="80" t="s">
        <v>102</v>
      </c>
    </row>
    <row r="9" spans="1:6" x14ac:dyDescent="0.25">
      <c r="A9" s="77">
        <v>8</v>
      </c>
      <c r="B9" s="78" t="s">
        <v>162</v>
      </c>
      <c r="C9" s="79">
        <v>4725.4799999999996</v>
      </c>
      <c r="D9" s="80" t="s">
        <v>100</v>
      </c>
      <c r="E9" s="79">
        <v>7026.0929999999998</v>
      </c>
      <c r="F9" s="80" t="s">
        <v>102</v>
      </c>
    </row>
    <row r="10" spans="1:6" x14ac:dyDescent="0.25">
      <c r="A10" s="77">
        <v>9</v>
      </c>
      <c r="B10" s="78" t="s">
        <v>163</v>
      </c>
      <c r="C10" s="79">
        <v>4715.9979999999996</v>
      </c>
      <c r="D10" s="80" t="s">
        <v>100</v>
      </c>
      <c r="E10" s="79">
        <v>7032.3469999999998</v>
      </c>
      <c r="F10" s="80" t="s">
        <v>102</v>
      </c>
    </row>
    <row r="11" spans="1:6" x14ac:dyDescent="0.25">
      <c r="A11" s="77">
        <v>10</v>
      </c>
      <c r="B11" s="78" t="s">
        <v>164</v>
      </c>
      <c r="C11" s="79">
        <v>4712.2299999999996</v>
      </c>
      <c r="D11" s="80" t="s">
        <v>100</v>
      </c>
      <c r="E11" s="79">
        <v>7036.0190000000002</v>
      </c>
      <c r="F11" s="80" t="s">
        <v>102</v>
      </c>
    </row>
    <row r="12" spans="1:6" x14ac:dyDescent="0.25">
      <c r="A12" s="77">
        <v>11</v>
      </c>
      <c r="B12" s="78" t="s">
        <v>165</v>
      </c>
      <c r="C12" s="79">
        <v>4711.2860000000001</v>
      </c>
      <c r="D12" s="80" t="s">
        <v>100</v>
      </c>
      <c r="E12" s="79">
        <v>7037.2460000000001</v>
      </c>
      <c r="F12" s="80" t="s">
        <v>102</v>
      </c>
    </row>
    <row r="13" spans="1:6" x14ac:dyDescent="0.25">
      <c r="A13" s="77">
        <v>12</v>
      </c>
      <c r="B13" s="78" t="s">
        <v>166</v>
      </c>
      <c r="C13" s="79">
        <v>4709.5169999999998</v>
      </c>
      <c r="D13" s="80" t="s">
        <v>100</v>
      </c>
      <c r="E13" s="79">
        <v>7039.5150000000003</v>
      </c>
      <c r="F13" s="80" t="s">
        <v>102</v>
      </c>
    </row>
    <row r="14" spans="1:6" x14ac:dyDescent="0.25">
      <c r="A14" s="77">
        <v>13</v>
      </c>
      <c r="B14" s="78" t="s">
        <v>167</v>
      </c>
      <c r="C14" s="79">
        <v>4706.6440000000002</v>
      </c>
      <c r="D14" s="80" t="s">
        <v>100</v>
      </c>
      <c r="E14" s="79">
        <v>7042.3159999999998</v>
      </c>
      <c r="F14" s="80" t="s">
        <v>102</v>
      </c>
    </row>
    <row r="15" spans="1:6" x14ac:dyDescent="0.25">
      <c r="A15" s="77">
        <v>14</v>
      </c>
      <c r="B15" s="78" t="s">
        <v>168</v>
      </c>
      <c r="C15" s="79">
        <v>4703.8379999999997</v>
      </c>
      <c r="D15" s="80" t="s">
        <v>100</v>
      </c>
      <c r="E15" s="79">
        <v>7044.1279999999997</v>
      </c>
      <c r="F15" s="80" t="s">
        <v>102</v>
      </c>
    </row>
    <row r="16" spans="1:6" x14ac:dyDescent="0.25">
      <c r="A16" s="77">
        <v>15</v>
      </c>
      <c r="B16" s="78" t="s">
        <v>169</v>
      </c>
      <c r="C16" s="79">
        <v>4654.2870000000003</v>
      </c>
      <c r="D16" s="80" t="s">
        <v>100</v>
      </c>
      <c r="E16" s="79">
        <v>7053.3090000000002</v>
      </c>
      <c r="F16" s="80" t="s">
        <v>102</v>
      </c>
    </row>
    <row r="17" spans="1:6" x14ac:dyDescent="0.25">
      <c r="A17" s="77">
        <v>16</v>
      </c>
      <c r="B17" s="78" t="s">
        <v>170</v>
      </c>
      <c r="C17" s="79">
        <v>4651.5529999999999</v>
      </c>
      <c r="D17" s="80" t="s">
        <v>100</v>
      </c>
      <c r="E17" s="79">
        <v>7058.7520000000004</v>
      </c>
      <c r="F17" s="80" t="s">
        <v>102</v>
      </c>
    </row>
    <row r="18" spans="1:6" x14ac:dyDescent="0.25">
      <c r="A18" s="77">
        <v>17</v>
      </c>
      <c r="B18" s="78" t="s">
        <v>171</v>
      </c>
      <c r="C18" s="79">
        <v>4651.2539999999999</v>
      </c>
      <c r="D18" s="80" t="s">
        <v>100</v>
      </c>
      <c r="E18" s="79">
        <v>7100.12</v>
      </c>
      <c r="F18" s="80" t="s">
        <v>102</v>
      </c>
    </row>
    <row r="19" spans="1:6" x14ac:dyDescent="0.25">
      <c r="A19" s="77">
        <v>18</v>
      </c>
      <c r="B19" s="78" t="s">
        <v>172</v>
      </c>
      <c r="C19" s="79">
        <v>4650.3919999999998</v>
      </c>
      <c r="D19" s="80" t="s">
        <v>100</v>
      </c>
      <c r="E19" s="79">
        <v>7104.0119999999997</v>
      </c>
      <c r="F19" s="80" t="s">
        <v>102</v>
      </c>
    </row>
    <row r="20" spans="1:6" x14ac:dyDescent="0.25">
      <c r="A20" s="77">
        <v>19</v>
      </c>
      <c r="B20" s="78" t="s">
        <v>173</v>
      </c>
      <c r="C20" s="79">
        <v>4650.3810000000003</v>
      </c>
      <c r="D20" s="80" t="s">
        <v>100</v>
      </c>
      <c r="E20" s="79">
        <v>7107.857</v>
      </c>
      <c r="F20" s="80" t="s">
        <v>102</v>
      </c>
    </row>
    <row r="21" spans="1:6" x14ac:dyDescent="0.25">
      <c r="A21" s="77">
        <v>20</v>
      </c>
      <c r="B21" s="78" t="s">
        <v>174</v>
      </c>
      <c r="C21" s="79">
        <v>4650.5249999999996</v>
      </c>
      <c r="D21" s="80" t="s">
        <v>100</v>
      </c>
      <c r="E21" s="79">
        <v>7109.19</v>
      </c>
      <c r="F21" s="80" t="s">
        <v>102</v>
      </c>
    </row>
    <row r="22" spans="1:6" x14ac:dyDescent="0.25">
      <c r="A22" s="77">
        <v>21</v>
      </c>
      <c r="B22" s="78" t="s">
        <v>175</v>
      </c>
      <c r="C22" s="79">
        <v>4650.2439999999997</v>
      </c>
      <c r="D22" s="80" t="s">
        <v>100</v>
      </c>
      <c r="E22" s="79">
        <v>7110.4089999999997</v>
      </c>
      <c r="F22" s="80" t="s">
        <v>102</v>
      </c>
    </row>
    <row r="23" spans="1:6" x14ac:dyDescent="0.25">
      <c r="A23" s="77">
        <v>22</v>
      </c>
      <c r="B23" s="78" t="s">
        <v>176</v>
      </c>
      <c r="C23" s="79">
        <v>4649.183</v>
      </c>
      <c r="D23" s="80" t="s">
        <v>100</v>
      </c>
      <c r="E23" s="79">
        <v>7111.5940000000001</v>
      </c>
      <c r="F23" s="80" t="s">
        <v>102</v>
      </c>
    </row>
    <row r="24" spans="1:6" x14ac:dyDescent="0.25">
      <c r="A24" s="77">
        <v>23</v>
      </c>
      <c r="B24" s="78" t="s">
        <v>177</v>
      </c>
      <c r="C24" s="79">
        <v>4648.1610000000001</v>
      </c>
      <c r="D24" s="80" t="s">
        <v>100</v>
      </c>
      <c r="E24" s="79">
        <v>7111.866</v>
      </c>
      <c r="F24" s="80" t="s">
        <v>102</v>
      </c>
    </row>
    <row r="25" spans="1:6" x14ac:dyDescent="0.25">
      <c r="A25" s="77">
        <v>24</v>
      </c>
      <c r="B25" s="78" t="s">
        <v>178</v>
      </c>
      <c r="C25" s="79">
        <v>4647.0789999999997</v>
      </c>
      <c r="D25" s="80" t="s">
        <v>100</v>
      </c>
      <c r="E25" s="79">
        <v>7112.3990000000003</v>
      </c>
      <c r="F25" s="80" t="s">
        <v>102</v>
      </c>
    </row>
    <row r="26" spans="1:6" x14ac:dyDescent="0.25">
      <c r="A26" s="77">
        <v>25</v>
      </c>
      <c r="B26" s="78" t="s">
        <v>179</v>
      </c>
      <c r="C26" s="79">
        <v>4646.1350000000002</v>
      </c>
      <c r="D26" s="80" t="s">
        <v>100</v>
      </c>
      <c r="E26" s="79">
        <v>7114.348</v>
      </c>
      <c r="F26" s="80" t="s">
        <v>102</v>
      </c>
    </row>
    <row r="27" spans="1:6" x14ac:dyDescent="0.25">
      <c r="A27" s="77">
        <v>26</v>
      </c>
      <c r="B27" s="78" t="s">
        <v>180</v>
      </c>
      <c r="C27" s="79">
        <v>4645.1189999999997</v>
      </c>
      <c r="D27" s="80" t="s">
        <v>100</v>
      </c>
      <c r="E27" s="79">
        <v>7116.1019999999999</v>
      </c>
      <c r="F27" s="80" t="s">
        <v>102</v>
      </c>
    </row>
    <row r="28" spans="1:6" x14ac:dyDescent="0.25">
      <c r="A28" s="77">
        <v>27</v>
      </c>
      <c r="B28" s="78" t="s">
        <v>181</v>
      </c>
      <c r="C28" s="79">
        <v>4644.7290000000003</v>
      </c>
      <c r="D28" s="80" t="s">
        <v>100</v>
      </c>
      <c r="E28" s="79">
        <v>7117.3429999999998</v>
      </c>
      <c r="F28" s="80" t="s">
        <v>102</v>
      </c>
    </row>
    <row r="29" spans="1:6" x14ac:dyDescent="0.25">
      <c r="A29" s="77">
        <v>28</v>
      </c>
      <c r="B29" s="78" t="s">
        <v>182</v>
      </c>
      <c r="C29" s="79">
        <v>4643.1629999999996</v>
      </c>
      <c r="D29" s="80" t="s">
        <v>100</v>
      </c>
      <c r="E29" s="79">
        <v>7123.9579999999996</v>
      </c>
      <c r="F29" s="80" t="s">
        <v>102</v>
      </c>
    </row>
    <row r="30" spans="1:6" x14ac:dyDescent="0.25">
      <c r="A30" s="77">
        <v>29</v>
      </c>
      <c r="B30" s="78" t="s">
        <v>183</v>
      </c>
      <c r="C30" s="79">
        <v>4642.7020000000002</v>
      </c>
      <c r="D30" s="80" t="s">
        <v>100</v>
      </c>
      <c r="E30" s="79">
        <v>7127.0429999999997</v>
      </c>
      <c r="F30" s="80" t="s">
        <v>102</v>
      </c>
    </row>
    <row r="31" spans="1:6" x14ac:dyDescent="0.25">
      <c r="A31" s="77">
        <v>30</v>
      </c>
      <c r="B31" s="78" t="s">
        <v>184</v>
      </c>
      <c r="C31" s="79">
        <v>4641.9979999999996</v>
      </c>
      <c r="D31" s="80" t="s">
        <v>100</v>
      </c>
      <c r="E31" s="79">
        <v>7131.6689999999999</v>
      </c>
      <c r="F31" s="80" t="s">
        <v>102</v>
      </c>
    </row>
    <row r="32" spans="1:6" x14ac:dyDescent="0.25">
      <c r="A32" s="77">
        <v>31</v>
      </c>
      <c r="B32" s="78" t="s">
        <v>185</v>
      </c>
      <c r="C32" s="79">
        <v>4641.1270000000004</v>
      </c>
      <c r="D32" s="80" t="s">
        <v>100</v>
      </c>
      <c r="E32" s="79">
        <v>7133.0720000000001</v>
      </c>
      <c r="F32" s="80" t="s">
        <v>102</v>
      </c>
    </row>
    <row r="33" spans="1:6" x14ac:dyDescent="0.25">
      <c r="A33" s="77">
        <v>32</v>
      </c>
      <c r="B33" s="78" t="s">
        <v>186</v>
      </c>
      <c r="C33" s="79">
        <v>4639.9430000000002</v>
      </c>
      <c r="D33" s="80" t="s">
        <v>100</v>
      </c>
      <c r="E33" s="79">
        <v>7136.7759999999998</v>
      </c>
      <c r="F33" s="80" t="s">
        <v>102</v>
      </c>
    </row>
    <row r="34" spans="1:6" x14ac:dyDescent="0.25">
      <c r="A34" s="77">
        <v>33</v>
      </c>
      <c r="B34" s="78" t="s">
        <v>187</v>
      </c>
      <c r="C34" s="79">
        <v>4639.2049999999999</v>
      </c>
      <c r="D34" s="80" t="s">
        <v>100</v>
      </c>
      <c r="E34" s="79">
        <v>7138.4049999999997</v>
      </c>
      <c r="F34" s="80" t="s">
        <v>102</v>
      </c>
    </row>
    <row r="35" spans="1:6" x14ac:dyDescent="0.25">
      <c r="A35" s="77">
        <v>34</v>
      </c>
      <c r="B35" s="78" t="s">
        <v>188</v>
      </c>
      <c r="C35" s="79">
        <v>4638.375</v>
      </c>
      <c r="D35" s="80" t="s">
        <v>100</v>
      </c>
      <c r="E35" s="79">
        <v>7142.0749999999998</v>
      </c>
      <c r="F35" s="80" t="s">
        <v>102</v>
      </c>
    </row>
    <row r="36" spans="1:6" x14ac:dyDescent="0.25">
      <c r="A36" s="77">
        <v>35</v>
      </c>
      <c r="B36" s="78" t="s">
        <v>189</v>
      </c>
      <c r="C36" s="79">
        <v>4638.3440000000001</v>
      </c>
      <c r="D36" s="80" t="s">
        <v>100</v>
      </c>
      <c r="E36" s="79">
        <v>7143.8720000000003</v>
      </c>
      <c r="F36" s="80" t="s">
        <v>102</v>
      </c>
    </row>
    <row r="37" spans="1:6" x14ac:dyDescent="0.25">
      <c r="A37" s="77">
        <v>36</v>
      </c>
      <c r="B37" s="78" t="s">
        <v>190</v>
      </c>
      <c r="C37" s="79">
        <v>4640.8140000000003</v>
      </c>
      <c r="D37" s="80" t="s">
        <v>100</v>
      </c>
      <c r="E37" s="79">
        <v>7150.9189999999999</v>
      </c>
      <c r="F37" s="80" t="s">
        <v>102</v>
      </c>
    </row>
    <row r="38" spans="1:6" x14ac:dyDescent="0.25">
      <c r="A38" s="77">
        <v>37</v>
      </c>
      <c r="B38" s="78" t="s">
        <v>191</v>
      </c>
      <c r="C38" s="79">
        <v>4640.7020000000002</v>
      </c>
      <c r="D38" s="80" t="s">
        <v>100</v>
      </c>
      <c r="E38" s="79">
        <v>7152.7489999999998</v>
      </c>
      <c r="F38" s="80" t="s">
        <v>102</v>
      </c>
    </row>
    <row r="39" spans="1:6" x14ac:dyDescent="0.25">
      <c r="A39" s="77">
        <v>38</v>
      </c>
      <c r="B39" s="78" t="s">
        <v>192</v>
      </c>
      <c r="C39" s="79">
        <v>4639.4309999999996</v>
      </c>
      <c r="D39" s="80" t="s">
        <v>100</v>
      </c>
      <c r="E39" s="79">
        <v>7153.7510000000002</v>
      </c>
      <c r="F39" s="80" t="s">
        <v>102</v>
      </c>
    </row>
    <row r="40" spans="1:6" x14ac:dyDescent="0.25">
      <c r="A40" s="77">
        <v>39</v>
      </c>
      <c r="B40" s="78" t="s">
        <v>193</v>
      </c>
      <c r="C40" s="79">
        <v>4638.1260000000002</v>
      </c>
      <c r="D40" s="80" t="s">
        <v>100</v>
      </c>
      <c r="E40" s="79">
        <v>7155.4610000000002</v>
      </c>
      <c r="F40" s="80" t="s">
        <v>102</v>
      </c>
    </row>
    <row r="41" spans="1:6" x14ac:dyDescent="0.25">
      <c r="A41" s="77">
        <v>40</v>
      </c>
      <c r="B41" s="78" t="s">
        <v>194</v>
      </c>
      <c r="C41" s="79">
        <v>4636.2629999999999</v>
      </c>
      <c r="D41" s="80" t="s">
        <v>100</v>
      </c>
      <c r="E41" s="79">
        <v>7159.17</v>
      </c>
      <c r="F41" s="80" t="s">
        <v>102</v>
      </c>
    </row>
    <row r="42" spans="1:6" x14ac:dyDescent="0.25">
      <c r="A42" s="77">
        <v>41</v>
      </c>
      <c r="B42" s="78" t="s">
        <v>195</v>
      </c>
      <c r="C42" s="79">
        <v>4635.4129999999996</v>
      </c>
      <c r="D42" s="80" t="s">
        <v>100</v>
      </c>
      <c r="E42" s="79">
        <v>7200.3540000000003</v>
      </c>
      <c r="F42" s="80" t="s">
        <v>102</v>
      </c>
    </row>
    <row r="43" spans="1:6" x14ac:dyDescent="0.25">
      <c r="A43" s="77">
        <v>42</v>
      </c>
      <c r="B43" s="78" t="s">
        <v>196</v>
      </c>
      <c r="C43" s="79">
        <v>4634.7169999999996</v>
      </c>
      <c r="D43" s="80" t="s">
        <v>100</v>
      </c>
      <c r="E43" s="79">
        <v>7201.9930000000004</v>
      </c>
      <c r="F43" s="80" t="s">
        <v>102</v>
      </c>
    </row>
    <row r="44" spans="1:6" x14ac:dyDescent="0.25">
      <c r="A44" s="77">
        <v>43</v>
      </c>
      <c r="B44" s="78" t="s">
        <v>197</v>
      </c>
      <c r="C44" s="79">
        <v>4634.0309999999999</v>
      </c>
      <c r="D44" s="80" t="s">
        <v>100</v>
      </c>
      <c r="E44" s="79">
        <v>7203.6149999999998</v>
      </c>
      <c r="F44" s="80" t="s">
        <v>102</v>
      </c>
    </row>
    <row r="45" spans="1:6" x14ac:dyDescent="0.25">
      <c r="A45" s="77">
        <v>44</v>
      </c>
      <c r="B45" s="78" t="s">
        <v>198</v>
      </c>
      <c r="C45" s="79">
        <v>4633.8670000000002</v>
      </c>
      <c r="D45" s="80" t="s">
        <v>100</v>
      </c>
      <c r="E45" s="79">
        <v>7204.6440000000002</v>
      </c>
      <c r="F45" s="80" t="s">
        <v>102</v>
      </c>
    </row>
    <row r="46" spans="1:6" x14ac:dyDescent="0.25">
      <c r="A46" s="77">
        <v>45</v>
      </c>
      <c r="B46" s="78" t="s">
        <v>199</v>
      </c>
      <c r="C46" s="79">
        <v>4633.9179999999997</v>
      </c>
      <c r="D46" s="80" t="s">
        <v>100</v>
      </c>
      <c r="E46" s="79">
        <v>7206.1890000000003</v>
      </c>
      <c r="F46" s="80" t="s">
        <v>102</v>
      </c>
    </row>
    <row r="47" spans="1:6" x14ac:dyDescent="0.25">
      <c r="A47" s="77">
        <v>46</v>
      </c>
      <c r="B47" s="78" t="s">
        <v>200</v>
      </c>
      <c r="C47" s="79">
        <v>4633.8900000000003</v>
      </c>
      <c r="D47" s="80" t="s">
        <v>100</v>
      </c>
      <c r="E47" s="79">
        <v>7206.8190000000004</v>
      </c>
      <c r="F47" s="80" t="s">
        <v>102</v>
      </c>
    </row>
    <row r="48" spans="1:6" x14ac:dyDescent="0.25">
      <c r="A48" s="77">
        <v>47</v>
      </c>
      <c r="B48" s="78" t="s">
        <v>201</v>
      </c>
      <c r="C48" s="79">
        <v>4633.7659999999996</v>
      </c>
      <c r="D48" s="80" t="s">
        <v>100</v>
      </c>
      <c r="E48" s="79">
        <v>7207.4189999999999</v>
      </c>
      <c r="F48" s="80" t="s">
        <v>102</v>
      </c>
    </row>
    <row r="49" spans="1:6" x14ac:dyDescent="0.25">
      <c r="A49" s="77">
        <v>48</v>
      </c>
      <c r="B49" s="78" t="s">
        <v>202</v>
      </c>
      <c r="C49" s="79">
        <v>4633.6229999999996</v>
      </c>
      <c r="D49" s="80" t="s">
        <v>100</v>
      </c>
      <c r="E49" s="79">
        <v>7207.902</v>
      </c>
      <c r="F49" s="80" t="s">
        <v>102</v>
      </c>
    </row>
    <row r="50" spans="1:6" x14ac:dyDescent="0.25">
      <c r="A50" s="77">
        <v>49</v>
      </c>
      <c r="B50" s="78" t="s">
        <v>203</v>
      </c>
      <c r="C50" s="79">
        <v>4633.2020000000002</v>
      </c>
      <c r="D50" s="80" t="s">
        <v>100</v>
      </c>
      <c r="E50" s="79">
        <v>7208.857</v>
      </c>
      <c r="F50" s="80" t="s">
        <v>102</v>
      </c>
    </row>
    <row r="51" spans="1:6" x14ac:dyDescent="0.25">
      <c r="A51" s="77">
        <v>50</v>
      </c>
      <c r="B51" s="78" t="s">
        <v>204</v>
      </c>
      <c r="C51" s="79">
        <v>4632.0050000000001</v>
      </c>
      <c r="D51" s="80" t="s">
        <v>100</v>
      </c>
      <c r="E51" s="79">
        <v>7210.7380000000003</v>
      </c>
      <c r="F51" s="80" t="s">
        <v>102</v>
      </c>
    </row>
    <row r="52" spans="1:6" x14ac:dyDescent="0.25">
      <c r="A52" s="77">
        <v>51</v>
      </c>
      <c r="B52" s="78" t="s">
        <v>205</v>
      </c>
      <c r="C52" s="79">
        <v>4631.4319999999998</v>
      </c>
      <c r="D52" s="80" t="s">
        <v>100</v>
      </c>
      <c r="E52" s="79">
        <v>7212.1819999999998</v>
      </c>
      <c r="F52" s="80" t="s">
        <v>102</v>
      </c>
    </row>
    <row r="53" spans="1:6" x14ac:dyDescent="0.25">
      <c r="A53" s="77">
        <v>52</v>
      </c>
      <c r="B53" s="78" t="s">
        <v>206</v>
      </c>
      <c r="C53" s="79">
        <v>4631.0940000000001</v>
      </c>
      <c r="D53" s="80" t="s">
        <v>100</v>
      </c>
      <c r="E53" s="79">
        <v>7212.8639999999996</v>
      </c>
      <c r="F53" s="80" t="s">
        <v>102</v>
      </c>
    </row>
    <row r="54" spans="1:6" x14ac:dyDescent="0.25">
      <c r="A54" s="77">
        <v>53</v>
      </c>
      <c r="B54" s="78" t="s">
        <v>207</v>
      </c>
      <c r="C54" s="79">
        <v>4630.46</v>
      </c>
      <c r="D54" s="80" t="s">
        <v>100</v>
      </c>
      <c r="E54" s="79">
        <v>7213.6210000000001</v>
      </c>
      <c r="F54" s="80" t="s">
        <v>102</v>
      </c>
    </row>
    <row r="55" spans="1:6" x14ac:dyDescent="0.25">
      <c r="A55" s="77">
        <v>54</v>
      </c>
      <c r="B55" s="78" t="s">
        <v>208</v>
      </c>
      <c r="C55" s="79">
        <v>4629.9769999999999</v>
      </c>
      <c r="D55" s="80" t="s">
        <v>100</v>
      </c>
      <c r="E55" s="79">
        <v>7213.848</v>
      </c>
      <c r="F55" s="80" t="s">
        <v>102</v>
      </c>
    </row>
    <row r="56" spans="1:6" x14ac:dyDescent="0.25">
      <c r="A56" s="77">
        <v>55</v>
      </c>
      <c r="B56" s="78" t="s">
        <v>209</v>
      </c>
      <c r="C56" s="79">
        <v>4628.2420000000002</v>
      </c>
      <c r="D56" s="80" t="s">
        <v>100</v>
      </c>
      <c r="E56" s="79">
        <v>7214.6459999999997</v>
      </c>
      <c r="F56" s="80" t="s">
        <v>102</v>
      </c>
    </row>
    <row r="57" spans="1:6" x14ac:dyDescent="0.25">
      <c r="A57" s="77">
        <v>56</v>
      </c>
      <c r="B57" s="78" t="s">
        <v>210</v>
      </c>
      <c r="C57" s="79">
        <v>4626.902</v>
      </c>
      <c r="D57" s="80" t="s">
        <v>100</v>
      </c>
      <c r="E57" s="79">
        <v>7215.69</v>
      </c>
      <c r="F57" s="80" t="s">
        <v>102</v>
      </c>
    </row>
    <row r="58" spans="1:6" x14ac:dyDescent="0.25">
      <c r="A58" s="77">
        <v>57</v>
      </c>
      <c r="B58" s="78" t="s">
        <v>211</v>
      </c>
      <c r="C58" s="79">
        <v>4626.5140000000001</v>
      </c>
      <c r="D58" s="80" t="s">
        <v>100</v>
      </c>
      <c r="E58" s="79">
        <v>7216.3860000000004</v>
      </c>
      <c r="F58" s="80" t="s">
        <v>102</v>
      </c>
    </row>
    <row r="59" spans="1:6" x14ac:dyDescent="0.25">
      <c r="A59" s="77">
        <v>58</v>
      </c>
      <c r="B59" s="78" t="s">
        <v>212</v>
      </c>
      <c r="C59" s="79">
        <v>4626.4210000000003</v>
      </c>
      <c r="D59" s="80" t="s">
        <v>100</v>
      </c>
      <c r="E59" s="79">
        <v>7217.0150000000003</v>
      </c>
      <c r="F59" s="80" t="s">
        <v>102</v>
      </c>
    </row>
    <row r="60" spans="1:6" x14ac:dyDescent="0.25">
      <c r="A60" s="77">
        <v>59</v>
      </c>
      <c r="B60" s="78" t="s">
        <v>213</v>
      </c>
      <c r="C60" s="79">
        <v>4626.183</v>
      </c>
      <c r="D60" s="80" t="s">
        <v>100</v>
      </c>
      <c r="E60" s="79">
        <v>7220.39</v>
      </c>
      <c r="F60" s="80" t="s">
        <v>102</v>
      </c>
    </row>
    <row r="61" spans="1:6" x14ac:dyDescent="0.25">
      <c r="A61" s="77">
        <v>60</v>
      </c>
      <c r="B61" s="78" t="s">
        <v>214</v>
      </c>
      <c r="C61" s="79">
        <v>4625.9610000000002</v>
      </c>
      <c r="D61" s="80" t="s">
        <v>100</v>
      </c>
      <c r="E61" s="79">
        <v>7221.125</v>
      </c>
      <c r="F61" s="80" t="s">
        <v>102</v>
      </c>
    </row>
    <row r="62" spans="1:6" x14ac:dyDescent="0.25">
      <c r="A62" s="77">
        <v>61</v>
      </c>
      <c r="B62" s="78" t="s">
        <v>215</v>
      </c>
      <c r="C62" s="79">
        <v>4625.0190000000002</v>
      </c>
      <c r="D62" s="80" t="s">
        <v>100</v>
      </c>
      <c r="E62" s="79">
        <v>7222.433</v>
      </c>
      <c r="F62" s="80" t="s">
        <v>102</v>
      </c>
    </row>
    <row r="63" spans="1:6" x14ac:dyDescent="0.25">
      <c r="A63" s="77">
        <v>62</v>
      </c>
      <c r="B63" s="78" t="s">
        <v>216</v>
      </c>
      <c r="C63" s="79">
        <v>4623.05</v>
      </c>
      <c r="D63" s="80" t="s">
        <v>100</v>
      </c>
      <c r="E63" s="79">
        <v>7225.85</v>
      </c>
      <c r="F63" s="80" t="s">
        <v>102</v>
      </c>
    </row>
    <row r="64" spans="1:6" x14ac:dyDescent="0.25">
      <c r="A64" s="77">
        <v>63</v>
      </c>
      <c r="B64" s="78" t="s">
        <v>217</v>
      </c>
      <c r="C64" s="79">
        <v>4622.8810000000003</v>
      </c>
      <c r="D64" s="80" t="s">
        <v>100</v>
      </c>
      <c r="E64" s="79">
        <v>7226.3819999999996</v>
      </c>
      <c r="F64" s="80" t="s">
        <v>102</v>
      </c>
    </row>
    <row r="65" spans="1:6" x14ac:dyDescent="0.25">
      <c r="A65" s="77">
        <v>64</v>
      </c>
      <c r="B65" s="78" t="s">
        <v>218</v>
      </c>
      <c r="C65" s="79">
        <v>4622.59</v>
      </c>
      <c r="D65" s="80" t="s">
        <v>100</v>
      </c>
      <c r="E65" s="79">
        <v>7228.0569999999998</v>
      </c>
      <c r="F65" s="80" t="s">
        <v>102</v>
      </c>
    </row>
    <row r="66" spans="1:6" x14ac:dyDescent="0.25">
      <c r="A66" s="77">
        <v>65</v>
      </c>
      <c r="B66" s="78" t="s">
        <v>219</v>
      </c>
      <c r="C66" s="79">
        <v>4622.1689999999999</v>
      </c>
      <c r="D66" s="80" t="s">
        <v>100</v>
      </c>
      <c r="E66" s="79">
        <v>7229.2160000000003</v>
      </c>
      <c r="F66" s="80" t="s">
        <v>102</v>
      </c>
    </row>
    <row r="67" spans="1:6" x14ac:dyDescent="0.25">
      <c r="A67" s="77">
        <v>66</v>
      </c>
      <c r="B67" s="78" t="s">
        <v>220</v>
      </c>
      <c r="C67" s="79">
        <v>4621.9489999999996</v>
      </c>
      <c r="D67" s="80" t="s">
        <v>100</v>
      </c>
      <c r="E67" s="79">
        <v>7229.58</v>
      </c>
      <c r="F67" s="80" t="s">
        <v>102</v>
      </c>
    </row>
    <row r="68" spans="1:6" x14ac:dyDescent="0.25">
      <c r="A68" s="77">
        <v>67</v>
      </c>
      <c r="B68" s="78" t="s">
        <v>221</v>
      </c>
      <c r="C68" s="79">
        <v>4620.5559999999996</v>
      </c>
      <c r="D68" s="80" t="s">
        <v>100</v>
      </c>
      <c r="E68" s="79">
        <v>7231.1170000000002</v>
      </c>
      <c r="F68" s="80" t="s">
        <v>102</v>
      </c>
    </row>
    <row r="69" spans="1:6" x14ac:dyDescent="0.25">
      <c r="A69" s="77">
        <v>68</v>
      </c>
      <c r="B69" s="78" t="s">
        <v>222</v>
      </c>
      <c r="C69" s="79">
        <v>4619.5839999999998</v>
      </c>
      <c r="D69" s="80" t="s">
        <v>100</v>
      </c>
      <c r="E69" s="79">
        <v>7232.723</v>
      </c>
      <c r="F69" s="80" t="s">
        <v>102</v>
      </c>
    </row>
    <row r="70" spans="1:6" x14ac:dyDescent="0.25">
      <c r="A70" s="77">
        <v>69</v>
      </c>
      <c r="B70" s="78" t="s">
        <v>223</v>
      </c>
      <c r="C70" s="79">
        <v>4618.4480000000003</v>
      </c>
      <c r="D70" s="80" t="s">
        <v>100</v>
      </c>
      <c r="E70" s="79">
        <v>7233.6869999999999</v>
      </c>
      <c r="F70" s="80" t="s">
        <v>102</v>
      </c>
    </row>
    <row r="71" spans="1:6" x14ac:dyDescent="0.25">
      <c r="A71" s="77">
        <v>70</v>
      </c>
      <c r="B71" s="78" t="s">
        <v>224</v>
      </c>
      <c r="C71" s="79">
        <v>4617.95</v>
      </c>
      <c r="D71" s="80" t="s">
        <v>100</v>
      </c>
      <c r="E71" s="79">
        <v>7234.4759999999997</v>
      </c>
      <c r="F71" s="80" t="s">
        <v>102</v>
      </c>
    </row>
    <row r="72" spans="1:6" x14ac:dyDescent="0.25">
      <c r="A72" s="77">
        <v>71</v>
      </c>
      <c r="B72" s="78" t="s">
        <v>225</v>
      </c>
      <c r="C72" s="79">
        <v>4616.43</v>
      </c>
      <c r="D72" s="80" t="s">
        <v>100</v>
      </c>
      <c r="E72" s="79">
        <v>7237.2889999999998</v>
      </c>
      <c r="F72" s="80" t="s">
        <v>102</v>
      </c>
    </row>
    <row r="73" spans="1:6" x14ac:dyDescent="0.25">
      <c r="A73" s="77">
        <v>72</v>
      </c>
      <c r="B73" s="78" t="s">
        <v>226</v>
      </c>
      <c r="C73" s="79">
        <v>4616.0410000000002</v>
      </c>
      <c r="D73" s="80" t="s">
        <v>100</v>
      </c>
      <c r="E73" s="79">
        <v>7238.0169999999998</v>
      </c>
      <c r="F73" s="80" t="s">
        <v>102</v>
      </c>
    </row>
    <row r="74" spans="1:6" x14ac:dyDescent="0.25">
      <c r="A74" s="77">
        <v>73</v>
      </c>
      <c r="B74" s="78" t="s">
        <v>227</v>
      </c>
      <c r="C74" s="79">
        <v>4615.7449999999999</v>
      </c>
      <c r="D74" s="80" t="s">
        <v>100</v>
      </c>
      <c r="E74" s="79">
        <v>7239.09</v>
      </c>
      <c r="F74" s="80" t="s">
        <v>102</v>
      </c>
    </row>
    <row r="75" spans="1:6" x14ac:dyDescent="0.25">
      <c r="A75" s="77">
        <v>74</v>
      </c>
      <c r="B75" s="78" t="s">
        <v>228</v>
      </c>
      <c r="C75" s="79">
        <v>4615.7430000000004</v>
      </c>
      <c r="D75" s="80" t="s">
        <v>100</v>
      </c>
      <c r="E75" s="79">
        <v>7239.7650000000003</v>
      </c>
      <c r="F75" s="80" t="s">
        <v>102</v>
      </c>
    </row>
    <row r="76" spans="1:6" x14ac:dyDescent="0.25">
      <c r="A76" s="77">
        <v>75</v>
      </c>
      <c r="B76" s="78" t="s">
        <v>229</v>
      </c>
      <c r="C76" s="79">
        <v>4615.8580000000002</v>
      </c>
      <c r="D76" s="80" t="s">
        <v>100</v>
      </c>
      <c r="E76" s="79">
        <v>7241.1819999999998</v>
      </c>
      <c r="F76" s="80" t="s">
        <v>102</v>
      </c>
    </row>
    <row r="77" spans="1:6" x14ac:dyDescent="0.25">
      <c r="A77" s="77">
        <v>76</v>
      </c>
      <c r="B77" s="78" t="s">
        <v>230</v>
      </c>
      <c r="C77" s="79">
        <v>4615.8140000000003</v>
      </c>
      <c r="D77" s="80" t="s">
        <v>100</v>
      </c>
      <c r="E77" s="79">
        <v>7241.884</v>
      </c>
      <c r="F77" s="80" t="s">
        <v>102</v>
      </c>
    </row>
    <row r="78" spans="1:6" x14ac:dyDescent="0.25">
      <c r="A78" s="77">
        <v>77</v>
      </c>
      <c r="B78" s="78" t="s">
        <v>231</v>
      </c>
      <c r="C78" s="79">
        <v>4615.6180000000004</v>
      </c>
      <c r="D78" s="80" t="s">
        <v>100</v>
      </c>
      <c r="E78" s="79">
        <v>7242.7380000000003</v>
      </c>
      <c r="F78" s="80" t="s">
        <v>102</v>
      </c>
    </row>
    <row r="79" spans="1:6" x14ac:dyDescent="0.25">
      <c r="A79" s="77">
        <v>78</v>
      </c>
      <c r="B79" s="78" t="s">
        <v>232</v>
      </c>
      <c r="C79" s="79">
        <v>4612.6840000000002</v>
      </c>
      <c r="D79" s="80" t="s">
        <v>100</v>
      </c>
      <c r="E79" s="79">
        <v>7249.02</v>
      </c>
      <c r="F79" s="80" t="s">
        <v>102</v>
      </c>
    </row>
    <row r="80" spans="1:6" x14ac:dyDescent="0.25">
      <c r="A80" s="77">
        <v>79</v>
      </c>
      <c r="B80" s="78" t="s">
        <v>233</v>
      </c>
      <c r="C80" s="79">
        <v>4611.6000000000004</v>
      </c>
      <c r="D80" s="80" t="s">
        <v>100</v>
      </c>
      <c r="E80" s="79">
        <v>7253.3029999999999</v>
      </c>
      <c r="F80" s="80" t="s">
        <v>102</v>
      </c>
    </row>
    <row r="81" spans="1:6" x14ac:dyDescent="0.25">
      <c r="A81" s="77">
        <v>80</v>
      </c>
      <c r="B81" s="78" t="s">
        <v>234</v>
      </c>
      <c r="C81" s="79">
        <v>4611.3050000000003</v>
      </c>
      <c r="D81" s="80" t="s">
        <v>100</v>
      </c>
      <c r="E81" s="79">
        <v>7254.1049999999996</v>
      </c>
      <c r="F81" s="80" t="s">
        <v>102</v>
      </c>
    </row>
    <row r="82" spans="1:6" x14ac:dyDescent="0.25">
      <c r="A82" s="77">
        <v>81</v>
      </c>
      <c r="B82" s="78" t="s">
        <v>235</v>
      </c>
      <c r="C82" s="79">
        <v>4610.9380000000001</v>
      </c>
      <c r="D82" s="80" t="s">
        <v>100</v>
      </c>
      <c r="E82" s="79">
        <v>7254.7849999999999</v>
      </c>
      <c r="F82" s="80" t="s">
        <v>102</v>
      </c>
    </row>
    <row r="83" spans="1:6" x14ac:dyDescent="0.25">
      <c r="A83" s="77">
        <v>82</v>
      </c>
      <c r="B83" s="78" t="s">
        <v>236</v>
      </c>
      <c r="C83" s="79">
        <v>4609.9639999999999</v>
      </c>
      <c r="D83" s="80" t="s">
        <v>100</v>
      </c>
      <c r="E83" s="79">
        <v>7256.1419999999998</v>
      </c>
      <c r="F83" s="80" t="s">
        <v>102</v>
      </c>
    </row>
    <row r="84" spans="1:6" x14ac:dyDescent="0.25">
      <c r="A84" s="81">
        <v>83</v>
      </c>
      <c r="B84" s="78" t="s">
        <v>237</v>
      </c>
      <c r="C84" s="79">
        <v>4609.4889999999996</v>
      </c>
      <c r="D84" s="80" t="s">
        <v>100</v>
      </c>
      <c r="E84" s="79">
        <v>7256.652</v>
      </c>
      <c r="F84" s="80" t="s">
        <v>102</v>
      </c>
    </row>
    <row r="85" spans="1:6" x14ac:dyDescent="0.25">
      <c r="A85" s="81">
        <v>84</v>
      </c>
      <c r="B85" s="78" t="s">
        <v>238</v>
      </c>
      <c r="C85" s="79">
        <v>4608.8959999999997</v>
      </c>
      <c r="D85" s="80" t="s">
        <v>100</v>
      </c>
      <c r="E85" s="79">
        <v>7256.9709999999995</v>
      </c>
      <c r="F85" s="80" t="s">
        <v>102</v>
      </c>
    </row>
    <row r="86" spans="1:6" x14ac:dyDescent="0.25">
      <c r="A86" s="81">
        <v>85</v>
      </c>
      <c r="B86" s="78" t="s">
        <v>239</v>
      </c>
      <c r="C86" s="79">
        <v>4607.4650000000001</v>
      </c>
      <c r="D86" s="80" t="s">
        <v>100</v>
      </c>
      <c r="E86" s="79">
        <v>7257.4470000000001</v>
      </c>
      <c r="F86" s="80" t="s">
        <v>102</v>
      </c>
    </row>
    <row r="87" spans="1:6" x14ac:dyDescent="0.25">
      <c r="A87" s="81">
        <v>86</v>
      </c>
      <c r="B87" s="78" t="s">
        <v>240</v>
      </c>
      <c r="C87" s="79">
        <v>4606.8720000000003</v>
      </c>
      <c r="D87" s="80" t="s">
        <v>100</v>
      </c>
      <c r="E87" s="79">
        <v>7257.8519999999999</v>
      </c>
      <c r="F87" s="80" t="s">
        <v>102</v>
      </c>
    </row>
    <row r="88" spans="1:6" x14ac:dyDescent="0.25">
      <c r="A88" s="81">
        <v>87</v>
      </c>
      <c r="B88" s="78" t="s">
        <v>241</v>
      </c>
      <c r="C88" s="79">
        <v>4606.0219999999999</v>
      </c>
      <c r="D88" s="80" t="s">
        <v>100</v>
      </c>
      <c r="E88" s="79">
        <v>7258.82</v>
      </c>
      <c r="F88" s="80" t="s">
        <v>102</v>
      </c>
    </row>
    <row r="89" spans="1:6" x14ac:dyDescent="0.25">
      <c r="A89" s="81">
        <v>88</v>
      </c>
      <c r="B89" s="78" t="s">
        <v>242</v>
      </c>
      <c r="C89" s="79">
        <v>4605.192</v>
      </c>
      <c r="D89" s="80" t="s">
        <v>100</v>
      </c>
      <c r="E89" s="79">
        <v>7300.3379999999997</v>
      </c>
      <c r="F89" s="80" t="s">
        <v>102</v>
      </c>
    </row>
    <row r="90" spans="1:6" x14ac:dyDescent="0.25">
      <c r="A90" s="81">
        <v>89</v>
      </c>
      <c r="B90" s="78" t="s">
        <v>243</v>
      </c>
      <c r="C90" s="79">
        <v>4604.0020000000004</v>
      </c>
      <c r="D90" s="80" t="s">
        <v>100</v>
      </c>
      <c r="E90" s="79">
        <v>7302.52</v>
      </c>
      <c r="F90" s="80" t="s">
        <v>102</v>
      </c>
    </row>
    <row r="91" spans="1:6" x14ac:dyDescent="0.25">
      <c r="A91" s="81">
        <v>90</v>
      </c>
      <c r="B91" s="78" t="s">
        <v>244</v>
      </c>
      <c r="C91" s="79">
        <v>4603.8050000000003</v>
      </c>
      <c r="D91" s="80" t="s">
        <v>100</v>
      </c>
      <c r="E91" s="79">
        <v>7303.3280000000004</v>
      </c>
      <c r="F91" s="80" t="s">
        <v>102</v>
      </c>
    </row>
    <row r="92" spans="1:6" x14ac:dyDescent="0.25">
      <c r="A92" s="81">
        <v>91</v>
      </c>
      <c r="B92" s="78" t="s">
        <v>245</v>
      </c>
      <c r="C92" s="79">
        <v>4603.6030000000001</v>
      </c>
      <c r="D92" s="80" t="s">
        <v>100</v>
      </c>
      <c r="E92" s="79">
        <v>7305.5640000000003</v>
      </c>
      <c r="F92" s="80" t="s">
        <v>102</v>
      </c>
    </row>
    <row r="93" spans="1:6" x14ac:dyDescent="0.25">
      <c r="A93" s="81">
        <v>92</v>
      </c>
      <c r="B93" s="78" t="s">
        <v>246</v>
      </c>
      <c r="C93" s="79">
        <v>4602.9430000000002</v>
      </c>
      <c r="D93" s="80" t="s">
        <v>100</v>
      </c>
      <c r="E93" s="79">
        <v>7308.723</v>
      </c>
      <c r="F93" s="80" t="s">
        <v>102</v>
      </c>
    </row>
    <row r="94" spans="1:6" x14ac:dyDescent="0.25">
      <c r="A94" s="81">
        <v>93</v>
      </c>
      <c r="B94" s="78" t="s">
        <v>247</v>
      </c>
      <c r="C94" s="79">
        <v>4602.3270000000002</v>
      </c>
      <c r="D94" s="80" t="s">
        <v>100</v>
      </c>
      <c r="E94" s="79">
        <v>7309.8239999999996</v>
      </c>
      <c r="F94" s="80" t="s">
        <v>102</v>
      </c>
    </row>
    <row r="95" spans="1:6" x14ac:dyDescent="0.25">
      <c r="A95" s="81">
        <v>94</v>
      </c>
      <c r="B95" s="78" t="s">
        <v>248</v>
      </c>
      <c r="C95" s="79">
        <v>4600.8950000000004</v>
      </c>
      <c r="D95" s="80" t="s">
        <v>100</v>
      </c>
      <c r="E95" s="79">
        <v>7310.38</v>
      </c>
      <c r="F95" s="80" t="s">
        <v>102</v>
      </c>
    </row>
    <row r="96" spans="1:6" x14ac:dyDescent="0.25">
      <c r="A96" s="81">
        <v>95</v>
      </c>
      <c r="B96" s="78" t="s">
        <v>249</v>
      </c>
      <c r="C96" s="79">
        <v>4559.0640000000003</v>
      </c>
      <c r="D96" s="80" t="s">
        <v>100</v>
      </c>
      <c r="E96" s="79">
        <v>7311.0879999999997</v>
      </c>
      <c r="F96" s="80" t="s">
        <v>102</v>
      </c>
    </row>
    <row r="97" spans="1:6" x14ac:dyDescent="0.25">
      <c r="A97" s="81">
        <v>96</v>
      </c>
      <c r="B97" s="78" t="s">
        <v>250</v>
      </c>
      <c r="C97" s="79">
        <v>4557.2070000000003</v>
      </c>
      <c r="D97" s="80" t="s">
        <v>100</v>
      </c>
      <c r="E97" s="79">
        <v>7312.5379999999996</v>
      </c>
      <c r="F97" s="80" t="s">
        <v>102</v>
      </c>
    </row>
    <row r="98" spans="1:6" x14ac:dyDescent="0.25">
      <c r="A98" s="81">
        <v>97</v>
      </c>
      <c r="B98" s="78" t="s">
        <v>251</v>
      </c>
      <c r="C98" s="79">
        <v>4556.7370000000001</v>
      </c>
      <c r="D98" s="80" t="s">
        <v>100</v>
      </c>
      <c r="E98" s="79">
        <v>7312.7479999999996</v>
      </c>
      <c r="F98" s="80" t="s">
        <v>102</v>
      </c>
    </row>
    <row r="99" spans="1:6" x14ac:dyDescent="0.25">
      <c r="A99" s="81">
        <v>98</v>
      </c>
      <c r="B99" s="78" t="s">
        <v>252</v>
      </c>
      <c r="C99" s="79">
        <v>4554.6809999999996</v>
      </c>
      <c r="D99" s="80" t="s">
        <v>100</v>
      </c>
      <c r="E99" s="79">
        <v>7312.8720000000003</v>
      </c>
      <c r="F99" s="80" t="s">
        <v>102</v>
      </c>
    </row>
    <row r="100" spans="1:6" x14ac:dyDescent="0.25">
      <c r="A100" s="81">
        <v>99</v>
      </c>
      <c r="B100" s="78" t="s">
        <v>253</v>
      </c>
      <c r="C100" s="79">
        <v>4554.183</v>
      </c>
      <c r="D100" s="80" t="s">
        <v>100</v>
      </c>
      <c r="E100" s="79">
        <v>7313.201</v>
      </c>
      <c r="F100" s="80" t="s">
        <v>102</v>
      </c>
    </row>
    <row r="101" spans="1:6" x14ac:dyDescent="0.25">
      <c r="A101" s="81">
        <v>100</v>
      </c>
      <c r="B101" s="78" t="s">
        <v>254</v>
      </c>
      <c r="C101" s="79">
        <v>4553.4120000000003</v>
      </c>
      <c r="D101" s="80" t="s">
        <v>100</v>
      </c>
      <c r="E101" s="79">
        <v>7314.3320000000003</v>
      </c>
      <c r="F101" s="80" t="s">
        <v>102</v>
      </c>
    </row>
    <row r="102" spans="1:6" x14ac:dyDescent="0.25">
      <c r="A102" s="81">
        <v>101</v>
      </c>
      <c r="B102" s="78" t="s">
        <v>255</v>
      </c>
      <c r="C102" s="79">
        <v>4551.6080000000002</v>
      </c>
      <c r="D102" s="80" t="s">
        <v>100</v>
      </c>
      <c r="E102" s="79">
        <v>7316.0219999999999</v>
      </c>
      <c r="F102" s="80" t="s">
        <v>102</v>
      </c>
    </row>
    <row r="103" spans="1:6" x14ac:dyDescent="0.25">
      <c r="A103" s="81">
        <v>102</v>
      </c>
      <c r="B103" s="78" t="s">
        <v>256</v>
      </c>
      <c r="C103" s="79">
        <v>4550.8360000000002</v>
      </c>
      <c r="D103" s="80" t="s">
        <v>100</v>
      </c>
      <c r="E103" s="79">
        <v>7316.4229999999998</v>
      </c>
      <c r="F103" s="80" t="s">
        <v>102</v>
      </c>
    </row>
    <row r="104" spans="1:6" x14ac:dyDescent="0.25">
      <c r="A104" s="81">
        <v>103</v>
      </c>
      <c r="B104" s="78" t="s">
        <v>257</v>
      </c>
      <c r="C104" s="79">
        <v>4550.1229999999996</v>
      </c>
      <c r="D104" s="80" t="s">
        <v>100</v>
      </c>
      <c r="E104" s="79">
        <v>7317.2939999999999</v>
      </c>
      <c r="F104" s="80" t="s">
        <v>102</v>
      </c>
    </row>
    <row r="105" spans="1:6" x14ac:dyDescent="0.25">
      <c r="A105" s="81">
        <v>104</v>
      </c>
      <c r="B105" s="78" t="s">
        <v>258</v>
      </c>
      <c r="C105" s="79">
        <v>4547.2129999999997</v>
      </c>
      <c r="D105" s="80" t="s">
        <v>100</v>
      </c>
      <c r="E105" s="79">
        <v>7320.8209999999999</v>
      </c>
      <c r="F105" s="80" t="s">
        <v>102</v>
      </c>
    </row>
    <row r="106" spans="1:6" x14ac:dyDescent="0.25">
      <c r="A106" s="81">
        <v>105</v>
      </c>
      <c r="B106" s="78" t="s">
        <v>259</v>
      </c>
      <c r="C106" s="79">
        <v>4546.5720000000001</v>
      </c>
      <c r="D106" s="80" t="s">
        <v>100</v>
      </c>
      <c r="E106" s="79">
        <v>7322.183</v>
      </c>
      <c r="F106" s="80" t="s">
        <v>102</v>
      </c>
    </row>
    <row r="107" spans="1:6" x14ac:dyDescent="0.25">
      <c r="A107" s="81">
        <v>106</v>
      </c>
      <c r="B107" s="78" t="s">
        <v>260</v>
      </c>
      <c r="C107" s="79">
        <v>4543.5829999999996</v>
      </c>
      <c r="D107" s="80" t="s">
        <v>100</v>
      </c>
      <c r="E107" s="79">
        <v>7325.4639999999999</v>
      </c>
      <c r="F107" s="80" t="s">
        <v>102</v>
      </c>
    </row>
    <row r="108" spans="1:6" x14ac:dyDescent="0.25">
      <c r="A108" s="81">
        <v>107</v>
      </c>
      <c r="B108" s="78" t="s">
        <v>261</v>
      </c>
      <c r="C108" s="79">
        <v>4543.125</v>
      </c>
      <c r="D108" s="80" t="s">
        <v>100</v>
      </c>
      <c r="E108" s="79">
        <v>7325.9669999999996</v>
      </c>
      <c r="F108" s="80" t="s">
        <v>102</v>
      </c>
    </row>
    <row r="109" spans="1:6" x14ac:dyDescent="0.25">
      <c r="A109" s="81">
        <v>108</v>
      </c>
      <c r="B109" s="78" t="s">
        <v>262</v>
      </c>
      <c r="C109" s="79">
        <v>4542.3670000000002</v>
      </c>
      <c r="D109" s="80" t="s">
        <v>100</v>
      </c>
      <c r="E109" s="79">
        <v>7326.3850000000002</v>
      </c>
      <c r="F109" s="80" t="s">
        <v>102</v>
      </c>
    </row>
    <row r="110" spans="1:6" x14ac:dyDescent="0.25">
      <c r="A110" s="81">
        <v>109</v>
      </c>
      <c r="B110" s="78" t="s">
        <v>263</v>
      </c>
      <c r="C110" s="79">
        <v>4541.7030000000004</v>
      </c>
      <c r="D110" s="80" t="s">
        <v>100</v>
      </c>
      <c r="E110" s="79">
        <v>7326.9989999999998</v>
      </c>
      <c r="F110" s="80" t="s">
        <v>102</v>
      </c>
    </row>
    <row r="111" spans="1:6" x14ac:dyDescent="0.25">
      <c r="A111" s="81">
        <v>110</v>
      </c>
      <c r="B111" s="78" t="s">
        <v>264</v>
      </c>
      <c r="C111" s="79">
        <v>4541.2939999999999</v>
      </c>
      <c r="D111" s="80" t="s">
        <v>100</v>
      </c>
      <c r="E111" s="79">
        <v>7327.2060000000001</v>
      </c>
      <c r="F111" s="80" t="s">
        <v>102</v>
      </c>
    </row>
    <row r="112" spans="1:6" x14ac:dyDescent="0.25">
      <c r="A112" s="81">
        <v>111</v>
      </c>
      <c r="B112" s="78" t="s">
        <v>265</v>
      </c>
      <c r="C112" s="79">
        <v>4540.6719999999996</v>
      </c>
      <c r="D112" s="80" t="s">
        <v>100</v>
      </c>
      <c r="E112" s="79">
        <v>7327.2979999999998</v>
      </c>
      <c r="F112" s="80" t="s">
        <v>102</v>
      </c>
    </row>
    <row r="113" spans="1:6" x14ac:dyDescent="0.25">
      <c r="A113" s="81">
        <v>112</v>
      </c>
      <c r="B113" s="78" t="s">
        <v>266</v>
      </c>
      <c r="C113" s="79">
        <v>4539.915</v>
      </c>
      <c r="D113" s="80" t="s">
        <v>100</v>
      </c>
      <c r="E113" s="79">
        <v>7327.7349999999997</v>
      </c>
      <c r="F113" s="80" t="s">
        <v>102</v>
      </c>
    </row>
    <row r="114" spans="1:6" x14ac:dyDescent="0.25">
      <c r="A114" s="81">
        <v>113</v>
      </c>
      <c r="B114" s="78" t="s">
        <v>267</v>
      </c>
      <c r="C114" s="79">
        <v>4539.0550000000003</v>
      </c>
      <c r="D114" s="80" t="s">
        <v>100</v>
      </c>
      <c r="E114" s="79">
        <v>7328.5150000000003</v>
      </c>
      <c r="F114" s="80" t="s">
        <v>102</v>
      </c>
    </row>
    <row r="115" spans="1:6" x14ac:dyDescent="0.25">
      <c r="A115" s="81">
        <v>114</v>
      </c>
      <c r="B115" s="78" t="s">
        <v>268</v>
      </c>
      <c r="C115" s="79">
        <v>4537.924</v>
      </c>
      <c r="D115" s="80" t="s">
        <v>100</v>
      </c>
      <c r="E115" s="79">
        <v>7329.2610000000004</v>
      </c>
      <c r="F115" s="80" t="s">
        <v>102</v>
      </c>
    </row>
    <row r="116" spans="1:6" x14ac:dyDescent="0.25">
      <c r="A116" s="81">
        <v>115</v>
      </c>
      <c r="B116" s="78" t="s">
        <v>269</v>
      </c>
      <c r="C116" s="79">
        <v>4536.4319999999998</v>
      </c>
      <c r="D116" s="80" t="s">
        <v>100</v>
      </c>
      <c r="E116" s="79">
        <v>7330.2449999999999</v>
      </c>
      <c r="F116" s="80" t="s">
        <v>102</v>
      </c>
    </row>
    <row r="117" spans="1:6" x14ac:dyDescent="0.25">
      <c r="A117" s="81">
        <v>116</v>
      </c>
      <c r="B117" s="78" t="s">
        <v>270</v>
      </c>
      <c r="C117" s="79">
        <v>4535.9049999999997</v>
      </c>
      <c r="D117" s="80" t="s">
        <v>100</v>
      </c>
      <c r="E117" s="79">
        <v>7330.2569999999996</v>
      </c>
      <c r="F117" s="80" t="s">
        <v>102</v>
      </c>
    </row>
    <row r="118" spans="1:6" x14ac:dyDescent="0.25">
      <c r="A118" s="81">
        <v>117</v>
      </c>
      <c r="B118" s="78" t="s">
        <v>271</v>
      </c>
      <c r="C118" s="79">
        <v>4535.165</v>
      </c>
      <c r="D118" s="80" t="s">
        <v>100</v>
      </c>
      <c r="E118" s="79">
        <v>7330.058</v>
      </c>
      <c r="F118" s="80" t="s">
        <v>102</v>
      </c>
    </row>
    <row r="119" spans="1:6" x14ac:dyDescent="0.25">
      <c r="A119" s="81">
        <v>118</v>
      </c>
      <c r="B119" s="78" t="s">
        <v>272</v>
      </c>
      <c r="C119" s="79">
        <v>4534.6350000000002</v>
      </c>
      <c r="D119" s="80" t="s">
        <v>100</v>
      </c>
      <c r="E119" s="79">
        <v>7330.2079999999996</v>
      </c>
      <c r="F119" s="80" t="s">
        <v>102</v>
      </c>
    </row>
    <row r="120" spans="1:6" x14ac:dyDescent="0.25">
      <c r="A120" s="81">
        <v>119</v>
      </c>
      <c r="B120" s="78" t="s">
        <v>273</v>
      </c>
      <c r="C120" s="79">
        <v>4533.4960000000001</v>
      </c>
      <c r="D120" s="80" t="s">
        <v>100</v>
      </c>
      <c r="E120" s="79">
        <v>7330.8789999999999</v>
      </c>
      <c r="F120" s="80" t="s">
        <v>102</v>
      </c>
    </row>
    <row r="121" spans="1:6" x14ac:dyDescent="0.25">
      <c r="A121" s="81">
        <v>120</v>
      </c>
      <c r="B121" s="78" t="s">
        <v>274</v>
      </c>
      <c r="C121" s="79">
        <v>4532.3410000000003</v>
      </c>
      <c r="D121" s="80" t="s">
        <v>100</v>
      </c>
      <c r="E121" s="79">
        <v>7331.8010000000004</v>
      </c>
      <c r="F121" s="80" t="s">
        <v>102</v>
      </c>
    </row>
    <row r="122" spans="1:6" x14ac:dyDescent="0.25">
      <c r="A122" s="81">
        <v>121</v>
      </c>
      <c r="B122" s="82"/>
      <c r="C122" s="79"/>
      <c r="D122" s="80"/>
      <c r="E122" s="79"/>
      <c r="F122" s="80"/>
    </row>
    <row r="123" spans="1:6" x14ac:dyDescent="0.25">
      <c r="A123" s="81">
        <v>122</v>
      </c>
      <c r="B123" s="82"/>
      <c r="C123" s="79"/>
      <c r="D123" s="80"/>
      <c r="E123" s="79"/>
      <c r="F123" s="80"/>
    </row>
    <row r="124" spans="1:6" x14ac:dyDescent="0.25">
      <c r="A124" s="81">
        <v>123</v>
      </c>
      <c r="B124" s="82"/>
      <c r="C124" s="79"/>
      <c r="D124" s="80"/>
      <c r="E124" s="79"/>
      <c r="F124" s="80"/>
    </row>
    <row r="125" spans="1:6" x14ac:dyDescent="0.25">
      <c r="A125" s="81">
        <v>124</v>
      </c>
      <c r="B125" s="82"/>
      <c r="C125" s="79"/>
      <c r="D125" s="80"/>
      <c r="E125" s="79"/>
      <c r="F125" s="80"/>
    </row>
    <row r="126" spans="1:6" x14ac:dyDescent="0.25">
      <c r="A126" s="81">
        <v>125</v>
      </c>
      <c r="B126" s="82"/>
      <c r="C126" s="79"/>
      <c r="D126" s="80"/>
      <c r="E126" s="79"/>
      <c r="F126" s="80"/>
    </row>
  </sheetData>
  <mergeCells count="2">
    <mergeCell ref="C1:D1"/>
    <mergeCell ref="E1:F1"/>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M26"/>
  <sheetViews>
    <sheetView showZeros="0" workbookViewId="0">
      <selection activeCell="C6" sqref="C6"/>
    </sheetView>
  </sheetViews>
  <sheetFormatPr baseColWidth="10" defaultRowHeight="15" x14ac:dyDescent="0.25"/>
  <cols>
    <col min="1" max="1" width="11.42578125" customWidth="1"/>
    <col min="2" max="2" width="46" customWidth="1"/>
    <col min="4" max="4" width="11.28515625" customWidth="1"/>
    <col min="5" max="5" width="4" hidden="1" customWidth="1"/>
    <col min="6" max="6" width="4" customWidth="1"/>
    <col min="7" max="7" width="5.42578125" customWidth="1"/>
    <col min="12" max="12" width="12.42578125" customWidth="1"/>
  </cols>
  <sheetData>
    <row r="1" spans="1:13" x14ac:dyDescent="0.25">
      <c r="B1" s="114" t="s">
        <v>296</v>
      </c>
      <c r="C1" s="375" t="s">
        <v>316</v>
      </c>
      <c r="D1" s="375"/>
      <c r="E1" s="375"/>
    </row>
    <row r="2" spans="1:13" x14ac:dyDescent="0.25">
      <c r="A2" s="376" t="s">
        <v>288</v>
      </c>
      <c r="B2" s="377"/>
      <c r="C2" s="42">
        <v>147.5</v>
      </c>
      <c r="D2" s="42" t="s">
        <v>114</v>
      </c>
      <c r="G2" s="87" t="s">
        <v>278</v>
      </c>
      <c r="H2" s="87" t="s">
        <v>279</v>
      </c>
      <c r="I2" s="87" t="s">
        <v>102</v>
      </c>
      <c r="J2" s="87" t="s">
        <v>277</v>
      </c>
      <c r="K2" s="87" t="s">
        <v>276</v>
      </c>
      <c r="L2" s="87" t="s">
        <v>289</v>
      </c>
      <c r="M2" s="87" t="s">
        <v>275</v>
      </c>
    </row>
    <row r="3" spans="1:13" x14ac:dyDescent="0.25">
      <c r="A3" s="379" t="s">
        <v>108</v>
      </c>
      <c r="B3" s="379"/>
      <c r="C3" s="48">
        <v>22.4</v>
      </c>
      <c r="D3" s="42" t="s">
        <v>114</v>
      </c>
      <c r="G3" s="88">
        <v>4</v>
      </c>
      <c r="H3" s="85">
        <v>24.587</v>
      </c>
      <c r="I3" s="89">
        <v>9208.9500000000007</v>
      </c>
      <c r="J3" s="90">
        <v>2398.6999999999998</v>
      </c>
      <c r="K3" s="90">
        <f>ROUND(J3/($C$2*$C$3),2)</f>
        <v>0.73</v>
      </c>
      <c r="L3" s="88" t="e">
        <f>ROUND(I3/$C$9,2)</f>
        <v>#VALUE!</v>
      </c>
      <c r="M3" s="88" t="e">
        <f>ROUND(L3/($C$2*$C$3*G3),2)</f>
        <v>#VALUE!</v>
      </c>
    </row>
    <row r="4" spans="1:13" x14ac:dyDescent="0.25">
      <c r="A4" s="378" t="s">
        <v>286</v>
      </c>
      <c r="B4" s="378"/>
      <c r="C4" s="76">
        <v>185</v>
      </c>
      <c r="D4" s="44" t="s">
        <v>114</v>
      </c>
      <c r="G4" s="88">
        <v>5</v>
      </c>
      <c r="H4" s="85">
        <v>24.882000000000001</v>
      </c>
      <c r="I4" s="89">
        <v>11693</v>
      </c>
      <c r="J4" s="90">
        <v>2427.4899999999998</v>
      </c>
      <c r="K4" s="90">
        <f t="shared" ref="K4:K21" si="0">ROUND(J4/($C$2*$C$3),2)</f>
        <v>0.73</v>
      </c>
      <c r="L4" s="88" t="e">
        <f t="shared" ref="L4:L26" si="1">ROUND(I4/$C$9,2)</f>
        <v>#VALUE!</v>
      </c>
      <c r="M4" s="88" t="e">
        <f t="shared" ref="M4:M26" si="2">ROUND(L4/($C$2*$C$3*G4),2)</f>
        <v>#VALUE!</v>
      </c>
    </row>
    <row r="5" spans="1:13" x14ac:dyDescent="0.25">
      <c r="A5" s="378" t="s">
        <v>287</v>
      </c>
      <c r="B5" s="378"/>
      <c r="C5" s="76">
        <v>8.1999999999999993</v>
      </c>
      <c r="D5" s="44" t="s">
        <v>114</v>
      </c>
      <c r="G5" s="88">
        <v>6</v>
      </c>
      <c r="H5" s="85">
        <v>25.187000000000001</v>
      </c>
      <c r="I5" s="89">
        <v>14200</v>
      </c>
      <c r="J5" s="90">
        <v>2457.5300000000002</v>
      </c>
      <c r="K5" s="90">
        <f t="shared" si="0"/>
        <v>0.74</v>
      </c>
      <c r="L5" s="88" t="e">
        <f t="shared" si="1"/>
        <v>#VALUE!</v>
      </c>
      <c r="M5" s="88" t="e">
        <f t="shared" si="2"/>
        <v>#VALUE!</v>
      </c>
    </row>
    <row r="6" spans="1:13" x14ac:dyDescent="0.25">
      <c r="A6" s="378" t="s">
        <v>109</v>
      </c>
      <c r="B6" s="378"/>
      <c r="C6" s="76">
        <v>7.18</v>
      </c>
      <c r="D6" s="44" t="s">
        <v>114</v>
      </c>
      <c r="G6" s="88">
        <v>7</v>
      </c>
      <c r="H6" s="85">
        <v>25.652000000000001</v>
      </c>
      <c r="I6" s="89">
        <v>16734.099999999999</v>
      </c>
      <c r="J6" s="90">
        <v>2502.61</v>
      </c>
      <c r="K6" s="90">
        <f t="shared" si="0"/>
        <v>0.76</v>
      </c>
      <c r="L6" s="88" t="e">
        <f t="shared" si="1"/>
        <v>#VALUE!</v>
      </c>
      <c r="M6" s="88" t="e">
        <f t="shared" si="2"/>
        <v>#VALUE!</v>
      </c>
    </row>
    <row r="7" spans="1:13" x14ac:dyDescent="0.25">
      <c r="A7" s="378" t="s">
        <v>110</v>
      </c>
      <c r="B7" s="378"/>
      <c r="C7" s="76">
        <v>0.748</v>
      </c>
      <c r="D7" s="44" t="s">
        <v>114</v>
      </c>
      <c r="G7" s="88">
        <v>8</v>
      </c>
      <c r="H7" s="85">
        <v>26.040900000000001</v>
      </c>
      <c r="I7" s="89">
        <v>19312.7</v>
      </c>
      <c r="J7" s="90">
        <v>2576.46</v>
      </c>
      <c r="K7" s="90">
        <f t="shared" si="0"/>
        <v>0.78</v>
      </c>
      <c r="L7" s="88" t="e">
        <f t="shared" si="1"/>
        <v>#VALUE!</v>
      </c>
      <c r="M7" s="88" t="e">
        <f t="shared" si="2"/>
        <v>#VALUE!</v>
      </c>
    </row>
    <row r="8" spans="1:13" x14ac:dyDescent="0.25">
      <c r="A8" s="378" t="s">
        <v>111</v>
      </c>
      <c r="B8" s="378"/>
      <c r="C8" s="76">
        <v>8</v>
      </c>
      <c r="D8" s="44" t="s">
        <v>281</v>
      </c>
      <c r="G8" s="88">
        <v>9</v>
      </c>
      <c r="H8" s="85">
        <v>27.558</v>
      </c>
      <c r="I8" s="89">
        <v>21978.9</v>
      </c>
      <c r="J8" s="90">
        <v>2688.56</v>
      </c>
      <c r="K8" s="90">
        <f t="shared" si="0"/>
        <v>0.81</v>
      </c>
      <c r="L8" s="88" t="e">
        <f t="shared" si="1"/>
        <v>#VALUE!</v>
      </c>
      <c r="M8" s="88" t="e">
        <f t="shared" si="2"/>
        <v>#VALUE!</v>
      </c>
    </row>
    <row r="9" spans="1:13" x14ac:dyDescent="0.25">
      <c r="A9" s="380" t="s">
        <v>290</v>
      </c>
      <c r="B9" s="381"/>
      <c r="C9" s="91" t="s">
        <v>292</v>
      </c>
      <c r="D9" s="44" t="s">
        <v>291</v>
      </c>
      <c r="G9" s="88">
        <v>10</v>
      </c>
      <c r="H9" s="85">
        <v>28.597000000000001</v>
      </c>
      <c r="I9" s="89">
        <v>24857.1</v>
      </c>
      <c r="J9" s="90">
        <v>2789.92</v>
      </c>
      <c r="K9" s="90">
        <f t="shared" si="0"/>
        <v>0.84</v>
      </c>
      <c r="L9" s="88" t="e">
        <f t="shared" si="1"/>
        <v>#VALUE!</v>
      </c>
      <c r="M9" s="88" t="e">
        <f t="shared" si="2"/>
        <v>#VALUE!</v>
      </c>
    </row>
    <row r="10" spans="1:13" x14ac:dyDescent="0.25">
      <c r="A10" s="92" t="s">
        <v>293</v>
      </c>
      <c r="B10" s="93"/>
      <c r="C10" s="94"/>
      <c r="D10" s="42" t="s">
        <v>295</v>
      </c>
      <c r="G10" s="88"/>
      <c r="H10" s="85"/>
      <c r="I10" s="89"/>
      <c r="J10" s="90"/>
      <c r="K10" s="90"/>
      <c r="L10" s="88"/>
      <c r="M10" s="88"/>
    </row>
    <row r="11" spans="1:13" x14ac:dyDescent="0.25">
      <c r="A11" s="92" t="s">
        <v>294</v>
      </c>
      <c r="B11" s="93"/>
      <c r="C11" s="94"/>
      <c r="D11" s="42" t="s">
        <v>114</v>
      </c>
      <c r="G11" s="88"/>
      <c r="H11" s="85"/>
      <c r="I11" s="89"/>
      <c r="J11" s="90"/>
      <c r="K11" s="90"/>
      <c r="L11" s="88"/>
      <c r="M11" s="88"/>
    </row>
    <row r="12" spans="1:13" x14ac:dyDescent="0.25">
      <c r="A12" s="379" t="s">
        <v>112</v>
      </c>
      <c r="B12" s="379"/>
      <c r="C12" s="42">
        <f>C3*C6</f>
        <v>160.83199999999999</v>
      </c>
      <c r="D12" s="42" t="s">
        <v>114</v>
      </c>
      <c r="G12" s="88">
        <v>11</v>
      </c>
      <c r="H12" s="85">
        <v>29.542999999999999</v>
      </c>
      <c r="I12" s="89">
        <v>27779.200000000001</v>
      </c>
      <c r="J12" s="90">
        <v>2882.2</v>
      </c>
      <c r="K12" s="90">
        <f t="shared" si="0"/>
        <v>0.87</v>
      </c>
      <c r="L12" s="88" t="e">
        <f t="shared" si="1"/>
        <v>#VALUE!</v>
      </c>
      <c r="M12" s="88" t="e">
        <f t="shared" si="2"/>
        <v>#VALUE!</v>
      </c>
    </row>
    <row r="13" spans="1:13" x14ac:dyDescent="0.25">
      <c r="A13" s="379" t="s">
        <v>113</v>
      </c>
      <c r="B13" s="379"/>
      <c r="C13" s="42">
        <f>C4*C5</f>
        <v>1516.9999999999998</v>
      </c>
      <c r="D13" s="42" t="s">
        <v>114</v>
      </c>
      <c r="G13" s="88">
        <v>12</v>
      </c>
      <c r="H13" s="85"/>
      <c r="I13" s="89"/>
      <c r="J13" s="90"/>
      <c r="K13" s="90">
        <f t="shared" si="0"/>
        <v>0</v>
      </c>
      <c r="L13" s="88">
        <v>2800</v>
      </c>
      <c r="M13" s="88">
        <f t="shared" si="2"/>
        <v>7.0000000000000007E-2</v>
      </c>
    </row>
    <row r="14" spans="1:13" x14ac:dyDescent="0.25">
      <c r="G14" s="88"/>
      <c r="H14" s="88"/>
      <c r="I14" s="88"/>
      <c r="J14" s="88"/>
      <c r="K14" s="90">
        <f t="shared" si="0"/>
        <v>0</v>
      </c>
      <c r="L14" s="88" t="e">
        <f t="shared" si="1"/>
        <v>#VALUE!</v>
      </c>
      <c r="M14" s="88" t="e">
        <f t="shared" si="2"/>
        <v>#VALUE!</v>
      </c>
    </row>
    <row r="15" spans="1:13" x14ac:dyDescent="0.25">
      <c r="A15" s="45" t="s">
        <v>115</v>
      </c>
      <c r="B15" s="42" t="s">
        <v>119</v>
      </c>
      <c r="C15" s="42">
        <f>C12/C13</f>
        <v>0.10601977587343442</v>
      </c>
      <c r="D15" s="42" t="s">
        <v>114</v>
      </c>
      <c r="G15" s="88"/>
      <c r="H15" s="88"/>
      <c r="I15" s="88"/>
      <c r="J15" s="88"/>
      <c r="K15" s="90">
        <f t="shared" si="0"/>
        <v>0</v>
      </c>
      <c r="L15" s="88" t="e">
        <f t="shared" si="1"/>
        <v>#VALUE!</v>
      </c>
      <c r="M15" s="88" t="e">
        <f t="shared" si="2"/>
        <v>#VALUE!</v>
      </c>
    </row>
    <row r="16" spans="1:13" x14ac:dyDescent="0.25">
      <c r="A16" s="46" t="s">
        <v>116</v>
      </c>
      <c r="B16" s="42" t="s">
        <v>120</v>
      </c>
      <c r="C16" s="42">
        <f>(C7*((C15)^0.81)*((C8)^2.08))/20</f>
        <v>0.45905228066184051</v>
      </c>
      <c r="D16" s="42" t="s">
        <v>114</v>
      </c>
      <c r="G16" s="88"/>
      <c r="H16" s="88"/>
      <c r="I16" s="88"/>
      <c r="J16" s="88"/>
      <c r="K16" s="90">
        <f t="shared" si="0"/>
        <v>0</v>
      </c>
      <c r="L16" s="88" t="e">
        <f t="shared" si="1"/>
        <v>#VALUE!</v>
      </c>
      <c r="M16" s="88" t="e">
        <f t="shared" si="2"/>
        <v>#VALUE!</v>
      </c>
    </row>
    <row r="17" spans="1:13" x14ac:dyDescent="0.25">
      <c r="G17" s="88"/>
      <c r="H17" s="88"/>
      <c r="I17" s="88"/>
      <c r="J17" s="88"/>
      <c r="K17" s="90">
        <f t="shared" si="0"/>
        <v>0</v>
      </c>
      <c r="L17" s="88" t="e">
        <f t="shared" si="1"/>
        <v>#VALUE!</v>
      </c>
      <c r="M17" s="88" t="e">
        <f t="shared" si="2"/>
        <v>#VALUE!</v>
      </c>
    </row>
    <row r="18" spans="1:13" x14ac:dyDescent="0.25">
      <c r="A18" s="45" t="s">
        <v>117</v>
      </c>
      <c r="B18" s="42" t="s">
        <v>121</v>
      </c>
      <c r="C18" s="42">
        <f>(7.7+20*(1-C7)^2)*C3</f>
        <v>200.92979199999996</v>
      </c>
      <c r="D18" s="42" t="s">
        <v>114</v>
      </c>
      <c r="G18" s="88"/>
      <c r="H18" s="88"/>
      <c r="I18" s="88"/>
      <c r="J18" s="88"/>
      <c r="K18" s="90">
        <f t="shared" si="0"/>
        <v>0</v>
      </c>
      <c r="L18" s="88" t="e">
        <f t="shared" si="1"/>
        <v>#VALUE!</v>
      </c>
      <c r="M18" s="88" t="e">
        <f t="shared" si="2"/>
        <v>#VALUE!</v>
      </c>
    </row>
    <row r="19" spans="1:13" x14ac:dyDescent="0.25">
      <c r="A19" s="47" t="s">
        <v>118</v>
      </c>
      <c r="B19" s="42" t="s">
        <v>122</v>
      </c>
      <c r="C19" s="42">
        <f>((C3*C6)/(C18*C5))</f>
        <v>9.7614486838195555E-2</v>
      </c>
      <c r="D19" s="42" t="s">
        <v>114</v>
      </c>
      <c r="G19" s="88"/>
      <c r="H19" s="88"/>
      <c r="I19" s="88"/>
      <c r="J19" s="88"/>
      <c r="K19" s="90">
        <f t="shared" si="0"/>
        <v>0</v>
      </c>
      <c r="L19" s="88" t="e">
        <f t="shared" si="1"/>
        <v>#VALUE!</v>
      </c>
      <c r="M19" s="88" t="e">
        <f t="shared" si="2"/>
        <v>#VALUE!</v>
      </c>
    </row>
    <row r="20" spans="1:13" x14ac:dyDescent="0.25">
      <c r="A20" s="46"/>
      <c r="B20" s="42" t="s">
        <v>123</v>
      </c>
      <c r="C20" s="42">
        <f>((C7*(C19)^0.81)*((C8)^2.08))/20</f>
        <v>0.42934394090552486</v>
      </c>
      <c r="D20" s="42" t="s">
        <v>114</v>
      </c>
      <c r="G20" s="88"/>
      <c r="H20" s="88"/>
      <c r="I20" s="88"/>
      <c r="J20" s="88"/>
      <c r="K20" s="90">
        <f t="shared" si="0"/>
        <v>0</v>
      </c>
      <c r="L20" s="88" t="e">
        <f t="shared" si="1"/>
        <v>#VALUE!</v>
      </c>
      <c r="M20" s="88" t="e">
        <f t="shared" si="2"/>
        <v>#VALUE!</v>
      </c>
    </row>
    <row r="21" spans="1:13" x14ac:dyDescent="0.25">
      <c r="G21" s="88"/>
      <c r="H21" s="88"/>
      <c r="I21" s="88"/>
      <c r="J21" s="88"/>
      <c r="K21" s="90">
        <f t="shared" si="0"/>
        <v>0</v>
      </c>
      <c r="L21" s="88" t="e">
        <f t="shared" si="1"/>
        <v>#VALUE!</v>
      </c>
      <c r="M21" s="88" t="e">
        <f t="shared" si="2"/>
        <v>#VALUE!</v>
      </c>
    </row>
    <row r="22" spans="1:13" x14ac:dyDescent="0.25">
      <c r="B22" s="42" t="s">
        <v>124</v>
      </c>
      <c r="C22" s="43">
        <f>C16</f>
        <v>0.45905228066184051</v>
      </c>
      <c r="D22" s="42" t="s">
        <v>114</v>
      </c>
      <c r="G22" s="88"/>
      <c r="H22" s="88"/>
      <c r="I22" s="88"/>
      <c r="J22" s="88"/>
      <c r="K22" s="88"/>
      <c r="L22" s="88" t="e">
        <f t="shared" si="1"/>
        <v>#VALUE!</v>
      </c>
      <c r="M22" s="88" t="e">
        <f t="shared" si="2"/>
        <v>#VALUE!</v>
      </c>
    </row>
    <row r="23" spans="1:13" x14ac:dyDescent="0.25">
      <c r="B23" s="42" t="s">
        <v>125</v>
      </c>
      <c r="C23" s="43">
        <f>C20</f>
        <v>0.42934394090552486</v>
      </c>
      <c r="D23" s="42" t="s">
        <v>114</v>
      </c>
      <c r="G23" s="88"/>
      <c r="H23" s="88"/>
      <c r="I23" s="88"/>
      <c r="J23" s="88"/>
      <c r="K23" s="88"/>
      <c r="L23" s="88" t="e">
        <f t="shared" si="1"/>
        <v>#VALUE!</v>
      </c>
      <c r="M23" s="88" t="e">
        <f t="shared" si="2"/>
        <v>#VALUE!</v>
      </c>
    </row>
    <row r="24" spans="1:13" x14ac:dyDescent="0.25">
      <c r="G24" s="88"/>
      <c r="H24" s="88"/>
      <c r="I24" s="88"/>
      <c r="J24" s="88"/>
      <c r="K24" s="88"/>
      <c r="L24" s="88" t="e">
        <f t="shared" si="1"/>
        <v>#VALUE!</v>
      </c>
      <c r="M24" s="88" t="e">
        <f t="shared" si="2"/>
        <v>#VALUE!</v>
      </c>
    </row>
    <row r="25" spans="1:13" x14ac:dyDescent="0.25">
      <c r="G25" s="88"/>
      <c r="H25" s="88"/>
      <c r="I25" s="88"/>
      <c r="J25" s="88"/>
      <c r="K25" s="88"/>
      <c r="L25" s="88" t="e">
        <f t="shared" si="1"/>
        <v>#VALUE!</v>
      </c>
      <c r="M25" s="88" t="e">
        <f t="shared" si="2"/>
        <v>#VALUE!</v>
      </c>
    </row>
    <row r="26" spans="1:13" x14ac:dyDescent="0.25">
      <c r="G26" s="88"/>
      <c r="H26" s="88"/>
      <c r="I26" s="88"/>
      <c r="J26" s="88"/>
      <c r="K26" s="88"/>
      <c r="L26" s="88" t="e">
        <f t="shared" si="1"/>
        <v>#VALUE!</v>
      </c>
      <c r="M26" s="88" t="e">
        <f t="shared" si="2"/>
        <v>#VALUE!</v>
      </c>
    </row>
  </sheetData>
  <mergeCells count="11">
    <mergeCell ref="C1:E1"/>
    <mergeCell ref="A2:B2"/>
    <mergeCell ref="A8:B8"/>
    <mergeCell ref="A12:B12"/>
    <mergeCell ref="A13:B13"/>
    <mergeCell ref="A3:B3"/>
    <mergeCell ref="A4:B4"/>
    <mergeCell ref="A5:B5"/>
    <mergeCell ref="A6:B6"/>
    <mergeCell ref="A7:B7"/>
    <mergeCell ref="A9:B9"/>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cover page</vt:lpstr>
      <vt:lpstr>passage</vt:lpstr>
      <vt:lpstr>list of waypoints</vt:lpstr>
      <vt:lpstr>squat</vt:lpstr>
      <vt:lpstr>passage!Impression_des_titres</vt:lpstr>
    </vt:vector>
  </TitlesOfParts>
  <Company>GDI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off1</dc:creator>
  <cp:lastModifiedBy>Guy Blancher</cp:lastModifiedBy>
  <cp:lastPrinted>2013-12-18T14:02:09Z</cp:lastPrinted>
  <dcterms:created xsi:type="dcterms:W3CDTF">2013-12-12T14:09:14Z</dcterms:created>
  <dcterms:modified xsi:type="dcterms:W3CDTF">2013-12-21T16:45:49Z</dcterms:modified>
</cp:coreProperties>
</file>