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75" windowHeight="6450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8" l="1"/>
  <c r="T5" i="6" l="1"/>
  <c r="K5" i="6"/>
  <c r="AY22" i="6" l="1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AC5" i="6"/>
  <c r="AL5" i="6" s="1"/>
  <c r="Q7" i="6" l="1"/>
  <c r="AA7" i="6"/>
  <c r="U7" i="6"/>
  <c r="AE7" i="6"/>
  <c r="AO7" i="6"/>
  <c r="A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AS25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C43" i="6" l="1"/>
  <c r="E43" i="6"/>
  <c r="D43" i="6"/>
  <c r="AU41" i="6"/>
  <c r="AV43" i="6" s="1"/>
  <c r="AS43" i="6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 l="1"/>
  <c r="D61" i="6" s="1"/>
  <c r="AW43" i="6"/>
  <c r="C61" i="6" l="1"/>
  <c r="I61" i="6"/>
  <c r="F61" i="6"/>
  <c r="G61" i="6"/>
  <c r="E61" i="6"/>
  <c r="K59" i="6"/>
  <c r="M61" i="6" s="1"/>
  <c r="H61" i="6"/>
  <c r="L61" i="6" l="1"/>
  <c r="P61" i="6"/>
  <c r="T59" i="6"/>
  <c r="W61" i="6" s="1"/>
  <c r="R61" i="6"/>
  <c r="Q61" i="6"/>
  <c r="N61" i="6"/>
  <c r="O61" i="6"/>
  <c r="Z61" i="6" l="1"/>
  <c r="Y61" i="6"/>
  <c r="AA61" i="6"/>
  <c r="X61" i="6"/>
  <c r="AC59" i="6"/>
  <c r="AH61" i="6" s="1"/>
  <c r="V61" i="6"/>
  <c r="U61" i="6"/>
  <c r="H14" i="6"/>
  <c r="G14" i="6"/>
  <c r="F14" i="6"/>
  <c r="E14" i="6"/>
  <c r="D14" i="6"/>
  <c r="C14" i="6"/>
  <c r="AJ61" i="6" l="1"/>
  <c r="AL59" i="6"/>
  <c r="AU59" i="6" s="1"/>
  <c r="AV61" i="6" s="1"/>
  <c r="AI61" i="6"/>
  <c r="AD61" i="6"/>
  <c r="AE61" i="6"/>
  <c r="AF61" i="6"/>
  <c r="AG61" i="6"/>
  <c r="AQ61" i="6" l="1"/>
  <c r="AQ64" i="6" s="1"/>
  <c r="AR61" i="6"/>
  <c r="AR64" i="6" s="1"/>
  <c r="AS61" i="6"/>
  <c r="AS64" i="6" s="1"/>
  <c r="AM61" i="6"/>
  <c r="AM64" i="6" s="1"/>
  <c r="AP61" i="6"/>
  <c r="AP64" i="6" s="1"/>
  <c r="AO61" i="6"/>
  <c r="AO64" i="6" s="1"/>
  <c r="AN61" i="6"/>
  <c r="AN64" i="6" s="1"/>
  <c r="B77" i="6"/>
  <c r="AW190" i="6"/>
  <c r="AW154" i="6"/>
  <c r="AW100" i="6"/>
  <c r="AW64" i="6"/>
  <c r="AV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I12" i="6" l="1"/>
  <c r="I13" i="6"/>
  <c r="I11" i="6"/>
  <c r="R79" i="6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AV79" i="6" l="1"/>
  <c r="AV82" i="6" s="1"/>
  <c r="AW79" i="6"/>
  <c r="AW82" i="6" s="1"/>
  <c r="B95" i="6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AX82" i="6" l="1"/>
  <c r="E97" i="6"/>
  <c r="E100" i="6" s="1"/>
  <c r="C97" i="6"/>
  <c r="C100" i="6" s="1"/>
  <c r="D97" i="6"/>
  <c r="D100" i="6" s="1"/>
  <c r="F97" i="6"/>
  <c r="F100" i="6" s="1"/>
  <c r="G97" i="6"/>
  <c r="G100" i="6" s="1"/>
  <c r="K95" i="6"/>
  <c r="L97" i="6" s="1"/>
  <c r="L100" i="6" s="1"/>
  <c r="H97" i="6"/>
  <c r="H100" i="6" s="1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W97" i="6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W199" i="6"/>
  <c r="AW163" i="6"/>
  <c r="AW109" i="6"/>
  <c r="Z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G97" i="6" l="1"/>
  <c r="AG100" i="6" s="1"/>
  <c r="AG99" i="6" s="1"/>
  <c r="X109" i="6"/>
  <c r="Y109" i="6"/>
  <c r="AA109" i="6"/>
  <c r="AE97" i="6"/>
  <c r="AE100" i="6" s="1"/>
  <c r="AE99" i="6" s="1"/>
  <c r="AL95" i="6"/>
  <c r="AM97" i="6" s="1"/>
  <c r="AM98" i="6" s="1"/>
  <c r="U109" i="6"/>
  <c r="AH97" i="6"/>
  <c r="AH100" i="6" s="1"/>
  <c r="AH99" i="6" s="1"/>
  <c r="W109" i="6"/>
  <c r="AF97" i="6"/>
  <c r="AF100" i="6" s="1"/>
  <c r="AJ102" i="6" s="1"/>
  <c r="AI97" i="6"/>
  <c r="AI100" i="6" s="1"/>
  <c r="AJ97" i="6"/>
  <c r="AJ100" i="6" s="1"/>
  <c r="AJ104" i="6" s="1"/>
  <c r="AK104" i="6" s="1"/>
  <c r="V109" i="6"/>
  <c r="AD109" i="6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G98" i="6" l="1"/>
  <c r="AR97" i="6"/>
  <c r="AR98" i="6" s="1"/>
  <c r="AE98" i="6"/>
  <c r="AG109" i="6"/>
  <c r="AE103" i="6"/>
  <c r="AO97" i="6"/>
  <c r="AO98" i="6" s="1"/>
  <c r="AP97" i="6"/>
  <c r="AP98" i="6" s="1"/>
  <c r="AU95" i="6"/>
  <c r="AV97" i="6" s="1"/>
  <c r="AV98" i="6" s="1"/>
  <c r="AX98" i="6" s="1"/>
  <c r="AS97" i="6"/>
  <c r="AS98" i="6" s="1"/>
  <c r="AE109" i="6"/>
  <c r="AH103" i="6"/>
  <c r="AQ97" i="6"/>
  <c r="AQ98" i="6" s="1"/>
  <c r="AN97" i="6"/>
  <c r="AN98" i="6" s="1"/>
  <c r="AF98" i="6"/>
  <c r="AF101" i="6"/>
  <c r="AF99" i="6"/>
  <c r="AG101" i="6"/>
  <c r="AG102" i="6"/>
  <c r="AB109" i="6"/>
  <c r="AJ98" i="6"/>
  <c r="AJ99" i="6"/>
  <c r="AG103" i="6"/>
  <c r="AI103" i="6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R109" i="6" l="1"/>
  <c r="AR100" i="6"/>
  <c r="AR99" i="6" s="1"/>
  <c r="AO100" i="6"/>
  <c r="AO99" i="6" s="1"/>
  <c r="AV100" i="6"/>
  <c r="AW103" i="6" s="1"/>
  <c r="B113" i="6"/>
  <c r="K113" i="6" s="1"/>
  <c r="P115" i="6" s="1"/>
  <c r="AP100" i="6"/>
  <c r="AP99" i="6" s="1"/>
  <c r="AS109" i="6"/>
  <c r="AT98" i="6"/>
  <c r="AS100" i="6"/>
  <c r="AS99" i="6" s="1"/>
  <c r="AQ100" i="6"/>
  <c r="AQ99" i="6" s="1"/>
  <c r="AH101" i="6"/>
  <c r="AI101" i="6" s="1"/>
  <c r="AK101" i="6" s="1"/>
  <c r="AH102" i="6"/>
  <c r="AI102" i="6" s="1"/>
  <c r="AK102" i="6" s="1"/>
  <c r="AK98" i="6"/>
  <c r="AN100" i="6"/>
  <c r="AN99" i="6" s="1"/>
  <c r="AK99" i="6"/>
  <c r="AK103" i="6"/>
  <c r="AK109" i="6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G20" i="14"/>
  <c r="E20" i="14"/>
  <c r="F15" i="14"/>
  <c r="D20" i="14"/>
  <c r="E15" i="14"/>
  <c r="F11" i="14"/>
  <c r="D11" i="14"/>
  <c r="E11" i="14"/>
  <c r="G11" i="14"/>
  <c r="F20" i="14"/>
  <c r="G15" i="14"/>
  <c r="AO109" i="6"/>
  <c r="AQ109" i="6"/>
  <c r="AM99" i="6"/>
  <c r="AM103" i="6"/>
  <c r="AM102" i="6"/>
  <c r="AM101" i="6"/>
  <c r="J84" i="6"/>
  <c r="AS48" i="6"/>
  <c r="AT48" i="6" s="1"/>
  <c r="AS47" i="6"/>
  <c r="AT47" i="6" s="1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AP109" i="6" l="1"/>
  <c r="AN109" i="6"/>
  <c r="C115" i="6"/>
  <c r="C118" i="6" s="1"/>
  <c r="C127" i="6" s="1"/>
  <c r="E115" i="6"/>
  <c r="E118" i="6" s="1"/>
  <c r="E117" i="6" s="1"/>
  <c r="H115" i="6"/>
  <c r="H118" i="6" s="1"/>
  <c r="H117" i="6" s="1"/>
  <c r="D115" i="6"/>
  <c r="D118" i="6" s="1"/>
  <c r="D127" i="6" s="1"/>
  <c r="AY98" i="6"/>
  <c r="AV109" i="6"/>
  <c r="AX109" i="6" s="1"/>
  <c r="AS104" i="6"/>
  <c r="AT104" i="6" s="1"/>
  <c r="AY104" i="6" s="1"/>
  <c r="AW101" i="6"/>
  <c r="AV99" i="6"/>
  <c r="AX99" i="6" s="1"/>
  <c r="AX100" i="6"/>
  <c r="AV102" i="6"/>
  <c r="AW102" i="6"/>
  <c r="AV103" i="6"/>
  <c r="AX103" i="6" s="1"/>
  <c r="AV101" i="6"/>
  <c r="I115" i="6"/>
  <c r="I127" i="6" s="1"/>
  <c r="F115" i="6"/>
  <c r="F116" i="6" s="1"/>
  <c r="AO103" i="6"/>
  <c r="G115" i="6"/>
  <c r="G118" i="6" s="1"/>
  <c r="G117" i="6" s="1"/>
  <c r="AQ103" i="6"/>
  <c r="AN101" i="6"/>
  <c r="AT100" i="6"/>
  <c r="AP101" i="6"/>
  <c r="AO102" i="6"/>
  <c r="AR103" i="6"/>
  <c r="AO101" i="6"/>
  <c r="AP102" i="6"/>
  <c r="AN103" i="6"/>
  <c r="AS103" i="6"/>
  <c r="AP103" i="6"/>
  <c r="AN102" i="6"/>
  <c r="K5" i="14"/>
  <c r="L5" i="14" s="1"/>
  <c r="M5" i="14" s="1"/>
  <c r="N5" i="14" s="1"/>
  <c r="P5" i="14" s="1"/>
  <c r="D10" i="14"/>
  <c r="G9" i="14"/>
  <c r="F14" i="14"/>
  <c r="D9" i="14"/>
  <c r="E10" i="14"/>
  <c r="D14" i="14"/>
  <c r="F9" i="14"/>
  <c r="G14" i="14"/>
  <c r="G10" i="14"/>
  <c r="E9" i="14"/>
  <c r="D15" i="14"/>
  <c r="F10" i="14"/>
  <c r="C20" i="14"/>
  <c r="E14" i="14"/>
  <c r="T113" i="6"/>
  <c r="X115" i="6" s="1"/>
  <c r="M115" i="6"/>
  <c r="R115" i="6"/>
  <c r="R127" i="6" s="1"/>
  <c r="N115" i="6"/>
  <c r="N118" i="6" s="1"/>
  <c r="N117" i="6" s="1"/>
  <c r="O115" i="6"/>
  <c r="AT99" i="6"/>
  <c r="L115" i="6"/>
  <c r="L118" i="6" s="1"/>
  <c r="Q115" i="6"/>
  <c r="Q118" i="6" s="1"/>
  <c r="Q117" i="6" s="1"/>
  <c r="AT109" i="6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R120" i="6" l="1"/>
  <c r="AQ101" i="6"/>
  <c r="AR101" i="6" s="1"/>
  <c r="AS101" i="6" s="1"/>
  <c r="AQ102" i="6"/>
  <c r="AR102" i="6" s="1"/>
  <c r="C116" i="6"/>
  <c r="E127" i="6"/>
  <c r="E116" i="6"/>
  <c r="D116" i="6"/>
  <c r="H127" i="6"/>
  <c r="H116" i="6"/>
  <c r="H9" i="14"/>
  <c r="AX102" i="6"/>
  <c r="AY109" i="6"/>
  <c r="H20" i="14" s="1"/>
  <c r="H15" i="14"/>
  <c r="I116" i="6"/>
  <c r="I118" i="6"/>
  <c r="I117" i="6" s="1"/>
  <c r="AX101" i="6"/>
  <c r="AY100" i="6"/>
  <c r="AY99" i="6"/>
  <c r="F118" i="6"/>
  <c r="F117" i="6" s="1"/>
  <c r="G127" i="6"/>
  <c r="G116" i="6"/>
  <c r="AT103" i="6"/>
  <c r="AY103" i="6" s="1"/>
  <c r="E119" i="6"/>
  <c r="AZ23" i="6"/>
  <c r="D21" i="14" s="1"/>
  <c r="D13" i="14"/>
  <c r="E12" i="14"/>
  <c r="AZ77" i="6"/>
  <c r="G21" i="14" s="1"/>
  <c r="G13" i="14"/>
  <c r="E13" i="14"/>
  <c r="D12" i="14"/>
  <c r="F12" i="14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AT101" i="6"/>
  <c r="X118" i="6"/>
  <c r="X117" i="6" s="1"/>
  <c r="X127" i="6"/>
  <c r="X116" i="6"/>
  <c r="L119" i="6"/>
  <c r="L117" i="6"/>
  <c r="L120" i="6"/>
  <c r="L121" i="6"/>
  <c r="AZ41" i="6"/>
  <c r="AZ59" i="6"/>
  <c r="F21" i="14" s="1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R119" i="6" l="1"/>
  <c r="R121" i="6"/>
  <c r="AS102" i="6"/>
  <c r="AT102" i="6" s="1"/>
  <c r="AY102" i="6" s="1"/>
  <c r="O127" i="6"/>
  <c r="M127" i="6"/>
  <c r="F121" i="6"/>
  <c r="H11" i="14"/>
  <c r="J118" i="6"/>
  <c r="F120" i="6"/>
  <c r="G120" i="6" s="1"/>
  <c r="H120" i="6" s="1"/>
  <c r="H121" i="6"/>
  <c r="I122" i="6"/>
  <c r="J122" i="6" s="1"/>
  <c r="F119" i="6"/>
  <c r="G119" i="6" s="1"/>
  <c r="H119" i="6" s="1"/>
  <c r="AY101" i="6"/>
  <c r="H12" i="14" s="1"/>
  <c r="J116" i="6"/>
  <c r="H10" i="14"/>
  <c r="F127" i="6"/>
  <c r="J127" i="6" s="1"/>
  <c r="G121" i="6"/>
  <c r="M120" i="6"/>
  <c r="O121" i="6"/>
  <c r="O119" i="6"/>
  <c r="N121" i="6"/>
  <c r="Q121" i="6"/>
  <c r="P121" i="6"/>
  <c r="N120" i="6"/>
  <c r="M119" i="6"/>
  <c r="O120" i="6"/>
  <c r="N119" i="6"/>
  <c r="M121" i="6"/>
  <c r="R117" i="6"/>
  <c r="S117" i="6" s="1"/>
  <c r="J117" i="6"/>
  <c r="AI115" i="6"/>
  <c r="AI127" i="6" s="1"/>
  <c r="AA118" i="6"/>
  <c r="AA122" i="6" s="1"/>
  <c r="AB122" i="6" s="1"/>
  <c r="AA116" i="6"/>
  <c r="C19" i="14"/>
  <c r="C15" i="14"/>
  <c r="H14" i="14"/>
  <c r="E21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AA120" i="6" l="1"/>
  <c r="AA119" i="6"/>
  <c r="AA121" i="6"/>
  <c r="P120" i="6"/>
  <c r="Q120" i="6" s="1"/>
  <c r="P119" i="6"/>
  <c r="Q119" i="6" s="1"/>
  <c r="S127" i="6"/>
  <c r="J121" i="6"/>
  <c r="H13" i="14"/>
  <c r="AZ95" i="6"/>
  <c r="H21" i="14" s="1"/>
  <c r="J120" i="6"/>
  <c r="J119" i="6"/>
  <c r="Y120" i="6"/>
  <c r="Z120" i="6" s="1"/>
  <c r="AB120" i="6" s="1"/>
  <c r="S121" i="6"/>
  <c r="Y119" i="6"/>
  <c r="Z119" i="6" s="1"/>
  <c r="AB119" i="6" s="1"/>
  <c r="AI118" i="6"/>
  <c r="AI117" i="6" s="1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1" i="6"/>
  <c r="AB121" i="6" s="1"/>
  <c r="AD118" i="6"/>
  <c r="AR115" i="6"/>
  <c r="AR118" i="6" s="1"/>
  <c r="AR117" i="6" s="1"/>
  <c r="AP115" i="6"/>
  <c r="AP118" i="6" s="1"/>
  <c r="AP117" i="6" s="1"/>
  <c r="C18" i="14"/>
  <c r="C17" i="14"/>
  <c r="P19" i="14"/>
  <c r="C8" i="14"/>
  <c r="D8" i="14" s="1"/>
  <c r="E8" i="14" s="1"/>
  <c r="F8" i="14" s="1"/>
  <c r="G8" i="14" s="1"/>
  <c r="H8" i="14" s="1"/>
  <c r="C16" i="14"/>
  <c r="P16" i="14" s="1"/>
  <c r="AH118" i="6"/>
  <c r="AH117" i="6" s="1"/>
  <c r="AB127" i="6"/>
  <c r="AJ127" i="6"/>
  <c r="AU113" i="6"/>
  <c r="B131" i="6" s="1"/>
  <c r="D133" i="6" s="1"/>
  <c r="AG116" i="6"/>
  <c r="C11" i="14"/>
  <c r="AJ116" i="6"/>
  <c r="C14" i="14"/>
  <c r="AE116" i="6"/>
  <c r="C10" i="14"/>
  <c r="AB116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AD127" i="6" l="1"/>
  <c r="AJ121" i="6"/>
  <c r="AJ120" i="6"/>
  <c r="AJ119" i="6"/>
  <c r="S120" i="6"/>
  <c r="S119" i="6"/>
  <c r="C133" i="6"/>
  <c r="C134" i="6" s="1"/>
  <c r="AQ116" i="6"/>
  <c r="AO116" i="6"/>
  <c r="AQ127" i="6"/>
  <c r="AM118" i="6"/>
  <c r="AO127" i="6"/>
  <c r="AN118" i="6"/>
  <c r="AN117" i="6" s="1"/>
  <c r="AP116" i="6"/>
  <c r="AW115" i="6"/>
  <c r="AW118" i="6" s="1"/>
  <c r="AW117" i="6" s="1"/>
  <c r="AM116" i="6"/>
  <c r="AN116" i="6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AS122" i="6"/>
  <c r="AT122" i="6" s="1"/>
  <c r="AY122" i="6" s="1"/>
  <c r="AS117" i="6"/>
  <c r="AY8" i="6"/>
  <c r="AT12" i="6"/>
  <c r="AB11" i="6"/>
  <c r="AY11" i="6" s="1"/>
  <c r="H130" i="6"/>
  <c r="C136" i="6" l="1"/>
  <c r="C137" i="6" s="1"/>
  <c r="C145" i="6"/>
  <c r="AS121" i="6"/>
  <c r="AN120" i="6"/>
  <c r="AM117" i="6"/>
  <c r="AT117" i="6" s="1"/>
  <c r="AM119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AV118" i="6"/>
  <c r="AW121" i="6" s="1"/>
  <c r="F136" i="6"/>
  <c r="F135" i="6" s="1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4"/>
  <c r="C9" i="14"/>
  <c r="I15" i="14"/>
  <c r="D137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C139" i="6" l="1"/>
  <c r="E137" i="6"/>
  <c r="E139" i="6"/>
  <c r="D139" i="6"/>
  <c r="C135" i="6"/>
  <c r="C138" i="6"/>
  <c r="D138" i="6"/>
  <c r="E138" i="6"/>
  <c r="F145" i="6"/>
  <c r="J145" i="6" s="1"/>
  <c r="AT127" i="6"/>
  <c r="AY116" i="6"/>
  <c r="AX127" i="6"/>
  <c r="I140" i="6"/>
  <c r="J140" i="6" s="1"/>
  <c r="AQ120" i="6"/>
  <c r="AR120" i="6" s="1"/>
  <c r="AS120" i="6" s="1"/>
  <c r="AQ119" i="6"/>
  <c r="AR119" i="6" s="1"/>
  <c r="J136" i="6"/>
  <c r="AT121" i="6"/>
  <c r="Z133" i="6"/>
  <c r="Z134" i="6" s="1"/>
  <c r="N145" i="6"/>
  <c r="N134" i="6"/>
  <c r="R145" i="6"/>
  <c r="Q134" i="6"/>
  <c r="R136" i="6"/>
  <c r="R140" i="6" s="1"/>
  <c r="S140" i="6" s="1"/>
  <c r="AW120" i="6"/>
  <c r="AV117" i="6"/>
  <c r="AX117" i="6" s="1"/>
  <c r="AY117" i="6" s="1"/>
  <c r="AW119" i="6"/>
  <c r="AX118" i="6"/>
  <c r="AY118" i="6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G137" i="6" s="1"/>
  <c r="H137" i="6" s="1"/>
  <c r="M136" i="6"/>
  <c r="M135" i="6" s="1"/>
  <c r="F138" i="6"/>
  <c r="G138" i="6" s="1"/>
  <c r="H138" i="6" s="1"/>
  <c r="F139" i="6"/>
  <c r="G139" i="6"/>
  <c r="L134" i="6"/>
  <c r="L145" i="6"/>
  <c r="AC131" i="6"/>
  <c r="AH133" i="6" s="1"/>
  <c r="Q145" i="6"/>
  <c r="P134" i="6"/>
  <c r="P145" i="6"/>
  <c r="AZ5" i="6"/>
  <c r="C13" i="14"/>
  <c r="J135" i="6"/>
  <c r="Y136" i="6"/>
  <c r="Y135" i="6" s="1"/>
  <c r="Y134" i="6"/>
  <c r="L138" i="6"/>
  <c r="L135" i="6"/>
  <c r="L137" i="6"/>
  <c r="L139" i="6"/>
  <c r="R138" i="6" l="1"/>
  <c r="R137" i="6"/>
  <c r="R139" i="6"/>
  <c r="Z145" i="6"/>
  <c r="AY121" i="6"/>
  <c r="I14" i="14" s="1"/>
  <c r="AY127" i="6"/>
  <c r="I20" i="14" s="1"/>
  <c r="I8" i="14" s="1"/>
  <c r="Z136" i="6"/>
  <c r="Z135" i="6" s="1"/>
  <c r="I9" i="14"/>
  <c r="AT120" i="6"/>
  <c r="AS119" i="6"/>
  <c r="AT119" i="6" s="1"/>
  <c r="R135" i="6"/>
  <c r="S135" i="6" s="1"/>
  <c r="O138" i="6"/>
  <c r="AX120" i="6"/>
  <c r="X134" i="6"/>
  <c r="Q139" i="6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AF133" i="6"/>
  <c r="AD133" i="6"/>
  <c r="AD136" i="6" s="1"/>
  <c r="AE133" i="6"/>
  <c r="AI133" i="6"/>
  <c r="AI136" i="6" s="1"/>
  <c r="AI135" i="6" s="1"/>
  <c r="AG133" i="6"/>
  <c r="AG134" i="6" s="1"/>
  <c r="S145" i="6"/>
  <c r="BA5" i="6"/>
  <c r="C21" i="14"/>
  <c r="J138" i="6"/>
  <c r="X145" i="6"/>
  <c r="AH134" i="6"/>
  <c r="AH136" i="6"/>
  <c r="AH135" i="6" s="1"/>
  <c r="Y145" i="6"/>
  <c r="V145" i="6"/>
  <c r="W145" i="6"/>
  <c r="U145" i="6" l="1"/>
  <c r="AA139" i="6"/>
  <c r="AA138" i="6"/>
  <c r="AA137" i="6"/>
  <c r="P138" i="6"/>
  <c r="Q138" i="6" s="1"/>
  <c r="S138" i="6" s="1"/>
  <c r="AY120" i="6"/>
  <c r="AY119" i="6"/>
  <c r="I12" i="14" s="1"/>
  <c r="AS133" i="6"/>
  <c r="AS136" i="6" s="1"/>
  <c r="AU131" i="6"/>
  <c r="AW133" i="6" s="1"/>
  <c r="AW134" i="6" s="1"/>
  <c r="AR133" i="6"/>
  <c r="AR136" i="6" s="1"/>
  <c r="AR135" i="6" s="1"/>
  <c r="P137" i="6"/>
  <c r="Q137" i="6" s="1"/>
  <c r="S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B145" i="6"/>
  <c r="AN136" i="6"/>
  <c r="AN135" i="6" s="1"/>
  <c r="AN145" i="6"/>
  <c r="AN134" i="6"/>
  <c r="AD139" i="6"/>
  <c r="AD138" i="6"/>
  <c r="AD135" i="6"/>
  <c r="AD137" i="6"/>
  <c r="AJ138" i="6" l="1"/>
  <c r="AJ137" i="6"/>
  <c r="AJ139" i="6"/>
  <c r="AS145" i="6"/>
  <c r="AV133" i="6"/>
  <c r="AV136" i="6" s="1"/>
  <c r="AR134" i="6"/>
  <c r="AS134" i="6"/>
  <c r="AR145" i="6"/>
  <c r="AW145" i="6"/>
  <c r="AW136" i="6"/>
  <c r="AW135" i="6" s="1"/>
  <c r="B149" i="6"/>
  <c r="C151" i="6" s="1"/>
  <c r="C163" i="6" s="1"/>
  <c r="I13" i="14"/>
  <c r="AZ113" i="6"/>
  <c r="AE139" i="6"/>
  <c r="AE138" i="6"/>
  <c r="AE137" i="6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BA41" i="6"/>
  <c r="D22" i="14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H4" i="6"/>
  <c r="AV134" i="6" l="1"/>
  <c r="AX134" i="6" s="1"/>
  <c r="AV145" i="6"/>
  <c r="AX145" i="6" s="1"/>
  <c r="D151" i="6"/>
  <c r="D154" i="6" s="1"/>
  <c r="H151" i="6"/>
  <c r="H152" i="6" s="1"/>
  <c r="E151" i="6"/>
  <c r="E152" i="6" s="1"/>
  <c r="F151" i="6"/>
  <c r="F154" i="6" s="1"/>
  <c r="F153" i="6" s="1"/>
  <c r="K149" i="6"/>
  <c r="T149" i="6" s="1"/>
  <c r="I151" i="6"/>
  <c r="I152" i="6" s="1"/>
  <c r="G151" i="6"/>
  <c r="G154" i="6" s="1"/>
  <c r="G153" i="6" s="1"/>
  <c r="C154" i="6"/>
  <c r="C156" i="6" s="1"/>
  <c r="C152" i="6"/>
  <c r="AH138" i="6"/>
  <c r="AI138" i="6" s="1"/>
  <c r="I21" i="14"/>
  <c r="AH137" i="6"/>
  <c r="AI137" i="6" s="1"/>
  <c r="AK145" i="6"/>
  <c r="AT145" i="6"/>
  <c r="AY140" i="6"/>
  <c r="AP138" i="6"/>
  <c r="AR139" i="6"/>
  <c r="AQ139" i="6"/>
  <c r="AT134" i="6"/>
  <c r="AT136" i="6"/>
  <c r="AP139" i="6"/>
  <c r="AP137" i="6"/>
  <c r="AQ137" i="6" s="1"/>
  <c r="AR137" i="6" s="1"/>
  <c r="AS137" i="6" s="1"/>
  <c r="AS139" i="6"/>
  <c r="AK139" i="6"/>
  <c r="BA59" i="6"/>
  <c r="E22" i="14"/>
  <c r="AT135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D152" i="6" l="1"/>
  <c r="AY134" i="6"/>
  <c r="J9" i="14" s="1"/>
  <c r="D163" i="6"/>
  <c r="O151" i="6"/>
  <c r="O152" i="6" s="1"/>
  <c r="H154" i="6"/>
  <c r="H153" i="6" s="1"/>
  <c r="H163" i="6"/>
  <c r="E163" i="6"/>
  <c r="R151" i="6"/>
  <c r="R154" i="6" s="1"/>
  <c r="G163" i="6"/>
  <c r="G152" i="6"/>
  <c r="I163" i="6"/>
  <c r="I154" i="6"/>
  <c r="I158" i="6" s="1"/>
  <c r="J158" i="6" s="1"/>
  <c r="E154" i="6"/>
  <c r="E153" i="6" s="1"/>
  <c r="L151" i="6"/>
  <c r="L154" i="6" s="1"/>
  <c r="P151" i="6"/>
  <c r="P152" i="6" s="1"/>
  <c r="N151" i="6"/>
  <c r="N152" i="6" s="1"/>
  <c r="F152" i="6"/>
  <c r="F163" i="6"/>
  <c r="Q151" i="6"/>
  <c r="Q154" i="6" s="1"/>
  <c r="Q153" i="6" s="1"/>
  <c r="M151" i="6"/>
  <c r="M152" i="6" s="1"/>
  <c r="C155" i="6"/>
  <c r="C157" i="6"/>
  <c r="C153" i="6"/>
  <c r="AY145" i="6"/>
  <c r="AK138" i="6"/>
  <c r="J15" i="14"/>
  <c r="AK137" i="6"/>
  <c r="AY136" i="6"/>
  <c r="AT139" i="6"/>
  <c r="AY135" i="6"/>
  <c r="BA77" i="6"/>
  <c r="F22" i="14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AX137" i="6"/>
  <c r="AX139" i="6"/>
  <c r="L163" i="6" l="1"/>
  <c r="R157" i="6"/>
  <c r="R155" i="6"/>
  <c r="O154" i="6"/>
  <c r="O153" i="6" s="1"/>
  <c r="R163" i="6"/>
  <c r="R152" i="6"/>
  <c r="Q152" i="6"/>
  <c r="F155" i="6"/>
  <c r="E157" i="6"/>
  <c r="N154" i="6"/>
  <c r="N153" i="6" s="1"/>
  <c r="F156" i="6"/>
  <c r="G156" i="6" s="1"/>
  <c r="H156" i="6" s="1"/>
  <c r="M154" i="6"/>
  <c r="M153" i="6" s="1"/>
  <c r="G157" i="6"/>
  <c r="F157" i="6"/>
  <c r="H157" i="6"/>
  <c r="J163" i="6"/>
  <c r="E155" i="6"/>
  <c r="E156" i="6"/>
  <c r="I153" i="6"/>
  <c r="J153" i="6" s="1"/>
  <c r="J152" i="6"/>
  <c r="L152" i="6"/>
  <c r="J154" i="6"/>
  <c r="Q163" i="6"/>
  <c r="P154" i="6"/>
  <c r="P153" i="6" s="1"/>
  <c r="J20" i="14"/>
  <c r="J11" i="14"/>
  <c r="AY139" i="6"/>
  <c r="J10" i="14"/>
  <c r="BA95" i="6"/>
  <c r="G22" i="14"/>
  <c r="AY138" i="6"/>
  <c r="J13" i="14" s="1"/>
  <c r="N163" i="6"/>
  <c r="U154" i="6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L153" i="6"/>
  <c r="L156" i="6"/>
  <c r="L157" i="6"/>
  <c r="L155" i="6"/>
  <c r="AY137" i="6"/>
  <c r="AA154" i="6"/>
  <c r="AA163" i="6"/>
  <c r="AA152" i="6"/>
  <c r="P163" i="6" l="1"/>
  <c r="U163" i="6"/>
  <c r="AA157" i="6"/>
  <c r="AA156" i="6"/>
  <c r="AA155" i="6"/>
  <c r="R156" i="6"/>
  <c r="J8" i="14"/>
  <c r="G155" i="6"/>
  <c r="H155" i="6" s="1"/>
  <c r="S152" i="6"/>
  <c r="N157" i="6"/>
  <c r="S154" i="6"/>
  <c r="M156" i="6"/>
  <c r="Q157" i="6"/>
  <c r="O155" i="6"/>
  <c r="N156" i="6"/>
  <c r="M155" i="6"/>
  <c r="O156" i="6"/>
  <c r="O157" i="6"/>
  <c r="P157" i="6"/>
  <c r="N155" i="6"/>
  <c r="M157" i="6"/>
  <c r="J157" i="6"/>
  <c r="J156" i="6"/>
  <c r="V163" i="6"/>
  <c r="Y163" i="6"/>
  <c r="X163" i="6"/>
  <c r="W163" i="6"/>
  <c r="J14" i="14"/>
  <c r="AZ131" i="6"/>
  <c r="J21" i="14" s="1"/>
  <c r="J12" i="14"/>
  <c r="H22" i="14"/>
  <c r="BA113" i="6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AH154" i="6"/>
  <c r="AH153" i="6" s="1"/>
  <c r="AH152" i="6"/>
  <c r="AH163" i="6"/>
  <c r="AG154" i="6"/>
  <c r="AG153" i="6" s="1"/>
  <c r="AG152" i="6"/>
  <c r="AE152" i="6"/>
  <c r="AE163" i="6"/>
  <c r="AE154" i="6"/>
  <c r="AE153" i="6" s="1"/>
  <c r="AF154" i="6"/>
  <c r="AF153" i="6" s="1"/>
  <c r="AF152" i="6"/>
  <c r="AJ154" i="6"/>
  <c r="AJ152" i="6"/>
  <c r="AJ163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AJ157" i="6" l="1"/>
  <c r="AJ156" i="6"/>
  <c r="AJ155" i="6"/>
  <c r="AG163" i="6"/>
  <c r="AF163" i="6"/>
  <c r="J155" i="6"/>
  <c r="S155" i="6"/>
  <c r="S157" i="6"/>
  <c r="AB163" i="6"/>
  <c r="Y155" i="6"/>
  <c r="Z155" i="6" s="1"/>
  <c r="AB155" i="6" s="1"/>
  <c r="Y156" i="6"/>
  <c r="Z156" i="6" s="1"/>
  <c r="I22" i="14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AK163" i="6" l="1"/>
  <c r="AB156" i="6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Y163" i="6" l="1"/>
  <c r="K20" i="14" s="1"/>
  <c r="AQ155" i="6"/>
  <c r="AR155" i="6" s="1"/>
  <c r="AS155" i="6" s="1"/>
  <c r="AQ156" i="6"/>
  <c r="AR156" i="6" s="1"/>
  <c r="AS156" i="6" s="1"/>
  <c r="AT156" i="6" s="1"/>
  <c r="AY156" i="6" s="1"/>
  <c r="K13" i="14" s="1"/>
  <c r="K15" i="14"/>
  <c r="K11" i="14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70" i="6"/>
  <c r="P172" i="6"/>
  <c r="P171" i="6" s="1"/>
  <c r="P170" i="6"/>
  <c r="R172" i="6"/>
  <c r="R181" i="6"/>
  <c r="R170" i="6"/>
  <c r="F181" i="6"/>
  <c r="L181" i="6" l="1"/>
  <c r="R175" i="6"/>
  <c r="R174" i="6"/>
  <c r="R173" i="6"/>
  <c r="AT155" i="6"/>
  <c r="AY155" i="6" s="1"/>
  <c r="J181" i="6"/>
  <c r="P181" i="6"/>
  <c r="M181" i="6"/>
  <c r="O181" i="6"/>
  <c r="N181" i="6"/>
  <c r="G173" i="6"/>
  <c r="H173" i="6" s="1"/>
  <c r="J173" i="6" s="1"/>
  <c r="K8" i="14"/>
  <c r="K14" i="14"/>
  <c r="K10" i="14"/>
  <c r="G174" i="6"/>
  <c r="H174" i="6" s="1"/>
  <c r="J171" i="6"/>
  <c r="J17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70" i="6"/>
  <c r="Y172" i="6"/>
  <c r="Y171" i="6" s="1"/>
  <c r="Y170" i="6"/>
  <c r="AZ149" i="6"/>
  <c r="K21" i="14" s="1"/>
  <c r="Z172" i="6"/>
  <c r="Z171" i="6" s="1"/>
  <c r="Z170" i="6"/>
  <c r="Z181" i="6"/>
  <c r="X170" i="6"/>
  <c r="X172" i="6"/>
  <c r="X171" i="6" s="1"/>
  <c r="S170" i="6"/>
  <c r="AA172" i="6"/>
  <c r="AA181" i="6"/>
  <c r="AA170" i="6"/>
  <c r="U181" i="6" l="1"/>
  <c r="AA175" i="6"/>
  <c r="AA174" i="6"/>
  <c r="AA173" i="6"/>
  <c r="W181" i="6"/>
  <c r="X181" i="6"/>
  <c r="Y181" i="6"/>
  <c r="P173" i="6"/>
  <c r="Q173" i="6" s="1"/>
  <c r="P174" i="6"/>
  <c r="Q174" i="6" s="1"/>
  <c r="S174" i="6" s="1"/>
  <c r="S181" i="6"/>
  <c r="K12" i="14"/>
  <c r="J174" i="6"/>
  <c r="AS169" i="6"/>
  <c r="AS181" i="6" s="1"/>
  <c r="AU167" i="6"/>
  <c r="B185" i="6" s="1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AJ175" i="6" l="1"/>
  <c r="AJ174" i="6"/>
  <c r="AJ173" i="6"/>
  <c r="AB181" i="6"/>
  <c r="S173" i="6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K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88" i="6"/>
  <c r="C190" i="6"/>
  <c r="C199" i="6" s="1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K173" i="6" l="1"/>
  <c r="D199" i="6"/>
  <c r="E199" i="6"/>
  <c r="G199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F192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J190" i="6"/>
  <c r="I189" i="6"/>
  <c r="I194" i="6"/>
  <c r="J194" i="6" s="1"/>
  <c r="O190" i="6"/>
  <c r="O189" i="6" s="1"/>
  <c r="O188" i="6"/>
  <c r="AR173" i="6"/>
  <c r="M190" i="6"/>
  <c r="M189" i="6" s="1"/>
  <c r="M199" i="6"/>
  <c r="M188" i="6"/>
  <c r="L190" i="6"/>
  <c r="L188" i="6"/>
  <c r="AQ174" i="6"/>
  <c r="AR174" i="6" s="1"/>
  <c r="R190" i="6"/>
  <c r="R199" i="6"/>
  <c r="R188" i="6"/>
  <c r="L199" i="6" l="1"/>
  <c r="R193" i="6"/>
  <c r="R192" i="6"/>
  <c r="R191" i="6"/>
  <c r="P199" i="6"/>
  <c r="O199" i="6"/>
  <c r="H192" i="6"/>
  <c r="J192" i="6" s="1"/>
  <c r="G191" i="6"/>
  <c r="H191" i="6" s="1"/>
  <c r="J191" i="6" s="1"/>
  <c r="J199" i="6"/>
  <c r="AX181" i="6"/>
  <c r="AY181" i="6" s="1"/>
  <c r="AX174" i="6"/>
  <c r="AX173" i="6"/>
  <c r="AY175" i="6"/>
  <c r="L10" i="14"/>
  <c r="L11" i="14"/>
  <c r="L9" i="14"/>
  <c r="J193" i="6"/>
  <c r="J189" i="6"/>
  <c r="AS173" i="6"/>
  <c r="AT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AA193" i="6" l="1"/>
  <c r="AA192" i="6"/>
  <c r="AA191" i="6"/>
  <c r="S199" i="6"/>
  <c r="AY174" i="6"/>
  <c r="L13" i="14" s="1"/>
  <c r="AY173" i="6"/>
  <c r="L20" i="14"/>
  <c r="L8" i="14" s="1"/>
  <c r="S189" i="6"/>
  <c r="L14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D190" i="6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AD199" i="6" l="1"/>
  <c r="AJ193" i="6"/>
  <c r="AJ192" i="6"/>
  <c r="AJ191" i="6"/>
  <c r="AZ167" i="6"/>
  <c r="L21" i="14" s="1"/>
  <c r="L12" i="14"/>
  <c r="Y191" i="6"/>
  <c r="Z191" i="6" s="1"/>
  <c r="Y192" i="6"/>
  <c r="Z192" i="6" s="1"/>
  <c r="AB192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AS190" i="6"/>
  <c r="AS199" i="6"/>
  <c r="AS188" i="6"/>
  <c r="AN190" i="6"/>
  <c r="AN189" i="6" s="1"/>
  <c r="AN188" i="6"/>
  <c r="AM190" i="6"/>
  <c r="AM199" i="6" s="1"/>
  <c r="AM188" i="6"/>
  <c r="BA167" i="6" l="1"/>
  <c r="L22" i="14" s="1"/>
  <c r="AB191" i="6"/>
  <c r="AP199" i="6"/>
  <c r="AQ199" i="6"/>
  <c r="AO199" i="6"/>
  <c r="AN199" i="6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N192" i="6"/>
  <c r="AO193" i="6"/>
  <c r="AP193" i="6"/>
  <c r="AT190" i="6"/>
  <c r="AM192" i="6"/>
  <c r="AM189" i="6"/>
  <c r="AN193" i="6"/>
  <c r="AQ191" i="6" l="1"/>
  <c r="AR191" i="6" s="1"/>
  <c r="AS191" i="6" s="1"/>
  <c r="AQ192" i="6"/>
  <c r="AR192" i="6" s="1"/>
  <c r="AT199" i="6"/>
  <c r="AY199" i="6" s="1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Y190" i="6" s="1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D208" i="6"/>
  <c r="D217" i="6"/>
  <c r="D206" i="6"/>
  <c r="F206" i="6"/>
  <c r="F208" i="6"/>
  <c r="F207" i="6" s="1"/>
  <c r="H208" i="6"/>
  <c r="H207" i="6" s="1"/>
  <c r="H217" i="6"/>
  <c r="H206" i="6"/>
  <c r="AT189" i="6"/>
  <c r="I208" i="6"/>
  <c r="I206" i="6"/>
  <c r="I217" i="6"/>
  <c r="F217" i="6" l="1"/>
  <c r="M20" i="14"/>
  <c r="M8" i="14" s="1"/>
  <c r="AS192" i="6"/>
  <c r="AT192" i="6" s="1"/>
  <c r="AT191" i="6"/>
  <c r="M9" i="14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06" i="6"/>
  <c r="I207" i="6"/>
  <c r="I212" i="6"/>
  <c r="J212" i="6" s="1"/>
  <c r="P206" i="6"/>
  <c r="P208" i="6"/>
  <c r="P207" i="6" s="1"/>
  <c r="AX193" i="6"/>
  <c r="AY193" i="6" s="1"/>
  <c r="L217" i="6" l="1"/>
  <c r="R211" i="6"/>
  <c r="R210" i="6"/>
  <c r="R209" i="6"/>
  <c r="AY192" i="6"/>
  <c r="M13" i="14" s="1"/>
  <c r="AY191" i="6"/>
  <c r="M10" i="14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A211" i="6" l="1"/>
  <c r="AA210" i="6"/>
  <c r="AA209" i="6"/>
  <c r="AZ185" i="6"/>
  <c r="M21" i="14" s="1"/>
  <c r="M12" i="14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06" i="6"/>
  <c r="AD217" i="6" l="1"/>
  <c r="AJ211" i="6"/>
  <c r="AJ210" i="6"/>
  <c r="AJ209" i="6"/>
  <c r="BA185" i="6"/>
  <c r="AH217" i="6"/>
  <c r="AE217" i="6"/>
  <c r="AG217" i="6"/>
  <c r="AF217" i="6"/>
  <c r="S209" i="6"/>
  <c r="S210" i="6"/>
  <c r="AV205" i="6"/>
  <c r="AV206" i="6" s="1"/>
  <c r="AW205" i="6"/>
  <c r="AB217" i="6"/>
  <c r="AK206" i="6"/>
  <c r="AQ206" i="6"/>
  <c r="AQ208" i="6"/>
  <c r="AQ207" i="6" s="1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06" i="6"/>
  <c r="AN208" i="6"/>
  <c r="AN207" i="6" s="1"/>
  <c r="AN206" i="6"/>
  <c r="AM208" i="6"/>
  <c r="AM217" i="6" s="1"/>
  <c r="AM206" i="6"/>
  <c r="AJ207" i="6"/>
  <c r="AJ212" i="6"/>
  <c r="AK212" i="6" s="1"/>
  <c r="AQ217" i="6" l="1"/>
  <c r="AO217" i="6"/>
  <c r="AN217" i="6"/>
  <c r="M22" i="14"/>
  <c r="AK217" i="6"/>
  <c r="AV217" i="6"/>
  <c r="AV208" i="6"/>
  <c r="AV207" i="6" s="1"/>
  <c r="AH209" i="6"/>
  <c r="AI209" i="6" s="1"/>
  <c r="AW208" i="6"/>
  <c r="AW207" i="6" s="1"/>
  <c r="AW217" i="6"/>
  <c r="AW206" i="6"/>
  <c r="AX206" i="6" s="1"/>
  <c r="AS212" i="6"/>
  <c r="AT212" i="6" s="1"/>
  <c r="AY212" i="6" s="1"/>
  <c r="AS207" i="6"/>
  <c r="AT206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T217" i="6" l="1"/>
  <c r="AV211" i="6"/>
  <c r="AX217" i="6"/>
  <c r="AV210" i="6"/>
  <c r="AV209" i="6"/>
  <c r="AW209" i="6"/>
  <c r="AK209" i="6"/>
  <c r="AW211" i="6"/>
  <c r="AX208" i="6"/>
  <c r="AY208" i="6" s="1"/>
  <c r="N15" i="14"/>
  <c r="AX207" i="6"/>
  <c r="AQ209" i="6"/>
  <c r="AR209" i="6" s="1"/>
  <c r="AS209" i="6" s="1"/>
  <c r="AT207" i="6"/>
  <c r="AW210" i="6"/>
  <c r="AY206" i="6"/>
  <c r="AQ210" i="6"/>
  <c r="AR210" i="6" s="1"/>
  <c r="AT211" i="6"/>
  <c r="P15" i="14" l="1"/>
  <c r="AY217" i="6"/>
  <c r="N20" i="14" s="1"/>
  <c r="AX211" i="6"/>
  <c r="AY211" i="6" s="1"/>
  <c r="AX210" i="6"/>
  <c r="AX209" i="6"/>
  <c r="AY207" i="6"/>
  <c r="N9" i="14"/>
  <c r="N11" i="14"/>
  <c r="AT209" i="6"/>
  <c r="AS210" i="6"/>
  <c r="AT210" i="6" s="1"/>
  <c r="P9" i="14" l="1"/>
  <c r="P11" i="14"/>
  <c r="AY210" i="6"/>
  <c r="N13" i="14" s="1"/>
  <c r="AY209" i="6"/>
  <c r="N12" i="14" s="1"/>
  <c r="N10" i="14"/>
  <c r="N14" i="14"/>
  <c r="P20" i="14"/>
  <c r="N8" i="14"/>
  <c r="P8" i="14" s="1"/>
  <c r="P10" i="14" l="1"/>
  <c r="P12" i="14"/>
  <c r="P14" i="14"/>
  <c r="P13" i="14"/>
  <c r="AZ203" i="6"/>
  <c r="BA203" i="6" s="1"/>
  <c r="N21" i="14" l="1"/>
  <c r="N22" i="14"/>
  <c r="P22" i="14" l="1"/>
</calcChain>
</file>

<file path=xl/comments1.xml><?xml version="1.0" encoding="utf-8"?>
<comments xmlns="http://schemas.openxmlformats.org/spreadsheetml/2006/main">
  <authors>
    <author>gmb</author>
  </authors>
  <commentList>
    <comment ref="L5" authorId="0" shapeId="0">
      <text>
        <r>
          <rPr>
            <sz val="9"/>
            <color indexed="81"/>
            <rFont val="Tahoma"/>
            <charset val="1"/>
          </rPr>
          <t xml:space="preserve"> a 7 ans</t>
        </r>
      </text>
    </comment>
    <comment ref="I95" authorId="0" shapeId="0">
      <text>
        <r>
          <rPr>
            <sz val="9"/>
            <color indexed="81"/>
            <rFont val="Tahoma"/>
            <charset val="1"/>
          </rPr>
          <t>Ma Douce et Belle a 31 ans</t>
        </r>
      </text>
    </comment>
    <comment ref="N113" authorId="0" shapeId="0">
      <text>
        <r>
          <rPr>
            <sz val="9"/>
            <color indexed="81"/>
            <rFont val="Tahoma"/>
            <charset val="1"/>
          </rPr>
          <t>filou a 32 ans</t>
        </r>
      </text>
    </comment>
    <comment ref="I131" authorId="0" shapeId="0">
      <text>
        <r>
          <rPr>
            <sz val="9"/>
            <color indexed="81"/>
            <rFont val="Tahoma"/>
            <charset val="1"/>
          </rPr>
          <t>Mon aîné a 16 ans</t>
        </r>
      </text>
    </comment>
    <comment ref="O149" authorId="0" shapeId="0">
      <text>
        <r>
          <rPr>
            <sz val="9"/>
            <color indexed="81"/>
            <rFont val="Tahoma"/>
            <charset val="1"/>
          </rPr>
          <t>Mon petitou a 14 ans</t>
        </r>
      </text>
    </comment>
    <comment ref="P149" authorId="0" shapeId="0">
      <text>
        <r>
          <rPr>
            <sz val="9"/>
            <color indexed="81"/>
            <rFont val="Tahoma"/>
            <charset val="1"/>
          </rPr>
          <t>La mémée a 87 ans</t>
        </r>
      </text>
    </comment>
    <comment ref="U167" authorId="0" shapeId="0">
      <text>
        <r>
          <rPr>
            <sz val="9"/>
            <color indexed="81"/>
            <rFont val="Tahoma"/>
            <charset val="1"/>
          </rPr>
          <t>Le papet a 97 ans</t>
        </r>
      </text>
    </comment>
  </commentList>
</comments>
</file>

<file path=xl/sharedStrings.xml><?xml version="1.0" encoding="utf-8"?>
<sst xmlns="http://schemas.openxmlformats.org/spreadsheetml/2006/main" count="492" uniqueCount="114">
  <si>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</si>
  <si>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</si>
  <si>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</si>
  <si>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</si>
  <si>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</si>
  <si>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</si>
  <si>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</si>
  <si>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</si>
  <si>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</si>
  <si>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</si>
  <si>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</si>
  <si>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</si>
  <si>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</si>
  <si>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</si>
  <si>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</si>
  <si>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</si>
  <si>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</si>
  <si>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</si>
  <si>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</si>
  <si>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</si>
  <si>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</si>
  <si>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</si>
  <si>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</si>
  <si>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</si>
  <si>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</si>
  <si>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</si>
  <si>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</si>
  <si>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</si>
  <si>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</si>
  <si>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</si>
  <si>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</si>
  <si>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</si>
  <si>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</si>
  <si>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</si>
  <si>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</si>
  <si>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</si>
  <si>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</si>
  <si>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</si>
  <si>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</si>
  <si>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</si>
  <si>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</si>
  <si>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</si>
  <si>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</si>
  <si>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</si>
  <si>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</si>
  <si>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</si>
  <si>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</si>
  <si>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</si>
  <si>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</si>
  <si>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</si>
  <si>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</si>
  <si>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</si>
  <si>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</si>
  <si>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</si>
  <si>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</si>
  <si>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</si>
  <si>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</si>
  <si>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</si>
  <si>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</si>
  <si>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</si>
  <si>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</si>
  <si>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</si>
  <si>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</si>
  <si>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</si>
  <si>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</si>
  <si>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</si>
  <si>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</si>
  <si>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</si>
  <si>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</si>
  <si>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</si>
  <si>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</si>
  <si>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</si>
  <si>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</si>
  <si>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</si>
  <si>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</si>
  <si>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</si>
  <si>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</si>
  <si>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</si>
  <si>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</si>
  <si>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</si>
  <si>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c2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</si>
  <si>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</si>
  <si>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</si>
  <si>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</si>
  <si>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</si>
  <si>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</si>
  <si>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</si>
  <si>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</si>
  <si>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</si>
  <si>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</si>
  <si>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</si>
  <si>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</si>
  <si>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</si>
  <si>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</si>
  <si>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</si>
  <si>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</si>
  <si>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</si>
  <si>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</si>
  <si>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filou</t>
  </si>
  <si>
    <t>Victoire 1945</t>
  </si>
  <si>
    <t>Mon aîné</t>
  </si>
  <si>
    <t>Fête nationale</t>
  </si>
  <si>
    <t>Mon petitou</t>
  </si>
  <si>
    <t>Assomption</t>
  </si>
  <si>
    <t>La mémée</t>
  </si>
  <si>
    <t>Toussaint</t>
  </si>
  <si>
    <t>Le papet</t>
  </si>
  <si>
    <t>Armistice</t>
  </si>
  <si>
    <t>Noël</t>
  </si>
  <si>
    <t>Autre</t>
  </si>
  <si>
    <t>Lundi de Pâques</t>
  </si>
  <si>
    <t>Ascension</t>
  </si>
  <si>
    <t>Lundi de Pentecote</t>
  </si>
  <si>
    <t>Date de reprise incertaine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</si>
</sst>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1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CC8A4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02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11" fillId="7" borderId="0" xfId="2" applyFont="1" applyFill="1" applyBorder="1" applyAlignment="1">
      <alignment horizontal="center" vertical="center" textRotation="45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7" borderId="0" xfId="2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3" xfId="7" applyNumberFormat="1" applyFont="1" applyFill="1" applyBorder="1" applyAlignment="1">
      <alignment horizontal="center"/>
    </xf>
    <xf numFmtId="167" fontId="17" fillId="9" borderId="6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166" fontId="0" fillId="10" borderId="0" xfId="0" applyNumberFormat="1" applyFill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164" fontId="7" fillId="11" borderId="0" xfId="1" applyNumberFormat="1" applyFont="1" applyFill="1" applyBorder="1" applyAlignment="1">
      <alignment horizontal="center" vertical="top" wrapText="1"/>
    </xf>
    <xf numFmtId="0" fontId="18" fillId="5" borderId="0" xfId="2" applyFont="1" applyFill="1" applyBorder="1" applyAlignment="1">
      <alignment horizontal="center" vertical="center"/>
    </xf>
    <xf numFmtId="0" fontId="18" fillId="5" borderId="5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0" fontId="19" fillId="5" borderId="5" xfId="2" applyFont="1" applyFill="1" applyBorder="1" applyAlignment="1">
      <alignment horizontal="center" vertical="center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dov/Downloads/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6.6640625" defaultRowHeight="14.25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>
      <c r="A1" s="18">
        <v>2017</v>
      </c>
      <c r="C1" s="4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4" t="s">
        <v>45</v>
      </c>
      <c r="BA2" s="74" t="s">
        <v>46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4"/>
      <c r="BA3" s="74"/>
      <c r="BF3" s="6"/>
    </row>
    <row r="4" spans="1:59" s="2" customFormat="1" ht="27.75" thickBot="1">
      <c r="A4" s="20"/>
      <c r="B4" s="20"/>
      <c r="C4" s="21" t="s">
        <v>0</v>
      </c>
      <c r="D4" s="21"/>
      <c r="E4" s="21"/>
      <c r="F4" s="21"/>
      <c r="G4" s="21"/>
      <c r="H4" s="73">
        <f>Année_Calendaire</f>
        <v>2017</v>
      </c>
      <c r="I4" s="73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73">
        <f>Année_Calendaire</f>
        <v>2017</v>
      </c>
      <c r="AA4" s="73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73">
        <f>Année_Calendaire</f>
        <v>2017</v>
      </c>
      <c r="AS4" s="73"/>
      <c r="AT4" s="38"/>
      <c r="AU4" s="45"/>
      <c r="AV4" s="22"/>
      <c r="AW4" s="22"/>
      <c r="AY4" s="64" t="s">
        <v>82</v>
      </c>
      <c r="AZ4" s="19"/>
      <c r="BA4" s="19"/>
      <c r="BB4" s="19"/>
      <c r="BC4" s="19"/>
      <c r="BD4" s="72"/>
      <c r="BE4" s="72"/>
      <c r="BF4" s="42"/>
    </row>
    <row r="5" spans="1:59" s="23" customFormat="1" ht="29.25" customHeight="1" thickTop="1" thickBot="1">
      <c r="A5" s="36"/>
      <c r="B5" s="55" t="s">
        <v>80</v>
      </c>
      <c r="C5" s="98" t="str">
        <f>IF(C6&lt;&gt;"","Lun","")</f>
        <v/>
      </c>
      <c r="D5" s="98" t="str">
        <f>IF(D6&lt;&gt;"","Mar","")</f>
        <v/>
      </c>
      <c r="E5" s="98" t="str">
        <f>IF(E6&lt;&gt;"","Mer","")</f>
        <v/>
      </c>
      <c r="F5" s="98" t="str">
        <f>IF(F6&lt;&gt;"","Jeu","")</f>
        <v/>
      </c>
      <c r="G5" s="98" t="str">
        <f>IF(G6&lt;&gt;"","Ven","")</f>
        <v/>
      </c>
      <c r="H5" s="98" t="str">
        <f>IF(H6&lt;&gt;"","Sam","")</f>
        <v/>
      </c>
      <c r="I5" s="99" t="str">
        <f>IF(I6&lt;&gt;"","Dim","")</f>
        <v>Dim</v>
      </c>
      <c r="J5" s="71" t="s">
        <v>32</v>
      </c>
      <c r="K5" s="55" t="str">
        <f>IF(B5="C1","C2",IF(B5="C2","C3",IF(B5="C3","C4",IF(B5="C4","C1",""))))</f>
        <v>C3</v>
      </c>
      <c r="L5" s="101" t="str">
        <f>IF(L6&lt;&gt;"","Lun","")</f>
        <v>Lun</v>
      </c>
      <c r="M5" s="99" t="str">
        <f>IF(M6&lt;&gt;"","Mar","")</f>
        <v>Mar</v>
      </c>
      <c r="N5" s="98" t="str">
        <f>IF(N6&lt;&gt;"","Mer","")</f>
        <v>Mer</v>
      </c>
      <c r="O5" s="98" t="str">
        <f>IF(O6&lt;&gt;"","Jeu","")</f>
        <v>Jeu</v>
      </c>
      <c r="P5" s="98" t="str">
        <f>IF(P6&lt;&gt;"","Ven","")</f>
        <v>Ven</v>
      </c>
      <c r="Q5" s="98" t="str">
        <f>IF(Q6&lt;&gt;"","Sam","")</f>
        <v>Sam</v>
      </c>
      <c r="R5" s="98" t="str">
        <f>IF(R6&lt;&gt;"","Dim","")</f>
        <v>Dim</v>
      </c>
      <c r="S5" s="71" t="s">
        <v>32</v>
      </c>
      <c r="T5" s="55" t="str">
        <f>IF(B5="C1","C2",IF(B5="C2","C3",IF(B5="C3","C4",IF(B5="C4","C1",""))))</f>
        <v>C3</v>
      </c>
      <c r="U5" s="98" t="str">
        <f>IF(U6&lt;&gt;"","Lun","")</f>
        <v>Lun</v>
      </c>
      <c r="V5" s="98" t="str">
        <f>IF(V6&lt;&gt;"","Mar","")</f>
        <v>Mar</v>
      </c>
      <c r="W5" s="98" t="str">
        <f>IF(W6&lt;&gt;"","Mer","")</f>
        <v>Mer</v>
      </c>
      <c r="X5" s="98" t="str">
        <f>IF(X6&lt;&gt;"","Jeu","")</f>
        <v>Jeu</v>
      </c>
      <c r="Y5" s="98" t="str">
        <f>IF(Y6&lt;&gt;"","Ven","")</f>
        <v>Ven</v>
      </c>
      <c r="Z5" s="98" t="str">
        <f>IF(Z6&lt;&gt;"","Sam","")</f>
        <v>Sam</v>
      </c>
      <c r="AA5" s="98" t="str">
        <f>IF(AA6&lt;&gt;"","Dim","")</f>
        <v>Dim</v>
      </c>
      <c r="AB5" s="71" t="s">
        <v>32</v>
      </c>
      <c r="AC5" s="55" t="str">
        <f>IF(T5="C1","C2",IF(T5="C2","C3",IF(T5="C3","C4",IF(T5="C4","C1",""))))</f>
        <v>C4</v>
      </c>
      <c r="AD5" s="98" t="str">
        <f>IF(AD6&lt;&gt;"","Lun","")</f>
        <v>Lun</v>
      </c>
      <c r="AE5" s="98" t="str">
        <f>IF(AE6&lt;&gt;"","Mar","")</f>
        <v>Mar</v>
      </c>
      <c r="AF5" s="98" t="str">
        <f>IF(AF6&lt;&gt;"","Mer","")</f>
        <v>Mer</v>
      </c>
      <c r="AG5" s="98" t="str">
        <f>IF(AG6&lt;&gt;"","Jeu","")</f>
        <v>Jeu</v>
      </c>
      <c r="AH5" s="98" t="str">
        <f>IF(AH6&lt;&gt;"","Ven","")</f>
        <v>Ven</v>
      </c>
      <c r="AI5" s="98" t="str">
        <f>IF(AI6&lt;&gt;"","Sam","")</f>
        <v>Sam</v>
      </c>
      <c r="AJ5" s="98" t="str">
        <f>IF(AJ6&lt;&gt;"","Dim","")</f>
        <v>Dim</v>
      </c>
      <c r="AK5" s="71" t="s">
        <v>32</v>
      </c>
      <c r="AL5" s="55" t="str">
        <f>IF(AC5="C1","C2",IF(AC5="C2","C3",IF(AC5="C3","C4",IF(AC5="C4","C1",""))))</f>
        <v>C1</v>
      </c>
      <c r="AM5" s="98" t="str">
        <f>IF(AM6&lt;&gt;"","Lun","")</f>
        <v>Lun</v>
      </c>
      <c r="AN5" s="98" t="str">
        <f>IF(AN6&lt;&gt;"","Mar","")</f>
        <v>Mar</v>
      </c>
      <c r="AO5" s="98" t="str">
        <f>IF(AO6&lt;&gt;"","Mer","")</f>
        <v>Mer</v>
      </c>
      <c r="AP5" s="98" t="str">
        <f>IF(AP6&lt;&gt;"","Jeu","")</f>
        <v>Jeu</v>
      </c>
      <c r="AQ5" s="98" t="str">
        <f>IF(AQ6&lt;&gt;"","Ven","")</f>
        <v>Ven</v>
      </c>
      <c r="AR5" s="98" t="str">
        <f>IF(AR6&lt;&gt;"","Sam","")</f>
        <v>Sam</v>
      </c>
      <c r="AS5" s="98" t="str">
        <f>IF(AS6&lt;&gt;"","Dim","")</f>
        <v>Dim</v>
      </c>
      <c r="AT5" s="71" t="s">
        <v>32</v>
      </c>
      <c r="AU5" s="55" t="str">
        <f>IF(AV5&lt;&gt;"",IF(AL5="C1","C2",IF(AL5="C2","C3",IF(AL5="C3","C4",IF(AL5="C4","C1","")))),"")</f>
        <v>C2</v>
      </c>
      <c r="AV5" s="53" t="str">
        <f>IF(AV6&lt;&gt;"","Lun","")</f>
        <v>Lun</v>
      </c>
      <c r="AW5" s="53" t="str">
        <f>IF(AW6&lt;&gt;"","Mar","")</f>
        <v>Mar</v>
      </c>
      <c r="AX5" s="71" t="s">
        <v>32</v>
      </c>
      <c r="AY5" s="71" t="s">
        <v>35</v>
      </c>
      <c r="AZ5" s="74">
        <f>AY12+AY13+AY14</f>
        <v>5</v>
      </c>
      <c r="BA5" s="74">
        <f>AZ5</f>
        <v>5</v>
      </c>
      <c r="BB5" s="39"/>
      <c r="BC5" s="39"/>
      <c r="BD5" s="39"/>
      <c r="BE5" s="39"/>
      <c r="BF5" s="34"/>
    </row>
    <row r="6" spans="1:59" s="25" customFormat="1" ht="15" customHeight="1" thickTop="1">
      <c r="A6" s="10"/>
      <c r="B6" s="54"/>
      <c r="C6" s="97" t="str">
        <f>IF(DAY(Jan_Dim1)=1,"",IF(AND(YEAR(Jan_Dim1+1)=Année_Calendaire,MONTH(Jan_Dim1+1)=1),Jan_Dim1+1,""))</f>
        <v/>
      </c>
      <c r="D6" s="97" t="str">
        <f>IF(DAY(Jan_Dim1)=1,"",IF(AND(YEAR(Jan_Dim1+2)=Année_Calendaire,MONTH(Jan_Dim1+2)=1),Jan_Dim1+2,""))</f>
        <v/>
      </c>
      <c r="E6" s="97" t="str">
        <f>IF(DAY(Jan_Dim1)=1,"",IF(AND(YEAR(Jan_Dim1+3)=Année_Calendaire,MONTH(Jan_Dim1+3)=1),Jan_Dim1+3,""))</f>
        <v/>
      </c>
      <c r="F6" s="97" t="str">
        <f>IF(DAY(Jan_Dim1)=1,"",IF(AND(YEAR(Jan_Dim1+4)=Année_Calendaire,MONTH(Jan_Dim1+4)=1),Jan_Dim1+4,""))</f>
        <v/>
      </c>
      <c r="G6" s="97" t="str">
        <f>IF(DAY(Jan_Dim1)=1,"",IF(AND(YEAR(Jan_Dim1+5)=Année_Calendaire,MONTH(Jan_Dim1+5)=1),Jan_Dim1+5,""))</f>
        <v/>
      </c>
      <c r="H6" s="97" t="str">
        <f>IF(DAY(Jan_Dim1)=1,"",IF(AND(YEAR(Jan_Dim1+6)=Année_Calendaire,MONTH(Jan_Dim1+6)=1),Jan_Dim1+6,""))</f>
        <v/>
      </c>
      <c r="I6" s="97">
        <f>IF(DAY(Jan_Dim1)=1,IF(AND(YEAR(Jan_Dim1)=Année_Calendaire,MONTH(Jan_Dim1)=1),Jan_Dim1,""),IF(AND(YEAR(Jan_Dim1+7)=Année_Calendaire,MONTH(Jan_Dim1+7)=1),Jan_Dim1+7,""))</f>
        <v>42736</v>
      </c>
      <c r="J6" s="71"/>
      <c r="K6" s="54"/>
      <c r="L6" s="97">
        <f>IF(DAY(Jan_Dim1)=1,IF(AND(YEAR(Jan_Dim1+1)=Année_Calendaire,MONTH(Jan_Dim1+1)=1),Jan_Dim1+1,""),IF(AND(YEAR(Jan_Dim1+8)=Année_Calendaire,MONTH(Jan_Dim1+8)=1),Jan_Dim1+8,""))</f>
        <v>42737</v>
      </c>
      <c r="M6" s="97">
        <f>IF(DAY(Jan_Dim1)=1,IF(AND(YEAR(Jan_Dim1+2)=Année_Calendaire,MONTH(Jan_Dim1+2)=1),Jan_Dim1+2,""),IF(AND(YEAR(Jan_Dim1+9)=Année_Calendaire,MONTH(Jan_Dim1+9)=1),Jan_Dim1+9,""))</f>
        <v>42738</v>
      </c>
      <c r="N6" s="97">
        <f>IF(DAY(Jan_Dim1)=1,IF(AND(YEAR(Jan_Dim1+3)=Année_Calendaire,MONTH(Jan_Dim1+3)=1),Jan_Dim1+3,""),IF(AND(YEAR(Jan_Dim1+10)=Année_Calendaire,MONTH(Jan_Dim1+10)=1),Jan_Dim1+10,""))</f>
        <v>42739</v>
      </c>
      <c r="O6" s="97">
        <f>IF(DAY(Jan_Dim1)=1,IF(AND(YEAR(Jan_Dim1+4)=Année_Calendaire,MONTH(Jan_Dim1+4)=1),Jan_Dim1+4,""),IF(AND(YEAR(Jan_Dim1+11)=Année_Calendaire,MONTH(Jan_Dim1+11)=1),Jan_Dim1+11,""))</f>
        <v>42740</v>
      </c>
      <c r="P6" s="97">
        <f>IF(DAY(Jan_Dim1)=1,IF(AND(YEAR(Jan_Dim1+5)=Année_Calendaire,MONTH(Jan_Dim1+5)=1),Jan_Dim1+5,""),IF(AND(YEAR(Jan_Dim1+12)=Année_Calendaire,MONTH(Jan_Dim1+12)=1),Jan_Dim1+12,""))</f>
        <v>42741</v>
      </c>
      <c r="Q6" s="97">
        <f>IF(DAY(Jan_Dim1)=1,IF(AND(YEAR(Jan_Dim1+6)=Année_Calendaire,MONTH(Jan_Dim1+6)=1),Jan_Dim1+6,""),IF(AND(YEAR(Jan_Dim1+13)=Année_Calendaire,MONTH(Jan_Dim1+13)=1),Jan_Dim1+13,""))</f>
        <v>42742</v>
      </c>
      <c r="R6" s="97">
        <f>IF(DAY(Jan_Dim1)=1,IF(AND(YEAR(Jan_Dim1+7)=Année_Calendaire,MONTH(Jan_Dim1+7)=1),Jan_Dim1+7,""),IF(AND(YEAR(Jan_Dim1+14)=Année_Calendaire,MONTH(Jan_Dim1+14)=1),Jan_Dim1+14,""))</f>
        <v>42743</v>
      </c>
      <c r="S6" s="71"/>
      <c r="T6" s="54"/>
      <c r="U6" s="97">
        <f>IF(DAY(Jan_Dim1)=1,IF(AND(YEAR(Jan_Dim1+8)=Année_Calendaire,MONTH(Jan_Dim1+8)=1),Jan_Dim1+8,""),IF(AND(YEAR(Jan_Dim1+15)=Année_Calendaire,MONTH(Jan_Dim1+15)=1),Jan_Dim1+15,""))</f>
        <v>42744</v>
      </c>
      <c r="V6" s="97">
        <f>IF(DAY(Jan_Dim1)=1,IF(AND(YEAR(Jan_Dim1+9)=Année_Calendaire,MONTH(Jan_Dim1+9)=1),Jan_Dim1+9,""),IF(AND(YEAR(Jan_Dim1+16)=Année_Calendaire,MONTH(Jan_Dim1+16)=1),Jan_Dim1+16,""))</f>
        <v>42745</v>
      </c>
      <c r="W6" s="97">
        <f>IF(DAY(Jan_Dim1)=1,IF(AND(YEAR(Jan_Dim1+10)=Année_Calendaire,MONTH(Jan_Dim1+10)=1),Jan_Dim1+10,""),IF(AND(YEAR(Jan_Dim1+17)=Année_Calendaire,MONTH(Jan_Dim1+17)=1),Jan_Dim1+17,""))</f>
        <v>42746</v>
      </c>
      <c r="X6" s="97">
        <f>IF(DAY(Jan_Dim1)=1,IF(AND(YEAR(Jan_Dim1+11)=Année_Calendaire,MONTH(Jan_Dim1+11)=1),Jan_Dim1+11,""),IF(AND(YEAR(Jan_Dim1+18)=Année_Calendaire,MONTH(Jan_Dim1+18)=1),Jan_Dim1+18,""))</f>
        <v>42747</v>
      </c>
      <c r="Y6" s="97">
        <f>IF(DAY(Jan_Dim1)=1,IF(AND(YEAR(Jan_Dim1+12)=Année_Calendaire,MONTH(Jan_Dim1+12)=1),Jan_Dim1+12,""),IF(AND(YEAR(Jan_Dim1+19)=Année_Calendaire,MONTH(Jan_Dim1+19)=1),Jan_Dim1+19,""))</f>
        <v>42748</v>
      </c>
      <c r="Z6" s="97">
        <f>IF(DAY(Jan_Dim1)=1,IF(AND(YEAR(Jan_Dim1+13)=Année_Calendaire,MONTH(Jan_Dim1+13)=1),Jan_Dim1+13,""),IF(AND(YEAR(Jan_Dim1+20)=Année_Calendaire,MONTH(Jan_Dim1+20)=1),Jan_Dim1+20,""))</f>
        <v>42749</v>
      </c>
      <c r="AA6" s="97">
        <f>IF(DAY(Jan_Dim1)=1,IF(AND(YEAR(Jan_Dim1+14)=Année_Calendaire,MONTH(Jan_Dim1+14)=1),Jan_Dim1+14,""),IF(AND(YEAR(Jan_Dim1+21)=Année_Calendaire,MONTH(Jan_Dim1+21)=1),Jan_Dim1+21,""))</f>
        <v>42750</v>
      </c>
      <c r="AB6" s="71"/>
      <c r="AC6" s="54"/>
      <c r="AD6" s="97">
        <f>IF(DAY(Jan_Dim1)=1,IF(AND(YEAR(Jan_Dim1+15)=Année_Calendaire,MONTH(Jan_Dim1+15)=1),Jan_Dim1+15,""),IF(AND(YEAR(Jan_Dim1+22)=Année_Calendaire,MONTH(Jan_Dim1+22)=1),Jan_Dim1+22,""))</f>
        <v>42751</v>
      </c>
      <c r="AE6" s="97">
        <f>IF(DAY(Jan_Dim1)=1,IF(AND(YEAR(Jan_Dim1+16)=Année_Calendaire,MONTH(Jan_Dim1+16)=1),Jan_Dim1+16,""),IF(AND(YEAR(Jan_Dim1+23)=Année_Calendaire,MONTH(Jan_Dim1+23)=1),Jan_Dim1+23,""))</f>
        <v>42752</v>
      </c>
      <c r="AF6" s="97">
        <f>IF(DAY(Jan_Dim1)=1,IF(AND(YEAR(Jan_Dim1+17)=Année_Calendaire,MONTH(Jan_Dim1+17)=1),Jan_Dim1+17,""),IF(AND(YEAR(Jan_Dim1+24)=Année_Calendaire,MONTH(Jan_Dim1+24)=1),Jan_Dim1+24,""))</f>
        <v>42753</v>
      </c>
      <c r="AG6" s="97">
        <f>IF(DAY(Jan_Dim1)=1,IF(AND(YEAR(Jan_Dim1+18)=Année_Calendaire,MONTH(Jan_Dim1+18)=1),Jan_Dim1+18,""),IF(AND(YEAR(Jan_Dim1+25)=Année_Calendaire,MONTH(Jan_Dim1+25)=1),Jan_Dim1+25,""))</f>
        <v>42754</v>
      </c>
      <c r="AH6" s="97">
        <f>IF(DAY(Jan_Dim1)=1,IF(AND(YEAR(Jan_Dim1+19)=Année_Calendaire,MONTH(Jan_Dim1+19)=1),Jan_Dim1+19,""),IF(AND(YEAR(Jan_Dim1+26)=Année_Calendaire,MONTH(Jan_Dim1+26)=1),Jan_Dim1+26,""))</f>
        <v>42755</v>
      </c>
      <c r="AI6" s="97">
        <f>IF(DAY(Jan_Dim1)=1,IF(AND(YEAR(Jan_Dim1+20)=Année_Calendaire,MONTH(Jan_Dim1+20)=1),Jan_Dim1+20,""),IF(AND(YEAR(Jan_Dim1+27)=Année_Calendaire,MONTH(Jan_Dim1+27)=1),Jan_Dim1+27,""))</f>
        <v>42756</v>
      </c>
      <c r="AJ6" s="97">
        <f>IF(DAY(Jan_Dim1)=1,IF(AND(YEAR(Jan_Dim1+21)=Année_Calendaire,MONTH(Jan_Dim1+21)=1),Jan_Dim1+21,""),IF(AND(YEAR(Jan_Dim1+28)=Année_Calendaire,MONTH(Jan_Dim1+28)=1),Jan_Dim1+28,""))</f>
        <v>42757</v>
      </c>
      <c r="AK6" s="71"/>
      <c r="AL6" s="54"/>
      <c r="AM6" s="97">
        <f>IF(DAY(Jan_Dim1)=1,IF(AND(YEAR(Jan_Dim1+22)=Année_Calendaire,MONTH(Jan_Dim1+22)=1),Jan_Dim1+22,""),IF(AND(YEAR(Jan_Dim1+29)=Année_Calendaire,MONTH(Jan_Dim1+29)=1),Jan_Dim1+29,""))</f>
        <v>42758</v>
      </c>
      <c r="AN6" s="97">
        <f>IF(DAY(Jan_Dim1)=1,IF(AND(YEAR(Jan_Dim1+23)=Année_Calendaire,MONTH(Jan_Dim1+23)=1),Jan_Dim1+23,""),IF(AND(YEAR(Jan_Dim1+30)=Année_Calendaire,MONTH(Jan_Dim1+30)=1),Jan_Dim1+30,""))</f>
        <v>42759</v>
      </c>
      <c r="AO6" s="97">
        <f>IF(DAY(Jan_Dim1)=1,IF(AND(YEAR(Jan_Dim1+24)=Année_Calendaire,MONTH(Jan_Dim1+24)=1),Jan_Dim1+24,""),IF(AND(YEAR(Jan_Dim1+31)=Année_Calendaire,MONTH(Jan_Dim1+31)=1),Jan_Dim1+31,""))</f>
        <v>42760</v>
      </c>
      <c r="AP6" s="97">
        <f>IF(DAY(Jan_Dim1)=1,IF(AND(YEAR(Jan_Dim1+25)=Année_Calendaire,MONTH(Jan_Dim1+25)=1),Jan_Dim1+25,""),IF(AND(YEAR(Jan_Dim1+32)=Année_Calendaire,MONTH(Jan_Dim1+32)=1),Jan_Dim1+32,""))</f>
        <v>42761</v>
      </c>
      <c r="AQ6" s="97">
        <f>IF(DAY(Jan_Dim1)=1,IF(AND(YEAR(Jan_Dim1+26)=Année_Calendaire,MONTH(Jan_Dim1+26)=1),Jan_Dim1+26,""),IF(AND(YEAR(Jan_Dim1+33)=Année_Calendaire,MONTH(Jan_Dim1+33)=1),Jan_Dim1+33,""))</f>
        <v>42762</v>
      </c>
      <c r="AR6" s="97">
        <f>IF(DAY(Jan_Dim1)=1,IF(AND(YEAR(Jan_Dim1+27)=Année_Calendaire,MONTH(Jan_Dim1+27)=1),Jan_Dim1+27,""),IF(AND(YEAR(Jan_Dim1+34)=Année_Calendaire,MONTH(Jan_Dim1+34)=1),Jan_Dim1+34,""))</f>
        <v>42763</v>
      </c>
      <c r="AS6" s="97">
        <f>IF(DAY(Jan_Dim1)=1,IF(AND(YEAR(Jan_Dim1+28)=Année_Calendaire,MONTH(Jan_Dim1+28)=1),Jan_Dim1+28,""),IF(AND(YEAR(Jan_Dim1+35)=Année_Calendaire,MONTH(Jan_Dim1+35)=1),Jan_Dim1+35,""))</f>
        <v>42764</v>
      </c>
      <c r="AT6" s="71"/>
      <c r="AU6" s="54"/>
      <c r="AV6" s="54">
        <f>IF(DAY(Jan_Dim1)=1,IF(AND(YEAR(Jan_Dim1+29)=Année_Calendaire,MONTH(Jan_Dim1+29)=1),Jan_Dim1+29,""),IF(AND(YEAR(Jan_Dim1+36)=Année_Calendaire,MONTH(Jan_Dim1+36)=1),Jan_Dim1+36,""))</f>
        <v>42765</v>
      </c>
      <c r="AW6" s="54">
        <f>IF(DAY(Jan_Dim1)=1,IF(AND(YEAR(Jan_Dim1+30)=Année_Calendaire,MONTH(Jan_Dim1+30)=1),Jan_Dim1+30,""),IF(AND(YEAR(Jan_Dim1+37)=Année_Calendaire,MONTH(Jan_Dim1+37)=1),Jan_Dim1+37,""))</f>
        <v>42766</v>
      </c>
      <c r="AX6" s="71"/>
      <c r="AY6" s="71"/>
      <c r="AZ6" s="74"/>
      <c r="BA6" s="74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IF(C6="","",IFERROR(VLOOKUP(B5,DATA!$A:$H,2,TRUE),0))</f>
        <v/>
      </c>
      <c r="D7" s="49" t="str">
        <f>IF(D6="","",IFERROR(VLOOKUP(B5,DATA!$A:$H,3,TRUE),0))</f>
        <v/>
      </c>
      <c r="E7" s="49" t="str">
        <f>IF(E6="","",IFERROR(VLOOKUP(B5,DATA!$A:$H,4,TRUE),0))</f>
        <v/>
      </c>
      <c r="F7" s="49" t="str">
        <f>IF(F6="","",IFERROR(VLOOKUP(B5,DATA!$A:$H,5,TRUE),0))</f>
        <v/>
      </c>
      <c r="G7" s="49" t="str">
        <f>IF(G6="","",IFERROR(VLOOKUP(B5,DATA!$A:$H,6,TRUE),0))</f>
        <v/>
      </c>
      <c r="H7" s="49" t="str">
        <f>IF(H6="","",IFERROR(VLOOKUP(B5,DATA!$A:$H,7,TRUE),0))</f>
        <v/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matin</v>
      </c>
      <c r="M7" s="49"/>
      <c r="N7" s="49">
        <f>IF(N6="","",IFERROR(VLOOKUP(K5,DATA!$A:$H,4,TRUE),0))</f>
        <v>0</v>
      </c>
      <c r="O7" s="49" t="str">
        <f>IF(O6="","",IFERROR(VLOOKUP(K5,DATA!$A:$H,5,TRUE),0))</f>
        <v>matin</v>
      </c>
      <c r="P7" s="49" t="str">
        <f>IF(P6="","",IFERROR(VLOOKUP(K5,DATA!$A:$H,6,TRUE),0))</f>
        <v>matin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matin</v>
      </c>
      <c r="V7" s="49">
        <f>IF(V6="","",IFERROR(VLOOKUP(T5,DATA!$A:$H,3,TRUE),0))</f>
        <v>0</v>
      </c>
      <c r="W7" s="49">
        <f>IF(W6="","",IFERROR(VLOOKUP(T5,DATA!$A:$H,4,TRUE),0))</f>
        <v>0</v>
      </c>
      <c r="X7" s="49" t="str">
        <f>IF(X6="","",IFERROR(VLOOKUP(T5,DATA!$A:$H,5,TRUE),0))</f>
        <v>matin</v>
      </c>
      <c r="Y7" s="49" t="str">
        <f>IF(Y6="","",IFERROR(VLOOKUP(T5,DATA!$A:$H,6,TRUE),0))</f>
        <v>matin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am</v>
      </c>
      <c r="AE7" s="49" t="str">
        <f>IF(AE6="","",IFERROR(VLOOKUP(AC5,DATA!$A:$H,3,TRUE),0))</f>
        <v>am</v>
      </c>
      <c r="AF7" s="49" t="str">
        <f>IF(AF6="","",IFERROR(VLOOKUP(AC5,DATA!$A:$H,4,TRUE),0))</f>
        <v>am</v>
      </c>
      <c r="AG7" s="49" t="str">
        <f>IF(AG6="","",IFERROR(VLOOKUP(AC5,DATA!$A:$H,5,TRUE),0))</f>
        <v>am</v>
      </c>
      <c r="AH7" s="49" t="str">
        <f>IF(AH6="","",IFERROR(VLOOKUP(AC5,DATA!$A:$H,6,TRUE),0))</f>
        <v>am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matin</v>
      </c>
      <c r="AN7" s="49" t="str">
        <f>IF(AN6="","",IFERROR(VLOOKUP(AL5,DATA!$A:$H,3,TRUE),0))</f>
        <v>matin</v>
      </c>
      <c r="AO7" s="49" t="str">
        <f>IF(AO6="","",IFERROR(VLOOKUP(AL5,DATA!$A:$H,4,TRUE),0))</f>
        <v>matin</v>
      </c>
      <c r="AP7" s="49">
        <f>IF(AP6="","",IFERROR(VLOOKUP(AL5,DATA!$A:$H,5,TRUE),0))</f>
        <v>0</v>
      </c>
      <c r="AQ7" s="49">
        <f>IF(AQ6="","",IFERROR(VLOOKUP(AL5,DATA!$A:$H,6,TRUE),0))</f>
        <v>0</v>
      </c>
      <c r="AR7" s="49">
        <f>IF(AR6="","",IFERROR(VLOOKUP(AL5,DATA!$A:$H,7,TRUE),0))</f>
        <v>0</v>
      </c>
      <c r="AS7" s="49">
        <f>IF(AS6="","",IFERROR(VLOOKUP(AL5,DATA!$A:$H,8,TRUE),0))</f>
        <v>0</v>
      </c>
      <c r="AT7" s="52"/>
      <c r="AU7" s="48"/>
      <c r="AV7" s="49" t="str">
        <f>IF(AV6="","",IFERROR(VLOOKUP(AU5,DATA!$A:$H,2,TRUE),0))</f>
        <v>nuit</v>
      </c>
      <c r="AW7" s="49" t="str">
        <f>IF(AW6="","",IFERROR(VLOOKUP(AU5,DATA!$A:$H,3,TRUE),0))</f>
        <v>nuit</v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>
        <f t="shared" ref="G8" si="3">IF(G7="Matin",1,IF(G7="AM",1,0))</f>
        <v>0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0</v>
      </c>
      <c r="K8" s="51"/>
      <c r="L8" s="52">
        <f t="shared" ref="L8" si="6">IF(L7="Matin",1,IF(L7="AM",1,0))</f>
        <v>1</v>
      </c>
      <c r="M8" s="52">
        <f t="shared" ref="M8" si="7">IF(M7="Matin",1,IF(M7="AM",1,0))</f>
        <v>0</v>
      </c>
      <c r="N8" s="52">
        <f t="shared" ref="N8" si="8">IF(N7="Matin",1,IF(N7="AM",1,0))</f>
        <v>0</v>
      </c>
      <c r="O8" s="52">
        <f t="shared" ref="O8" si="9">IF(O7="Matin",1,IF(O7="AM",1,0))</f>
        <v>1</v>
      </c>
      <c r="P8" s="52">
        <f t="shared" ref="P8" si="10">IF(P7="Matin",1,IF(P7="AM",1,0))</f>
        <v>1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3</v>
      </c>
      <c r="T8" s="51"/>
      <c r="U8" s="52">
        <f t="shared" ref="U8" si="13">IF(U7="Matin",1,IF(U7="AM",1,0))</f>
        <v>1</v>
      </c>
      <c r="V8" s="52">
        <f t="shared" ref="V8" si="14">IF(V7="Matin",1,IF(V7="AM",1,0))</f>
        <v>0</v>
      </c>
      <c r="W8" s="52">
        <f t="shared" ref="W8" si="15">IF(W7="Matin",1,IF(W7="AM",1,0))</f>
        <v>0</v>
      </c>
      <c r="X8" s="52">
        <f t="shared" ref="X8" si="16">IF(X7="Matin",1,IF(X7="AM",1,0))</f>
        <v>1</v>
      </c>
      <c r="Y8" s="52">
        <f t="shared" ref="Y8" si="17">IF(Y7="Matin",1,IF(Y7="AM",1,0))</f>
        <v>1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3</v>
      </c>
      <c r="AC8" s="51"/>
      <c r="AD8" s="52">
        <f t="shared" ref="AD8" si="20">IF(AD7="Matin",1,IF(AD7="AM",1,0))</f>
        <v>1</v>
      </c>
      <c r="AE8" s="52">
        <f t="shared" ref="AE8" si="21">IF(AE7="Matin",1,IF(AE7="AM",1,0))</f>
        <v>1</v>
      </c>
      <c r="AF8" s="52">
        <f t="shared" ref="AF8" si="22">IF(AF7="Matin",1,IF(AF7="AM",1,0))</f>
        <v>1</v>
      </c>
      <c r="AG8" s="52">
        <f t="shared" ref="AG8" si="23">IF(AG7="Matin",1,IF(AG7="AM",1,0))</f>
        <v>1</v>
      </c>
      <c r="AH8" s="52">
        <f t="shared" ref="AH8" si="24">IF(AH7="Matin",1,IF(AH7="AM",1,0))</f>
        <v>1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5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1</v>
      </c>
      <c r="AO8" s="52">
        <f t="shared" ref="AO8" si="29">IF(AO7="Matin",1,IF(AO7="AM",1,0))</f>
        <v>1</v>
      </c>
      <c r="AP8" s="52">
        <f t="shared" ref="AP8" si="30">IF(AP7="Matin",1,IF(AP7="AM",1,0))</f>
        <v>0</v>
      </c>
      <c r="AQ8" s="52">
        <f t="shared" ref="AQ8" si="31">IF(AQ7="Matin",1,IF(AQ7="AM",1,0))</f>
        <v>0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3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14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0</v>
      </c>
      <c r="D9" s="49">
        <f>IF(D10&gt;=1,1,0)</f>
        <v>0</v>
      </c>
      <c r="E9" s="49">
        <f t="shared" ref="E9:I9" si="37">IF(E10&gt;=1,1,0)</f>
        <v>0</v>
      </c>
      <c r="F9" s="49">
        <f t="shared" si="37"/>
        <v>0</v>
      </c>
      <c r="G9" s="49">
        <f t="shared" si="37"/>
        <v>0</v>
      </c>
      <c r="H9" s="49">
        <f t="shared" si="37"/>
        <v>0</v>
      </c>
      <c r="I9" s="49">
        <f t="shared" si="37"/>
        <v>0</v>
      </c>
      <c r="J9" s="52">
        <f t="shared" ref="J9:J19" si="38">SUM(C9:I9)</f>
        <v>0</v>
      </c>
      <c r="K9" s="48"/>
      <c r="L9" s="49">
        <f>IF(L10&gt;=1,1,0)</f>
        <v>1</v>
      </c>
      <c r="M9" s="49">
        <f t="shared" ref="M9" si="39">IF(M10&gt;=1,1,0)</f>
        <v>0</v>
      </c>
      <c r="N9" s="49">
        <f t="shared" ref="N9" si="40">IF(N10&gt;=1,1,0)</f>
        <v>0</v>
      </c>
      <c r="O9" s="49">
        <f t="shared" ref="O9" si="41">IF(O10&gt;=1,1,0)</f>
        <v>1</v>
      </c>
      <c r="P9" s="49">
        <f t="shared" ref="P9" si="42">IF(P10&gt;=1,1,0)</f>
        <v>1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3</v>
      </c>
      <c r="T9" s="48"/>
      <c r="U9" s="49">
        <f>IF(U10&gt;=1,1,0)</f>
        <v>1</v>
      </c>
      <c r="V9" s="49">
        <f t="shared" ref="V9" si="46">IF(V10&gt;=1,1,0)</f>
        <v>0</v>
      </c>
      <c r="W9" s="49">
        <f t="shared" ref="W9" si="47">IF(W10&gt;=1,1,0)</f>
        <v>0</v>
      </c>
      <c r="X9" s="49">
        <f t="shared" ref="X9" si="48">IF(X10&gt;=1,1,0)</f>
        <v>1</v>
      </c>
      <c r="Y9" s="49">
        <f t="shared" ref="Y9" si="49">IF(Y10&gt;=1,1,0)</f>
        <v>1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3</v>
      </c>
      <c r="AC9" s="48"/>
      <c r="AD9" s="49">
        <f>IF(AD10&gt;=1,1,0)</f>
        <v>1</v>
      </c>
      <c r="AE9" s="49">
        <f t="shared" ref="AE9" si="53">IF(AE10&gt;=1,1,0)</f>
        <v>1</v>
      </c>
      <c r="AF9" s="49">
        <f t="shared" ref="AF9" si="54">IF(AF10&gt;=1,1,0)</f>
        <v>1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5</v>
      </c>
      <c r="AL9" s="48"/>
      <c r="AM9" s="49">
        <f>IF(AM10&gt;=1,1,0)</f>
        <v>1</v>
      </c>
      <c r="AN9" s="49">
        <f t="shared" ref="AN9" si="60">IF(AN10&gt;=1,1,0)</f>
        <v>1</v>
      </c>
      <c r="AO9" s="49">
        <f t="shared" ref="AO9" si="61">IF(AO10&gt;=1,1,0)</f>
        <v>1</v>
      </c>
      <c r="AP9" s="49">
        <f t="shared" ref="AP9" si="62">IF(AP10&gt;=1,1,0)</f>
        <v>0</v>
      </c>
      <c r="AQ9" s="49">
        <f t="shared" ref="AQ9" si="63">IF(AQ10&gt;=1,1,0)</f>
        <v>0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3</v>
      </c>
      <c r="AU9" s="48"/>
      <c r="AV9" s="49">
        <f>IF(AV10&gt;=1,1,0)</f>
        <v>1</v>
      </c>
      <c r="AW9" s="49">
        <f t="shared" ref="AW9" si="67">IF(AW10&gt;=1,1,0)</f>
        <v>1</v>
      </c>
      <c r="AX9" s="52">
        <f t="shared" si="36"/>
        <v>2</v>
      </c>
      <c r="AY9" s="49">
        <f t="shared" ref="AY9:AY18" si="68">J9+S9+AB9+AK9+AT9+AX9</f>
        <v>16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0</v>
      </c>
      <c r="D10" s="52">
        <f t="shared" ref="D10:I10" si="69">IF(D7="Matin",8,IF(D7="AM",8,IF(D7="nuit",8,0)))</f>
        <v>0</v>
      </c>
      <c r="E10" s="52">
        <f t="shared" si="69"/>
        <v>0</v>
      </c>
      <c r="F10" s="52">
        <f t="shared" si="69"/>
        <v>0</v>
      </c>
      <c r="G10" s="52">
        <f t="shared" si="69"/>
        <v>0</v>
      </c>
      <c r="H10" s="52">
        <f t="shared" si="69"/>
        <v>0</v>
      </c>
      <c r="I10" s="52">
        <f t="shared" si="69"/>
        <v>0</v>
      </c>
      <c r="J10" s="52">
        <f t="shared" si="38"/>
        <v>0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0</v>
      </c>
      <c r="N10" s="52">
        <f t="shared" si="70"/>
        <v>0</v>
      </c>
      <c r="O10" s="52">
        <f t="shared" si="70"/>
        <v>8</v>
      </c>
      <c r="P10" s="52">
        <f t="shared" si="70"/>
        <v>8</v>
      </c>
      <c r="Q10" s="52">
        <f t="shared" si="70"/>
        <v>0</v>
      </c>
      <c r="R10" s="52">
        <f t="shared" si="70"/>
        <v>0</v>
      </c>
      <c r="S10" s="52">
        <f t="shared" si="45"/>
        <v>24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0</v>
      </c>
      <c r="W10" s="52">
        <f t="shared" si="71"/>
        <v>0</v>
      </c>
      <c r="X10" s="52">
        <f t="shared" si="71"/>
        <v>8</v>
      </c>
      <c r="Y10" s="52">
        <f t="shared" si="71"/>
        <v>8</v>
      </c>
      <c r="Z10" s="52">
        <f t="shared" si="71"/>
        <v>0</v>
      </c>
      <c r="AA10" s="52">
        <f t="shared" si="71"/>
        <v>0</v>
      </c>
      <c r="AB10" s="52">
        <f t="shared" si="52"/>
        <v>24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8</v>
      </c>
      <c r="AF10" s="52">
        <f t="shared" si="72"/>
        <v>8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40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8</v>
      </c>
      <c r="AO10" s="52">
        <f t="shared" si="73"/>
        <v>8</v>
      </c>
      <c r="AP10" s="52">
        <f t="shared" si="73"/>
        <v>0</v>
      </c>
      <c r="AQ10" s="52">
        <f t="shared" si="73"/>
        <v>0</v>
      </c>
      <c r="AR10" s="52">
        <f t="shared" si="73"/>
        <v>0</v>
      </c>
      <c r="AS10" s="52">
        <f t="shared" si="73"/>
        <v>0</v>
      </c>
      <c r="AT10" s="52">
        <f t="shared" si="66"/>
        <v>24</v>
      </c>
      <c r="AU10" s="51"/>
      <c r="AV10" s="52">
        <f>IF(AV7="Matin",8,IF(AV7="AM",8,IF(AV7="nuit",8,0)))</f>
        <v>8</v>
      </c>
      <c r="AW10" s="52">
        <f t="shared" ref="AW10" si="74">IF(AW7="Matin",8,IF(AW7="AM",8,IF(AW7="nuit",8,0)))</f>
        <v>8</v>
      </c>
      <c r="AX10" s="52">
        <f t="shared" si="36"/>
        <v>16</v>
      </c>
      <c r="AY10" s="52">
        <f t="shared" si="68"/>
        <v>128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20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0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0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0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0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3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3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3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0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0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0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0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5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5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5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44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2">IF(N7="nuit",N10*0.02,0)</f>
        <v>0</v>
      </c>
      <c r="O19" s="49">
        <f t="shared" si="82"/>
        <v>0</v>
      </c>
      <c r="P19" s="49">
        <f>IF(P7="nuit",P10*0.02,0)</f>
        <v>0</v>
      </c>
      <c r="Q19" s="49">
        <f t="shared" si="82"/>
        <v>0</v>
      </c>
      <c r="R19" s="49">
        <f t="shared" si="82"/>
        <v>0</v>
      </c>
      <c r="S19" s="52">
        <f t="shared" si="45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3">IF(W7="nuit",W10*0.02,0)</f>
        <v>0</v>
      </c>
      <c r="X19" s="49">
        <f t="shared" si="83"/>
        <v>0</v>
      </c>
      <c r="Y19" s="49">
        <f>IF(Y7="nuit",Y10*0.02,0)</f>
        <v>0</v>
      </c>
      <c r="Z19" s="49">
        <f t="shared" si="83"/>
        <v>0</v>
      </c>
      <c r="AA19" s="49">
        <f t="shared" si="83"/>
        <v>0</v>
      </c>
      <c r="AB19" s="52">
        <f t="shared" si="52"/>
        <v>0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4">IF(AF7="nuit",AF10*0.02,0)</f>
        <v>0</v>
      </c>
      <c r="AG19" s="49">
        <f t="shared" si="84"/>
        <v>0</v>
      </c>
      <c r="AH19" s="49">
        <f>IF(AH7="nuit",AH10*0.02,0)</f>
        <v>0</v>
      </c>
      <c r="AI19" s="49">
        <f t="shared" si="84"/>
        <v>0</v>
      </c>
      <c r="AJ19" s="49">
        <f t="shared" si="84"/>
        <v>0</v>
      </c>
      <c r="AK19" s="52">
        <f t="shared" si="59"/>
        <v>0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0.16</v>
      </c>
      <c r="AW19" s="49">
        <f>IF(AW7="nuit",AW10*0.02,0)</f>
        <v>0.16</v>
      </c>
      <c r="AX19" s="52">
        <f>SUM(AV19:AW19)</f>
        <v>0.32</v>
      </c>
      <c r="AY19" s="50">
        <f>J19+S19+AB19+AK19+AT19+AX19</f>
        <v>0.32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31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75" thickBot="1">
      <c r="A22" s="16"/>
      <c r="B22" s="16"/>
      <c r="C22" s="19" t="s">
        <v>1</v>
      </c>
      <c r="D22" s="19"/>
      <c r="E22" s="19"/>
      <c r="F22" s="19"/>
      <c r="G22" s="19"/>
      <c r="H22" s="72">
        <f>Année_Calendaire</f>
        <v>2017</v>
      </c>
      <c r="I22" s="72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72">
        <f>Année_Calendaire</f>
        <v>2017</v>
      </c>
      <c r="AA22" s="72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72">
        <f>Année_Calendaire</f>
        <v>2017</v>
      </c>
      <c r="AS22" s="72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thickTop="1" thickBot="1">
      <c r="A23" s="36"/>
      <c r="B23" s="55" t="str">
        <f>IF(AU5&lt;&gt;"",AU5,IF(AL5="C1","C2",IF(AL5="C2","C3",IF(AL5="C3","C4",IF(AL5="C4","C1","")))))</f>
        <v>C2</v>
      </c>
      <c r="C23" s="98" t="s">
        <v>13</v>
      </c>
      <c r="D23" s="98" t="s">
        <v>14</v>
      </c>
      <c r="E23" s="98" t="s">
        <v>15</v>
      </c>
      <c r="F23" s="98" t="s">
        <v>16</v>
      </c>
      <c r="G23" s="98" t="s">
        <v>17</v>
      </c>
      <c r="H23" s="98" t="s">
        <v>18</v>
      </c>
      <c r="I23" s="98" t="s">
        <v>19</v>
      </c>
      <c r="J23" s="71" t="s">
        <v>32</v>
      </c>
      <c r="K23" s="55" t="str">
        <f>IF(B23="C1","C2",IF(B23="C2","C3",IF(B23="C3","C4",IF(B23="C4","C1",""))))</f>
        <v>C3</v>
      </c>
      <c r="L23" s="98" t="str">
        <f>IF(L24&lt;&gt;"","Lun","")</f>
        <v>Lun</v>
      </c>
      <c r="M23" s="98" t="str">
        <f>IF(M24&lt;&gt;"","Mar","")</f>
        <v>Mar</v>
      </c>
      <c r="N23" s="98" t="str">
        <f>IF(N24&lt;&gt;"","Mer","")</f>
        <v>Mer</v>
      </c>
      <c r="O23" s="98" t="str">
        <f>IF(O24&lt;&gt;"","Jeu","")</f>
        <v>Jeu</v>
      </c>
      <c r="P23" s="98" t="str">
        <f>IF(P24&lt;&gt;"","Ven","")</f>
        <v>Ven</v>
      </c>
      <c r="Q23" s="98" t="str">
        <f>IF(Q24&lt;&gt;"","Sam","")</f>
        <v>Sam</v>
      </c>
      <c r="R23" s="98" t="str">
        <f>IF(R24&lt;&gt;"","Dim","")</f>
        <v>Dim</v>
      </c>
      <c r="S23" s="71" t="s">
        <v>32</v>
      </c>
      <c r="T23" s="55" t="str">
        <f>IF(K23="C1","C2",IF(K23="C2","C3",IF(K23="C3","C4",IF(K23="C4","C1",""))))</f>
        <v>C4</v>
      </c>
      <c r="U23" s="98" t="str">
        <f>IF(U24&lt;&gt;"","Lun","")</f>
        <v>Lun</v>
      </c>
      <c r="V23" s="98" t="str">
        <f>IF(V24&lt;&gt;"","Mar","")</f>
        <v>Mar</v>
      </c>
      <c r="W23" s="98" t="str">
        <f>IF(W24&lt;&gt;"","Mer","")</f>
        <v>Mer</v>
      </c>
      <c r="X23" s="98" t="str">
        <f>IF(X24&lt;&gt;"","Jeu","")</f>
        <v>Jeu</v>
      </c>
      <c r="Y23" s="98" t="str">
        <f>IF(Y24&lt;&gt;"","Ven","")</f>
        <v>Ven</v>
      </c>
      <c r="Z23" s="99" t="str">
        <f>IF(Z24&lt;&gt;"","Sam","")</f>
        <v>Sam</v>
      </c>
      <c r="AA23" s="99" t="str">
        <f>IF(AA24&lt;&gt;"","Dim","")</f>
        <v>Dim</v>
      </c>
      <c r="AB23" s="71" t="s">
        <v>32</v>
      </c>
      <c r="AC23" s="55" t="str">
        <f>IF(T23="C1","C2",IF(T23="C2","C3",IF(T23="C3","C4",IF(T23="C4","C1",""))))</f>
        <v>C1</v>
      </c>
      <c r="AD23" s="99" t="str">
        <f>IF(AD24&lt;&gt;"","Lun","")</f>
        <v>Lun</v>
      </c>
      <c r="AE23" s="99" t="str">
        <f>IF(AE24&lt;&gt;"","Mar","")</f>
        <v>Mar</v>
      </c>
      <c r="AF23" s="99" t="str">
        <f>IF(AF24&lt;&gt;"","Mer","")</f>
        <v>Mer</v>
      </c>
      <c r="AG23" s="99" t="str">
        <f>IF(AG24&lt;&gt;"","Jeu","")</f>
        <v>Jeu</v>
      </c>
      <c r="AH23" s="99" t="str">
        <f>IF(AH24&lt;&gt;"","Ven","")</f>
        <v>Ven</v>
      </c>
      <c r="AI23" s="99" t="str">
        <f>IF(AI24&lt;&gt;"","Sam","")</f>
        <v>Sam</v>
      </c>
      <c r="AJ23" s="99" t="str">
        <f>IF(AJ24&lt;&gt;"","Dim","")</f>
        <v>Dim</v>
      </c>
      <c r="AK23" s="71" t="s">
        <v>32</v>
      </c>
      <c r="AL23" s="55" t="str">
        <f>IF(AC23="C1","C2",IF(AC23="C2","C3",IF(AC23="C3","C4",IF(AC23="C4","C1",""))))</f>
        <v>C2</v>
      </c>
      <c r="AM23" s="99" t="str">
        <f>IF(AM24&lt;&gt;"","Lun","")</f>
        <v>Lun</v>
      </c>
      <c r="AN23" s="99" t="str">
        <f>IF(AN24&lt;&gt;"","Mar","")</f>
        <v>Mar</v>
      </c>
      <c r="AO23" s="98" t="str">
        <f>IF(AO24&lt;&gt;"","Mer","")</f>
        <v/>
      </c>
      <c r="AP23" s="98" t="str">
        <f>IF(AP24&lt;&gt;"","Jeu","")</f>
        <v/>
      </c>
      <c r="AQ23" s="98" t="str">
        <f>IF(AQ24&lt;&gt;"","Ven","")</f>
        <v/>
      </c>
      <c r="AR23" s="98" t="str">
        <f>IF(AR24&lt;&gt;"","Sam","")</f>
        <v/>
      </c>
      <c r="AS23" s="98" t="str">
        <f>IF(AS24&lt;&gt;"","Dim","")</f>
        <v/>
      </c>
      <c r="AT23" s="71" t="s">
        <v>32</v>
      </c>
      <c r="AU23" s="55" t="str">
        <f>IF(AV23&lt;&gt;"",IF(AL23="C1","C2",IF(AL23="C2","C3",IF(AL23="C3","C4",IF(AL23="C4","C1","")))),"")</f>
        <v/>
      </c>
      <c r="AV23" s="53" t="str">
        <f>IF(AV24&lt;&gt;"","Lun","")</f>
        <v/>
      </c>
      <c r="AW23" s="53" t="str">
        <f>IF(AW24&lt;&gt;"","Mar","")</f>
        <v/>
      </c>
      <c r="AX23" s="71" t="s">
        <v>32</v>
      </c>
      <c r="AY23" s="71" t="s">
        <v>35</v>
      </c>
      <c r="AZ23" s="74">
        <f>AY30+AY31+AY32</f>
        <v>5</v>
      </c>
      <c r="BA23" s="74">
        <f>AZ23+BA5</f>
        <v>10</v>
      </c>
      <c r="BB23" s="39"/>
      <c r="BC23" s="39"/>
      <c r="BD23" s="39"/>
      <c r="BE23" s="39"/>
      <c r="BF23" s="34"/>
    </row>
    <row r="24" spans="1:59" s="25" customFormat="1" ht="15" customHeight="1" thickTop="1">
      <c r="A24" s="10"/>
      <c r="B24" s="54"/>
      <c r="C24" s="97" t="str">
        <f>IF(DAY(Fév_Dim1)=1,"",IF(AND(YEAR(Fév_Dim1+1)=Année_Calendaire,MONTH(Fév_Dim1+1)=2),Fév_Dim1+1,""))</f>
        <v/>
      </c>
      <c r="D24" s="97" t="str">
        <f>IF(DAY(Fév_Dim1)=1,"",IF(AND(YEAR(Fév_Dim1+2)=Année_Calendaire,MONTH(Fév_Dim1+2)=2),Fév_Dim1+2,""))</f>
        <v/>
      </c>
      <c r="E24" s="97">
        <f>IF(DAY(Fév_Dim1)=1,"",IF(AND(YEAR(Fév_Dim1+3)=Année_Calendaire,MONTH(Fév_Dim1+3)=2),Fév_Dim1+3,""))</f>
        <v>42767</v>
      </c>
      <c r="F24" s="97">
        <f>IF(DAY(Fév_Dim1)=1,"",IF(AND(YEAR(Fév_Dim1+4)=Année_Calendaire,MONTH(Fév_Dim1+4)=2),Fév_Dim1+4,""))</f>
        <v>42768</v>
      </c>
      <c r="G24" s="97">
        <f>IF(DAY(Fév_Dim1)=1,"",IF(AND(YEAR(Fév_Dim1+5)=Année_Calendaire,MONTH(Fév_Dim1+5)=2),Fév_Dim1+5,""))</f>
        <v>42769</v>
      </c>
      <c r="H24" s="97">
        <f>IF(DAY(Fév_Dim1)=1,"",IF(AND(YEAR(Fév_Dim1+6)=Année_Calendaire,MONTH(Fév_Dim1+6)=2),Fév_Dim1+6,""))</f>
        <v>42770</v>
      </c>
      <c r="I24" s="97">
        <f>IF(DAY(Fév_Dim1)=1,IF(AND(YEAR(Fév_Dim1)=Année_Calendaire,MONTH(Fév_Dim1)=2),Fév_Dim1,""),IF(AND(YEAR(Fév_Dim1+7)=Année_Calendaire,MONTH(Fév_Dim1+7)=2),Fév_Dim1+7,""))</f>
        <v>42771</v>
      </c>
      <c r="J24" s="71"/>
      <c r="K24" s="54"/>
      <c r="L24" s="97">
        <f>IF(DAY(Fév_Dim1)=1,IF(AND(YEAR(Fév_Dim1+1)=Année_Calendaire,MONTH(Fév_Dim1+1)=2),Fév_Dim1+1,""),IF(AND(YEAR(Fév_Dim1+8)=Année_Calendaire,MONTH(Fév_Dim1+8)=2),Fév_Dim1+8,""))</f>
        <v>42772</v>
      </c>
      <c r="M24" s="97">
        <f>IF(DAY(Fév_Dim1)=1,IF(AND(YEAR(Fév_Dim1+2)=Année_Calendaire,MONTH(Fév_Dim1+2)=2),Fév_Dim1+2,""),IF(AND(YEAR(Fév_Dim1+9)=Année_Calendaire,MONTH(Fév_Dim1+9)=2),Fév_Dim1+9,""))</f>
        <v>42773</v>
      </c>
      <c r="N24" s="97">
        <f>IF(DAY(Fév_Dim1)=1,IF(AND(YEAR(Fév_Dim1+3)=Année_Calendaire,MONTH(Fév_Dim1+3)=2),Fév_Dim1+3,""),IF(AND(YEAR(Fév_Dim1+10)=Année_Calendaire,MONTH(Fév_Dim1+10)=2),Fév_Dim1+10,""))</f>
        <v>42774</v>
      </c>
      <c r="O24" s="97">
        <f>IF(DAY(Fév_Dim1)=1,IF(AND(YEAR(Fév_Dim1+4)=Année_Calendaire,MONTH(Fév_Dim1+4)=2),Fév_Dim1+4,""),IF(AND(YEAR(Fév_Dim1+11)=Année_Calendaire,MONTH(Fév_Dim1+11)=2),Fév_Dim1+11,""))</f>
        <v>42775</v>
      </c>
      <c r="P24" s="97">
        <f>IF(DAY(Fév_Dim1)=1,IF(AND(YEAR(Fév_Dim1+5)=Année_Calendaire,MONTH(Fév_Dim1+5)=2),Fév_Dim1+5,""),IF(AND(YEAR(Fév_Dim1+12)=Année_Calendaire,MONTH(Fév_Dim1+12)=2),Fév_Dim1+12,""))</f>
        <v>42776</v>
      </c>
      <c r="Q24" s="97">
        <f>IF(DAY(Fév_Dim1)=1,IF(AND(YEAR(Fév_Dim1+6)=Année_Calendaire,MONTH(Fév_Dim1+6)=2),Fév_Dim1+6,""),IF(AND(YEAR(Fév_Dim1+13)=Année_Calendaire,MONTH(Fév_Dim1+13)=2),Fév_Dim1+13,""))</f>
        <v>42777</v>
      </c>
      <c r="R24" s="97">
        <f>IF(DAY(Fév_Dim1)=1,IF(AND(YEAR(Fév_Dim1+7)=Année_Calendaire,MONTH(Fév_Dim1+7)=2),Fév_Dim1+7,""),IF(AND(YEAR(Fév_Dim1+14)=Année_Calendaire,MONTH(Fév_Dim1+14)=2),Fév_Dim1+14,""))</f>
        <v>42778</v>
      </c>
      <c r="S24" s="71"/>
      <c r="T24" s="54"/>
      <c r="U24" s="97">
        <f>IF(DAY(Fév_Dim1)=1,IF(AND(YEAR(Fév_Dim1+8)=Année_Calendaire,MONTH(Fév_Dim1+8)=2),Fév_Dim1+8,""),IF(AND(YEAR(Fév_Dim1+15)=Année_Calendaire,MONTH(Fév_Dim1+15)=2),Fév_Dim1+15,""))</f>
        <v>42779</v>
      </c>
      <c r="V24" s="97">
        <f>IF(DAY(Fév_Dim1)=1,IF(AND(YEAR(Fév_Dim1+9)=Année_Calendaire,MONTH(Fév_Dim1+9)=2),Fév_Dim1+9,""),IF(AND(YEAR(Fév_Dim1+16)=Année_Calendaire,MONTH(Fév_Dim1+16)=2),Fév_Dim1+16,""))</f>
        <v>42780</v>
      </c>
      <c r="W24" s="97">
        <f>IF(DAY(Fév_Dim1)=1,IF(AND(YEAR(Fév_Dim1+10)=Année_Calendaire,MONTH(Fév_Dim1+10)=2),Fév_Dim1+10,""),IF(AND(YEAR(Fév_Dim1+17)=Année_Calendaire,MONTH(Fév_Dim1+17)=2),Fév_Dim1+17,""))</f>
        <v>42781</v>
      </c>
      <c r="X24" s="97">
        <f>IF(DAY(Fév_Dim1)=1,IF(AND(YEAR(Fév_Dim1+11)=Année_Calendaire,MONTH(Fév_Dim1+11)=2),Fév_Dim1+11,""),IF(AND(YEAR(Fév_Dim1+18)=Année_Calendaire,MONTH(Fév_Dim1+18)=2),Fév_Dim1+18,""))</f>
        <v>42782</v>
      </c>
      <c r="Y24" s="97">
        <f>IF(DAY(Fév_Dim1)=1,IF(AND(YEAR(Fév_Dim1+12)=Année_Calendaire,MONTH(Fév_Dim1+12)=2),Fév_Dim1+12,""),IF(AND(YEAR(Fév_Dim1+19)=Année_Calendaire,MONTH(Fév_Dim1+19)=2),Fév_Dim1+19,""))</f>
        <v>42783</v>
      </c>
      <c r="Z24" s="97">
        <f>IF(DAY(Fév_Dim1)=1,IF(AND(YEAR(Fév_Dim1+13)=Année_Calendaire,MONTH(Fév_Dim1+13)=2),Fév_Dim1+13,""),IF(AND(YEAR(Fév_Dim1+20)=Année_Calendaire,MONTH(Fév_Dim1+20)=2),Fév_Dim1+20,""))</f>
        <v>42784</v>
      </c>
      <c r="AA24" s="97">
        <f>IF(DAY(Fév_Dim1)=1,IF(AND(YEAR(Fév_Dim1+14)=Année_Calendaire,MONTH(Fév_Dim1+14)=2),Fév_Dim1+14,""),IF(AND(YEAR(Fév_Dim1+21)=Année_Calendaire,MONTH(Fév_Dim1+21)=2),Fév_Dim1+21,""))</f>
        <v>42785</v>
      </c>
      <c r="AB24" s="71"/>
      <c r="AC24" s="54"/>
      <c r="AD24" s="97">
        <f>IF(DAY(Fév_Dim1)=1,IF(AND(YEAR(Fév_Dim1+15)=Année_Calendaire,MONTH(Fév_Dim1+15)=2),Fév_Dim1+15,""),IF(AND(YEAR(Fév_Dim1+22)=Année_Calendaire,MONTH(Fév_Dim1+22)=2),Fév_Dim1+22,""))</f>
        <v>42786</v>
      </c>
      <c r="AE24" s="97">
        <f>IF(DAY(Fév_Dim1)=1,IF(AND(YEAR(Fév_Dim1+16)=Année_Calendaire,MONTH(Fév_Dim1+16)=2),Fév_Dim1+16,""),IF(AND(YEAR(Fév_Dim1+23)=Année_Calendaire,MONTH(Fév_Dim1+23)=2),Fév_Dim1+23,""))</f>
        <v>42787</v>
      </c>
      <c r="AF24" s="97">
        <f>IF(DAY(Fév_Dim1)=1,IF(AND(YEAR(Fév_Dim1+17)=Année_Calendaire,MONTH(Fév_Dim1+17)=2),Fév_Dim1+17,""),IF(AND(YEAR(Fév_Dim1+24)=Année_Calendaire,MONTH(Fév_Dim1+24)=2),Fév_Dim1+24,""))</f>
        <v>42788</v>
      </c>
      <c r="AG24" s="97">
        <f>IF(DAY(Fév_Dim1)=1,IF(AND(YEAR(Fév_Dim1+18)=Année_Calendaire,MONTH(Fév_Dim1+18)=2),Fév_Dim1+18,""),IF(AND(YEAR(Fév_Dim1+25)=Année_Calendaire,MONTH(Fév_Dim1+25)=2),Fév_Dim1+25,""))</f>
        <v>42789</v>
      </c>
      <c r="AH24" s="97">
        <f>IF(DAY(Fév_Dim1)=1,IF(AND(YEAR(Fév_Dim1+19)=Année_Calendaire,MONTH(Fév_Dim1+19)=2),Fév_Dim1+19,""),IF(AND(YEAR(Fév_Dim1+26)=Année_Calendaire,MONTH(Fév_Dim1+26)=2),Fév_Dim1+26,""))</f>
        <v>42790</v>
      </c>
      <c r="AI24" s="97">
        <f>IF(DAY(Fév_Dim1)=1,IF(AND(YEAR(Fév_Dim1+20)=Année_Calendaire,MONTH(Fév_Dim1+20)=2),Fév_Dim1+20,""),IF(AND(YEAR(Fév_Dim1+27)=Année_Calendaire,MONTH(Fév_Dim1+27)=2),Fév_Dim1+27,""))</f>
        <v>42791</v>
      </c>
      <c r="AJ24" s="97">
        <f>IF(DAY(Fév_Dim1)=1,IF(AND(YEAR(Fév_Dim1+21)=Année_Calendaire,MONTH(Fév_Dim1+21)=2),Fév_Dim1+21,""),IF(AND(YEAR(Fév_Dim1+28)=Année_Calendaire,MONTH(Fév_Dim1+28)=2),Fév_Dim1+28,""))</f>
        <v>42792</v>
      </c>
      <c r="AK24" s="71"/>
      <c r="AL24" s="54"/>
      <c r="AM24" s="97">
        <f>IF(DAY(Fév_Dim1)=1,IF(AND(YEAR(Fév_Dim1+22)=Année_Calendaire,MONTH(Fév_Dim1+22)=2),Fév_Dim1+22,""),IF(AND(YEAR(Fév_Dim1+29)=Année_Calendaire,MONTH(Fév_Dim1+29)=2),Fév_Dim1+29,""))</f>
        <v>42793</v>
      </c>
      <c r="AN24" s="97">
        <f>IF(DAY(Fév_Dim1)=1,IF(AND(YEAR(Fév_Dim1+23)=Année_Calendaire,MONTH(Fév_Dim1+23)=2),Fév_Dim1+23,""),IF(AND(YEAR(Fév_Dim1+30)=Année_Calendaire,MONTH(Fév_Dim1+30)=2),Fév_Dim1+30,""))</f>
        <v>42794</v>
      </c>
      <c r="AO24" s="97" t="str">
        <f>IF(DAY(Fév_Dim1)=1,IF(AND(YEAR(Fév_Dim1+24)=Année_Calendaire,MONTH(Fév_Dim1+24)=2),Fév_Dim1+24,""),IF(AND(YEAR(Fév_Dim1+31)=Année_Calendaire,MONTH(Fév_Dim1+31)=2),Fév_Dim1+31,""))</f>
        <v/>
      </c>
      <c r="AP24" s="97" t="str">
        <f>IF(DAY(Fév_Dim1)=1,IF(AND(YEAR(Fév_Dim1+25)=Année_Calendaire,MONTH(Fév_Dim1+25)=2),Fév_Dim1+25,""),IF(AND(YEAR(Fév_Dim1+32)=Année_Calendaire,MONTH(Fév_Dim1+32)=2),Fév_Dim1+32,""))</f>
        <v/>
      </c>
      <c r="AQ24" s="97" t="str">
        <f>IF(DAY(Fév_Dim1)=1,IF(AND(YEAR(Fév_Dim1+26)=Année_Calendaire,MONTH(Fév_Dim1+26)=2),Fév_Dim1+26,""),IF(AND(YEAR(Fév_Dim1+33)=Année_Calendaire,MONTH(Fév_Dim1+33)=2),Fév_Dim1+33,""))</f>
        <v/>
      </c>
      <c r="AR24" s="97" t="str">
        <f>IF(DAY(Fév_Dim1)=1,IF(AND(YEAR(Fév_Dim1+27)=Année_Calendaire,MONTH(Fév_Dim1+27)=2),Fév_Dim1+27,""),IF(AND(YEAR(Fév_Dim1+34)=Année_Calendaire,MONTH(Fév_Dim1+34)=2),Fév_Dim1+34,""))</f>
        <v/>
      </c>
      <c r="AS24" s="97" t="str">
        <f>IF(DAY(Fév_Dim1)=1,IF(AND(YEAR(Fév_Dim1+28)=Année_Calendaire,MONTH(Fév_Dim1+28)=2),Fév_Dim1+28,""),IF(AND(YEAR(Fév_Dim1+35)=Année_Calendaire,MONTH(Fév_Dim1+35)=2),Fév_Dim1+35,""))</f>
        <v/>
      </c>
      <c r="AT24" s="71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71"/>
      <c r="AY24" s="71"/>
      <c r="AZ24" s="74"/>
      <c r="BA24" s="74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IF(C24="","",IFERROR(VLOOKUP(B23,DATA!$A:$H,2,TRUE),0))</f>
        <v/>
      </c>
      <c r="D25" s="49" t="str">
        <f>IF(D24="","",IFERROR(VLOOKUP(B23,DATA!$A:$H,3,TRUE),0))</f>
        <v/>
      </c>
      <c r="E25" s="49" t="str">
        <f>IF(E24="","",IFERROR(VLOOKUP(B23,DATA!$A:$H,4,TRUE),0))</f>
        <v>nuit</v>
      </c>
      <c r="F25" s="49" t="str">
        <f>IF(F24="","",IFERROR(VLOOKUP(B23,DATA!$A:$H,5,TRUE),0))</f>
        <v>nuit</v>
      </c>
      <c r="G25" s="49" t="str">
        <f>IF(G24="","",IFERROR(VLOOKUP(B23,DATA!$A:$H,6,TRUE),0))</f>
        <v>nuit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matin</v>
      </c>
      <c r="M25" s="49">
        <f>IF(M24="","",IFERROR(VLOOKUP(K23,DATA!$A:$H,3,TRUE),0))</f>
        <v>0</v>
      </c>
      <c r="N25" s="49">
        <f>IF(N24="","",IFERROR(VLOOKUP(K23,DATA!$A:$H,4,TRUE),0))</f>
        <v>0</v>
      </c>
      <c r="O25" s="49" t="str">
        <f>IF(O24="","",IFERROR(VLOOKUP(K23,DATA!$A:$H,5,TRUE),0))</f>
        <v>matin</v>
      </c>
      <c r="P25" s="49" t="str">
        <f>IF(P24="","",IFERROR(VLOOKUP(K23,DATA!$A:$H,6,TRUE),0))</f>
        <v>matin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am</v>
      </c>
      <c r="V25" s="49" t="str">
        <f>IF(V24="","",IFERROR(VLOOKUP(T23,DATA!$A:$H,3,TRUE),0))</f>
        <v>am</v>
      </c>
      <c r="W25" s="49" t="str">
        <f>IF(W24="","",IFERROR(VLOOKUP(T23,DATA!$A:$H,4,TRUE),0))</f>
        <v>am</v>
      </c>
      <c r="X25" s="49" t="str">
        <f>IF(X24="","",IFERROR(VLOOKUP(T23,DATA!$A:$H,5,TRUE),0))</f>
        <v>am</v>
      </c>
      <c r="Y25" s="49" t="str">
        <f>IF(Y24="","",IFERROR(VLOOKUP(T23,DATA!$A:$H,6,TRUE),0))</f>
        <v>am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matin</v>
      </c>
      <c r="AE25" s="49" t="str">
        <f>IF(AE24="","",IFERROR(VLOOKUP(AC23,DATA!$A:$H,3,TRUE),0))</f>
        <v>matin</v>
      </c>
      <c r="AF25" s="49" t="str">
        <f>IF(AF24="","",IFERROR(VLOOKUP(AC23,DATA!$A:$H,4,TRUE),0))</f>
        <v>matin</v>
      </c>
      <c r="AG25" s="49">
        <f>IF(AG24="","",IFERROR(VLOOKUP(AC23,DATA!$A:$H,5,TRUE),0))</f>
        <v>0</v>
      </c>
      <c r="AH25" s="49">
        <f>IF(AH24="","",IFERROR(VLOOKUP(AC23,DATA!$A:$H,6,TRUE),0))</f>
        <v>0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nuit</v>
      </c>
      <c r="AN25" s="49" t="str">
        <f>IF(AN24="","",IFERROR(VLOOKUP(AL23,DATA!$A:$H,3,TRUE),0))</f>
        <v>nuit</v>
      </c>
      <c r="AO25" s="49" t="str">
        <f>IF(AO24="","",IFERROR(VLOOKUP(AL23,DATA!$A:$H,4,TRUE),0))</f>
        <v/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6">IF(C25="Matin",1,IF(C25="AM",1,0))</f>
        <v>0</v>
      </c>
      <c r="D26" s="52">
        <f t="shared" si="86"/>
        <v>0</v>
      </c>
      <c r="E26" s="52">
        <f t="shared" si="86"/>
        <v>0</v>
      </c>
      <c r="F26" s="52">
        <f t="shared" si="86"/>
        <v>0</v>
      </c>
      <c r="G26" s="52">
        <f t="shared" si="86"/>
        <v>0</v>
      </c>
      <c r="H26" s="52">
        <f t="shared" si="86"/>
        <v>0</v>
      </c>
      <c r="I26" s="52">
        <f t="shared" si="86"/>
        <v>0</v>
      </c>
      <c r="J26" s="52">
        <f>SUM(C26:I26)</f>
        <v>0</v>
      </c>
      <c r="K26" s="51"/>
      <c r="L26" s="52">
        <f t="shared" ref="L26:R26" si="87">IF(L25="Matin",1,IF(L25="AM",1,0))</f>
        <v>1</v>
      </c>
      <c r="M26" s="52">
        <f t="shared" si="87"/>
        <v>0</v>
      </c>
      <c r="N26" s="52">
        <f t="shared" si="87"/>
        <v>0</v>
      </c>
      <c r="O26" s="52">
        <f t="shared" si="87"/>
        <v>1</v>
      </c>
      <c r="P26" s="52">
        <f t="shared" si="87"/>
        <v>1</v>
      </c>
      <c r="Q26" s="52">
        <f t="shared" si="87"/>
        <v>0</v>
      </c>
      <c r="R26" s="52">
        <f t="shared" si="87"/>
        <v>0</v>
      </c>
      <c r="S26" s="52">
        <f>SUM(L26:R26)</f>
        <v>3</v>
      </c>
      <c r="T26" s="51"/>
      <c r="U26" s="52">
        <f t="shared" ref="U26:AA26" si="88">IF(U25="Matin",1,IF(U25="AM",1,0))</f>
        <v>1</v>
      </c>
      <c r="V26" s="52">
        <f t="shared" si="88"/>
        <v>1</v>
      </c>
      <c r="W26" s="52">
        <f t="shared" si="88"/>
        <v>1</v>
      </c>
      <c r="X26" s="52">
        <f t="shared" si="88"/>
        <v>1</v>
      </c>
      <c r="Y26" s="52">
        <f t="shared" si="88"/>
        <v>1</v>
      </c>
      <c r="Z26" s="52">
        <f t="shared" si="88"/>
        <v>0</v>
      </c>
      <c r="AA26" s="52">
        <f t="shared" si="88"/>
        <v>0</v>
      </c>
      <c r="AB26" s="52">
        <f>SUM(U26:AA26)</f>
        <v>5</v>
      </c>
      <c r="AC26" s="51"/>
      <c r="AD26" s="52">
        <f t="shared" ref="AD26:AJ26" si="89">IF(AD25="Matin",1,IF(AD25="AM",1,0))</f>
        <v>1</v>
      </c>
      <c r="AE26" s="52">
        <f t="shared" si="89"/>
        <v>1</v>
      </c>
      <c r="AF26" s="52">
        <f t="shared" si="89"/>
        <v>1</v>
      </c>
      <c r="AG26" s="52">
        <f t="shared" si="89"/>
        <v>0</v>
      </c>
      <c r="AH26" s="52">
        <f t="shared" si="89"/>
        <v>0</v>
      </c>
      <c r="AI26" s="52">
        <f t="shared" si="89"/>
        <v>0</v>
      </c>
      <c r="AJ26" s="52">
        <f t="shared" si="89"/>
        <v>0</v>
      </c>
      <c r="AK26" s="52">
        <f>SUM(AD26:AJ26)</f>
        <v>3</v>
      </c>
      <c r="AL26" s="51"/>
      <c r="AM26" s="52">
        <f t="shared" ref="AM26:AS26" si="90">IF(AM25="Matin",1,IF(AM25="AM",1,0))</f>
        <v>0</v>
      </c>
      <c r="AN26" s="52">
        <f t="shared" si="90"/>
        <v>0</v>
      </c>
      <c r="AO26" s="52">
        <f t="shared" si="90"/>
        <v>0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0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3">IF(E28&gt;=1,1,0)</f>
        <v>1</v>
      </c>
      <c r="F27" s="49">
        <f t="shared" si="93"/>
        <v>1</v>
      </c>
      <c r="G27" s="49">
        <f t="shared" si="93"/>
        <v>1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3</v>
      </c>
      <c r="K27" s="48"/>
      <c r="L27" s="49">
        <f>IF(L28&gt;=1,1,0)</f>
        <v>1</v>
      </c>
      <c r="M27" s="49">
        <f t="shared" ref="M27:R27" si="95">IF(M28&gt;=1,1,0)</f>
        <v>0</v>
      </c>
      <c r="N27" s="49">
        <f t="shared" si="95"/>
        <v>0</v>
      </c>
      <c r="O27" s="49">
        <f t="shared" si="95"/>
        <v>1</v>
      </c>
      <c r="P27" s="49">
        <f t="shared" si="95"/>
        <v>1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3</v>
      </c>
      <c r="T27" s="48"/>
      <c r="U27" s="49">
        <f>IF(U28&gt;=1,1,0)</f>
        <v>1</v>
      </c>
      <c r="V27" s="49">
        <f t="shared" ref="V27:AA27" si="97">IF(V28&gt;=1,1,0)</f>
        <v>1</v>
      </c>
      <c r="W27" s="49">
        <f t="shared" si="97"/>
        <v>1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5</v>
      </c>
      <c r="AC27" s="48"/>
      <c r="AD27" s="49">
        <f>IF(AD28&gt;=1,1,0)</f>
        <v>1</v>
      </c>
      <c r="AE27" s="49">
        <f t="shared" ref="AE27:AJ27" si="99">IF(AE28&gt;=1,1,0)</f>
        <v>1</v>
      </c>
      <c r="AF27" s="49">
        <f t="shared" si="99"/>
        <v>1</v>
      </c>
      <c r="AG27" s="49">
        <f t="shared" si="99"/>
        <v>0</v>
      </c>
      <c r="AH27" s="49">
        <f t="shared" si="99"/>
        <v>0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3</v>
      </c>
      <c r="AL27" s="48"/>
      <c r="AM27" s="49">
        <f>IF(AM28&gt;=1,1,0)</f>
        <v>1</v>
      </c>
      <c r="AN27" s="49">
        <f t="shared" ref="AN27:AS27" si="101">IF(AN28&gt;=1,1,0)</f>
        <v>1</v>
      </c>
      <c r="AO27" s="49">
        <f t="shared" si="101"/>
        <v>0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2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5">IF(D25="Matin",8,IF(D25="AM",8,IF(D25="nuit",8,0)))</f>
        <v>0</v>
      </c>
      <c r="E28" s="52">
        <f t="shared" si="105"/>
        <v>8</v>
      </c>
      <c r="F28" s="52">
        <f t="shared" si="105"/>
        <v>8</v>
      </c>
      <c r="G28" s="52">
        <f t="shared" si="105"/>
        <v>8</v>
      </c>
      <c r="H28" s="52">
        <f t="shared" si="105"/>
        <v>0</v>
      </c>
      <c r="I28" s="52">
        <f t="shared" si="105"/>
        <v>0</v>
      </c>
      <c r="J28" s="52">
        <f t="shared" si="94"/>
        <v>24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0</v>
      </c>
      <c r="N28" s="52">
        <f t="shared" si="106"/>
        <v>0</v>
      </c>
      <c r="O28" s="52">
        <f t="shared" si="106"/>
        <v>8</v>
      </c>
      <c r="P28" s="52">
        <f t="shared" si="106"/>
        <v>8</v>
      </c>
      <c r="Q28" s="52">
        <f t="shared" si="106"/>
        <v>0</v>
      </c>
      <c r="R28" s="52">
        <f t="shared" si="106"/>
        <v>0</v>
      </c>
      <c r="S28" s="52">
        <f t="shared" si="96"/>
        <v>24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8</v>
      </c>
      <c r="W28" s="52">
        <f t="shared" si="107"/>
        <v>8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40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8</v>
      </c>
      <c r="AF28" s="52">
        <f t="shared" si="108"/>
        <v>8</v>
      </c>
      <c r="AG28" s="52">
        <f t="shared" si="108"/>
        <v>0</v>
      </c>
      <c r="AH28" s="52">
        <f t="shared" si="108"/>
        <v>0</v>
      </c>
      <c r="AI28" s="52">
        <f t="shared" si="108"/>
        <v>0</v>
      </c>
      <c r="AJ28" s="52">
        <f t="shared" si="108"/>
        <v>0</v>
      </c>
      <c r="AK28" s="52">
        <f t="shared" si="100"/>
        <v>24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8</v>
      </c>
      <c r="AO28" s="52">
        <f t="shared" si="109"/>
        <v>0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16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20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44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0.16</v>
      </c>
      <c r="F37" s="49">
        <f t="shared" si="117"/>
        <v>0.16</v>
      </c>
      <c r="G37" s="49">
        <f>IF(G25="nuit",G28*0.02,0)</f>
        <v>0.16</v>
      </c>
      <c r="H37" s="49">
        <f t="shared" si="117"/>
        <v>0</v>
      </c>
      <c r="I37" s="49">
        <f t="shared" si="117"/>
        <v>0</v>
      </c>
      <c r="J37" s="52">
        <f t="shared" si="94"/>
        <v>0.48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8">IF(N25="nuit",N28*0.02,0)</f>
        <v>0</v>
      </c>
      <c r="O37" s="49">
        <f t="shared" si="118"/>
        <v>0</v>
      </c>
      <c r="P37" s="49">
        <f>IF(P25="nuit",P28*0.02,0)</f>
        <v>0</v>
      </c>
      <c r="Q37" s="49">
        <f t="shared" si="118"/>
        <v>0</v>
      </c>
      <c r="R37" s="49">
        <f t="shared" si="118"/>
        <v>0</v>
      </c>
      <c r="S37" s="52">
        <f t="shared" si="96"/>
        <v>0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9">IF(W25="nuit",W28*0.02,0)</f>
        <v>0</v>
      </c>
      <c r="X37" s="49">
        <f t="shared" si="119"/>
        <v>0</v>
      </c>
      <c r="Y37" s="49">
        <f>IF(Y25="nuit",Y28*0.02,0)</f>
        <v>0</v>
      </c>
      <c r="Z37" s="49">
        <f t="shared" si="119"/>
        <v>0</v>
      </c>
      <c r="AA37" s="49">
        <f t="shared" si="119"/>
        <v>0</v>
      </c>
      <c r="AB37" s="52">
        <f t="shared" si="98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0.16</v>
      </c>
      <c r="AN37" s="49">
        <f>IF(AN25="nuit",AN28*0.02,0)</f>
        <v>0.16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0.32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31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75" thickBot="1">
      <c r="A40" s="16"/>
      <c r="B40" s="16"/>
      <c r="C40" s="19" t="s">
        <v>21</v>
      </c>
      <c r="D40" s="19"/>
      <c r="E40" s="19"/>
      <c r="F40" s="19"/>
      <c r="G40" s="19"/>
      <c r="H40" s="72">
        <f>Année_Calendaire</f>
        <v>2017</v>
      </c>
      <c r="I40" s="72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21</v>
      </c>
      <c r="V40" s="19"/>
      <c r="W40" s="19"/>
      <c r="X40" s="19"/>
      <c r="Y40" s="19"/>
      <c r="Z40" s="72">
        <f>Année_Calendaire</f>
        <v>2017</v>
      </c>
      <c r="AA40" s="72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21</v>
      </c>
      <c r="AN40" s="19"/>
      <c r="AO40" s="19"/>
      <c r="AP40" s="19"/>
      <c r="AQ40" s="19"/>
      <c r="AR40" s="72">
        <f>Année_Calendaire</f>
        <v>2017</v>
      </c>
      <c r="AS40" s="72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thickTop="1" thickBot="1">
      <c r="A41" s="36"/>
      <c r="B41" s="55" t="str">
        <f>IF(AU23&lt;&gt;"",AU23,IF(AL23="C1","C2",IF(AL23="C2","C3",IF(AL23="C3","C4",IF(AL23="C4","C1","")))))</f>
        <v>C3</v>
      </c>
      <c r="C41" s="98" t="s">
        <v>13</v>
      </c>
      <c r="D41" s="98" t="s">
        <v>14</v>
      </c>
      <c r="E41" s="99" t="s">
        <v>15</v>
      </c>
      <c r="F41" s="99" t="s">
        <v>16</v>
      </c>
      <c r="G41" s="99" t="s">
        <v>17</v>
      </c>
      <c r="H41" s="99" t="s">
        <v>18</v>
      </c>
      <c r="I41" s="99" t="s">
        <v>19</v>
      </c>
      <c r="J41" s="71" t="s">
        <v>32</v>
      </c>
      <c r="K41" s="55" t="str">
        <f>IF(B41="C1","C2",IF(B41="C2","C3",IF(B41="C3","C4",IF(B41="C4","C1",""))))</f>
        <v>C4</v>
      </c>
      <c r="L41" s="99" t="str">
        <f>IF(L42&lt;&gt;"","Lun","")</f>
        <v>Lun</v>
      </c>
      <c r="M41" s="98" t="str">
        <f>IF(M42&lt;&gt;"","Mar","")</f>
        <v>Mar</v>
      </c>
      <c r="N41" s="98" t="str">
        <f>IF(N42&lt;&gt;"","Mer","")</f>
        <v>Mer</v>
      </c>
      <c r="O41" s="98" t="str">
        <f>IF(O42&lt;&gt;"","Jeu","")</f>
        <v>Jeu</v>
      </c>
      <c r="P41" s="98" t="str">
        <f>IF(P42&lt;&gt;"","Ven","")</f>
        <v>Ven</v>
      </c>
      <c r="Q41" s="98" t="str">
        <f>IF(Q42&lt;&gt;"","Sam","")</f>
        <v>Sam</v>
      </c>
      <c r="R41" s="98" t="str">
        <f>IF(R42&lt;&gt;"","Dim","")</f>
        <v>Dim</v>
      </c>
      <c r="S41" s="71" t="s">
        <v>32</v>
      </c>
      <c r="T41" s="55" t="str">
        <f>IF(K41="C1","C2",IF(K41="C2","C3",IF(K41="C3","C4",IF(K41="C4","C1",""))))</f>
        <v>C1</v>
      </c>
      <c r="U41" s="98" t="str">
        <f>IF(U42&lt;&gt;"","Lun","")</f>
        <v>Lun</v>
      </c>
      <c r="V41" s="98" t="str">
        <f>IF(V42&lt;&gt;"","Mar","")</f>
        <v>Mar</v>
      </c>
      <c r="W41" s="98" t="str">
        <f>IF(W42&lt;&gt;"","Mer","")</f>
        <v>Mer</v>
      </c>
      <c r="X41" s="98" t="str">
        <f>IF(X42&lt;&gt;"","Jeu","")</f>
        <v>Jeu</v>
      </c>
      <c r="Y41" s="98" t="str">
        <f>IF(Y42&lt;&gt;"","Ven","")</f>
        <v>Ven</v>
      </c>
      <c r="Z41" s="98" t="str">
        <f>IF(Z42&lt;&gt;"","Sam","")</f>
        <v>Sam</v>
      </c>
      <c r="AA41" s="98" t="str">
        <f>IF(AA42&lt;&gt;"","Dim","")</f>
        <v>Dim</v>
      </c>
      <c r="AB41" s="71" t="s">
        <v>32</v>
      </c>
      <c r="AC41" s="55" t="str">
        <f>IF(T41="C1","C2",IF(T41="C2","C3",IF(T41="C3","C4",IF(T41="C4","C1",""))))</f>
        <v>C2</v>
      </c>
      <c r="AD41" s="98" t="str">
        <f>IF(AD42&lt;&gt;"","Lun","")</f>
        <v>Lun</v>
      </c>
      <c r="AE41" s="98" t="str">
        <f>IF(AE42&lt;&gt;"","Mar","")</f>
        <v>Mar</v>
      </c>
      <c r="AF41" s="98" t="str">
        <f>IF(AF42&lt;&gt;"","Mer","")</f>
        <v>Mer</v>
      </c>
      <c r="AG41" s="98" t="str">
        <f>IF(AG42&lt;&gt;"","Jeu","")</f>
        <v>Jeu</v>
      </c>
      <c r="AH41" s="98" t="str">
        <f>IF(AH42&lt;&gt;"","Ven","")</f>
        <v>Ven</v>
      </c>
      <c r="AI41" s="98" t="str">
        <f>IF(AI42&lt;&gt;"","Sam","")</f>
        <v>Sam</v>
      </c>
      <c r="AJ41" s="98" t="str">
        <f>IF(AJ42&lt;&gt;"","Dim","")</f>
        <v>Dim</v>
      </c>
      <c r="AK41" s="71" t="s">
        <v>32</v>
      </c>
      <c r="AL41" s="55" t="str">
        <f>IF(AC41="C1","C2",IF(AC41="C2","C3",IF(AC41="C3","C4",IF(AC41="C4","C1",""))))</f>
        <v>C3</v>
      </c>
      <c r="AM41" s="98" t="str">
        <f>IF(AM42&lt;&gt;"","Lun","")</f>
        <v>Lun</v>
      </c>
      <c r="AN41" s="98" t="str">
        <f>IF(AN42&lt;&gt;"","Mar","")</f>
        <v>Mar</v>
      </c>
      <c r="AO41" s="98" t="str">
        <f>IF(AO42&lt;&gt;"","Mer","")</f>
        <v>Mer</v>
      </c>
      <c r="AP41" s="98" t="str">
        <f>IF(AP42&lt;&gt;"","Jeu","")</f>
        <v>Jeu</v>
      </c>
      <c r="AQ41" s="98" t="str">
        <f>IF(AQ42&lt;&gt;"","Ven","")</f>
        <v>Ven</v>
      </c>
      <c r="AR41" s="98" t="str">
        <f>IF(AR42&lt;&gt;"","Sam","")</f>
        <v/>
      </c>
      <c r="AS41" s="98" t="str">
        <f>IF(AS42&lt;&gt;"","Dim","")</f>
        <v/>
      </c>
      <c r="AT41" s="71" t="s">
        <v>32</v>
      </c>
      <c r="AU41" s="55" t="str">
        <f>IF(AV41&lt;&gt;"",IF(AL41="C1","C2",IF(AL41="C2","C3",IF(AL41="C3","C4",IF(AL41="C4","C1","")))),"")</f>
        <v/>
      </c>
      <c r="AV41" s="53" t="str">
        <f>IF(AV42&lt;&gt;"","Lun","")</f>
        <v/>
      </c>
      <c r="AW41" s="53" t="str">
        <f>IF(AW42&lt;&gt;"","Mar","")</f>
        <v/>
      </c>
      <c r="AX41" s="71" t="s">
        <v>32</v>
      </c>
      <c r="AY41" s="71" t="s">
        <v>35</v>
      </c>
      <c r="AZ41" s="74">
        <f>AY48+AY49+AY50</f>
        <v>10</v>
      </c>
      <c r="BA41" s="74">
        <f>AZ41+BA23</f>
        <v>20</v>
      </c>
      <c r="BB41" s="39"/>
      <c r="BC41" s="39"/>
      <c r="BD41" s="39"/>
      <c r="BE41" s="39"/>
      <c r="BF41" s="34"/>
    </row>
    <row r="42" spans="1:59" s="25" customFormat="1" ht="15" customHeight="1" thickTop="1">
      <c r="A42" s="10"/>
      <c r="B42" s="54"/>
      <c r="C42" s="97" t="str">
        <f>IF(DAY(Mar_Dim1)=1,"",IF(AND(YEAR(Mar_Dim1+1)=Année_Calendaire,MONTH(Mar_Dim1+1)=3),Mar_Dim1+1,""))</f>
        <v/>
      </c>
      <c r="D42" s="97" t="str">
        <f>IF(DAY(Mar_Dim1)=1,"",IF(AND(YEAR(Mar_Dim1+2)=Année_Calendaire,MONTH(Mar_Dim1+2)=3),Mar_Dim1+2,""))</f>
        <v/>
      </c>
      <c r="E42" s="97">
        <f>IF(DAY(Mar_Dim1)=1,"",IF(AND(YEAR(Mar_Dim1+3)=Année_Calendaire,MONTH(Mar_Dim1+3)=3),Mar_Dim1+3,""))</f>
        <v>42795</v>
      </c>
      <c r="F42" s="97">
        <f>IF(DAY(Mar_Dim1)=1,"",IF(AND(YEAR(Mar_Dim1+4)=Année_Calendaire,MONTH(Mar_Dim1+4)=3),Mar_Dim1+4,""))</f>
        <v>42796</v>
      </c>
      <c r="G42" s="97">
        <f>IF(DAY(Mar_Dim1)=1,"",IF(AND(YEAR(Mar_Dim1+5)=Année_Calendaire,MONTH(Mar_Dim1+5)=3),Mar_Dim1+5,""))</f>
        <v>42797</v>
      </c>
      <c r="H42" s="97">
        <f>IF(DAY(Mar_Dim1)=1,"",IF(AND(YEAR(Mar_Dim1+6)=Année_Calendaire,MONTH(Mar_Dim1+6)=3),Mar_Dim1+6,""))</f>
        <v>42798</v>
      </c>
      <c r="I42" s="97">
        <f>IF(DAY(Mar_Dim1)=1,IF(AND(YEAR(Mar_Dim1)=Année_Calendaire,MONTH(Mar_Dim1)=3),Mar_Dim1,""),IF(AND(YEAR(Mar_Dim1+7)=Année_Calendaire,MONTH(Mar_Dim1+7)=3),Mar_Dim1+7,""))</f>
        <v>42799</v>
      </c>
      <c r="J42" s="71"/>
      <c r="K42" s="54"/>
      <c r="L42" s="97">
        <f>IF(DAY(Mar_Dim1)=1,IF(AND(YEAR(Mar_Dim1+1)=Année_Calendaire,MONTH(Mar_Dim1+1)=3),Mar_Dim1+1,""),IF(AND(YEAR(Mar_Dim1+8)=Année_Calendaire,MONTH(Mar_Dim1+8)=3),Mar_Dim1+8,""))</f>
        <v>42800</v>
      </c>
      <c r="M42" s="97">
        <f>IF(DAY(Mar_Dim1)=1,IF(AND(YEAR(Mar_Dim1+2)=Année_Calendaire,MONTH(Mar_Dim1+2)=3),Mar_Dim1+2,""),IF(AND(YEAR(Mar_Dim1+9)=Année_Calendaire,MONTH(Mar_Dim1+9)=3),Mar_Dim1+9,""))</f>
        <v>42801</v>
      </c>
      <c r="N42" s="97">
        <f>IF(DAY(Mar_Dim1)=1,IF(AND(YEAR(Mar_Dim1+3)=Année_Calendaire,MONTH(Mar_Dim1+3)=3),Mar_Dim1+3,""),IF(AND(YEAR(Mar_Dim1+10)=Année_Calendaire,MONTH(Mar_Dim1+10)=3),Mar_Dim1+10,""))</f>
        <v>42802</v>
      </c>
      <c r="O42" s="97">
        <f>IF(DAY(Mar_Dim1)=1,IF(AND(YEAR(Mar_Dim1+4)=Année_Calendaire,MONTH(Mar_Dim1+4)=3),Mar_Dim1+4,""),IF(AND(YEAR(Mar_Dim1+11)=Année_Calendaire,MONTH(Mar_Dim1+11)=3),Mar_Dim1+11,""))</f>
        <v>42803</v>
      </c>
      <c r="P42" s="97">
        <f>IF(DAY(Mar_Dim1)=1,IF(AND(YEAR(Mar_Dim1+5)=Année_Calendaire,MONTH(Mar_Dim1+5)=3),Mar_Dim1+5,""),IF(AND(YEAR(Mar_Dim1+12)=Année_Calendaire,MONTH(Mar_Dim1+12)=3),Mar_Dim1+12,""))</f>
        <v>42804</v>
      </c>
      <c r="Q42" s="97">
        <f>IF(DAY(Mar_Dim1)=1,IF(AND(YEAR(Mar_Dim1+6)=Année_Calendaire,MONTH(Mar_Dim1+6)=3),Mar_Dim1+6,""),IF(AND(YEAR(Mar_Dim1+13)=Année_Calendaire,MONTH(Mar_Dim1+13)=3),Mar_Dim1+13,""))</f>
        <v>42805</v>
      </c>
      <c r="R42" s="97">
        <f>IF(DAY(Mar_Dim1)=1,IF(AND(YEAR(Mar_Dim1+7)=Année_Calendaire,MONTH(Mar_Dim1+7)=3),Mar_Dim1+7,""),IF(AND(YEAR(Mar_Dim1+14)=Année_Calendaire,MONTH(Mar_Dim1+14)=3),Mar_Dim1+14,""))</f>
        <v>42806</v>
      </c>
      <c r="S42" s="71"/>
      <c r="T42" s="54"/>
      <c r="U42" s="97">
        <f>IF(DAY(Mar_Dim1)=1,IF(AND(YEAR(Mar_Dim1+8)=Année_Calendaire,MONTH(Mar_Dim1+8)=3),Mar_Dim1+8,""),IF(AND(YEAR(Mar_Dim1+15)=Année_Calendaire,MONTH(Mar_Dim1+15)=3),Mar_Dim1+15,""))</f>
        <v>42807</v>
      </c>
      <c r="V42" s="97">
        <f>IF(DAY(Mar_Dim1)=1,IF(AND(YEAR(Mar_Dim1+9)=Année_Calendaire,MONTH(Mar_Dim1+9)=3),Mar_Dim1+9,""),IF(AND(YEAR(Mar_Dim1+16)=Année_Calendaire,MONTH(Mar_Dim1+16)=3),Mar_Dim1+16,""))</f>
        <v>42808</v>
      </c>
      <c r="W42" s="97">
        <f>IF(DAY(Mar_Dim1)=1,IF(AND(YEAR(Mar_Dim1+10)=Année_Calendaire,MONTH(Mar_Dim1+10)=3),Mar_Dim1+10,""),IF(AND(YEAR(Mar_Dim1+17)=Année_Calendaire,MONTH(Mar_Dim1+17)=3),Mar_Dim1+17,""))</f>
        <v>42809</v>
      </c>
      <c r="X42" s="97">
        <f>IF(DAY(Mar_Dim1)=1,IF(AND(YEAR(Mar_Dim1+11)=Année_Calendaire,MONTH(Mar_Dim1+11)=3),Mar_Dim1+11,""),IF(AND(YEAR(Mar_Dim1+18)=Année_Calendaire,MONTH(Mar_Dim1+18)=3),Mar_Dim1+18,""))</f>
        <v>42810</v>
      </c>
      <c r="Y42" s="97">
        <f>IF(DAY(Mar_Dim1)=1,IF(AND(YEAR(Mar_Dim1+12)=Année_Calendaire,MONTH(Mar_Dim1+12)=3),Mar_Dim1+12,""),IF(AND(YEAR(Mar_Dim1+19)=Année_Calendaire,MONTH(Mar_Dim1+19)=3),Mar_Dim1+19,""))</f>
        <v>42811</v>
      </c>
      <c r="Z42" s="97">
        <f>IF(DAY(Mar_Dim1)=1,IF(AND(YEAR(Mar_Dim1+13)=Année_Calendaire,MONTH(Mar_Dim1+13)=3),Mar_Dim1+13,""),IF(AND(YEAR(Mar_Dim1+20)=Année_Calendaire,MONTH(Mar_Dim1+20)=3),Mar_Dim1+20,""))</f>
        <v>42812</v>
      </c>
      <c r="AA42" s="97">
        <f>IF(DAY(Mar_Dim1)=1,IF(AND(YEAR(Mar_Dim1+14)=Année_Calendaire,MONTH(Mar_Dim1+14)=3),Mar_Dim1+14,""),IF(AND(YEAR(Mar_Dim1+21)=Année_Calendaire,MONTH(Mar_Dim1+21)=3),Mar_Dim1+21,""))</f>
        <v>42813</v>
      </c>
      <c r="AB42" s="71"/>
      <c r="AC42" s="54"/>
      <c r="AD42" s="97">
        <f>IF(DAY(Mar_Dim1)=1,IF(AND(YEAR(Mar_Dim1+15)=Année_Calendaire,MONTH(Mar_Dim1+15)=3),Mar_Dim1+15,""),IF(AND(YEAR(Mar_Dim1+22)=Année_Calendaire,MONTH(Mar_Dim1+22)=3),Mar_Dim1+22,""))</f>
        <v>42814</v>
      </c>
      <c r="AE42" s="97">
        <f>IF(DAY(Mar_Dim1)=1,IF(AND(YEAR(Mar_Dim1+16)=Année_Calendaire,MONTH(Mar_Dim1+16)=3),Mar_Dim1+16,""),IF(AND(YEAR(Mar_Dim1+23)=Année_Calendaire,MONTH(Mar_Dim1+23)=3),Mar_Dim1+23,""))</f>
        <v>42815</v>
      </c>
      <c r="AF42" s="97">
        <f>IF(DAY(Mar_Dim1)=1,IF(AND(YEAR(Mar_Dim1+17)=Année_Calendaire,MONTH(Mar_Dim1+17)=3),Mar_Dim1+17,""),IF(AND(YEAR(Mar_Dim1+24)=Année_Calendaire,MONTH(Mar_Dim1+24)=3),Mar_Dim1+24,""))</f>
        <v>42816</v>
      </c>
      <c r="AG42" s="97">
        <f>IF(DAY(Mar_Dim1)=1,IF(AND(YEAR(Mar_Dim1+18)=Année_Calendaire,MONTH(Mar_Dim1+18)=3),Mar_Dim1+18,""),IF(AND(YEAR(Mar_Dim1+25)=Année_Calendaire,MONTH(Mar_Dim1+25)=3),Mar_Dim1+25,""))</f>
        <v>42817</v>
      </c>
      <c r="AH42" s="97">
        <f>IF(DAY(Mar_Dim1)=1,IF(AND(YEAR(Mar_Dim1+19)=Année_Calendaire,MONTH(Mar_Dim1+19)=3),Mar_Dim1+19,""),IF(AND(YEAR(Mar_Dim1+26)=Année_Calendaire,MONTH(Mar_Dim1+26)=3),Mar_Dim1+26,""))</f>
        <v>42818</v>
      </c>
      <c r="AI42" s="97">
        <f>IF(DAY(Mar_Dim1)=1,IF(AND(YEAR(Mar_Dim1+20)=Année_Calendaire,MONTH(Mar_Dim1+20)=3),Mar_Dim1+20,""),IF(AND(YEAR(Mar_Dim1+27)=Année_Calendaire,MONTH(Mar_Dim1+27)=3),Mar_Dim1+27,""))</f>
        <v>42819</v>
      </c>
      <c r="AJ42" s="97">
        <f>IF(DAY(Mar_Dim1)=1,IF(AND(YEAR(Mar_Dim1+21)=Année_Calendaire,MONTH(Mar_Dim1+21)=3),Mar_Dim1+21,""),IF(AND(YEAR(Mar_Dim1+28)=Année_Calendaire,MONTH(Mar_Dim1+28)=3),Mar_Dim1+28,""))</f>
        <v>42820</v>
      </c>
      <c r="AK42" s="71"/>
      <c r="AL42" s="54"/>
      <c r="AM42" s="97">
        <f>IF(DAY(Mar_Dim1)=1,IF(AND(YEAR(Mar_Dim1+22)=Année_Calendaire,MONTH(Mar_Dim1+22)=3),Mar_Dim1+22,""),IF(AND(YEAR(Mar_Dim1+29)=Année_Calendaire,MONTH(Mar_Dim1+29)=3),Mar_Dim1+29,""))</f>
        <v>42821</v>
      </c>
      <c r="AN42" s="97">
        <f>IF(DAY(Mar_Dim1)=1,IF(AND(YEAR(Mar_Dim1+23)=Année_Calendaire,MONTH(Mar_Dim1+23)=3),Mar_Dim1+23,""),IF(AND(YEAR(Mar_Dim1+30)=Année_Calendaire,MONTH(Mar_Dim1+30)=3),Mar_Dim1+30,""))</f>
        <v>42822</v>
      </c>
      <c r="AO42" s="97">
        <f>IF(DAY(Mar_Dim1)=1,IF(AND(YEAR(Mar_Dim1+24)=Année_Calendaire,MONTH(Mar_Dim1+24)=3),Mar_Dim1+24,""),IF(AND(YEAR(Mar_Dim1+31)=Année_Calendaire,MONTH(Mar_Dim1+31)=3),Mar_Dim1+31,""))</f>
        <v>42823</v>
      </c>
      <c r="AP42" s="97">
        <f>IF(DAY(Mar_Dim1)=1,IF(AND(YEAR(Mar_Dim1+25)=Année_Calendaire,MONTH(Mar_Dim1+25)=3),Mar_Dim1+25,""),IF(AND(YEAR(Mar_Dim1+32)=Année_Calendaire,MONTH(Mar_Dim1+32)=3),Mar_Dim1+32,""))</f>
        <v>42824</v>
      </c>
      <c r="AQ42" s="97">
        <f>IF(DAY(Mar_Dim1)=1,IF(AND(YEAR(Mar_Dim1+26)=Année_Calendaire,MONTH(Mar_Dim1+26)=3),Mar_Dim1+26,""),IF(AND(YEAR(Mar_Dim1+33)=Année_Calendaire,MONTH(Mar_Dim1+33)=3),Mar_Dim1+33,""))</f>
        <v>42825</v>
      </c>
      <c r="AR42" s="97" t="str">
        <f>IF(DAY(Mar_Dim1)=1,IF(AND(YEAR(Mar_Dim1+27)=Année_Calendaire,MONTH(Mar_Dim1+27)=3),Mar_Dim1+27,""),IF(AND(YEAR(Mar_Dim1+34)=Année_Calendaire,MONTH(Mar_Dim1+34)=3),Mar_Dim1+34,""))</f>
        <v/>
      </c>
      <c r="AS42" s="97" t="str">
        <f>IF(DAY(Mar_Dim1)=1,IF(AND(YEAR(Mar_Dim1+28)=Année_Calendaire,MONTH(Mar_Dim1+28)=3),Mar_Dim1+28,""),IF(AND(YEAR(Mar_Dim1+35)=Année_Calendaire,MONTH(Mar_Dim1+35)=3),Mar_Dim1+35,""))</f>
        <v/>
      </c>
      <c r="AT42" s="71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71"/>
      <c r="AY42" s="71"/>
      <c r="AZ42" s="74"/>
      <c r="BA42" s="74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/>
      </c>
      <c r="E43" s="49">
        <f>IF(E42="","",IFERROR(VLOOKUP(B41,DATA!$A:$H,4,TRUE),0))</f>
        <v>0</v>
      </c>
      <c r="F43" s="49" t="str">
        <f>IF(F42="","",IFERROR(VLOOKUP(B41,DATA!$A:$H,5,TRUE),0))</f>
        <v>matin</v>
      </c>
      <c r="G43" s="49" t="str">
        <f>IF(G42="","",IFERROR(VLOOKUP(B41,DATA!$A:$H,6,TRUE),0))</f>
        <v>matin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am</v>
      </c>
      <c r="M43" s="49" t="str">
        <f>IF(M42="","",IFERROR(VLOOKUP(K41,DATA!$A:$H,3,TRUE),0))</f>
        <v>am</v>
      </c>
      <c r="N43" s="49" t="str">
        <f>IF(N42="","",IFERROR(VLOOKUP(K41,DATA!$A:$H,4,TRUE),0))</f>
        <v>am</v>
      </c>
      <c r="O43" s="49" t="str">
        <f>IF(O42="","",IFERROR(VLOOKUP(K41,DATA!$A:$H,5,TRUE),0))</f>
        <v>am</v>
      </c>
      <c r="P43" s="49" t="str">
        <f>IF(P42="","",IFERROR(VLOOKUP(K41,DATA!$A:$H,6,TRUE),0))</f>
        <v>am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matin</v>
      </c>
      <c r="V43" s="49" t="str">
        <f>IF(V42="","",IFERROR(VLOOKUP(T41,DATA!$A:$H,3,TRUE),0))</f>
        <v>matin</v>
      </c>
      <c r="W43" s="49" t="str">
        <f>IF(W42="","",IFERROR(VLOOKUP(T41,DATA!$A:$H,4,TRUE),0))</f>
        <v>matin</v>
      </c>
      <c r="X43" s="49">
        <f>IF(X42="","",IFERROR(VLOOKUP(T41,DATA!$A:$H,5,TRUE),0))</f>
        <v>0</v>
      </c>
      <c r="Y43" s="49">
        <f>IF(Y42="","",IFERROR(VLOOKUP(T41,DATA!$A:$H,6,TRUE),0))</f>
        <v>0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nuit</v>
      </c>
      <c r="AE43" s="49" t="str">
        <f>IF(AE42="","",IFERROR(VLOOKUP(AC41,DATA!$A:$H,3,TRUE),0))</f>
        <v>nuit</v>
      </c>
      <c r="AF43" s="49" t="str">
        <f>IF(AF42="","",IFERROR(VLOOKUP(AC41,DATA!$A:$H,4,TRUE),0))</f>
        <v>nuit</v>
      </c>
      <c r="AG43" s="49" t="str">
        <f>IF(AG42="","",IFERROR(VLOOKUP(AC41,DATA!$A:$H,5,TRUE),0))</f>
        <v>nuit</v>
      </c>
      <c r="AH43" s="49" t="str">
        <f>IF(AH42="","",IFERROR(VLOOKUP(AC41,DATA!$A:$H,6,TRUE),0))</f>
        <v>nuit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matin</v>
      </c>
      <c r="AN43" s="49">
        <f>IF(AN42="","",IFERROR(VLOOKUP(AL41,DATA!$A:$H,3,TRUE),0))</f>
        <v>0</v>
      </c>
      <c r="AO43" s="49">
        <f>IF(AO42="","",IFERROR(VLOOKUP(AL41,DATA!$A:$H,4,TRUE),0))</f>
        <v>0</v>
      </c>
      <c r="AP43" s="49" t="str">
        <f>IF(AP42="","",IFERROR(VLOOKUP(AL41,DATA!$A:$H,5,TRUE),0))</f>
        <v>matin</v>
      </c>
      <c r="AQ43" s="49" t="str">
        <f>IF(AQ42="","",IFERROR(VLOOKUP(AL41,DATA!$A:$H,6,TRUE),0))</f>
        <v>matin</v>
      </c>
      <c r="AR43" s="49" t="str">
        <f>IF(AR42="","",IFERROR(VLOOKUP(AL41,DATA!$A:$H,7,TRUE),0))</f>
        <v/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1</v>
      </c>
      <c r="G44" s="52">
        <f t="shared" si="122"/>
        <v>1</v>
      </c>
      <c r="H44" s="52">
        <f t="shared" si="122"/>
        <v>0</v>
      </c>
      <c r="I44" s="52">
        <f t="shared" si="122"/>
        <v>0</v>
      </c>
      <c r="J44" s="52">
        <f>SUM(C44:I44)</f>
        <v>2</v>
      </c>
      <c r="K44" s="51"/>
      <c r="L44" s="52">
        <f t="shared" ref="L44:R44" si="123">IF(L43="Matin",1,IF(L43="AM",1,0))</f>
        <v>1</v>
      </c>
      <c r="M44" s="52">
        <f t="shared" si="123"/>
        <v>1</v>
      </c>
      <c r="N44" s="52">
        <f t="shared" si="123"/>
        <v>1</v>
      </c>
      <c r="O44" s="52">
        <f t="shared" si="123"/>
        <v>1</v>
      </c>
      <c r="P44" s="52">
        <f t="shared" si="123"/>
        <v>1</v>
      </c>
      <c r="Q44" s="52">
        <f t="shared" si="123"/>
        <v>0</v>
      </c>
      <c r="R44" s="52">
        <f t="shared" si="123"/>
        <v>0</v>
      </c>
      <c r="S44" s="52">
        <f>SUM(L44:R44)</f>
        <v>5</v>
      </c>
      <c r="T44" s="51"/>
      <c r="U44" s="52">
        <f t="shared" ref="U44:AA44" si="124">IF(U43="Matin",1,IF(U43="AM",1,0))</f>
        <v>1</v>
      </c>
      <c r="V44" s="52">
        <f t="shared" si="124"/>
        <v>1</v>
      </c>
      <c r="W44" s="52">
        <f t="shared" si="124"/>
        <v>1</v>
      </c>
      <c r="X44" s="52">
        <f t="shared" si="124"/>
        <v>0</v>
      </c>
      <c r="Y44" s="52">
        <f t="shared" si="124"/>
        <v>0</v>
      </c>
      <c r="Z44" s="52">
        <f t="shared" si="124"/>
        <v>0</v>
      </c>
      <c r="AA44" s="52">
        <f t="shared" si="124"/>
        <v>0</v>
      </c>
      <c r="AB44" s="52">
        <f>SUM(U44:AA44)</f>
        <v>3</v>
      </c>
      <c r="AC44" s="51"/>
      <c r="AD44" s="52">
        <f t="shared" ref="AD44:AJ44" si="125">IF(AD43="Matin",1,IF(AD43="AM",1,0))</f>
        <v>0</v>
      </c>
      <c r="AE44" s="52">
        <f t="shared" si="125"/>
        <v>0</v>
      </c>
      <c r="AF44" s="52">
        <f t="shared" si="125"/>
        <v>0</v>
      </c>
      <c r="AG44" s="52">
        <f t="shared" si="125"/>
        <v>0</v>
      </c>
      <c r="AH44" s="52">
        <f t="shared" si="125"/>
        <v>0</v>
      </c>
      <c r="AI44" s="52">
        <f t="shared" si="125"/>
        <v>0</v>
      </c>
      <c r="AJ44" s="52">
        <f t="shared" si="125"/>
        <v>0</v>
      </c>
      <c r="AK44" s="52">
        <f>SUM(AD44:AJ44)</f>
        <v>0</v>
      </c>
      <c r="AL44" s="51"/>
      <c r="AM44" s="52">
        <f t="shared" ref="AM44:AS44" si="126">IF(AM43="Matin",1,IF(AM43="AM",1,0))</f>
        <v>1</v>
      </c>
      <c r="AN44" s="52">
        <f t="shared" si="126"/>
        <v>0</v>
      </c>
      <c r="AO44" s="52">
        <f t="shared" si="126"/>
        <v>0</v>
      </c>
      <c r="AP44" s="52">
        <f t="shared" si="126"/>
        <v>1</v>
      </c>
      <c r="AQ44" s="52">
        <f t="shared" si="126"/>
        <v>1</v>
      </c>
      <c r="AR44" s="52">
        <f t="shared" si="126"/>
        <v>0</v>
      </c>
      <c r="AS44" s="52">
        <f t="shared" si="126"/>
        <v>0</v>
      </c>
      <c r="AT44" s="52">
        <f>SUM(AM44:AS44)</f>
        <v>3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13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9">IF(E46&gt;=1,1,0)</f>
        <v>0</v>
      </c>
      <c r="F45" s="49">
        <f t="shared" si="129"/>
        <v>1</v>
      </c>
      <c r="G45" s="49">
        <f t="shared" si="129"/>
        <v>1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2</v>
      </c>
      <c r="K45" s="48"/>
      <c r="L45" s="49">
        <f>IF(L46&gt;=1,1,0)</f>
        <v>1</v>
      </c>
      <c r="M45" s="49">
        <f t="shared" ref="M45:R45" si="131">IF(M46&gt;=1,1,0)</f>
        <v>1</v>
      </c>
      <c r="N45" s="49">
        <f t="shared" si="131"/>
        <v>1</v>
      </c>
      <c r="O45" s="49">
        <f t="shared" si="131"/>
        <v>1</v>
      </c>
      <c r="P45" s="49">
        <f t="shared" si="131"/>
        <v>1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5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0</v>
      </c>
      <c r="Y45" s="49">
        <f t="shared" si="133"/>
        <v>0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3</v>
      </c>
      <c r="AC45" s="48"/>
      <c r="AD45" s="49">
        <f>IF(AD46&gt;=1,1,0)</f>
        <v>1</v>
      </c>
      <c r="AE45" s="49">
        <f t="shared" ref="AE45:AJ45" si="135">IF(AE46&gt;=1,1,0)</f>
        <v>1</v>
      </c>
      <c r="AF45" s="49">
        <f t="shared" si="135"/>
        <v>1</v>
      </c>
      <c r="AG45" s="49">
        <f t="shared" si="135"/>
        <v>1</v>
      </c>
      <c r="AH45" s="49">
        <f t="shared" si="135"/>
        <v>1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5</v>
      </c>
      <c r="AL45" s="48"/>
      <c r="AM45" s="49">
        <f>IF(AM46&gt;=1,1,0)</f>
        <v>1</v>
      </c>
      <c r="AN45" s="49">
        <f t="shared" ref="AN45:AS45" si="137">IF(AN46&gt;=1,1,0)</f>
        <v>0</v>
      </c>
      <c r="AO45" s="49">
        <f t="shared" si="137"/>
        <v>0</v>
      </c>
      <c r="AP45" s="49">
        <f t="shared" si="137"/>
        <v>1</v>
      </c>
      <c r="AQ45" s="49">
        <f t="shared" si="137"/>
        <v>1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3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0</v>
      </c>
      <c r="E46" s="52">
        <f t="shared" si="141"/>
        <v>0</v>
      </c>
      <c r="F46" s="52">
        <f t="shared" si="141"/>
        <v>8</v>
      </c>
      <c r="G46" s="52">
        <f t="shared" si="141"/>
        <v>8</v>
      </c>
      <c r="H46" s="52">
        <f t="shared" si="141"/>
        <v>0</v>
      </c>
      <c r="I46" s="52">
        <f t="shared" si="141"/>
        <v>0</v>
      </c>
      <c r="J46" s="52">
        <f t="shared" si="130"/>
        <v>16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8</v>
      </c>
      <c r="N46" s="52">
        <f t="shared" si="142"/>
        <v>8</v>
      </c>
      <c r="O46" s="52">
        <f t="shared" si="142"/>
        <v>8</v>
      </c>
      <c r="P46" s="52">
        <f t="shared" si="142"/>
        <v>8</v>
      </c>
      <c r="Q46" s="52">
        <f t="shared" si="142"/>
        <v>0</v>
      </c>
      <c r="R46" s="52">
        <f t="shared" si="142"/>
        <v>0</v>
      </c>
      <c r="S46" s="52">
        <f t="shared" si="132"/>
        <v>40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0</v>
      </c>
      <c r="Y46" s="52">
        <f t="shared" si="143"/>
        <v>0</v>
      </c>
      <c r="Z46" s="52">
        <f t="shared" si="143"/>
        <v>0</v>
      </c>
      <c r="AA46" s="52">
        <f t="shared" si="143"/>
        <v>0</v>
      </c>
      <c r="AB46" s="52">
        <f t="shared" si="134"/>
        <v>24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8</v>
      </c>
      <c r="AF46" s="52">
        <f t="shared" si="144"/>
        <v>8</v>
      </c>
      <c r="AG46" s="52">
        <f t="shared" si="144"/>
        <v>8</v>
      </c>
      <c r="AH46" s="52">
        <f t="shared" si="144"/>
        <v>8</v>
      </c>
      <c r="AI46" s="52">
        <f t="shared" si="144"/>
        <v>0</v>
      </c>
      <c r="AJ46" s="52">
        <f t="shared" si="144"/>
        <v>0</v>
      </c>
      <c r="AK46" s="52">
        <f t="shared" si="136"/>
        <v>40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0</v>
      </c>
      <c r="AO46" s="52">
        <f t="shared" si="145"/>
        <v>0</v>
      </c>
      <c r="AP46" s="52">
        <f t="shared" si="145"/>
        <v>8</v>
      </c>
      <c r="AQ46" s="52">
        <f t="shared" si="145"/>
        <v>8</v>
      </c>
      <c r="AR46" s="52">
        <f t="shared" si="145"/>
        <v>0</v>
      </c>
      <c r="AS46" s="52">
        <f t="shared" si="145"/>
        <v>0</v>
      </c>
      <c r="AT46" s="52">
        <f t="shared" si="138"/>
        <v>24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20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3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3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0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0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3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3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0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0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5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5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0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0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5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5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0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0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44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3">IF(E43="nuit",E46*0.02,0)</f>
        <v>0</v>
      </c>
      <c r="F55" s="49">
        <f t="shared" si="153"/>
        <v>0</v>
      </c>
      <c r="G55" s="49">
        <f>IF(G43="nuit",G46*0.02,0)</f>
        <v>0</v>
      </c>
      <c r="H55" s="49">
        <f t="shared" si="153"/>
        <v>0</v>
      </c>
      <c r="I55" s="49">
        <f t="shared" si="153"/>
        <v>0</v>
      </c>
      <c r="J55" s="52">
        <f t="shared" si="130"/>
        <v>0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5">IF(W43="nuit",W46*0.02,0)</f>
        <v>0</v>
      </c>
      <c r="X55" s="49">
        <f t="shared" si="155"/>
        <v>0</v>
      </c>
      <c r="Y55" s="49">
        <f>IF(Y43="nuit",Y46*0.02,0)</f>
        <v>0</v>
      </c>
      <c r="Z55" s="49">
        <f t="shared" si="155"/>
        <v>0</v>
      </c>
      <c r="AA55" s="49">
        <f t="shared" si="155"/>
        <v>0</v>
      </c>
      <c r="AB55" s="52">
        <f t="shared" si="134"/>
        <v>0</v>
      </c>
      <c r="AC55" s="48"/>
      <c r="AD55" s="49">
        <f>IF(AD43="nuit",AD46*0.02,0)</f>
        <v>0.16</v>
      </c>
      <c r="AE55" s="49">
        <f>IF(AE43="nuit",AE46*0.02,0)</f>
        <v>0.16</v>
      </c>
      <c r="AF55" s="49">
        <f t="shared" ref="AF55:AJ55" si="156">IF(AF43="nuit",AF46*0.02,0)</f>
        <v>0.16</v>
      </c>
      <c r="AG55" s="49">
        <f t="shared" si="156"/>
        <v>0.16</v>
      </c>
      <c r="AH55" s="49">
        <f>IF(AH43="nuit",AH46*0.02,0)</f>
        <v>0.16</v>
      </c>
      <c r="AI55" s="49">
        <f t="shared" si="156"/>
        <v>0</v>
      </c>
      <c r="AJ55" s="49">
        <f t="shared" si="156"/>
        <v>0</v>
      </c>
      <c r="AK55" s="52">
        <f t="shared" si="136"/>
        <v>0.8</v>
      </c>
      <c r="AL55" s="48"/>
      <c r="AM55" s="49">
        <f>IF(AM43="nuit",AM46*0.02,0)</f>
        <v>0</v>
      </c>
      <c r="AN55" s="49">
        <f>IF(AN43="nuit",AN46*0.02,0)</f>
        <v>0</v>
      </c>
      <c r="AO55" s="49">
        <f t="shared" ref="AO55:AS55" si="157">IF(AO43="nuit",AO46*0.02,0)</f>
        <v>0</v>
      </c>
      <c r="AP55" s="49">
        <f t="shared" si="157"/>
        <v>0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0.8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31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75" thickBot="1">
      <c r="A58" s="16"/>
      <c r="B58" s="16"/>
      <c r="C58" s="19" t="s">
        <v>22</v>
      </c>
      <c r="D58" s="19"/>
      <c r="E58" s="19"/>
      <c r="F58" s="19"/>
      <c r="G58" s="19"/>
      <c r="H58" s="72">
        <f>Année_Calendaire</f>
        <v>2017</v>
      </c>
      <c r="I58" s="72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22</v>
      </c>
      <c r="V58" s="19"/>
      <c r="W58" s="19"/>
      <c r="X58" s="19"/>
      <c r="Y58" s="19"/>
      <c r="Z58" s="72">
        <f>Année_Calendaire</f>
        <v>2017</v>
      </c>
      <c r="AA58" s="72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22</v>
      </c>
      <c r="AN58" s="19"/>
      <c r="AO58" s="19"/>
      <c r="AP58" s="19"/>
      <c r="AQ58" s="19"/>
      <c r="AR58" s="72">
        <f>Année_Calendaire</f>
        <v>2017</v>
      </c>
      <c r="AS58" s="72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thickTop="1" thickBot="1">
      <c r="A59" s="36"/>
      <c r="B59" s="55" t="str">
        <f>IF(AU41&lt;&gt;"",AU41,IF(AL41="C1","C2",IF(AL41="C2","C3",IF(AL41="C3","C4",IF(AL41="C4","C1","")))))</f>
        <v>C4</v>
      </c>
      <c r="C59" s="98" t="s">
        <v>13</v>
      </c>
      <c r="D59" s="98" t="s">
        <v>14</v>
      </c>
      <c r="E59" s="98" t="s">
        <v>15</v>
      </c>
      <c r="F59" s="98" t="s">
        <v>16</v>
      </c>
      <c r="G59" s="98" t="s">
        <v>17</v>
      </c>
      <c r="H59" s="98" t="s">
        <v>18</v>
      </c>
      <c r="I59" s="98" t="s">
        <v>19</v>
      </c>
      <c r="J59" s="71" t="s">
        <v>32</v>
      </c>
      <c r="K59" s="55" t="str">
        <f>IF(B59="C1","C2",IF(B59="C2","C3",IF(B59="C3","C4",IF(B59="C4","C1",""))))</f>
        <v>C1</v>
      </c>
      <c r="L59" s="98" t="str">
        <f>IF(L60&lt;&gt;"","Lun","")</f>
        <v>Lun</v>
      </c>
      <c r="M59" s="98" t="str">
        <f>IF(M60&lt;&gt;"","Mar","")</f>
        <v>Mar</v>
      </c>
      <c r="N59" s="98" t="str">
        <f>IF(N60&lt;&gt;"","Mer","")</f>
        <v>Mer</v>
      </c>
      <c r="O59" s="98" t="str">
        <f>IF(O60&lt;&gt;"","Jeu","")</f>
        <v>Jeu</v>
      </c>
      <c r="P59" s="98" t="str">
        <f>IF(P60&lt;&gt;"","Ven","")</f>
        <v>Ven</v>
      </c>
      <c r="Q59" s="98" t="str">
        <f>IF(Q60&lt;&gt;"","Sam","")</f>
        <v>Sam</v>
      </c>
      <c r="R59" s="98" t="str">
        <f>IF(R60&lt;&gt;"","Dim","")</f>
        <v>Dim</v>
      </c>
      <c r="S59" s="71" t="s">
        <v>32</v>
      </c>
      <c r="T59" s="55" t="str">
        <f>IF(K59="C1","C2",IF(K59="C2","C3",IF(K59="C3","C4",IF(K59="C4","C1",""))))</f>
        <v>C2</v>
      </c>
      <c r="U59" s="98" t="str">
        <f>IF(U60&lt;&gt;"","Lun","")</f>
        <v>Lun</v>
      </c>
      <c r="V59" s="98" t="str">
        <f>IF(V60&lt;&gt;"","Mar","")</f>
        <v>Mar</v>
      </c>
      <c r="W59" s="98" t="str">
        <f>IF(W60&lt;&gt;"","Mer","")</f>
        <v>Mer</v>
      </c>
      <c r="X59" s="98" t="str">
        <f>IF(X60&lt;&gt;"","Jeu","")</f>
        <v>Jeu</v>
      </c>
      <c r="Y59" s="98" t="str">
        <f>IF(Y60&lt;&gt;"","Ven","")</f>
        <v>Ven</v>
      </c>
      <c r="Z59" s="98" t="str">
        <f>IF(Z60&lt;&gt;"","Sam","")</f>
        <v>Sam</v>
      </c>
      <c r="AA59" s="98" t="str">
        <f>IF(AA60&lt;&gt;"","Dim","")</f>
        <v>Dim</v>
      </c>
      <c r="AB59" s="71" t="s">
        <v>32</v>
      </c>
      <c r="AC59" s="55" t="str">
        <f>IF(T59="C1","C2",IF(T59="C2","C3",IF(T59="C3","C4",IF(T59="C4","C1",""))))</f>
        <v>C3</v>
      </c>
      <c r="AD59" s="98" t="str">
        <f>IF(AD60&lt;&gt;"","Lun","")</f>
        <v>Lun</v>
      </c>
      <c r="AE59" s="98" t="str">
        <f>IF(AE60&lt;&gt;"","Mar","")</f>
        <v>Mar</v>
      </c>
      <c r="AF59" s="98" t="str">
        <f>IF(AF60&lt;&gt;"","Mer","")</f>
        <v>Mer</v>
      </c>
      <c r="AG59" s="98" t="str">
        <f>IF(AG60&lt;&gt;"","Jeu","")</f>
        <v>Jeu</v>
      </c>
      <c r="AH59" s="98" t="str">
        <f>IF(AH60&lt;&gt;"","Ven","")</f>
        <v>Ven</v>
      </c>
      <c r="AI59" s="99" t="str">
        <f>IF(AI60&lt;&gt;"","Sam","")</f>
        <v>Sam</v>
      </c>
      <c r="AJ59" s="99" t="str">
        <f>IF(AJ60&lt;&gt;"","Dim","")</f>
        <v>Dim</v>
      </c>
      <c r="AK59" s="71" t="s">
        <v>32</v>
      </c>
      <c r="AL59" s="55" t="str">
        <f>IF(AC59="C1","C2",IF(AC59="C2","C3",IF(AC59="C3","C4",IF(AC59="C4","C1",""))))</f>
        <v>C4</v>
      </c>
      <c r="AM59" s="99" t="str">
        <f>IF(AM60&lt;&gt;"","Lun","")</f>
        <v>Lun</v>
      </c>
      <c r="AN59" s="99" t="str">
        <f>IF(AN60&lt;&gt;"","Mar","")</f>
        <v>Mar</v>
      </c>
      <c r="AO59" s="99" t="str">
        <f>IF(AO60&lt;&gt;"","Mer","")</f>
        <v>Mer</v>
      </c>
      <c r="AP59" s="99" t="str">
        <f>IF(AP60&lt;&gt;"","Jeu","")</f>
        <v>Jeu</v>
      </c>
      <c r="AQ59" s="99" t="str">
        <f>IF(AQ60&lt;&gt;"","Ven","")</f>
        <v>Ven</v>
      </c>
      <c r="AR59" s="99" t="str">
        <f>IF(AR60&lt;&gt;"","Sam","")</f>
        <v>Sam</v>
      </c>
      <c r="AS59" s="99" t="str">
        <f>IF(AS60&lt;&gt;"","Dim","")</f>
        <v>Dim</v>
      </c>
      <c r="AT59" s="71" t="s">
        <v>32</v>
      </c>
      <c r="AU59" s="55" t="str">
        <f>IF(AV59&lt;&gt;"",IF(AL59="C1","C2",IF(AL59="C2","C3",IF(AL59="C3","C4",IF(AL59="C4","C1","")))),"")</f>
        <v/>
      </c>
      <c r="AV59" s="53" t="str">
        <f>IF(AV60&lt;&gt;"","Lun","")</f>
        <v/>
      </c>
      <c r="AW59" s="53" t="str">
        <f>IF(AW60&lt;&gt;"","Mar","")</f>
        <v/>
      </c>
      <c r="AX59" s="71" t="s">
        <v>32</v>
      </c>
      <c r="AY59" s="71" t="s">
        <v>35</v>
      </c>
      <c r="AZ59" s="74">
        <f>AY66+AY67+AY68</f>
        <v>10</v>
      </c>
      <c r="BA59" s="74">
        <f>AZ59+BA41</f>
        <v>30</v>
      </c>
      <c r="BB59" s="39"/>
      <c r="BC59" s="39"/>
      <c r="BD59" s="39"/>
      <c r="BE59" s="39"/>
      <c r="BF59" s="34"/>
    </row>
    <row r="60" spans="1:59" s="25" customFormat="1" ht="15" customHeight="1" thickTop="1">
      <c r="A60" s="10"/>
      <c r="B60" s="54"/>
      <c r="C60" s="97" t="str">
        <f>IF(DAY(Avr_Dim1)=1,"",IF(AND(YEAR(Avr_Dim1+1)=Année_Calendaire,MONTH(Avr_Dim1+1)=4),Avr_Dim1+1,""))</f>
        <v/>
      </c>
      <c r="D60" s="97" t="str">
        <f>IF(DAY(Avr_Dim1)=1,"",IF(AND(YEAR(Avr_Dim1+2)=Année_Calendaire,MONTH(Avr_Dim1+2)=4),Avr_Dim1+2,""))</f>
        <v/>
      </c>
      <c r="E60" s="97" t="str">
        <f>IF(DAY(Avr_Dim1)=1,"",IF(AND(YEAR(Avr_Dim1+3)=Année_Calendaire,MONTH(Avr_Dim1+3)=4),Avr_Dim1+3,""))</f>
        <v/>
      </c>
      <c r="F60" s="97" t="str">
        <f>IF(DAY(Avr_Dim1)=1,"",IF(AND(YEAR(Avr_Dim1+4)=Année_Calendaire,MONTH(Avr_Dim1+4)=4),Avr_Dim1+4,""))</f>
        <v/>
      </c>
      <c r="G60" s="97" t="str">
        <f>IF(DAY(Avr_Dim1)=1,"",IF(AND(YEAR(Avr_Dim1+5)=Année_Calendaire,MONTH(Avr_Dim1+5)=4),Avr_Dim1+5,""))</f>
        <v/>
      </c>
      <c r="H60" s="97">
        <f>IF(DAY(Avr_Dim1)=1,"",IF(AND(YEAR(Avr_Dim1+6)=Année_Calendaire,MONTH(Avr_Dim1+6)=4),Avr_Dim1+6,""))</f>
        <v>42826</v>
      </c>
      <c r="I60" s="97">
        <f>IF(DAY(Avr_Dim1)=1,IF(AND(YEAR(Avr_Dim1)=Année_Calendaire,MONTH(Avr_Dim1)=4),Avr_Dim1,""),IF(AND(YEAR(Avr_Dim1+7)=Année_Calendaire,MONTH(Avr_Dim1+7)=4),Avr_Dim1+7,""))</f>
        <v>42827</v>
      </c>
      <c r="J60" s="71"/>
      <c r="K60" s="54"/>
      <c r="L60" s="97">
        <f>IF(DAY(Avr_Dim1)=1,IF(AND(YEAR(Avr_Dim1+1)=Année_Calendaire,MONTH(Avr_Dim1+1)=4),Avr_Dim1+1,""),IF(AND(YEAR(Avr_Dim1+8)=Année_Calendaire,MONTH(Avr_Dim1+8)=4),Avr_Dim1+8,""))</f>
        <v>42828</v>
      </c>
      <c r="M60" s="97">
        <f>IF(DAY(Avr_Dim1)=1,IF(AND(YEAR(Avr_Dim1+2)=Année_Calendaire,MONTH(Avr_Dim1+2)=4),Avr_Dim1+2,""),IF(AND(YEAR(Avr_Dim1+9)=Année_Calendaire,MONTH(Avr_Dim1+9)=4),Avr_Dim1+9,""))</f>
        <v>42829</v>
      </c>
      <c r="N60" s="97">
        <f>IF(DAY(Avr_Dim1)=1,IF(AND(YEAR(Avr_Dim1+3)=Année_Calendaire,MONTH(Avr_Dim1+3)=4),Avr_Dim1+3,""),IF(AND(YEAR(Avr_Dim1+10)=Année_Calendaire,MONTH(Avr_Dim1+10)=4),Avr_Dim1+10,""))</f>
        <v>42830</v>
      </c>
      <c r="O60" s="97">
        <f>IF(DAY(Avr_Dim1)=1,IF(AND(YEAR(Avr_Dim1+4)=Année_Calendaire,MONTH(Avr_Dim1+4)=4),Avr_Dim1+4,""),IF(AND(YEAR(Avr_Dim1+11)=Année_Calendaire,MONTH(Avr_Dim1+11)=4),Avr_Dim1+11,""))</f>
        <v>42831</v>
      </c>
      <c r="P60" s="97">
        <f>IF(DAY(Avr_Dim1)=1,IF(AND(YEAR(Avr_Dim1+5)=Année_Calendaire,MONTH(Avr_Dim1+5)=4),Avr_Dim1+5,""),IF(AND(YEAR(Avr_Dim1+12)=Année_Calendaire,MONTH(Avr_Dim1+12)=4),Avr_Dim1+12,""))</f>
        <v>42832</v>
      </c>
      <c r="Q60" s="97">
        <f>IF(DAY(Avr_Dim1)=1,IF(AND(YEAR(Avr_Dim1+6)=Année_Calendaire,MONTH(Avr_Dim1+6)=4),Avr_Dim1+6,""),IF(AND(YEAR(Avr_Dim1+13)=Année_Calendaire,MONTH(Avr_Dim1+13)=4),Avr_Dim1+13,""))</f>
        <v>42833</v>
      </c>
      <c r="R60" s="97">
        <f>IF(DAY(Avr_Dim1)=1,IF(AND(YEAR(Avr_Dim1+7)=Année_Calendaire,MONTH(Avr_Dim1+7)=4),Avr_Dim1+7,""),IF(AND(YEAR(Avr_Dim1+14)=Année_Calendaire,MONTH(Avr_Dim1+14)=4),Avr_Dim1+14,""))</f>
        <v>42834</v>
      </c>
      <c r="S60" s="71"/>
      <c r="T60" s="54"/>
      <c r="U60" s="97">
        <f>IF(DAY(Avr_Dim1)=1,IF(AND(YEAR(Avr_Dim1+8)=Année_Calendaire,MONTH(Avr_Dim1+8)=4),Avr_Dim1+8,""),IF(AND(YEAR(Avr_Dim1+15)=Année_Calendaire,MONTH(Avr_Dim1+15)=4),Avr_Dim1+15,""))</f>
        <v>42835</v>
      </c>
      <c r="V60" s="97">
        <f>IF(DAY(Avr_Dim1)=1,IF(AND(YEAR(Avr_Dim1+9)=Année_Calendaire,MONTH(Avr_Dim1+9)=4),Avr_Dim1+9,""),IF(AND(YEAR(Avr_Dim1+16)=Année_Calendaire,MONTH(Avr_Dim1+16)=4),Avr_Dim1+16,""))</f>
        <v>42836</v>
      </c>
      <c r="W60" s="97">
        <f>IF(DAY(Avr_Dim1)=1,IF(AND(YEAR(Avr_Dim1+10)=Année_Calendaire,MONTH(Avr_Dim1+10)=4),Avr_Dim1+10,""),IF(AND(YEAR(Avr_Dim1+17)=Année_Calendaire,MONTH(Avr_Dim1+17)=4),Avr_Dim1+17,""))</f>
        <v>42837</v>
      </c>
      <c r="X60" s="97">
        <f>IF(DAY(Avr_Dim1)=1,IF(AND(YEAR(Avr_Dim1+11)=Année_Calendaire,MONTH(Avr_Dim1+11)=4),Avr_Dim1+11,""),IF(AND(YEAR(Avr_Dim1+18)=Année_Calendaire,MONTH(Avr_Dim1+18)=4),Avr_Dim1+18,""))</f>
        <v>42838</v>
      </c>
      <c r="Y60" s="97">
        <f>IF(DAY(Avr_Dim1)=1,IF(AND(YEAR(Avr_Dim1+12)=Année_Calendaire,MONTH(Avr_Dim1+12)=4),Avr_Dim1+12,""),IF(AND(YEAR(Avr_Dim1+19)=Année_Calendaire,MONTH(Avr_Dim1+19)=4),Avr_Dim1+19,""))</f>
        <v>42839</v>
      </c>
      <c r="Z60" s="97">
        <f>IF(DAY(Avr_Dim1)=1,IF(AND(YEAR(Avr_Dim1+13)=Année_Calendaire,MONTH(Avr_Dim1+13)=4),Avr_Dim1+13,""),IF(AND(YEAR(Avr_Dim1+20)=Année_Calendaire,MONTH(Avr_Dim1+20)=4),Avr_Dim1+20,""))</f>
        <v>42840</v>
      </c>
      <c r="AA60" s="97">
        <f>IF(DAY(Avr_Dim1)=1,IF(AND(YEAR(Avr_Dim1+14)=Année_Calendaire,MONTH(Avr_Dim1+14)=4),Avr_Dim1+14,""),IF(AND(YEAR(Avr_Dim1+21)=Année_Calendaire,MONTH(Avr_Dim1+21)=4),Avr_Dim1+21,""))</f>
        <v>42841</v>
      </c>
      <c r="AB60" s="71"/>
      <c r="AC60" s="54"/>
      <c r="AD60" s="97">
        <f>IF(DAY(Avr_Dim1)=1,IF(AND(YEAR(Avr_Dim1+15)=Année_Calendaire,MONTH(Avr_Dim1+15)=4),Avr_Dim1+15,""),IF(AND(YEAR(Avr_Dim1+22)=Année_Calendaire,MONTH(Avr_Dim1+22)=4),Avr_Dim1+22,""))</f>
        <v>42842</v>
      </c>
      <c r="AE60" s="97">
        <f>IF(DAY(Avr_Dim1)=1,IF(AND(YEAR(Avr_Dim1+16)=Année_Calendaire,MONTH(Avr_Dim1+16)=4),Avr_Dim1+16,""),IF(AND(YEAR(Avr_Dim1+23)=Année_Calendaire,MONTH(Avr_Dim1+23)=4),Avr_Dim1+23,""))</f>
        <v>42843</v>
      </c>
      <c r="AF60" s="97">
        <f>IF(DAY(Avr_Dim1)=1,IF(AND(YEAR(Avr_Dim1+17)=Année_Calendaire,MONTH(Avr_Dim1+17)=4),Avr_Dim1+17,""),IF(AND(YEAR(Avr_Dim1+24)=Année_Calendaire,MONTH(Avr_Dim1+24)=4),Avr_Dim1+24,""))</f>
        <v>42844</v>
      </c>
      <c r="AG60" s="97">
        <f>IF(DAY(Avr_Dim1)=1,IF(AND(YEAR(Avr_Dim1+18)=Année_Calendaire,MONTH(Avr_Dim1+18)=4),Avr_Dim1+18,""),IF(AND(YEAR(Avr_Dim1+25)=Année_Calendaire,MONTH(Avr_Dim1+25)=4),Avr_Dim1+25,""))</f>
        <v>42845</v>
      </c>
      <c r="AH60" s="97">
        <f>IF(DAY(Avr_Dim1)=1,IF(AND(YEAR(Avr_Dim1+19)=Année_Calendaire,MONTH(Avr_Dim1+19)=4),Avr_Dim1+19,""),IF(AND(YEAR(Avr_Dim1+26)=Année_Calendaire,MONTH(Avr_Dim1+26)=4),Avr_Dim1+26,""))</f>
        <v>42846</v>
      </c>
      <c r="AI60" s="97">
        <f>IF(DAY(Avr_Dim1)=1,IF(AND(YEAR(Avr_Dim1+20)=Année_Calendaire,MONTH(Avr_Dim1+20)=4),Avr_Dim1+20,""),IF(AND(YEAR(Avr_Dim1+27)=Année_Calendaire,MONTH(Avr_Dim1+27)=4),Avr_Dim1+27,""))</f>
        <v>42847</v>
      </c>
      <c r="AJ60" s="97">
        <f>IF(DAY(Avr_Dim1)=1,IF(AND(YEAR(Avr_Dim1+21)=Année_Calendaire,MONTH(Avr_Dim1+21)=4),Avr_Dim1+21,""),IF(AND(YEAR(Avr_Dim1+28)=Année_Calendaire,MONTH(Avr_Dim1+28)=4),Avr_Dim1+28,""))</f>
        <v>42848</v>
      </c>
      <c r="AK60" s="71"/>
      <c r="AL60" s="54"/>
      <c r="AM60" s="97">
        <f>IF(DAY(Avr_Dim1)=1,IF(AND(YEAR(Avr_Dim1+22)=Année_Calendaire,MONTH(Avr_Dim1+22)=4),Avr_Dim1+22,""),IF(AND(YEAR(Avr_Dim1+29)=Année_Calendaire,MONTH(Avr_Dim1+29)=4),Avr_Dim1+29,""))</f>
        <v>42849</v>
      </c>
      <c r="AN60" s="97">
        <f>IF(DAY(Avr_Dim1)=1,IF(AND(YEAR(Avr_Dim1+23)=Année_Calendaire,MONTH(Avr_Dim1+23)=4),Avr_Dim1+23,""),IF(AND(YEAR(Avr_Dim1+30)=Année_Calendaire,MONTH(Avr_Dim1+30)=4),Avr_Dim1+30,""))</f>
        <v>42850</v>
      </c>
      <c r="AO60" s="97">
        <f>IF(DAY(Avr_Dim1)=1,IF(AND(YEAR(Avr_Dim1+24)=Année_Calendaire,MONTH(Avr_Dim1+24)=4),Avr_Dim1+24,""),IF(AND(YEAR(Avr_Dim1+31)=Année_Calendaire,MONTH(Avr_Dim1+31)=4),Avr_Dim1+31,""))</f>
        <v>42851</v>
      </c>
      <c r="AP60" s="97">
        <f>IF(DAY(Avr_Dim1)=1,IF(AND(YEAR(Avr_Dim1+25)=Année_Calendaire,MONTH(Avr_Dim1+25)=4),Avr_Dim1+25,""),IF(AND(YEAR(Avr_Dim1+32)=Année_Calendaire,MONTH(Avr_Dim1+32)=4),Avr_Dim1+32,""))</f>
        <v>42852</v>
      </c>
      <c r="AQ60" s="97">
        <f>IF(DAY(Avr_Dim1)=1,IF(AND(YEAR(Avr_Dim1+26)=Année_Calendaire,MONTH(Avr_Dim1+26)=4),Avr_Dim1+26,""),IF(AND(YEAR(Avr_Dim1+33)=Année_Calendaire,MONTH(Avr_Dim1+33)=4),Avr_Dim1+33,""))</f>
        <v>42853</v>
      </c>
      <c r="AR60" s="97">
        <f>IF(DAY(Avr_Dim1)=1,IF(AND(YEAR(Avr_Dim1+27)=Année_Calendaire,MONTH(Avr_Dim1+27)=4),Avr_Dim1+27,""),IF(AND(YEAR(Avr_Dim1+34)=Année_Calendaire,MONTH(Avr_Dim1+34)=4),Avr_Dim1+34,""))</f>
        <v>42854</v>
      </c>
      <c r="AS60" s="97">
        <f>IF(DAY(Avr_Dim1)=1,IF(AND(YEAR(Avr_Dim1+28)=Année_Calendaire,MONTH(Avr_Dim1+28)=4),Avr_Dim1+28,""),IF(AND(YEAR(Avr_Dim1+35)=Année_Calendaire,MONTH(Avr_Dim1+35)=4),Avr_Dim1+35,""))</f>
        <v>42855</v>
      </c>
      <c r="AT60" s="71"/>
      <c r="AU60" s="54"/>
      <c r="AV60" s="54" t="str">
        <f>IF(DAY(Avr_Dim1)=1,IF(AND(YEAR(Avr_Dim1+29)=Année_Calendaire,MONTH(Avr_Dim1+29)=4),Avr_Dim1+29,""),IF(AND(YEAR(Avr_Dim1+36)=Année_Calendaire,MONTH(Avr_Dim1+36)=4),Avr_Dim1+36,""))</f>
        <v/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71"/>
      <c r="AY60" s="71"/>
      <c r="AZ60" s="74"/>
      <c r="BA60" s="74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/>
      </c>
      <c r="H61" s="49">
        <f>IF(H60="","",IFERROR(VLOOKUP(B59,DATA!$A:$H,7,TRUE),0))</f>
        <v>0</v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matin</v>
      </c>
      <c r="M61" s="49" t="str">
        <f>IF(M60="","",IFERROR(VLOOKUP(K59,DATA!$A:$H,3,TRUE),0))</f>
        <v>matin</v>
      </c>
      <c r="N61" s="49" t="str">
        <f>IF(N60="","",IFERROR(VLOOKUP(K59,DATA!$A:$H,4,TRUE),0))</f>
        <v>matin</v>
      </c>
      <c r="O61" s="49">
        <f>IF(O60="","",IFERROR(VLOOKUP(K59,DATA!$A:$H,5,TRUE),0))</f>
        <v>0</v>
      </c>
      <c r="P61" s="49">
        <f>IF(P60="","",IFERROR(VLOOKUP(K59,DATA!$A:$H,6,TRUE),0))</f>
        <v>0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nuit</v>
      </c>
      <c r="V61" s="49" t="str">
        <f>IF(V60="","",IFERROR(VLOOKUP(T59,DATA!$A:$H,3,TRUE),0))</f>
        <v>nuit</v>
      </c>
      <c r="W61" s="49" t="str">
        <f>IF(W60="","",IFERROR(VLOOKUP(T59,DATA!$A:$H,4,TRUE),0))</f>
        <v>nuit</v>
      </c>
      <c r="X61" s="49" t="str">
        <f>IF(X60="","",IFERROR(VLOOKUP(T59,DATA!$A:$H,5,TRUE),0))</f>
        <v>nuit</v>
      </c>
      <c r="Y61" s="49" t="str">
        <f>IF(Y60="","",IFERROR(VLOOKUP(T59,DATA!$A:$H,6,TRUE),0))</f>
        <v>nuit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matin</v>
      </c>
      <c r="AE61" s="49">
        <f>IF(AE60="","",IFERROR(VLOOKUP(AC59,DATA!$A:$H,3,TRUE),0))</f>
        <v>0</v>
      </c>
      <c r="AF61" s="49">
        <f>IF(AF60="","",IFERROR(VLOOKUP(AC59,DATA!$A:$H,4,TRUE),0))</f>
        <v>0</v>
      </c>
      <c r="AG61" s="49" t="str">
        <f>IF(AG60="","",IFERROR(VLOOKUP(AC59,DATA!$A:$H,5,TRUE),0))</f>
        <v>matin</v>
      </c>
      <c r="AH61" s="49" t="str">
        <f>IF(AH60="","",IFERROR(VLOOKUP(AC59,DATA!$A:$H,6,TRUE),0))</f>
        <v>matin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am</v>
      </c>
      <c r="AN61" s="49" t="str">
        <f>IF(AN60="","",IFERROR(VLOOKUP(AL59,DATA!$A:$H,3,TRUE),0))</f>
        <v>am</v>
      </c>
      <c r="AO61" s="49" t="str">
        <f>IF(AO60="","",IFERROR(VLOOKUP(AL59,DATA!$A:$H,4,TRUE),0))</f>
        <v>am</v>
      </c>
      <c r="AP61" s="49" t="str">
        <f>IF(AP60="","",IFERROR(VLOOKUP(AL59,DATA!$A:$H,5,TRUE),0))</f>
        <v>am</v>
      </c>
      <c r="AQ61" s="49" t="str">
        <f>IF(AQ60="","",IFERROR(VLOOKUP(AL59,DATA!$A:$H,6,TRUE),0))</f>
        <v>am</v>
      </c>
      <c r="AR61" s="49">
        <f>IF(AR60="","",IFERROR(VLOOKUP(AL59,DATA!$A:$H,7,TRUE),0))</f>
        <v>0</v>
      </c>
      <c r="AS61" s="49">
        <f>IF(AS60="","",IFERROR(VLOOKUP(AL59,DATA!$A:$H,8,TRUE),0))</f>
        <v>0</v>
      </c>
      <c r="AT61" s="52"/>
      <c r="AU61" s="48"/>
      <c r="AV61" s="49" t="str">
        <f>IF(AV60="","",IFERROR(VLOOKUP(AU59,DATA!$A:$H,2,TRUE),0))</f>
        <v/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0</v>
      </c>
      <c r="H62" s="52">
        <f t="shared" si="158"/>
        <v>0</v>
      </c>
      <c r="I62" s="52">
        <f t="shared" si="158"/>
        <v>0</v>
      </c>
      <c r="J62" s="52">
        <f>SUM(C62:I62)</f>
        <v>0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0</v>
      </c>
      <c r="P62" s="52">
        <f t="shared" si="159"/>
        <v>0</v>
      </c>
      <c r="Q62" s="52">
        <f t="shared" si="159"/>
        <v>0</v>
      </c>
      <c r="R62" s="52">
        <f t="shared" si="159"/>
        <v>0</v>
      </c>
      <c r="S62" s="52">
        <f>SUM(L62:R62)</f>
        <v>3</v>
      </c>
      <c r="T62" s="51"/>
      <c r="U62" s="52">
        <f t="shared" ref="U62:AA62" si="160">IF(U61="Matin",1,IF(U61="AM",1,0))</f>
        <v>0</v>
      </c>
      <c r="V62" s="52">
        <f t="shared" si="160"/>
        <v>0</v>
      </c>
      <c r="W62" s="52">
        <f t="shared" si="160"/>
        <v>0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0</v>
      </c>
      <c r="AC62" s="51"/>
      <c r="AD62" s="52">
        <f t="shared" ref="AD62:AJ62" si="161">IF(AD61="Matin",1,IF(AD61="AM",1,0))</f>
        <v>1</v>
      </c>
      <c r="AE62" s="52">
        <f t="shared" si="161"/>
        <v>0</v>
      </c>
      <c r="AF62" s="52">
        <f t="shared" si="161"/>
        <v>0</v>
      </c>
      <c r="AG62" s="52">
        <f t="shared" si="161"/>
        <v>1</v>
      </c>
      <c r="AH62" s="52">
        <f t="shared" si="161"/>
        <v>1</v>
      </c>
      <c r="AI62" s="52">
        <f t="shared" si="161"/>
        <v>0</v>
      </c>
      <c r="AJ62" s="52">
        <f t="shared" si="161"/>
        <v>0</v>
      </c>
      <c r="AK62" s="52">
        <f>SUM(AD62:AJ62)</f>
        <v>3</v>
      </c>
      <c r="AL62" s="51"/>
      <c r="AM62" s="52">
        <f t="shared" ref="AM62:AS62" si="162">IF(AM61="Matin",1,IF(AM61="AM",1,0))</f>
        <v>1</v>
      </c>
      <c r="AN62" s="52">
        <f t="shared" si="162"/>
        <v>1</v>
      </c>
      <c r="AO62" s="52">
        <f t="shared" si="162"/>
        <v>1</v>
      </c>
      <c r="AP62" s="52">
        <f t="shared" si="162"/>
        <v>1</v>
      </c>
      <c r="AQ62" s="52">
        <f t="shared" si="162"/>
        <v>1</v>
      </c>
      <c r="AR62" s="52">
        <f t="shared" si="162"/>
        <v>0</v>
      </c>
      <c r="AS62" s="52">
        <f t="shared" si="162"/>
        <v>0</v>
      </c>
      <c r="AT62" s="52">
        <f>SUM(AM62:AS62)</f>
        <v>5</v>
      </c>
      <c r="AU62" s="51"/>
      <c r="AV62" s="52">
        <f t="shared" ref="AV62:AW62" si="163">IF(AV61="Matin",1,IF(AV61="AM",1,0))</f>
        <v>0</v>
      </c>
      <c r="AW62" s="52">
        <f t="shared" si="163"/>
        <v>0</v>
      </c>
      <c r="AX62" s="52">
        <f t="shared" ref="AX62:AX69" si="164">SUM(AV62:AW62)</f>
        <v>0</v>
      </c>
      <c r="AY62" s="52">
        <f>J62+S62+AB62+AK62+AT62+AX62</f>
        <v>11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0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0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0</v>
      </c>
      <c r="P63" s="49">
        <f t="shared" si="167"/>
        <v>0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3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1</v>
      </c>
      <c r="Y63" s="49">
        <f t="shared" si="169"/>
        <v>1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5</v>
      </c>
      <c r="AC63" s="48"/>
      <c r="AD63" s="49">
        <f>IF(AD64&gt;=1,1,0)</f>
        <v>1</v>
      </c>
      <c r="AE63" s="49">
        <f t="shared" ref="AE63:AJ63" si="171">IF(AE64&gt;=1,1,0)</f>
        <v>0</v>
      </c>
      <c r="AF63" s="49">
        <f t="shared" si="171"/>
        <v>0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3</v>
      </c>
      <c r="AL63" s="48"/>
      <c r="AM63" s="49">
        <f>IF(AM64&gt;=1,1,0)</f>
        <v>1</v>
      </c>
      <c r="AN63" s="49">
        <f t="shared" ref="AN63:AS63" si="173">IF(AN64&gt;=1,1,0)</f>
        <v>1</v>
      </c>
      <c r="AO63" s="49">
        <f t="shared" si="173"/>
        <v>1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5</v>
      </c>
      <c r="AU63" s="48"/>
      <c r="AV63" s="49">
        <f>IF(AV64&gt;=1,1,0)</f>
        <v>0</v>
      </c>
      <c r="AW63" s="49">
        <f t="shared" ref="AW63" si="175">IF(AW64&gt;=1,1,0)</f>
        <v>0</v>
      </c>
      <c r="AX63" s="52">
        <f t="shared" si="164"/>
        <v>0</v>
      </c>
      <c r="AY63" s="49">
        <f t="shared" ref="AY63:AY72" si="176">J63+S63+AB63+AK63+AT63+AX63</f>
        <v>16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0</v>
      </c>
      <c r="H64" s="52">
        <f t="shared" si="177"/>
        <v>0</v>
      </c>
      <c r="I64" s="52">
        <f t="shared" si="177"/>
        <v>0</v>
      </c>
      <c r="J64" s="52">
        <f t="shared" si="166"/>
        <v>0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0</v>
      </c>
      <c r="P64" s="52">
        <f t="shared" si="178"/>
        <v>0</v>
      </c>
      <c r="Q64" s="52">
        <f t="shared" si="178"/>
        <v>0</v>
      </c>
      <c r="R64" s="52">
        <f t="shared" si="178"/>
        <v>0</v>
      </c>
      <c r="S64" s="52">
        <f t="shared" si="168"/>
        <v>24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8</v>
      </c>
      <c r="Y64" s="52">
        <f t="shared" si="179"/>
        <v>8</v>
      </c>
      <c r="Z64" s="52">
        <f t="shared" si="179"/>
        <v>0</v>
      </c>
      <c r="AA64" s="52">
        <f t="shared" si="179"/>
        <v>0</v>
      </c>
      <c r="AB64" s="52">
        <f t="shared" si="170"/>
        <v>40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0</v>
      </c>
      <c r="AF64" s="52">
        <f t="shared" si="180"/>
        <v>0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24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8</v>
      </c>
      <c r="AO64" s="52">
        <f t="shared" si="181"/>
        <v>8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40</v>
      </c>
      <c r="AU64" s="51"/>
      <c r="AV64" s="52">
        <f>IF(AV61="Matin",8,IF(AV61="AM",8,IF(AV61="nuit",8,0)))</f>
        <v>0</v>
      </c>
      <c r="AW64" s="52">
        <f t="shared" ref="AW64" si="182">IF(AW61="Matin",8,IF(AW61="AM",8,IF(AW61="nuit",8,0)))</f>
        <v>0</v>
      </c>
      <c r="AX64" s="52">
        <f t="shared" si="164"/>
        <v>0</v>
      </c>
      <c r="AY64" s="52">
        <f t="shared" si="176"/>
        <v>128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20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44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0.16</v>
      </c>
      <c r="V73" s="49">
        <f>IF(V61="nuit",V64*0.02,0)</f>
        <v>0.16</v>
      </c>
      <c r="W73" s="49">
        <f t="shared" ref="W73:AA73" si="192">IF(W61="nuit",W64*0.02,0)</f>
        <v>0.16</v>
      </c>
      <c r="X73" s="49">
        <f t="shared" si="192"/>
        <v>0.16</v>
      </c>
      <c r="Y73" s="49">
        <f>IF(Y61="nuit",Y64*0.02,0)</f>
        <v>0.16</v>
      </c>
      <c r="Z73" s="49">
        <f t="shared" si="192"/>
        <v>0</v>
      </c>
      <c r="AA73" s="49">
        <f t="shared" si="192"/>
        <v>0</v>
      </c>
      <c r="AB73" s="52">
        <f t="shared" si="170"/>
        <v>0.8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3">IF(AF61="nuit",AF64*0.02,0)</f>
        <v>0</v>
      </c>
      <c r="AG73" s="49">
        <f t="shared" si="193"/>
        <v>0</v>
      </c>
      <c r="AH73" s="49">
        <f>IF(AH61="nuit",AH64*0.02,0)</f>
        <v>0</v>
      </c>
      <c r="AI73" s="49">
        <f t="shared" si="193"/>
        <v>0</v>
      </c>
      <c r="AJ73" s="49">
        <f t="shared" si="193"/>
        <v>0</v>
      </c>
      <c r="AK73" s="52">
        <f t="shared" si="172"/>
        <v>0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31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75" thickBot="1">
      <c r="A76" s="16"/>
      <c r="B76" s="16"/>
      <c r="C76" s="19" t="s">
        <v>23</v>
      </c>
      <c r="D76" s="19"/>
      <c r="E76" s="19"/>
      <c r="F76" s="19"/>
      <c r="G76" s="19"/>
      <c r="H76" s="72">
        <f>Année_Calendaire</f>
        <v>2017</v>
      </c>
      <c r="I76" s="72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23</v>
      </c>
      <c r="V76" s="19"/>
      <c r="W76" s="19"/>
      <c r="X76" s="19"/>
      <c r="Y76" s="19"/>
      <c r="Z76" s="72">
        <f>Année_Calendaire</f>
        <v>2017</v>
      </c>
      <c r="AA76" s="72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23</v>
      </c>
      <c r="AN76" s="19"/>
      <c r="AO76" s="19"/>
      <c r="AP76" s="19"/>
      <c r="AQ76" s="19"/>
      <c r="AR76" s="72">
        <f>Année_Calendaire</f>
        <v>2017</v>
      </c>
      <c r="AS76" s="72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thickTop="1" thickBot="1">
      <c r="A77" s="63"/>
      <c r="B77" s="55" t="str">
        <f>IF(AU59&lt;&gt;"",AU59,IF(AL59="C1","C2",IF(AL59="C2","C3",IF(AL59="C3","C4",IF(AL59="C4","C1","")))))</f>
        <v>C1</v>
      </c>
      <c r="C77" s="99" t="s">
        <v>13</v>
      </c>
      <c r="D77" s="99" t="s">
        <v>14</v>
      </c>
      <c r="E77" s="99" t="s">
        <v>15</v>
      </c>
      <c r="F77" s="99" t="s">
        <v>16</v>
      </c>
      <c r="G77" s="99" t="s">
        <v>17</v>
      </c>
      <c r="H77" s="99" t="s">
        <v>18</v>
      </c>
      <c r="I77" s="99" t="s">
        <v>19</v>
      </c>
      <c r="J77" s="71" t="s">
        <v>32</v>
      </c>
      <c r="K77" s="55" t="str">
        <f>IF(B77="C1","C2",IF(B77="C2","C3",IF(B77="C3","C4",IF(B77="C4","C1",""))))</f>
        <v>C2</v>
      </c>
      <c r="L77" s="99" t="str">
        <f>IF(L78&lt;&gt;"","Lun","")</f>
        <v>Lun</v>
      </c>
      <c r="M77" s="99" t="str">
        <f>IF(M78&lt;&gt;"","Mar","")</f>
        <v>Mar</v>
      </c>
      <c r="N77" s="98" t="str">
        <f>IF(N78&lt;&gt;"","Mer","")</f>
        <v>Mer</v>
      </c>
      <c r="O77" s="98" t="str">
        <f>IF(O78&lt;&gt;"","Jeu","")</f>
        <v>Jeu</v>
      </c>
      <c r="P77" s="98" t="str">
        <f>IF(P78&lt;&gt;"","Ven","")</f>
        <v>Ven</v>
      </c>
      <c r="Q77" s="98" t="str">
        <f>IF(Q78&lt;&gt;"","Sam","")</f>
        <v>Sam</v>
      </c>
      <c r="R77" s="98" t="str">
        <f>IF(R78&lt;&gt;"","Dim","")</f>
        <v>Dim</v>
      </c>
      <c r="S77" s="71" t="s">
        <v>32</v>
      </c>
      <c r="T77" s="55" t="str">
        <f>IF(K77="C1","C2",IF(K77="C2","C3",IF(K77="C3","C4",IF(K77="C4","C1",""))))</f>
        <v>C3</v>
      </c>
      <c r="U77" s="98" t="str">
        <f>IF(U78&lt;&gt;"","Lun","")</f>
        <v>Lun</v>
      </c>
      <c r="V77" s="98" t="str">
        <f>IF(V78&lt;&gt;"","Mar","")</f>
        <v>Mar</v>
      </c>
      <c r="W77" s="98" t="str">
        <f>IF(W78&lt;&gt;"","Mer","")</f>
        <v>Mer</v>
      </c>
      <c r="X77" s="98" t="str">
        <f>IF(X78&lt;&gt;"","Jeu","")</f>
        <v>Jeu</v>
      </c>
      <c r="Y77" s="98" t="str">
        <f>IF(Y78&lt;&gt;"","Ven","")</f>
        <v>Ven</v>
      </c>
      <c r="Z77" s="98" t="str">
        <f>IF(Z78&lt;&gt;"","Sam","")</f>
        <v>Sam</v>
      </c>
      <c r="AA77" s="98" t="str">
        <f>IF(AA78&lt;&gt;"","Dim","")</f>
        <v>Dim</v>
      </c>
      <c r="AB77" s="71" t="s">
        <v>32</v>
      </c>
      <c r="AC77" s="55" t="str">
        <f>IF(T77="C1","C2",IF(T77="C2","C3",IF(T77="C3","C4",IF(T77="C4","C1",""))))</f>
        <v>C4</v>
      </c>
      <c r="AD77" s="98" t="str">
        <f>IF(AD78&lt;&gt;"","Lun","")</f>
        <v>Lun</v>
      </c>
      <c r="AE77" s="98" t="str">
        <f>IF(AE78&lt;&gt;"","Mar","")</f>
        <v>Mar</v>
      </c>
      <c r="AF77" s="98" t="str">
        <f>IF(AF78&lt;&gt;"","Mer","")</f>
        <v>Mer</v>
      </c>
      <c r="AG77" s="98" t="str">
        <f>IF(AG78&lt;&gt;"","Jeu","")</f>
        <v>Jeu</v>
      </c>
      <c r="AH77" s="98" t="str">
        <f>IF(AH78&lt;&gt;"","Ven","")</f>
        <v>Ven</v>
      </c>
      <c r="AI77" s="98" t="str">
        <f>IF(AI78&lt;&gt;"","Sam","")</f>
        <v>Sam</v>
      </c>
      <c r="AJ77" s="98" t="str">
        <f>IF(AJ78&lt;&gt;"","Dim","")</f>
        <v>Dim</v>
      </c>
      <c r="AK77" s="71" t="s">
        <v>32</v>
      </c>
      <c r="AL77" s="55" t="str">
        <f>IF(AC77="C1","C2",IF(AC77="C2","C3",IF(AC77="C3","C4",IF(AC77="C4","C1",""))))</f>
        <v>C1</v>
      </c>
      <c r="AM77" s="98" t="str">
        <f>IF(AM78&lt;&gt;"","Lun","")</f>
        <v>Lun</v>
      </c>
      <c r="AN77" s="98" t="str">
        <f>IF(AN78&lt;&gt;"","Mar","")</f>
        <v>Mar</v>
      </c>
      <c r="AO77" s="98" t="str">
        <f>IF(AO78&lt;&gt;"","Mer","")</f>
        <v>Mer</v>
      </c>
      <c r="AP77" s="98" t="str">
        <f>IF(AP78&lt;&gt;"","Jeu","")</f>
        <v/>
      </c>
      <c r="AQ77" s="98" t="str">
        <f>IF(AQ78&lt;&gt;"","Ven","")</f>
        <v/>
      </c>
      <c r="AR77" s="98" t="str">
        <f>IF(AR78&lt;&gt;"","Sam","")</f>
        <v/>
      </c>
      <c r="AS77" s="98" t="str">
        <f>IF(AS78&lt;&gt;"","Dim","")</f>
        <v/>
      </c>
      <c r="AT77" s="71" t="s">
        <v>32</v>
      </c>
      <c r="AU77" s="55" t="str">
        <f>IF(AV77&lt;&gt;"",IF(AL77="C1","C2",IF(AL77="C2","C3",IF(AL77="C3","C4",IF(AL77="C4","C1","")))),"")</f>
        <v/>
      </c>
      <c r="AV77" s="53" t="str">
        <f>IF(AV78&lt;&gt;"","Lun","")</f>
        <v/>
      </c>
      <c r="AW77" s="53" t="str">
        <f>IF(AW78&lt;&gt;"","Mar","")</f>
        <v/>
      </c>
      <c r="AX77" s="71" t="s">
        <v>32</v>
      </c>
      <c r="AY77" s="71" t="s">
        <v>35</v>
      </c>
      <c r="AZ77" s="74">
        <f>AY84+AY85+AY86</f>
        <v>10</v>
      </c>
      <c r="BA77" s="74">
        <f>AZ77+BA59</f>
        <v>40</v>
      </c>
      <c r="BB77" s="39"/>
      <c r="BC77" s="39"/>
      <c r="BD77" s="39"/>
      <c r="BE77" s="39"/>
      <c r="BF77" s="34"/>
    </row>
    <row r="78" spans="1:59" s="25" customFormat="1" ht="15" customHeight="1" thickTop="1">
      <c r="A78" s="10"/>
      <c r="B78" s="54"/>
      <c r="C78" s="97">
        <f>IF(DAY(Mai_Dim1)=1,"",IF(AND(YEAR(Mai_Dim1+1)=Année_Calendaire,MONTH(Mai_Dim1+1)=5),Mai_Dim1+1,""))</f>
        <v>42856</v>
      </c>
      <c r="D78" s="97">
        <f>IF(DAY(Mai_Dim1)=1,"",IF(AND(YEAR(Mai_Dim1+2)=Année_Calendaire,MONTH(Mai_Dim1+2)=5),Mai_Dim1+2,""))</f>
        <v>42857</v>
      </c>
      <c r="E78" s="97">
        <f>IF(DAY(Mai_Dim1)=1,"",IF(AND(YEAR(Mai_Dim1+3)=Année_Calendaire,MONTH(Mai_Dim1+3)=5),Mai_Dim1+3,""))</f>
        <v>42858</v>
      </c>
      <c r="F78" s="97">
        <f>IF(DAY(Mai_Dim1)=1,"",IF(AND(YEAR(Mai_Dim1+4)=Année_Calendaire,MONTH(Mai_Dim1+4)=5),Mai_Dim1+4,""))</f>
        <v>42859</v>
      </c>
      <c r="G78" s="97">
        <f>IF(DAY(Mai_Dim1)=1,"",IF(AND(YEAR(Mai_Dim1+5)=Année_Calendaire,MONTH(Mai_Dim1+5)=5),Mai_Dim1+5,""))</f>
        <v>42860</v>
      </c>
      <c r="H78" s="97">
        <f>IF(DAY(Mai_Dim1)=1,"",IF(AND(YEAR(Mai_Dim1+6)=Année_Calendaire,MONTH(Mai_Dim1+6)=5),Mai_Dim1+6,""))</f>
        <v>42861</v>
      </c>
      <c r="I78" s="97">
        <f>IF(DAY(Mai_Dim1)=1,IF(AND(YEAR(Mai_Dim1)=Année_Calendaire,MONTH(Mai_Dim1)=5),Mai_Dim1,""),IF(AND(YEAR(Mai_Dim1+7)=Année_Calendaire,MONTH(Mai_Dim1+7)=5),Mai_Dim1+7,""))</f>
        <v>42862</v>
      </c>
      <c r="J78" s="71"/>
      <c r="K78" s="54"/>
      <c r="L78" s="97">
        <f>IF(DAY(Mai_Dim1)=1,IF(AND(YEAR(Mai_Dim1+1)=Année_Calendaire,MONTH(Mai_Dim1+1)=5),Mai_Dim1+1,""),IF(AND(YEAR(Mai_Dim1+8)=Année_Calendaire,MONTH(Mai_Dim1+8)=5),Mai_Dim1+8,""))</f>
        <v>42863</v>
      </c>
      <c r="M78" s="97">
        <f>IF(DAY(Mai_Dim1)=1,IF(AND(YEAR(Mai_Dim1+2)=Année_Calendaire,MONTH(Mai_Dim1+2)=5),Mai_Dim1+2,""),IF(AND(YEAR(Mai_Dim1+9)=Année_Calendaire,MONTH(Mai_Dim1+9)=5),Mai_Dim1+9,""))</f>
        <v>42864</v>
      </c>
      <c r="N78" s="97">
        <f>IF(DAY(Mai_Dim1)=1,IF(AND(YEAR(Mai_Dim1+3)=Année_Calendaire,MONTH(Mai_Dim1+3)=5),Mai_Dim1+3,""),IF(AND(YEAR(Mai_Dim1+10)=Année_Calendaire,MONTH(Mai_Dim1+10)=5),Mai_Dim1+10,""))</f>
        <v>42865</v>
      </c>
      <c r="O78" s="97">
        <f>IF(DAY(Mai_Dim1)=1,IF(AND(YEAR(Mai_Dim1+4)=Année_Calendaire,MONTH(Mai_Dim1+4)=5),Mai_Dim1+4,""),IF(AND(YEAR(Mai_Dim1+11)=Année_Calendaire,MONTH(Mai_Dim1+11)=5),Mai_Dim1+11,""))</f>
        <v>42866</v>
      </c>
      <c r="P78" s="97">
        <f>IF(DAY(Mai_Dim1)=1,IF(AND(YEAR(Mai_Dim1+5)=Année_Calendaire,MONTH(Mai_Dim1+5)=5),Mai_Dim1+5,""),IF(AND(YEAR(Mai_Dim1+12)=Année_Calendaire,MONTH(Mai_Dim1+12)=5),Mai_Dim1+12,""))</f>
        <v>42867</v>
      </c>
      <c r="Q78" s="97">
        <f>IF(DAY(Mai_Dim1)=1,IF(AND(YEAR(Mai_Dim1+6)=Année_Calendaire,MONTH(Mai_Dim1+6)=5),Mai_Dim1+6,""),IF(AND(YEAR(Mai_Dim1+13)=Année_Calendaire,MONTH(Mai_Dim1+13)=5),Mai_Dim1+13,""))</f>
        <v>42868</v>
      </c>
      <c r="R78" s="97">
        <f>IF(DAY(Mai_Dim1)=1,IF(AND(YEAR(Mai_Dim1+7)=Année_Calendaire,MONTH(Mai_Dim1+7)=5),Mai_Dim1+7,""),IF(AND(YEAR(Mai_Dim1+14)=Année_Calendaire,MONTH(Mai_Dim1+14)=5),Mai_Dim1+14,""))</f>
        <v>42869</v>
      </c>
      <c r="S78" s="71"/>
      <c r="T78" s="54"/>
      <c r="U78" s="97">
        <f>IF(DAY(Mai_Dim1)=1,IF(AND(YEAR(Mai_Dim1+8)=Année_Calendaire,MONTH(Mai_Dim1+8)=5),Mai_Dim1+8,""),IF(AND(YEAR(Mai_Dim1+15)=Année_Calendaire,MONTH(Mai_Dim1+15)=5),Mai_Dim1+15,""))</f>
        <v>42870</v>
      </c>
      <c r="V78" s="97">
        <f>IF(DAY(Mai_Dim1)=1,IF(AND(YEAR(Mai_Dim1+9)=Année_Calendaire,MONTH(Mai_Dim1+9)=5),Mai_Dim1+9,""),IF(AND(YEAR(Mai_Dim1+16)=Année_Calendaire,MONTH(Mai_Dim1+16)=5),Mai_Dim1+16,""))</f>
        <v>42871</v>
      </c>
      <c r="W78" s="97">
        <f>IF(DAY(Mai_Dim1)=1,IF(AND(YEAR(Mai_Dim1+10)=Année_Calendaire,MONTH(Mai_Dim1+10)=5),Mai_Dim1+10,""),IF(AND(YEAR(Mai_Dim1+17)=Année_Calendaire,MONTH(Mai_Dim1+17)=5),Mai_Dim1+17,""))</f>
        <v>42872</v>
      </c>
      <c r="X78" s="97">
        <f>IF(DAY(Mai_Dim1)=1,IF(AND(YEAR(Mai_Dim1+11)=Année_Calendaire,MONTH(Mai_Dim1+11)=5),Mai_Dim1+11,""),IF(AND(YEAR(Mai_Dim1+18)=Année_Calendaire,MONTH(Mai_Dim1+18)=5),Mai_Dim1+18,""))</f>
        <v>42873</v>
      </c>
      <c r="Y78" s="97">
        <f>IF(DAY(Mai_Dim1)=1,IF(AND(YEAR(Mai_Dim1+12)=Année_Calendaire,MONTH(Mai_Dim1+12)=5),Mai_Dim1+12,""),IF(AND(YEAR(Mai_Dim1+19)=Année_Calendaire,MONTH(Mai_Dim1+19)=5),Mai_Dim1+19,""))</f>
        <v>42874</v>
      </c>
      <c r="Z78" s="97">
        <f>IF(DAY(Mai_Dim1)=1,IF(AND(YEAR(Mai_Dim1+13)=Année_Calendaire,MONTH(Mai_Dim1+13)=5),Mai_Dim1+13,""),IF(AND(YEAR(Mai_Dim1+20)=Année_Calendaire,MONTH(Mai_Dim1+20)=5),Mai_Dim1+20,""))</f>
        <v>42875</v>
      </c>
      <c r="AA78" s="97">
        <f>IF(DAY(Mai_Dim1)=1,IF(AND(YEAR(Mai_Dim1+14)=Année_Calendaire,MONTH(Mai_Dim1+14)=5),Mai_Dim1+14,""),IF(AND(YEAR(Mai_Dim1+21)=Année_Calendaire,MONTH(Mai_Dim1+21)=5),Mai_Dim1+21,""))</f>
        <v>42876</v>
      </c>
      <c r="AB78" s="71"/>
      <c r="AC78" s="54"/>
      <c r="AD78" s="97">
        <f>IF(DAY(Mai_Dim1)=1,IF(AND(YEAR(Mai_Dim1+15)=Année_Calendaire,MONTH(Mai_Dim1+15)=5),Mai_Dim1+15,""),IF(AND(YEAR(Mai_Dim1+22)=Année_Calendaire,MONTH(Mai_Dim1+22)=5),Mai_Dim1+22,""))</f>
        <v>42877</v>
      </c>
      <c r="AE78" s="97">
        <f>IF(DAY(Mai_Dim1)=1,IF(AND(YEAR(Mai_Dim1+16)=Année_Calendaire,MONTH(Mai_Dim1+16)=5),Mai_Dim1+16,""),IF(AND(YEAR(Mai_Dim1+23)=Année_Calendaire,MONTH(Mai_Dim1+23)=5),Mai_Dim1+23,""))</f>
        <v>42878</v>
      </c>
      <c r="AF78" s="97">
        <f>IF(DAY(Mai_Dim1)=1,IF(AND(YEAR(Mai_Dim1+17)=Année_Calendaire,MONTH(Mai_Dim1+17)=5),Mai_Dim1+17,""),IF(AND(YEAR(Mai_Dim1+24)=Année_Calendaire,MONTH(Mai_Dim1+24)=5),Mai_Dim1+24,""))</f>
        <v>42879</v>
      </c>
      <c r="AG78" s="97">
        <f>IF(DAY(Mai_Dim1)=1,IF(AND(YEAR(Mai_Dim1+18)=Année_Calendaire,MONTH(Mai_Dim1+18)=5),Mai_Dim1+18,""),IF(AND(YEAR(Mai_Dim1+25)=Année_Calendaire,MONTH(Mai_Dim1+25)=5),Mai_Dim1+25,""))</f>
        <v>42880</v>
      </c>
      <c r="AH78" s="97">
        <f>IF(DAY(Mai_Dim1)=1,IF(AND(YEAR(Mai_Dim1+19)=Année_Calendaire,MONTH(Mai_Dim1+19)=5),Mai_Dim1+19,""),IF(AND(YEAR(Mai_Dim1+26)=Année_Calendaire,MONTH(Mai_Dim1+26)=5),Mai_Dim1+26,""))</f>
        <v>42881</v>
      </c>
      <c r="AI78" s="97">
        <f>IF(DAY(Mai_Dim1)=1,IF(AND(YEAR(Mai_Dim1+20)=Année_Calendaire,MONTH(Mai_Dim1+20)=5),Mai_Dim1+20,""),IF(AND(YEAR(Mai_Dim1+27)=Année_Calendaire,MONTH(Mai_Dim1+27)=5),Mai_Dim1+27,""))</f>
        <v>42882</v>
      </c>
      <c r="AJ78" s="97">
        <f>IF(DAY(Mai_Dim1)=1,IF(AND(YEAR(Mai_Dim1+21)=Année_Calendaire,MONTH(Mai_Dim1+21)=5),Mai_Dim1+21,""),IF(AND(YEAR(Mai_Dim1+28)=Année_Calendaire,MONTH(Mai_Dim1+28)=5),Mai_Dim1+28,""))</f>
        <v>42883</v>
      </c>
      <c r="AK78" s="71"/>
      <c r="AL78" s="54"/>
      <c r="AM78" s="97">
        <f>IF(DAY(Mai_Dim1)=1,IF(AND(YEAR(Mai_Dim1+22)=Année_Calendaire,MONTH(Mai_Dim1+22)=5),Mai_Dim1+22,""),IF(AND(YEAR(Mai_Dim1+29)=Année_Calendaire,MONTH(Mai_Dim1+29)=5),Mai_Dim1+29,""))</f>
        <v>42884</v>
      </c>
      <c r="AN78" s="97">
        <f>IF(DAY(Mai_Dim1)=1,IF(AND(YEAR(Mai_Dim1+23)=Année_Calendaire,MONTH(Mai_Dim1+23)=5),Mai_Dim1+23,""),IF(AND(YEAR(Mai_Dim1+30)=Année_Calendaire,MONTH(Mai_Dim1+30)=5),Mai_Dim1+30,""))</f>
        <v>42885</v>
      </c>
      <c r="AO78" s="97">
        <f>IF(DAY(Mai_Dim1)=1,IF(AND(YEAR(Mai_Dim1+24)=Année_Calendaire,MONTH(Mai_Dim1+24)=5),Mai_Dim1+24,""),IF(AND(YEAR(Mai_Dim1+31)=Année_Calendaire,MONTH(Mai_Dim1+31)=5),Mai_Dim1+31,""))</f>
        <v>42886</v>
      </c>
      <c r="AP78" s="97" t="str">
        <f>IF(DAY(Mai_Dim1)=1,IF(AND(YEAR(Mai_Dim1+25)=Année_Calendaire,MONTH(Mai_Dim1+25)=5),Mai_Dim1+25,""),IF(AND(YEAR(Mai_Dim1+32)=Année_Calendaire,MONTH(Mai_Dim1+32)=5),Mai_Dim1+32,""))</f>
        <v/>
      </c>
      <c r="AQ78" s="97" t="str">
        <f>IF(DAY(Mai_Dim1)=1,IF(AND(YEAR(Mai_Dim1+26)=Année_Calendaire,MONTH(Mai_Dim1+26)=5),Mai_Dim1+26,""),IF(AND(YEAR(Mai_Dim1+33)=Année_Calendaire,MONTH(Mai_Dim1+33)=5),Mai_Dim1+33,""))</f>
        <v/>
      </c>
      <c r="AR78" s="97" t="str">
        <f>IF(DAY(Mai_Dim1)=1,IF(AND(YEAR(Mai_Dim1+27)=Année_Calendaire,MONTH(Mai_Dim1+27)=5),Mai_Dim1+27,""),IF(AND(YEAR(Mai_Dim1+34)=Année_Calendaire,MONTH(Mai_Dim1+34)=5),Mai_Dim1+34,""))</f>
        <v/>
      </c>
      <c r="AS78" s="97" t="str">
        <f>IF(DAY(Mai_Dim1)=1,IF(AND(YEAR(Mai_Dim1+28)=Année_Calendaire,MONTH(Mai_Dim1+28)=5),Mai_Dim1+28,""),IF(AND(YEAR(Mai_Dim1+35)=Année_Calendaire,MONTH(Mai_Dim1+35)=5),Mai_Dim1+35,""))</f>
        <v/>
      </c>
      <c r="AT78" s="71"/>
      <c r="AU78" s="54"/>
      <c r="AV78" s="54" t="str">
        <f>IF(DAY(Mai_Dim1)=1,IF(AND(YEAR(Mai_Dim1+29)=Année_Calendaire,MONTH(Mai_Dim1+29)=5),Mai_Dim1+29,""),IF(AND(YEAR(Mai_Dim1+36)=Année_Calendaire,MONTH(Mai_Dim1+36)=5),Mai_Dim1+36,""))</f>
        <v/>
      </c>
      <c r="AW78" s="54" t="str">
        <f>IF(DAY(Mai_Dim1)=1,IF(AND(YEAR(Mai_Dim1+30)=Année_Calendaire,MONTH(Mai_Dim1+30)=5),Mai_Dim1+30,""),IF(AND(YEAR(Mai_Dim1+37)=Année_Calendaire,MONTH(Mai_Dim1+37)=5),Mai_Dim1+37,""))</f>
        <v/>
      </c>
      <c r="AX78" s="71"/>
      <c r="AY78" s="71"/>
      <c r="AZ78" s="74"/>
      <c r="BA78" s="74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IF(C78="","",IFERROR(VLOOKUP(B77,DATA!$A:$H,2,TRUE),0))</f>
        <v>matin</v>
      </c>
      <c r="D79" s="49" t="str">
        <f>IF(D78="","",IFERROR(VLOOKUP(B77,DATA!$A:$H,3,TRUE),0))</f>
        <v>matin</v>
      </c>
      <c r="E79" s="49" t="str">
        <f>IF(E78="","",IFERROR(VLOOKUP(B77,DATA!$A:$H,4,TRUE),0))</f>
        <v>matin</v>
      </c>
      <c r="F79" s="49">
        <f>IF(F78="","",IFERROR(VLOOKUP(B77,DATA!$A:$H,5,TRUE),0))</f>
        <v>0</v>
      </c>
      <c r="G79" s="49">
        <f>IF(G78="","",IFERROR(VLOOKUP(B77,DATA!$A:$H,6,TRUE),0))</f>
        <v>0</v>
      </c>
      <c r="H79" s="49">
        <f>IF(H78="","",IFERROR(VLOOKUP(B77,DATA!$A:$H,7,TRUE),0))</f>
        <v>0</v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nuit</v>
      </c>
      <c r="M79" s="49" t="str">
        <f>IF(M78="","",IFERROR(VLOOKUP(K77,DATA!$A:$H,3,TRUE),0))</f>
        <v>nuit</v>
      </c>
      <c r="N79" s="49" t="str">
        <f>IF(N78="","",IFERROR(VLOOKUP(K77,DATA!$A:$H,4,TRUE),0))</f>
        <v>nuit</v>
      </c>
      <c r="O79" s="49" t="str">
        <f>IF(O78="","",IFERROR(VLOOKUP(K77,DATA!$A:$H,5,TRUE),0))</f>
        <v>nuit</v>
      </c>
      <c r="P79" s="49" t="str">
        <f>IF(P78="","",IFERROR(VLOOKUP(K77,DATA!$A:$H,6,TRUE),0))</f>
        <v>nuit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matin</v>
      </c>
      <c r="V79" s="49">
        <f>IF(V78="","",IFERROR(VLOOKUP(T77,DATA!$A:$H,3,TRUE),0))</f>
        <v>0</v>
      </c>
      <c r="W79" s="49">
        <f>IF(W78="","",IFERROR(VLOOKUP(T77,DATA!$A:$H,4,TRUE),0))</f>
        <v>0</v>
      </c>
      <c r="X79" s="49" t="str">
        <f>IF(X78="","",IFERROR(VLOOKUP(T77,DATA!$A:$H,5,TRUE),0))</f>
        <v>matin</v>
      </c>
      <c r="Y79" s="49" t="str">
        <f>IF(Y78="","",IFERROR(VLOOKUP(T77,DATA!$A:$H,6,TRUE),0))</f>
        <v>matin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am</v>
      </c>
      <c r="AE79" s="49" t="str">
        <f>IF(AE78="","",IFERROR(VLOOKUP(AC77,DATA!$A:$H,3,TRUE),0))</f>
        <v>am</v>
      </c>
      <c r="AF79" s="49" t="str">
        <f>IF(AF78="","",IFERROR(VLOOKUP(AC77,DATA!$A:$H,4,TRUE),0))</f>
        <v>am</v>
      </c>
      <c r="AG79" s="49" t="str">
        <f>IF(AG78="","",IFERROR(VLOOKUP(AC77,DATA!$A:$H,5,TRUE),0))</f>
        <v>am</v>
      </c>
      <c r="AH79" s="49" t="str">
        <f>IF(AH78="","",IFERROR(VLOOKUP(AC77,DATA!$A:$H,6,TRUE),0))</f>
        <v>am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matin</v>
      </c>
      <c r="AN79" s="49" t="str">
        <f>IF(AN78="","",IFERROR(VLOOKUP(AL77,DATA!$A:$H,3,TRUE),0))</f>
        <v>matin</v>
      </c>
      <c r="AO79" s="49" t="str">
        <f>IF(AO78="","",IFERROR(VLOOKUP(AL77,DATA!$A:$H,4,TRUE),0))</f>
        <v>matin</v>
      </c>
      <c r="AP79" s="49" t="str">
        <f>IF(AP78="","",IFERROR(VLOOKUP(AL77,DATA!$A:$H,5,TRUE),0))</f>
        <v/>
      </c>
      <c r="AQ79" s="49" t="str">
        <f>IF(AQ78="","",IFERROR(VLOOKUP(AL77,DATA!$A:$H,6,TRUE),0))</f>
        <v/>
      </c>
      <c r="AR79" s="49" t="str">
        <f>IF(AR78="","",IFERROR(VLOOKUP(AL77,DATA!$A:$H,7,TRUE),0))</f>
        <v/>
      </c>
      <c r="AS79" s="49" t="str">
        <f>IF(AS78="","",IFERROR(VLOOKUP(AL77,DATA!$A:$H,8,TRUE),0))</f>
        <v/>
      </c>
      <c r="AT79" s="52"/>
      <c r="AU79" s="48"/>
      <c r="AV79" s="49" t="str">
        <f>IF(AV78="","",IFERROR(VLOOKUP(AU77,DATA!$A:$H,2,TRUE),0))</f>
        <v/>
      </c>
      <c r="AW79" s="49" t="str">
        <f>IF(AW78="","",IFERROR(VLOOKUP(AU77,DATA!$A:$H,3,TRUE),0))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5">IF(C79="Matin",1,IF(C79="AM",1,0))</f>
        <v>1</v>
      </c>
      <c r="D80" s="52">
        <f t="shared" si="195"/>
        <v>1</v>
      </c>
      <c r="E80" s="52">
        <f t="shared" si="195"/>
        <v>1</v>
      </c>
      <c r="F80" s="52">
        <f t="shared" si="195"/>
        <v>0</v>
      </c>
      <c r="G80" s="52">
        <f t="shared" si="195"/>
        <v>0</v>
      </c>
      <c r="H80" s="52">
        <f t="shared" si="195"/>
        <v>0</v>
      </c>
      <c r="I80" s="52">
        <f t="shared" si="195"/>
        <v>0</v>
      </c>
      <c r="J80" s="52">
        <f>SUM(C80:I80)</f>
        <v>3</v>
      </c>
      <c r="K80" s="51"/>
      <c r="L80" s="52">
        <f t="shared" ref="L80:R80" si="196">IF(L79="Matin",1,IF(L79="AM",1,0))</f>
        <v>0</v>
      </c>
      <c r="M80" s="52">
        <f t="shared" si="196"/>
        <v>0</v>
      </c>
      <c r="N80" s="52">
        <f t="shared" si="196"/>
        <v>0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0</v>
      </c>
      <c r="T80" s="51"/>
      <c r="U80" s="52">
        <f t="shared" ref="U80:AA80" si="197">IF(U79="Matin",1,IF(U79="AM",1,0))</f>
        <v>1</v>
      </c>
      <c r="V80" s="52">
        <f t="shared" si="197"/>
        <v>0</v>
      </c>
      <c r="W80" s="52">
        <f t="shared" si="197"/>
        <v>0</v>
      </c>
      <c r="X80" s="52">
        <f t="shared" si="197"/>
        <v>1</v>
      </c>
      <c r="Y80" s="52">
        <f t="shared" si="197"/>
        <v>1</v>
      </c>
      <c r="Z80" s="52">
        <f t="shared" si="197"/>
        <v>0</v>
      </c>
      <c r="AA80" s="52">
        <f t="shared" si="197"/>
        <v>0</v>
      </c>
      <c r="AB80" s="52">
        <f>SUM(U80:AA80)</f>
        <v>3</v>
      </c>
      <c r="AC80" s="51"/>
      <c r="AD80" s="52">
        <f t="shared" ref="AD80:AJ80" si="198">IF(AD79="Matin",1,IF(AD79="AM",1,0))</f>
        <v>1</v>
      </c>
      <c r="AE80" s="52">
        <f t="shared" si="198"/>
        <v>1</v>
      </c>
      <c r="AF80" s="52">
        <f t="shared" si="198"/>
        <v>1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5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0</v>
      </c>
      <c r="AQ80" s="52">
        <f t="shared" si="199"/>
        <v>0</v>
      </c>
      <c r="AR80" s="52">
        <f t="shared" si="199"/>
        <v>0</v>
      </c>
      <c r="AS80" s="52">
        <f t="shared" si="199"/>
        <v>0</v>
      </c>
      <c r="AT80" s="52">
        <f>SUM(AM80:AS80)</f>
        <v>3</v>
      </c>
      <c r="AU80" s="51"/>
      <c r="AV80" s="52">
        <f t="shared" ref="AV80:AW80" si="200">IF(AV79="Matin",1,IF(AV79="AM",1,0))</f>
        <v>0</v>
      </c>
      <c r="AW80" s="52">
        <f t="shared" si="200"/>
        <v>0</v>
      </c>
      <c r="AX80" s="52">
        <f t="shared" ref="AX80:AX87" si="201">SUM(AV80:AW80)</f>
        <v>0</v>
      </c>
      <c r="AY80" s="52">
        <f>J80+S80+AB80+AK80+AT80+AX80</f>
        <v>14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1</v>
      </c>
      <c r="D81" s="49">
        <f>IF(D82&gt;=1,1,0)</f>
        <v>1</v>
      </c>
      <c r="E81" s="49">
        <f t="shared" ref="E81:I81" si="202">IF(E82&gt;=1,1,0)</f>
        <v>1</v>
      </c>
      <c r="F81" s="49">
        <f t="shared" si="202"/>
        <v>0</v>
      </c>
      <c r="G81" s="49">
        <f t="shared" si="202"/>
        <v>0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3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1</v>
      </c>
      <c r="P81" s="49">
        <f t="shared" si="204"/>
        <v>1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5</v>
      </c>
      <c r="T81" s="48"/>
      <c r="U81" s="49">
        <f>IF(U82&gt;=1,1,0)</f>
        <v>1</v>
      </c>
      <c r="V81" s="49">
        <f t="shared" ref="V81:AA81" si="206">IF(V82&gt;=1,1,0)</f>
        <v>0</v>
      </c>
      <c r="W81" s="49">
        <f t="shared" si="206"/>
        <v>0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3</v>
      </c>
      <c r="AC81" s="48"/>
      <c r="AD81" s="49">
        <f>IF(AD82&gt;=1,1,0)</f>
        <v>1</v>
      </c>
      <c r="AE81" s="49">
        <f t="shared" ref="AE81:AJ81" si="208">IF(AE82&gt;=1,1,0)</f>
        <v>1</v>
      </c>
      <c r="AF81" s="49">
        <f t="shared" si="208"/>
        <v>1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5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0</v>
      </c>
      <c r="AQ81" s="49">
        <f t="shared" si="210"/>
        <v>0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3</v>
      </c>
      <c r="AU81" s="48"/>
      <c r="AV81" s="49">
        <f>IF(AV82&gt;=1,1,0)</f>
        <v>0</v>
      </c>
      <c r="AW81" s="49">
        <f t="shared" ref="AW81" si="212">IF(AW82&gt;=1,1,0)</f>
        <v>0</v>
      </c>
      <c r="AX81" s="52">
        <f t="shared" si="201"/>
        <v>0</v>
      </c>
      <c r="AY81" s="49">
        <f t="shared" ref="AY81:AY90" si="213">J81+S81+AB81+AK81+AT81+AX81</f>
        <v>19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8</v>
      </c>
      <c r="D82" s="52">
        <f t="shared" ref="D82:I82" si="214">IF(D79="Matin",8,IF(D79="AM",8,IF(D79="nuit",8,0)))</f>
        <v>8</v>
      </c>
      <c r="E82" s="52">
        <f t="shared" si="214"/>
        <v>8</v>
      </c>
      <c r="F82" s="52">
        <f t="shared" si="214"/>
        <v>0</v>
      </c>
      <c r="G82" s="52">
        <f t="shared" si="214"/>
        <v>0</v>
      </c>
      <c r="H82" s="52">
        <f t="shared" si="214"/>
        <v>0</v>
      </c>
      <c r="I82" s="52">
        <f t="shared" si="214"/>
        <v>0</v>
      </c>
      <c r="J82" s="52">
        <f t="shared" si="203"/>
        <v>24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8</v>
      </c>
      <c r="P82" s="52">
        <f t="shared" si="215"/>
        <v>8</v>
      </c>
      <c r="Q82" s="52">
        <f t="shared" si="215"/>
        <v>0</v>
      </c>
      <c r="R82" s="52">
        <f t="shared" si="215"/>
        <v>0</v>
      </c>
      <c r="S82" s="52">
        <f t="shared" si="205"/>
        <v>40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0</v>
      </c>
      <c r="W82" s="52">
        <f t="shared" si="216"/>
        <v>0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24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8</v>
      </c>
      <c r="AF82" s="52">
        <f t="shared" si="217"/>
        <v>8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40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0</v>
      </c>
      <c r="AQ82" s="52">
        <f t="shared" si="218"/>
        <v>0</v>
      </c>
      <c r="AR82" s="52">
        <f t="shared" si="218"/>
        <v>0</v>
      </c>
      <c r="AS82" s="52">
        <f t="shared" si="218"/>
        <v>0</v>
      </c>
      <c r="AT82" s="52">
        <f t="shared" si="211"/>
        <v>24</v>
      </c>
      <c r="AU82" s="51"/>
      <c r="AV82" s="52">
        <f>IF(AV79="Matin",8,IF(AV79="AM",8,IF(AV79="nuit",8,0)))</f>
        <v>0</v>
      </c>
      <c r="AW82" s="52">
        <f t="shared" ref="AW82" si="219">IF(AW79="Matin",8,IF(AW79="AM",8,IF(AW79="nuit",8,0)))</f>
        <v>0</v>
      </c>
      <c r="AX82" s="52">
        <f t="shared" si="201"/>
        <v>0</v>
      </c>
      <c r="AY82" s="52">
        <f t="shared" si="213"/>
        <v>152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20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44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0.16</v>
      </c>
      <c r="M91" s="49">
        <f>IF(M79="nuit",M82*0.02,0)</f>
        <v>0.16</v>
      </c>
      <c r="N91" s="49">
        <f t="shared" ref="N91:R91" si="227">IF(N79="nuit",N82*0.02,0)</f>
        <v>0.16</v>
      </c>
      <c r="O91" s="49">
        <f t="shared" si="227"/>
        <v>0.16</v>
      </c>
      <c r="P91" s="49">
        <f>IF(P79="nuit",P82*0.02,0)</f>
        <v>0.16</v>
      </c>
      <c r="Q91" s="49">
        <f t="shared" si="227"/>
        <v>0</v>
      </c>
      <c r="R91" s="49">
        <f t="shared" si="227"/>
        <v>0</v>
      </c>
      <c r="S91" s="52">
        <f t="shared" si="205"/>
        <v>0.8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8">IF(W79="nuit",W82*0.02,0)</f>
        <v>0</v>
      </c>
      <c r="X91" s="49">
        <f t="shared" si="228"/>
        <v>0</v>
      </c>
      <c r="Y91" s="49">
        <f>IF(Y79="nuit",Y82*0.02,0)</f>
        <v>0</v>
      </c>
      <c r="Z91" s="49">
        <f t="shared" si="228"/>
        <v>0</v>
      </c>
      <c r="AA91" s="49">
        <f t="shared" si="228"/>
        <v>0</v>
      </c>
      <c r="AB91" s="52">
        <f t="shared" si="207"/>
        <v>0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31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">
      <c r="A94" s="16"/>
      <c r="B94" s="16"/>
      <c r="C94" s="19" t="s">
        <v>24</v>
      </c>
      <c r="D94" s="19"/>
      <c r="E94" s="19"/>
      <c r="F94" s="19"/>
      <c r="G94" s="19"/>
      <c r="H94" s="72">
        <f>Année_Calendaire</f>
        <v>2017</v>
      </c>
      <c r="I94" s="72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24</v>
      </c>
      <c r="V94" s="19"/>
      <c r="W94" s="19"/>
      <c r="X94" s="19"/>
      <c r="Y94" s="19"/>
      <c r="Z94" s="72">
        <f>Année_Calendaire</f>
        <v>2017</v>
      </c>
      <c r="AA94" s="72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24</v>
      </c>
      <c r="AN94" s="19"/>
      <c r="AO94" s="19"/>
      <c r="AP94" s="19"/>
      <c r="AQ94" s="19"/>
      <c r="AR94" s="72">
        <f>Année_Calendaire</f>
        <v>2017</v>
      </c>
      <c r="AS94" s="72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IF(AU77&lt;&gt;"",AU77,IF(AL77="C1","C2",IF(AL77="C2","C3",IF(AL77="C3","C4",IF(AL77="C4","C1","")))))</f>
        <v>C2</v>
      </c>
      <c r="C95" s="98" t="s">
        <v>13</v>
      </c>
      <c r="D95" s="98" t="s">
        <v>14</v>
      </c>
      <c r="E95" s="98" t="s">
        <v>15</v>
      </c>
      <c r="F95" s="98" t="s">
        <v>16</v>
      </c>
      <c r="G95" s="98" t="s">
        <v>17</v>
      </c>
      <c r="H95" s="98" t="s">
        <v>18</v>
      </c>
      <c r="I95" s="100" t="s">
        <v>19</v>
      </c>
      <c r="J95" s="71" t="s">
        <v>32</v>
      </c>
      <c r="K95" s="55" t="str">
        <f>IF(B95="C1","C2",IF(B95="C2","C3",IF(B95="C3","C4",IF(B95="C4","C1",""))))</f>
        <v>C3</v>
      </c>
      <c r="L95" s="98" t="str">
        <f>IF(L96&lt;&gt;"","Lun","")</f>
        <v>Lun</v>
      </c>
      <c r="M95" s="98" t="str">
        <f>IF(M96&lt;&gt;"","Mar","")</f>
        <v>Mar</v>
      </c>
      <c r="N95" s="98" t="str">
        <f>IF(N96&lt;&gt;"","Mer","")</f>
        <v>Mer</v>
      </c>
      <c r="O95" s="98" t="str">
        <f>IF(O96&lt;&gt;"","Jeu","")</f>
        <v>Jeu</v>
      </c>
      <c r="P95" s="98" t="str">
        <f>IF(P96&lt;&gt;"","Ven","")</f>
        <v>Ven</v>
      </c>
      <c r="Q95" s="98" t="str">
        <f>IF(Q96&lt;&gt;"","Sam","")</f>
        <v>Sam</v>
      </c>
      <c r="R95" s="98" t="str">
        <f>IF(R96&lt;&gt;"","Dim","")</f>
        <v>Dim</v>
      </c>
      <c r="S95" s="71" t="s">
        <v>32</v>
      </c>
      <c r="T95" s="55" t="str">
        <f>IF(K95="C1","C2",IF(K95="C2","C3",IF(K95="C3","C4",IF(K95="C4","C1",""))))</f>
        <v>C4</v>
      </c>
      <c r="U95" s="98" t="str">
        <f>IF(U96&lt;&gt;"","Lun","")</f>
        <v>Lun</v>
      </c>
      <c r="V95" s="98" t="str">
        <f>IF(V96&lt;&gt;"","Mar","")</f>
        <v>Mar</v>
      </c>
      <c r="W95" s="98" t="str">
        <f>IF(W96&lt;&gt;"","Mer","")</f>
        <v>Mer</v>
      </c>
      <c r="X95" s="98" t="str">
        <f>IF(X96&lt;&gt;"","Jeu","")</f>
        <v>Jeu</v>
      </c>
      <c r="Y95" s="98" t="str">
        <f>IF(Y96&lt;&gt;"","Ven","")</f>
        <v>Ven</v>
      </c>
      <c r="Z95" s="98" t="str">
        <f>IF(Z96&lt;&gt;"","Sam","")</f>
        <v>Sam</v>
      </c>
      <c r="AA95" s="98" t="str">
        <f>IF(AA96&lt;&gt;"","Dim","")</f>
        <v>Dim</v>
      </c>
      <c r="AB95" s="71" t="s">
        <v>32</v>
      </c>
      <c r="AC95" s="55" t="str">
        <f>IF(T95="C1","C2",IF(T95="C2","C3",IF(T95="C3","C4",IF(T95="C4","C1",""))))</f>
        <v>C1</v>
      </c>
      <c r="AD95" s="98" t="str">
        <f>IF(AD96&lt;&gt;"","Lun","")</f>
        <v>Lun</v>
      </c>
      <c r="AE95" s="98" t="str">
        <f>IF(AE96&lt;&gt;"","Mar","")</f>
        <v>Mar</v>
      </c>
      <c r="AF95" s="98" t="str">
        <f>IF(AF96&lt;&gt;"","Mer","")</f>
        <v>Mer</v>
      </c>
      <c r="AG95" s="98" t="str">
        <f>IF(AG96&lt;&gt;"","Jeu","")</f>
        <v>Jeu</v>
      </c>
      <c r="AH95" s="98" t="str">
        <f>IF(AH96&lt;&gt;"","Ven","")</f>
        <v>Ven</v>
      </c>
      <c r="AI95" s="98" t="str">
        <f>IF(AI96&lt;&gt;"","Sam","")</f>
        <v>Sam</v>
      </c>
      <c r="AJ95" s="98" t="str">
        <f>IF(AJ96&lt;&gt;"","Dim","")</f>
        <v>Dim</v>
      </c>
      <c r="AK95" s="71" t="s">
        <v>32</v>
      </c>
      <c r="AL95" s="55" t="str">
        <f>IF(AC95="C1","C2",IF(AC95="C2","C3",IF(AC95="C3","C4",IF(AC95="C4","C1",""))))</f>
        <v>C2</v>
      </c>
      <c r="AM95" s="98" t="str">
        <f>IF(AM96&lt;&gt;"","Lun","")</f>
        <v>Lun</v>
      </c>
      <c r="AN95" s="98" t="str">
        <f>IF(AN96&lt;&gt;"","Mar","")</f>
        <v>Mar</v>
      </c>
      <c r="AO95" s="98" t="str">
        <f>IF(AO96&lt;&gt;"","Mer","")</f>
        <v>Mer</v>
      </c>
      <c r="AP95" s="98" t="str">
        <f>IF(AP96&lt;&gt;"","Jeu","")</f>
        <v>Jeu</v>
      </c>
      <c r="AQ95" s="98" t="str">
        <f>IF(AQ96&lt;&gt;"","Ven","")</f>
        <v>Ven</v>
      </c>
      <c r="AR95" s="98" t="str">
        <f>IF(AR96&lt;&gt;"","Sam","")</f>
        <v/>
      </c>
      <c r="AS95" s="98" t="str">
        <f>IF(AS96&lt;&gt;"","Dim","")</f>
        <v/>
      </c>
      <c r="AT95" s="71" t="s">
        <v>32</v>
      </c>
      <c r="AU95" s="55" t="str">
        <f>IF(AV95&lt;&gt;"",IF(AL95="C1","C2",IF(AL95="C2","C3",IF(AL95="C3","C4",IF(AL95="C4","C1","")))),"")</f>
        <v/>
      </c>
      <c r="AV95" s="53" t="str">
        <f>IF(AV96&lt;&gt;"","Lun","")</f>
        <v/>
      </c>
      <c r="AW95" s="53" t="str">
        <f>IF(AW96&lt;&gt;"","Mar","")</f>
        <v/>
      </c>
      <c r="AX95" s="71" t="s">
        <v>32</v>
      </c>
      <c r="AY95" s="71" t="s">
        <v>35</v>
      </c>
      <c r="AZ95" s="74">
        <f>AY102+AY103+AY104</f>
        <v>10</v>
      </c>
      <c r="BA95" s="74">
        <f>AZ95+BA77</f>
        <v>50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97" t="str">
        <f>IF(DAY(Juin_Dim1)=1,"",IF(AND(YEAR(Juin_Dim1+1)=Année_Calendaire,MONTH(Juin_Dim1+1)=6),Juin_Dim1+1,""))</f>
        <v/>
      </c>
      <c r="D96" s="97" t="str">
        <f>IF(DAY(Juin_Dim1)=1,"",IF(AND(YEAR(Juin_Dim1+2)=Année_Calendaire,MONTH(Juin_Dim1+2)=6),Juin_Dim1+2,""))</f>
        <v/>
      </c>
      <c r="E96" s="97" t="str">
        <f>IF(DAY(Juin_Dim1)=1,"",IF(AND(YEAR(Juin_Dim1+3)=Année_Calendaire,MONTH(Juin_Dim1+3)=6),Juin_Dim1+3,""))</f>
        <v/>
      </c>
      <c r="F96" s="97">
        <f>IF(DAY(Juin_Dim1)=1,"",IF(AND(YEAR(Juin_Dim1+4)=Année_Calendaire,MONTH(Juin_Dim1+4)=6),Juin_Dim1+4,""))</f>
        <v>42887</v>
      </c>
      <c r="G96" s="97">
        <f>IF(DAY(Juin_Dim1)=1,"",IF(AND(YEAR(Juin_Dim1+5)=Année_Calendaire,MONTH(Juin_Dim1+5)=6),Juin_Dim1+5,""))</f>
        <v>42888</v>
      </c>
      <c r="H96" s="97">
        <f>IF(DAY(Juin_Dim1)=1,"",IF(AND(YEAR(Juin_Dim1+6)=Année_Calendaire,MONTH(Juin_Dim1+6)=6),Juin_Dim1+6,""))</f>
        <v>42889</v>
      </c>
      <c r="I96" s="97">
        <f>IF(DAY(Juin_Dim1)=1,IF(AND(YEAR(Juin_Dim1)=Année_Calendaire,MONTH(Juin_Dim1)=6),Juin_Dim1,""),IF(AND(YEAR(Juin_Dim1+7)=Année_Calendaire,MONTH(Juin_Dim1+7)=6),Juin_Dim1+7,""))</f>
        <v>42890</v>
      </c>
      <c r="J96" s="71"/>
      <c r="K96" s="54"/>
      <c r="L96" s="97">
        <f>IF(DAY(Juin_Dim1)=1,IF(AND(YEAR(Juin_Dim1+1)=Année_Calendaire,MONTH(Juin_Dim1+1)=6),Juin_Dim1+1,""),IF(AND(YEAR(Juin_Dim1+8)=Année_Calendaire,MONTH(Juin_Dim1+8)=6),Juin_Dim1+8,""))</f>
        <v>42891</v>
      </c>
      <c r="M96" s="97">
        <f>IF(DAY(Juin_Dim1)=1,IF(AND(YEAR(Juin_Dim1+2)=Année_Calendaire,MONTH(Juin_Dim1+2)=6),Juin_Dim1+2,""),IF(AND(YEAR(Juin_Dim1+9)=Année_Calendaire,MONTH(Juin_Dim1+9)=6),Juin_Dim1+9,""))</f>
        <v>42892</v>
      </c>
      <c r="N96" s="97">
        <f>IF(DAY(Juin_Dim1)=1,IF(AND(YEAR(Juin_Dim1+3)=Année_Calendaire,MONTH(Juin_Dim1+3)=6),Juin_Dim1+3,""),IF(AND(YEAR(Juin_Dim1+10)=Année_Calendaire,MONTH(Juin_Dim1+10)=6),Juin_Dim1+10,""))</f>
        <v>42893</v>
      </c>
      <c r="O96" s="97">
        <f>IF(DAY(Juin_Dim1)=1,IF(AND(YEAR(Juin_Dim1+4)=Année_Calendaire,MONTH(Juin_Dim1+4)=6),Juin_Dim1+4,""),IF(AND(YEAR(Juin_Dim1+11)=Année_Calendaire,MONTH(Juin_Dim1+11)=6),Juin_Dim1+11,""))</f>
        <v>42894</v>
      </c>
      <c r="P96" s="97">
        <f>IF(DAY(Juin_Dim1)=1,IF(AND(YEAR(Juin_Dim1+5)=Année_Calendaire,MONTH(Juin_Dim1+5)=6),Juin_Dim1+5,""),IF(AND(YEAR(Juin_Dim1+12)=Année_Calendaire,MONTH(Juin_Dim1+12)=6),Juin_Dim1+12,""))</f>
        <v>42895</v>
      </c>
      <c r="Q96" s="97">
        <f>IF(DAY(Juin_Dim1)=1,IF(AND(YEAR(Juin_Dim1+6)=Année_Calendaire,MONTH(Juin_Dim1+6)=6),Juin_Dim1+6,""),IF(AND(YEAR(Juin_Dim1+13)=Année_Calendaire,MONTH(Juin_Dim1+13)=6),Juin_Dim1+13,""))</f>
        <v>42896</v>
      </c>
      <c r="R96" s="97">
        <f>IF(DAY(Juin_Dim1)=1,IF(AND(YEAR(Juin_Dim1+7)=Année_Calendaire,MONTH(Juin_Dim1+7)=6),Juin_Dim1+7,""),IF(AND(YEAR(Juin_Dim1+14)=Année_Calendaire,MONTH(Juin_Dim1+14)=6),Juin_Dim1+14,""))</f>
        <v>42897</v>
      </c>
      <c r="S96" s="71"/>
      <c r="T96" s="54"/>
      <c r="U96" s="97">
        <f>IF(DAY(Juin_Dim1)=1,IF(AND(YEAR(Juin_Dim1+8)=Année_Calendaire,MONTH(Juin_Dim1+8)=6),Juin_Dim1+8,""),IF(AND(YEAR(Juin_Dim1+15)=Année_Calendaire,MONTH(Juin_Dim1+15)=6),Juin_Dim1+15,""))</f>
        <v>42898</v>
      </c>
      <c r="V96" s="97">
        <f>IF(DAY(Juin_Dim1)=1,IF(AND(YEAR(Juin_Dim1+9)=Année_Calendaire,MONTH(Juin_Dim1+9)=6),Juin_Dim1+9,""),IF(AND(YEAR(Juin_Dim1+16)=Année_Calendaire,MONTH(Juin_Dim1+16)=6),Juin_Dim1+16,""))</f>
        <v>42899</v>
      </c>
      <c r="W96" s="97">
        <f>IF(DAY(Juin_Dim1)=1,IF(AND(YEAR(Juin_Dim1+10)=Année_Calendaire,MONTH(Juin_Dim1+10)=6),Juin_Dim1+10,""),IF(AND(YEAR(Juin_Dim1+17)=Année_Calendaire,MONTH(Juin_Dim1+17)=6),Juin_Dim1+17,""))</f>
        <v>42900</v>
      </c>
      <c r="X96" s="97">
        <f>IF(DAY(Juin_Dim1)=1,IF(AND(YEAR(Juin_Dim1+11)=Année_Calendaire,MONTH(Juin_Dim1+11)=6),Juin_Dim1+11,""),IF(AND(YEAR(Juin_Dim1+18)=Année_Calendaire,MONTH(Juin_Dim1+18)=6),Juin_Dim1+18,""))</f>
        <v>42901</v>
      </c>
      <c r="Y96" s="97">
        <f>IF(DAY(Juin_Dim1)=1,IF(AND(YEAR(Juin_Dim1+12)=Année_Calendaire,MONTH(Juin_Dim1+12)=6),Juin_Dim1+12,""),IF(AND(YEAR(Juin_Dim1+19)=Année_Calendaire,MONTH(Juin_Dim1+19)=6),Juin_Dim1+19,""))</f>
        <v>42902</v>
      </c>
      <c r="Z96" s="97">
        <f>IF(DAY(Juin_Dim1)=1,IF(AND(YEAR(Juin_Dim1+13)=Année_Calendaire,MONTH(Juin_Dim1+13)=6),Juin_Dim1+13,""),IF(AND(YEAR(Juin_Dim1+20)=Année_Calendaire,MONTH(Juin_Dim1+20)=6),Juin_Dim1+20,""))</f>
        <v>42903</v>
      </c>
      <c r="AA96" s="97">
        <f>IF(DAY(Juin_Dim1)=1,IF(AND(YEAR(Juin_Dim1+14)=Année_Calendaire,MONTH(Juin_Dim1+14)=6),Juin_Dim1+14,""),IF(AND(YEAR(Juin_Dim1+21)=Année_Calendaire,MONTH(Juin_Dim1+21)=6),Juin_Dim1+21,""))</f>
        <v>42904</v>
      </c>
      <c r="AB96" s="71"/>
      <c r="AC96" s="54"/>
      <c r="AD96" s="97">
        <f>IF(DAY(Juin_Dim1)=1,IF(AND(YEAR(Juin_Dim1+15)=Année_Calendaire,MONTH(Juin_Dim1+15)=6),Juin_Dim1+15,""),IF(AND(YEAR(Juin_Dim1+22)=Année_Calendaire,MONTH(Juin_Dim1+22)=6),Juin_Dim1+22,""))</f>
        <v>42905</v>
      </c>
      <c r="AE96" s="97">
        <f>IF(DAY(Juin_Dim1)=1,IF(AND(YEAR(Juin_Dim1+16)=Année_Calendaire,MONTH(Juin_Dim1+16)=6),Juin_Dim1+16,""),IF(AND(YEAR(Juin_Dim1+23)=Année_Calendaire,MONTH(Juin_Dim1+23)=6),Juin_Dim1+23,""))</f>
        <v>42906</v>
      </c>
      <c r="AF96" s="97">
        <f>IF(DAY(Juin_Dim1)=1,IF(AND(YEAR(Juin_Dim1+17)=Année_Calendaire,MONTH(Juin_Dim1+17)=6),Juin_Dim1+17,""),IF(AND(YEAR(Juin_Dim1+24)=Année_Calendaire,MONTH(Juin_Dim1+24)=6),Juin_Dim1+24,""))</f>
        <v>42907</v>
      </c>
      <c r="AG96" s="97">
        <f>IF(DAY(Juin_Dim1)=1,IF(AND(YEAR(Juin_Dim1+18)=Année_Calendaire,MONTH(Juin_Dim1+18)=6),Juin_Dim1+18,""),IF(AND(YEAR(Juin_Dim1+25)=Année_Calendaire,MONTH(Juin_Dim1+25)=6),Juin_Dim1+25,""))</f>
        <v>42908</v>
      </c>
      <c r="AH96" s="97">
        <f>IF(DAY(Juin_Dim1)=1,IF(AND(YEAR(Juin_Dim1+19)=Année_Calendaire,MONTH(Juin_Dim1+19)=6),Juin_Dim1+19,""),IF(AND(YEAR(Juin_Dim1+26)=Année_Calendaire,MONTH(Juin_Dim1+26)=6),Juin_Dim1+26,""))</f>
        <v>42909</v>
      </c>
      <c r="AI96" s="97">
        <f>IF(DAY(Juin_Dim1)=1,IF(AND(YEAR(Juin_Dim1+20)=Année_Calendaire,MONTH(Juin_Dim1+20)=6),Juin_Dim1+20,""),IF(AND(YEAR(Juin_Dim1+27)=Année_Calendaire,MONTH(Juin_Dim1+27)=6),Juin_Dim1+27,""))</f>
        <v>42910</v>
      </c>
      <c r="AJ96" s="97">
        <f>IF(DAY(Juin_Dim1)=1,IF(AND(YEAR(Juin_Dim1+21)=Année_Calendaire,MONTH(Juin_Dim1+21)=6),Juin_Dim1+21,""),IF(AND(YEAR(Juin_Dim1+28)=Année_Calendaire,MONTH(Juin_Dim1+28)=6),Juin_Dim1+28,""))</f>
        <v>42911</v>
      </c>
      <c r="AK96" s="71"/>
      <c r="AL96" s="54"/>
      <c r="AM96" s="97">
        <f>IF(DAY(Juin_Dim1)=1,IF(AND(YEAR(Juin_Dim1+22)=Année_Calendaire,MONTH(Juin_Dim1+22)=6),Juin_Dim1+22,""),IF(AND(YEAR(Juin_Dim1+29)=Année_Calendaire,MONTH(Juin_Dim1+29)=6),Juin_Dim1+29,""))</f>
        <v>42912</v>
      </c>
      <c r="AN96" s="97">
        <f>IF(DAY(Juin_Dim1)=1,IF(AND(YEAR(Juin_Dim1+23)=Année_Calendaire,MONTH(Juin_Dim1+23)=6),Juin_Dim1+23,""),IF(AND(YEAR(Juin_Dim1+30)=Année_Calendaire,MONTH(Juin_Dim1+30)=6),Juin_Dim1+30,""))</f>
        <v>42913</v>
      </c>
      <c r="AO96" s="97">
        <f>IF(DAY(Juin_Dim1)=1,IF(AND(YEAR(Juin_Dim1+24)=Année_Calendaire,MONTH(Juin_Dim1+24)=6),Juin_Dim1+24,""),IF(AND(YEAR(Juin_Dim1+31)=Année_Calendaire,MONTH(Juin_Dim1+31)=6),Juin_Dim1+31,""))</f>
        <v>42914</v>
      </c>
      <c r="AP96" s="97">
        <f>IF(DAY(Juin_Dim1)=1,IF(AND(YEAR(Juin_Dim1+25)=Année_Calendaire,MONTH(Juin_Dim1+25)=6),Juin_Dim1+25,""),IF(AND(YEAR(Juin_Dim1+32)=Année_Calendaire,MONTH(Juin_Dim1+32)=6),Juin_Dim1+32,""))</f>
        <v>42915</v>
      </c>
      <c r="AQ96" s="97">
        <f>IF(DAY(Juin_Dim1)=1,IF(AND(YEAR(Juin_Dim1+26)=Année_Calendaire,MONTH(Juin_Dim1+26)=6),Juin_Dim1+26,""),IF(AND(YEAR(Juin_Dim1+33)=Année_Calendaire,MONTH(Juin_Dim1+33)=6),Juin_Dim1+33,""))</f>
        <v>42916</v>
      </c>
      <c r="AR96" s="97" t="str">
        <f>IF(DAY(Juin_Dim1)=1,IF(AND(YEAR(Juin_Dim1+27)=Année_Calendaire,MONTH(Juin_Dim1+27)=6),Juin_Dim1+27,""),IF(AND(YEAR(Juin_Dim1+34)=Année_Calendaire,MONTH(Juin_Dim1+34)=6),Juin_Dim1+34,""))</f>
        <v/>
      </c>
      <c r="AS96" s="97" t="str">
        <f>IF(DAY(Juin_Dim1)=1,IF(AND(YEAR(Juin_Dim1+28)=Année_Calendaire,MONTH(Juin_Dim1+28)=6),Juin_Dim1+28,""),IF(AND(YEAR(Juin_Dim1+35)=Année_Calendaire,MONTH(Juin_Dim1+35)=6),Juin_Dim1+35,""))</f>
        <v/>
      </c>
      <c r="AT96" s="71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71"/>
      <c r="AY96" s="71"/>
      <c r="AZ96" s="74"/>
      <c r="BA96" s="74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/>
      </c>
      <c r="F97" s="49" t="str">
        <f>IF(F96="","",IFERROR(VLOOKUP(B95,DATA!$A:$H,5,TRUE),0))</f>
        <v>nuit</v>
      </c>
      <c r="G97" s="49" t="str">
        <f>IF(G96="","",IFERROR(VLOOKUP(B95,DATA!$A:$H,6,TRUE),0))</f>
        <v>nuit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matin</v>
      </c>
      <c r="M97" s="49">
        <f>IF(M96="","",IFERROR(VLOOKUP(K95,DATA!$A:$H,3,TRUE),0))</f>
        <v>0</v>
      </c>
      <c r="N97" s="49">
        <f>IF(N96="","",IFERROR(VLOOKUP(K95,DATA!$A:$H,4,TRUE),0))</f>
        <v>0</v>
      </c>
      <c r="O97" s="49" t="str">
        <f>IF(O96="","",IFERROR(VLOOKUP(K95,DATA!$A:$H,5,TRUE),0))</f>
        <v>matin</v>
      </c>
      <c r="P97" s="49" t="str">
        <f>IF(P96="","",IFERROR(VLOOKUP(K95,DATA!$A:$H,6,TRUE),0))</f>
        <v>matin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am</v>
      </c>
      <c r="V97" s="49" t="str">
        <f>IF(V96="","",IFERROR(VLOOKUP(T95,DATA!$A:$H,3,TRUE),0))</f>
        <v>am</v>
      </c>
      <c r="W97" s="49" t="str">
        <f>IF(W96="","",IFERROR(VLOOKUP(T95,DATA!$A:$H,4,TRUE),0))</f>
        <v>am</v>
      </c>
      <c r="X97" s="49" t="str">
        <f>IF(X96="","",IFERROR(VLOOKUP(T95,DATA!$A:$H,5,TRUE),0))</f>
        <v>am</v>
      </c>
      <c r="Y97" s="49" t="str">
        <f>IF(Y96="","",IFERROR(VLOOKUP(T95,DATA!$A:$H,6,TRUE),0))</f>
        <v>am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matin</v>
      </c>
      <c r="AE97" s="49" t="str">
        <f>IF(AE96="","",IFERROR(VLOOKUP(AC95,DATA!$A:$H,3,TRUE),0))</f>
        <v>matin</v>
      </c>
      <c r="AF97" s="49" t="str">
        <f>IF(AF96="","",IFERROR(VLOOKUP(AC95,DATA!$A:$H,4,TRUE),0))</f>
        <v>matin</v>
      </c>
      <c r="AG97" s="49">
        <f>IF(AG96="","",IFERROR(VLOOKUP(AC95,DATA!$A:$H,5,TRUE),0))</f>
        <v>0</v>
      </c>
      <c r="AH97" s="49">
        <f>IF(AH96="","",IFERROR(VLOOKUP(AC95,DATA!$A:$H,6,TRUE),0))</f>
        <v>0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nuit</v>
      </c>
      <c r="AN97" s="49" t="str">
        <f>IF(AN96="","",IFERROR(VLOOKUP(AL95,DATA!$A:$H,3,TRUE),0))</f>
        <v>nuit</v>
      </c>
      <c r="AO97" s="49" t="str">
        <f>IF(AO96="","",IFERROR(VLOOKUP(AL95,DATA!$A:$H,4,TRUE),0))</f>
        <v>nuit</v>
      </c>
      <c r="AP97" s="49" t="str">
        <f>IF(AP96="","",IFERROR(VLOOKUP(AL95,DATA!$A:$H,5,TRUE),0))</f>
        <v>nuit</v>
      </c>
      <c r="AQ97" s="49" t="str">
        <f>IF(AQ96="","",IFERROR(VLOOKUP(AL95,DATA!$A:$H,6,TRUE),0))</f>
        <v>nuit</v>
      </c>
      <c r="AR97" s="49" t="str">
        <f>IF(AR96="","",IFERROR(VLOOKUP(AL95,DATA!$A:$H,7,TRUE),0))</f>
        <v/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0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0</v>
      </c>
      <c r="K98" s="51"/>
      <c r="L98" s="52">
        <f t="shared" ref="L98:R98" si="232">IF(L97="Matin",1,IF(L97="AM",1,0))</f>
        <v>1</v>
      </c>
      <c r="M98" s="52">
        <f t="shared" si="232"/>
        <v>0</v>
      </c>
      <c r="N98" s="52">
        <f t="shared" si="232"/>
        <v>0</v>
      </c>
      <c r="O98" s="52">
        <f t="shared" si="232"/>
        <v>1</v>
      </c>
      <c r="P98" s="52">
        <f t="shared" si="232"/>
        <v>1</v>
      </c>
      <c r="Q98" s="52">
        <f t="shared" si="232"/>
        <v>0</v>
      </c>
      <c r="R98" s="52">
        <f t="shared" si="232"/>
        <v>0</v>
      </c>
      <c r="S98" s="52">
        <f>SUM(L98:R98)</f>
        <v>3</v>
      </c>
      <c r="T98" s="51"/>
      <c r="U98" s="52">
        <f t="shared" ref="U98:AA98" si="233">IF(U97="Matin",1,IF(U97="AM",1,0))</f>
        <v>1</v>
      </c>
      <c r="V98" s="52">
        <f t="shared" si="233"/>
        <v>1</v>
      </c>
      <c r="W98" s="52">
        <f t="shared" si="233"/>
        <v>1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5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0</v>
      </c>
      <c r="AH98" s="52">
        <f t="shared" si="234"/>
        <v>0</v>
      </c>
      <c r="AI98" s="52">
        <f t="shared" si="234"/>
        <v>0</v>
      </c>
      <c r="AJ98" s="52">
        <f t="shared" si="234"/>
        <v>0</v>
      </c>
      <c r="AK98" s="52">
        <f>SUM(AD98:AJ98)</f>
        <v>3</v>
      </c>
      <c r="AL98" s="51"/>
      <c r="AM98" s="52">
        <f t="shared" ref="AM98:AS98" si="235">IF(AM97="Matin",1,IF(AM97="AM",1,0))</f>
        <v>0</v>
      </c>
      <c r="AN98" s="52">
        <f t="shared" si="235"/>
        <v>0</v>
      </c>
      <c r="AO98" s="52">
        <f t="shared" si="235"/>
        <v>0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0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0</v>
      </c>
      <c r="F99" s="49">
        <f t="shared" si="238"/>
        <v>1</v>
      </c>
      <c r="G99" s="49">
        <f t="shared" si="238"/>
        <v>1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2</v>
      </c>
      <c r="K99" s="48"/>
      <c r="L99" s="49">
        <f>IF(L100&gt;=1,1,0)</f>
        <v>1</v>
      </c>
      <c r="M99" s="49">
        <f t="shared" ref="M99:R99" si="240">IF(M100&gt;=1,1,0)</f>
        <v>0</v>
      </c>
      <c r="N99" s="49">
        <f t="shared" si="240"/>
        <v>0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3</v>
      </c>
      <c r="T99" s="48"/>
      <c r="U99" s="49">
        <f>IF(U100&gt;=1,1,0)</f>
        <v>1</v>
      </c>
      <c r="V99" s="49">
        <f t="shared" ref="V99:AA99" si="242">IF(V100&gt;=1,1,0)</f>
        <v>1</v>
      </c>
      <c r="W99" s="49">
        <f t="shared" si="242"/>
        <v>1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5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0</v>
      </c>
      <c r="AH99" s="49">
        <f t="shared" si="244"/>
        <v>0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3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1</v>
      </c>
      <c r="AQ99" s="49">
        <f t="shared" si="246"/>
        <v>1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5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18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0</v>
      </c>
      <c r="F100" s="52">
        <f t="shared" si="250"/>
        <v>8</v>
      </c>
      <c r="G100" s="52">
        <f t="shared" si="250"/>
        <v>8</v>
      </c>
      <c r="H100" s="52">
        <f t="shared" si="250"/>
        <v>0</v>
      </c>
      <c r="I100" s="52">
        <f t="shared" si="250"/>
        <v>0</v>
      </c>
      <c r="J100" s="52">
        <f t="shared" si="239"/>
        <v>16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0</v>
      </c>
      <c r="N100" s="52">
        <f t="shared" si="251"/>
        <v>0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24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8</v>
      </c>
      <c r="W100" s="52">
        <f t="shared" si="252"/>
        <v>8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40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0</v>
      </c>
      <c r="AH100" s="52">
        <f t="shared" si="253"/>
        <v>0</v>
      </c>
      <c r="AI100" s="52">
        <f t="shared" si="253"/>
        <v>0</v>
      </c>
      <c r="AJ100" s="52">
        <f t="shared" si="253"/>
        <v>0</v>
      </c>
      <c r="AK100" s="52">
        <f t="shared" si="245"/>
        <v>24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8</v>
      </c>
      <c r="AQ100" s="52">
        <f t="shared" si="254"/>
        <v>8</v>
      </c>
      <c r="AR100" s="52">
        <f t="shared" si="254"/>
        <v>0</v>
      </c>
      <c r="AS100" s="52">
        <f t="shared" si="254"/>
        <v>0</v>
      </c>
      <c r="AT100" s="52">
        <f t="shared" si="247"/>
        <v>40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144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20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0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0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3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3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0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0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3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3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0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0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5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5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0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0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5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5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44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0.16</v>
      </c>
      <c r="G109" s="49">
        <f>IF(G97="nuit",G100*0.02,0)</f>
        <v>0.16</v>
      </c>
      <c r="H109" s="49">
        <f t="shared" si="263"/>
        <v>0</v>
      </c>
      <c r="I109" s="49">
        <f t="shared" si="263"/>
        <v>0</v>
      </c>
      <c r="J109" s="52">
        <f t="shared" si="239"/>
        <v>0.32</v>
      </c>
      <c r="K109" s="48"/>
      <c r="L109" s="49">
        <f>IF(L97="nuit",L100*0.02,0)</f>
        <v>0</v>
      </c>
      <c r="M109" s="49">
        <f>IF(M97="nuit",M100*0.02,0)</f>
        <v>0</v>
      </c>
      <c r="N109" s="49">
        <f t="shared" ref="N109:R109" si="264">IF(N97="nuit",N100*0.02,0)</f>
        <v>0</v>
      </c>
      <c r="O109" s="49">
        <f t="shared" si="264"/>
        <v>0</v>
      </c>
      <c r="P109" s="49">
        <f>IF(P97="nuit",P100*0.02,0)</f>
        <v>0</v>
      </c>
      <c r="Q109" s="49">
        <f t="shared" si="264"/>
        <v>0</v>
      </c>
      <c r="R109" s="49">
        <f t="shared" si="264"/>
        <v>0</v>
      </c>
      <c r="S109" s="52">
        <f t="shared" si="241"/>
        <v>0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0.16</v>
      </c>
      <c r="AN109" s="49">
        <f>IF(AN97="nuit",AN100*0.02,0)</f>
        <v>0.16</v>
      </c>
      <c r="AO109" s="49">
        <f t="shared" ref="AO109:AS109" si="267">IF(AO97="nuit",AO100*0.02,0)</f>
        <v>0.16</v>
      </c>
      <c r="AP109" s="49">
        <f t="shared" si="267"/>
        <v>0.16</v>
      </c>
      <c r="AQ109" s="49">
        <f>IF(AQ97="nuit",AQ100*0.02,0)</f>
        <v>0.16</v>
      </c>
      <c r="AR109" s="49">
        <f t="shared" si="267"/>
        <v>0</v>
      </c>
      <c r="AS109" s="49">
        <f t="shared" si="267"/>
        <v>0</v>
      </c>
      <c r="AT109" s="52">
        <f t="shared" si="247"/>
        <v>0.8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1.1200000000000001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31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75" thickBot="1">
      <c r="A112" s="16"/>
      <c r="B112" s="16"/>
      <c r="C112" s="19" t="s">
        <v>25</v>
      </c>
      <c r="D112" s="19"/>
      <c r="E112" s="19"/>
      <c r="F112" s="19"/>
      <c r="G112" s="19"/>
      <c r="H112" s="72">
        <f>Année_Calendaire</f>
        <v>2017</v>
      </c>
      <c r="I112" s="72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25</v>
      </c>
      <c r="V112" s="19"/>
      <c r="W112" s="19"/>
      <c r="X112" s="19"/>
      <c r="Y112" s="19"/>
      <c r="Z112" s="72">
        <f>Année_Calendaire</f>
        <v>2017</v>
      </c>
      <c r="AA112" s="72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25</v>
      </c>
      <c r="AN112" s="19"/>
      <c r="AO112" s="19"/>
      <c r="AP112" s="19"/>
      <c r="AQ112" s="19"/>
      <c r="AR112" s="72">
        <f>Année_Calendaire</f>
        <v>2017</v>
      </c>
      <c r="AS112" s="72"/>
      <c r="AT112" s="37"/>
      <c r="AU112" s="44"/>
      <c r="AV112" s="26"/>
      <c r="AW112" s="26"/>
      <c r="AX112" s="37"/>
    </row>
    <row r="113" spans="1:59" s="23" customFormat="1" ht="29.25" customHeight="1" thickTop="1" thickBot="1">
      <c r="A113" s="36"/>
      <c r="B113" s="55" t="str">
        <f>IF(AU95&lt;&gt;"",AU95,IF(AL95="C1","C2",IF(AL95="C2","C3",IF(AL95="C3","C4",IF(AL95="C4","C1","")))))</f>
        <v>C3</v>
      </c>
      <c r="C113" s="98" t="s">
        <v>13</v>
      </c>
      <c r="D113" s="98" t="s">
        <v>14</v>
      </c>
      <c r="E113" s="98" t="s">
        <v>15</v>
      </c>
      <c r="F113" s="98" t="s">
        <v>16</v>
      </c>
      <c r="G113" s="98" t="s">
        <v>17</v>
      </c>
      <c r="H113" s="98" t="s">
        <v>18</v>
      </c>
      <c r="I113" s="98" t="s">
        <v>19</v>
      </c>
      <c r="J113" s="71" t="s">
        <v>32</v>
      </c>
      <c r="K113" s="55" t="str">
        <f>IF(B113="C1","C2",IF(B113="C2","C3",IF(B113="C3","C4",IF(B113="C4","C1",""))))</f>
        <v>C4</v>
      </c>
      <c r="L113" s="99" t="str">
        <f>IF(L114&lt;&gt;"","Lun","")</f>
        <v>Lun</v>
      </c>
      <c r="M113" s="99" t="str">
        <f>IF(M114&lt;&gt;"","Mar","")</f>
        <v>Mar</v>
      </c>
      <c r="N113" s="101" t="str">
        <f>IF(N114&lt;&gt;"","Mer","")</f>
        <v>Mer</v>
      </c>
      <c r="O113" s="99" t="str">
        <f>IF(O114&lt;&gt;"","Jeu","")</f>
        <v>Jeu</v>
      </c>
      <c r="P113" s="99" t="str">
        <f>IF(P114&lt;&gt;"","Ven","")</f>
        <v>Ven</v>
      </c>
      <c r="Q113" s="99" t="str">
        <f>IF(Q114&lt;&gt;"","Sam","")</f>
        <v>Sam</v>
      </c>
      <c r="R113" s="99" t="str">
        <f>IF(R114&lt;&gt;"","Dim","")</f>
        <v>Dim</v>
      </c>
      <c r="S113" s="71" t="s">
        <v>32</v>
      </c>
      <c r="T113" s="55" t="str">
        <f>IF(K113="C1","C2",IF(K113="C2","C3",IF(K113="C3","C4",IF(K113="C4","C1",""))))</f>
        <v>C1</v>
      </c>
      <c r="U113" s="99" t="str">
        <f>IF(U114&lt;&gt;"","Lun","")</f>
        <v>Lun</v>
      </c>
      <c r="V113" s="99" t="str">
        <f>IF(V114&lt;&gt;"","Mar","")</f>
        <v>Mar</v>
      </c>
      <c r="W113" s="99" t="str">
        <f>IF(W114&lt;&gt;"","Mer","")</f>
        <v>Mer</v>
      </c>
      <c r="X113" s="99" t="str">
        <f>IF(X114&lt;&gt;"","Jeu","")</f>
        <v>Jeu</v>
      </c>
      <c r="Y113" s="99" t="str">
        <f>IF(Y114&lt;&gt;"","Ven","")</f>
        <v>Ven</v>
      </c>
      <c r="Z113" s="99" t="str">
        <f>IF(Z114&lt;&gt;"","Sam","")</f>
        <v>Sam</v>
      </c>
      <c r="AA113" s="99" t="str">
        <f>IF(AA114&lt;&gt;"","Dim","")</f>
        <v>Dim</v>
      </c>
      <c r="AB113" s="71" t="s">
        <v>32</v>
      </c>
      <c r="AC113" s="55" t="str">
        <f>IF(T113="C1","C2",IF(T113="C2","C3",IF(T113="C3","C4",IF(T113="C4","C1",""))))</f>
        <v>C2</v>
      </c>
      <c r="AD113" s="99" t="str">
        <f>IF(AD114&lt;&gt;"","Lun","")</f>
        <v>Lun</v>
      </c>
      <c r="AE113" s="99" t="str">
        <f>IF(AE114&lt;&gt;"","Mar","")</f>
        <v>Mar</v>
      </c>
      <c r="AF113" s="99" t="str">
        <f>IF(AF114&lt;&gt;"","Mer","")</f>
        <v>Mer</v>
      </c>
      <c r="AG113" s="99" t="str">
        <f>IF(AG114&lt;&gt;"","Jeu","")</f>
        <v>Jeu</v>
      </c>
      <c r="AH113" s="99" t="str">
        <f>IF(AH114&lt;&gt;"","Ven","")</f>
        <v>Ven</v>
      </c>
      <c r="AI113" s="99" t="str">
        <f>IF(AI114&lt;&gt;"","Sam","")</f>
        <v>Sam</v>
      </c>
      <c r="AJ113" s="99" t="str">
        <f>IF(AJ114&lt;&gt;"","Dim","")</f>
        <v>Dim</v>
      </c>
      <c r="AK113" s="71" t="s">
        <v>32</v>
      </c>
      <c r="AL113" s="55" t="str">
        <f>IF(AC113="C1","C2",IF(AC113="C2","C3",IF(AC113="C3","C4",IF(AC113="C4","C1",""))))</f>
        <v>C3</v>
      </c>
      <c r="AM113" s="99" t="str">
        <f>IF(AM114&lt;&gt;"","Lun","")</f>
        <v>Lun</v>
      </c>
      <c r="AN113" s="99" t="str">
        <f>IF(AN114&lt;&gt;"","Mar","")</f>
        <v>Mar</v>
      </c>
      <c r="AO113" s="99" t="str">
        <f>IF(AO114&lt;&gt;"","Mer","")</f>
        <v>Mer</v>
      </c>
      <c r="AP113" s="99" t="str">
        <f>IF(AP114&lt;&gt;"","Jeu","")</f>
        <v>Jeu</v>
      </c>
      <c r="AQ113" s="99" t="str">
        <f>IF(AQ114&lt;&gt;"","Ven","")</f>
        <v>Ven</v>
      </c>
      <c r="AR113" s="99" t="str">
        <f>IF(AR114&lt;&gt;"","Sam","")</f>
        <v>Sam</v>
      </c>
      <c r="AS113" s="99" t="str">
        <f>IF(AS114&lt;&gt;"","Dim","")</f>
        <v>Dim</v>
      </c>
      <c r="AT113" s="71" t="s">
        <v>32</v>
      </c>
      <c r="AU113" s="55" t="str">
        <f>IF(AV113&lt;&gt;"",IF(AL113="C1","C2",IF(AL113="C2","C3",IF(AL113="C3","C4",IF(AL113="C4","C1","")))),"")</f>
        <v>C4</v>
      </c>
      <c r="AV113" s="53" t="str">
        <f>IF(AV114&lt;&gt;"","Lun","")</f>
        <v>Lun</v>
      </c>
      <c r="AW113" s="53" t="str">
        <f>IF(AW114&lt;&gt;"","Mar","")</f>
        <v/>
      </c>
      <c r="AX113" s="71" t="s">
        <v>32</v>
      </c>
      <c r="AY113" s="71" t="s">
        <v>35</v>
      </c>
      <c r="AZ113" s="74">
        <f>AY120+AY121+AY122</f>
        <v>10</v>
      </c>
      <c r="BA113" s="74">
        <f>AZ113+BA95</f>
        <v>60</v>
      </c>
      <c r="BB113" s="39"/>
      <c r="BC113" s="39"/>
      <c r="BD113" s="39"/>
      <c r="BE113" s="39"/>
      <c r="BF113" s="34"/>
    </row>
    <row r="114" spans="1:59" s="25" customFormat="1" ht="15" customHeight="1" thickTop="1">
      <c r="A114" s="10"/>
      <c r="B114" s="54"/>
      <c r="C114" s="97" t="str">
        <f>IF(DAY(Juil_Dim1)=1,"",IF(AND(YEAR(Juil_Dim1+1)=Année_Calendaire,MONTH(Juil_Dim1+1)=7),Juil_Dim1+1,""))</f>
        <v/>
      </c>
      <c r="D114" s="97" t="str">
        <f>IF(DAY(Juil_Dim1)=1,"",IF(AND(YEAR(Juil_Dim1+2)=Année_Calendaire,MONTH(Juil_Dim1+2)=7),Juil_Dim1+2,""))</f>
        <v/>
      </c>
      <c r="E114" s="97" t="str">
        <f>IF(DAY(Juil_Dim1)=1,"",IF(AND(YEAR(Juil_Dim1+3)=Année_Calendaire,MONTH(Juil_Dim1+3)=7),Juil_Dim1+3,""))</f>
        <v/>
      </c>
      <c r="F114" s="97" t="str">
        <f>IF(DAY(Juil_Dim1)=1,"",IF(AND(YEAR(Juil_Dim1+4)=Année_Calendaire,MONTH(Juil_Dim1+4)=7),Juil_Dim1+4,""))</f>
        <v/>
      </c>
      <c r="G114" s="97" t="str">
        <f>IF(DAY(Juil_Dim1)=1,"",IF(AND(YEAR(Juil_Dim1+5)=Année_Calendaire,MONTH(Juil_Dim1+5)=7),Juil_Dim1+5,""))</f>
        <v/>
      </c>
      <c r="H114" s="97">
        <f>IF(DAY(Juil_Dim1)=1,"",IF(AND(YEAR(Juil_Dim1+6)=Année_Calendaire,MONTH(Juil_Dim1+6)=7),Juil_Dim1+6,""))</f>
        <v>42917</v>
      </c>
      <c r="I114" s="97">
        <f>IF(DAY(Juil_Dim1)=1,IF(AND(YEAR(Juil_Dim1)=Année_Calendaire,MONTH(Juil_Dim1)=7),Juil_Dim1,""),IF(AND(YEAR(Juil_Dim1+7)=Année_Calendaire,MONTH(Juil_Dim1+7)=7),Juil_Dim1+7,""))</f>
        <v>42918</v>
      </c>
      <c r="J114" s="71"/>
      <c r="K114" s="54"/>
      <c r="L114" s="97">
        <f>IF(DAY(Juil_Dim1)=1,IF(AND(YEAR(Juil_Dim1+1)=Année_Calendaire,MONTH(Juil_Dim1+1)=7),Juil_Dim1+1,""),IF(AND(YEAR(Juil_Dim1+8)=Année_Calendaire,MONTH(Juil_Dim1+8)=7),Juil_Dim1+8,""))</f>
        <v>42919</v>
      </c>
      <c r="M114" s="97">
        <f>IF(DAY(Juil_Dim1)=1,IF(AND(YEAR(Juil_Dim1+2)=Année_Calendaire,MONTH(Juil_Dim1+2)=7),Juil_Dim1+2,""),IF(AND(YEAR(Juil_Dim1+9)=Année_Calendaire,MONTH(Juil_Dim1+9)=7),Juil_Dim1+9,""))</f>
        <v>42920</v>
      </c>
      <c r="N114" s="97">
        <f>IF(DAY(Juil_Dim1)=1,IF(AND(YEAR(Juil_Dim1+3)=Année_Calendaire,MONTH(Juil_Dim1+3)=7),Juil_Dim1+3,""),IF(AND(YEAR(Juil_Dim1+10)=Année_Calendaire,MONTH(Juil_Dim1+10)=7),Juil_Dim1+10,""))</f>
        <v>42921</v>
      </c>
      <c r="O114" s="97">
        <f>IF(DAY(Juil_Dim1)=1,IF(AND(YEAR(Juil_Dim1+4)=Année_Calendaire,MONTH(Juil_Dim1+4)=7),Juil_Dim1+4,""),IF(AND(YEAR(Juil_Dim1+11)=Année_Calendaire,MONTH(Juil_Dim1+11)=7),Juil_Dim1+11,""))</f>
        <v>42922</v>
      </c>
      <c r="P114" s="97">
        <f>IF(DAY(Juil_Dim1)=1,IF(AND(YEAR(Juil_Dim1+5)=Année_Calendaire,MONTH(Juil_Dim1+5)=7),Juil_Dim1+5,""),IF(AND(YEAR(Juil_Dim1+12)=Année_Calendaire,MONTH(Juil_Dim1+12)=7),Juil_Dim1+12,""))</f>
        <v>42923</v>
      </c>
      <c r="Q114" s="97">
        <f>IF(DAY(Juil_Dim1)=1,IF(AND(YEAR(Juil_Dim1+6)=Année_Calendaire,MONTH(Juil_Dim1+6)=7),Juil_Dim1+6,""),IF(AND(YEAR(Juil_Dim1+13)=Année_Calendaire,MONTH(Juil_Dim1+13)=7),Juil_Dim1+13,""))</f>
        <v>42924</v>
      </c>
      <c r="R114" s="97">
        <f>IF(DAY(Juil_Dim1)=1,IF(AND(YEAR(Juil_Dim1+7)=Année_Calendaire,MONTH(Juil_Dim1+7)=7),Juil_Dim1+7,""),IF(AND(YEAR(Juil_Dim1+14)=Année_Calendaire,MONTH(Juil_Dim1+14)=7),Juil_Dim1+14,""))</f>
        <v>42925</v>
      </c>
      <c r="S114" s="71"/>
      <c r="T114" s="54"/>
      <c r="U114" s="97">
        <f>IF(DAY(Juil_Dim1)=1,IF(AND(YEAR(Juil_Dim1+8)=Année_Calendaire,MONTH(Juil_Dim1+8)=7),Juil_Dim1+8,""),IF(AND(YEAR(Juil_Dim1+15)=Année_Calendaire,MONTH(Juil_Dim1+15)=7),Juil_Dim1+15,""))</f>
        <v>42926</v>
      </c>
      <c r="V114" s="97">
        <f>IF(DAY(Juil_Dim1)=1,IF(AND(YEAR(Juil_Dim1+9)=Année_Calendaire,MONTH(Juil_Dim1+9)=7),Juil_Dim1+9,""),IF(AND(YEAR(Juil_Dim1+16)=Année_Calendaire,MONTH(Juil_Dim1+16)=7),Juil_Dim1+16,""))</f>
        <v>42927</v>
      </c>
      <c r="W114" s="97">
        <f>IF(DAY(Juil_Dim1)=1,IF(AND(YEAR(Juil_Dim1+10)=Année_Calendaire,MONTH(Juil_Dim1+10)=7),Juil_Dim1+10,""),IF(AND(YEAR(Juil_Dim1+17)=Année_Calendaire,MONTH(Juil_Dim1+17)=7),Juil_Dim1+17,""))</f>
        <v>42928</v>
      </c>
      <c r="X114" s="97">
        <f>IF(DAY(Juil_Dim1)=1,IF(AND(YEAR(Juil_Dim1+11)=Année_Calendaire,MONTH(Juil_Dim1+11)=7),Juil_Dim1+11,""),IF(AND(YEAR(Juil_Dim1+18)=Année_Calendaire,MONTH(Juil_Dim1+18)=7),Juil_Dim1+18,""))</f>
        <v>42929</v>
      </c>
      <c r="Y114" s="97">
        <f>IF(DAY(Juil_Dim1)=1,IF(AND(YEAR(Juil_Dim1+12)=Année_Calendaire,MONTH(Juil_Dim1+12)=7),Juil_Dim1+12,""),IF(AND(YEAR(Juil_Dim1+19)=Année_Calendaire,MONTH(Juil_Dim1+19)=7),Juil_Dim1+19,""))</f>
        <v>42930</v>
      </c>
      <c r="Z114" s="97">
        <f>IF(DAY(Juil_Dim1)=1,IF(AND(YEAR(Juil_Dim1+13)=Année_Calendaire,MONTH(Juil_Dim1+13)=7),Juil_Dim1+13,""),IF(AND(YEAR(Juil_Dim1+20)=Année_Calendaire,MONTH(Juil_Dim1+20)=7),Juil_Dim1+20,""))</f>
        <v>42931</v>
      </c>
      <c r="AA114" s="97">
        <f>IF(DAY(Juil_Dim1)=1,IF(AND(YEAR(Juil_Dim1+14)=Année_Calendaire,MONTH(Juil_Dim1+14)=7),Juil_Dim1+14,""),IF(AND(YEAR(Juil_Dim1+21)=Année_Calendaire,MONTH(Juil_Dim1+21)=7),Juil_Dim1+21,""))</f>
        <v>42932</v>
      </c>
      <c r="AB114" s="71"/>
      <c r="AC114" s="54"/>
      <c r="AD114" s="97">
        <f>IF(DAY(Juil_Dim1)=1,IF(AND(YEAR(Juil_Dim1+15)=Année_Calendaire,MONTH(Juil_Dim1+15)=7),Juil_Dim1+15,""),IF(AND(YEAR(Juil_Dim1+22)=Année_Calendaire,MONTH(Juil_Dim1+22)=7),Juil_Dim1+22,""))</f>
        <v>42933</v>
      </c>
      <c r="AE114" s="97">
        <f>IF(DAY(Juil_Dim1)=1,IF(AND(YEAR(Juil_Dim1+16)=Année_Calendaire,MONTH(Juil_Dim1+16)=7),Juil_Dim1+16,""),IF(AND(YEAR(Juil_Dim1+23)=Année_Calendaire,MONTH(Juil_Dim1+23)=7),Juil_Dim1+23,""))</f>
        <v>42934</v>
      </c>
      <c r="AF114" s="97">
        <f>IF(DAY(Juil_Dim1)=1,IF(AND(YEAR(Juil_Dim1+17)=Année_Calendaire,MONTH(Juil_Dim1+17)=7),Juil_Dim1+17,""),IF(AND(YEAR(Juil_Dim1+24)=Année_Calendaire,MONTH(Juil_Dim1+24)=7),Juil_Dim1+24,""))</f>
        <v>42935</v>
      </c>
      <c r="AG114" s="97">
        <f>IF(DAY(Juil_Dim1)=1,IF(AND(YEAR(Juil_Dim1+18)=Année_Calendaire,MONTH(Juil_Dim1+18)=7),Juil_Dim1+18,""),IF(AND(YEAR(Juil_Dim1+25)=Année_Calendaire,MONTH(Juil_Dim1+25)=7),Juil_Dim1+25,""))</f>
        <v>42936</v>
      </c>
      <c r="AH114" s="97">
        <f>IF(DAY(Juil_Dim1)=1,IF(AND(YEAR(Juil_Dim1+19)=Année_Calendaire,MONTH(Juil_Dim1+19)=7),Juil_Dim1+19,""),IF(AND(YEAR(Juil_Dim1+26)=Année_Calendaire,MONTH(Juil_Dim1+26)=7),Juil_Dim1+26,""))</f>
        <v>42937</v>
      </c>
      <c r="AI114" s="97">
        <f>IF(DAY(Juil_Dim1)=1,IF(AND(YEAR(Juil_Dim1+20)=Année_Calendaire,MONTH(Juil_Dim1+20)=7),Juil_Dim1+20,""),IF(AND(YEAR(Juil_Dim1+27)=Année_Calendaire,MONTH(Juil_Dim1+27)=7),Juil_Dim1+27,""))</f>
        <v>42938</v>
      </c>
      <c r="AJ114" s="97">
        <f>IF(DAY(Juil_Dim1)=1,IF(AND(YEAR(Juil_Dim1+21)=Année_Calendaire,MONTH(Juil_Dim1+21)=7),Juil_Dim1+21,""),IF(AND(YEAR(Juil_Dim1+28)=Année_Calendaire,MONTH(Juil_Dim1+28)=7),Juil_Dim1+28,""))</f>
        <v>42939</v>
      </c>
      <c r="AK114" s="71"/>
      <c r="AL114" s="54"/>
      <c r="AM114" s="97">
        <f>IF(DAY(Juil_Dim1)=1,IF(AND(YEAR(Juil_Dim1+22)=Année_Calendaire,MONTH(Juil_Dim1+22)=7),Juil_Dim1+22,""),IF(AND(YEAR(Juil_Dim1+29)=Année_Calendaire,MONTH(Juil_Dim1+29)=7),Juil_Dim1+29,""))</f>
        <v>42940</v>
      </c>
      <c r="AN114" s="97">
        <f>IF(DAY(Juil_Dim1)=1,IF(AND(YEAR(Juil_Dim1+23)=Année_Calendaire,MONTH(Juil_Dim1+23)=7),Juil_Dim1+23,""),IF(AND(YEAR(Juil_Dim1+30)=Année_Calendaire,MONTH(Juil_Dim1+30)=7),Juil_Dim1+30,""))</f>
        <v>42941</v>
      </c>
      <c r="AO114" s="97">
        <f>IF(DAY(Juil_Dim1)=1,IF(AND(YEAR(Juil_Dim1+24)=Année_Calendaire,MONTH(Juil_Dim1+24)=7),Juil_Dim1+24,""),IF(AND(YEAR(Juil_Dim1+31)=Année_Calendaire,MONTH(Juil_Dim1+31)=7),Juil_Dim1+31,""))</f>
        <v>42942</v>
      </c>
      <c r="AP114" s="97">
        <f>IF(DAY(Juil_Dim1)=1,IF(AND(YEAR(Juil_Dim1+25)=Année_Calendaire,MONTH(Juil_Dim1+25)=7),Juil_Dim1+25,""),IF(AND(YEAR(Juil_Dim1+32)=Année_Calendaire,MONTH(Juil_Dim1+32)=7),Juil_Dim1+32,""))</f>
        <v>42943</v>
      </c>
      <c r="AQ114" s="97">
        <f>IF(DAY(Juil_Dim1)=1,IF(AND(YEAR(Juil_Dim1+26)=Année_Calendaire,MONTH(Juil_Dim1+26)=7),Juil_Dim1+26,""),IF(AND(YEAR(Juil_Dim1+33)=Année_Calendaire,MONTH(Juil_Dim1+33)=7),Juil_Dim1+33,""))</f>
        <v>42944</v>
      </c>
      <c r="AR114" s="97">
        <f>IF(DAY(Juil_Dim1)=1,IF(AND(YEAR(Juil_Dim1+27)=Année_Calendaire,MONTH(Juil_Dim1+27)=7),Juil_Dim1+27,""),IF(AND(YEAR(Juil_Dim1+34)=Année_Calendaire,MONTH(Juil_Dim1+34)=7),Juil_Dim1+34,""))</f>
        <v>42945</v>
      </c>
      <c r="AS114" s="97">
        <f>IF(DAY(Juil_Dim1)=1,IF(AND(YEAR(Juil_Dim1+28)=Année_Calendaire,MONTH(Juil_Dim1+28)=7),Juil_Dim1+28,""),IF(AND(YEAR(Juil_Dim1+35)=Année_Calendaire,MONTH(Juil_Dim1+35)=7),Juil_Dim1+35,""))</f>
        <v>42946</v>
      </c>
      <c r="AT114" s="71"/>
      <c r="AU114" s="54"/>
      <c r="AV114" s="54">
        <f>IF(DAY(Juil_Dim1)=1,IF(AND(YEAR(Juil_Dim1+29)=Année_Calendaire,MONTH(Juil_Dim1+29)=7),Juil_Dim1+29,""),IF(AND(YEAR(Juil_Dim1+36)=Année_Calendaire,MONTH(Juil_Dim1+36)=7),Juil_Dim1+36,""))</f>
        <v>42947</v>
      </c>
      <c r="AW114" s="54" t="str">
        <f>IF(DAY(Juil_Dim1)=1,IF(AND(YEAR(Juil_Dim1+30)=Année_Calendaire,MONTH(Juil_Dim1+30)=7),Juil_Dim1+30,""),IF(AND(YEAR(Juil_Dim1+37)=Année_Calendaire,MONTH(Juil_Dim1+37)=7),Juil_Dim1+37,""))</f>
        <v/>
      </c>
      <c r="AX114" s="71"/>
      <c r="AY114" s="71"/>
      <c r="AZ114" s="74"/>
      <c r="BA114" s="74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/>
      </c>
      <c r="H115" s="49">
        <f>IF(H114="","",IFERROR(VLOOKUP(B113,DATA!$A:$H,7,TRUE),0))</f>
        <v>0</v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am</v>
      </c>
      <c r="M115" s="49" t="str">
        <f>IF(M114="","",IFERROR(VLOOKUP(K113,DATA!$A:$H,3,TRUE),0))</f>
        <v>am</v>
      </c>
      <c r="N115" s="49" t="str">
        <f>IF(N114="","",IFERROR(VLOOKUP(K113,DATA!$A:$H,4,TRUE),0))</f>
        <v>am</v>
      </c>
      <c r="O115" s="49" t="str">
        <f>IF(O114="","",IFERROR(VLOOKUP(K113,DATA!$A:$H,5,TRUE),0))</f>
        <v>am</v>
      </c>
      <c r="P115" s="49" t="str">
        <f>IF(P114="","",IFERROR(VLOOKUP(K113,DATA!$A:$H,6,TRUE),0))</f>
        <v>am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matin</v>
      </c>
      <c r="V115" s="49" t="str">
        <f>IF(V114="","",IFERROR(VLOOKUP(T113,DATA!$A:$H,3,TRUE),0))</f>
        <v>matin</v>
      </c>
      <c r="W115" s="49" t="str">
        <f>IF(W114="","",IFERROR(VLOOKUP(T113,DATA!$A:$H,4,TRUE),0))</f>
        <v>matin</v>
      </c>
      <c r="X115" s="49">
        <f>IF(X114="","",IFERROR(VLOOKUP(T113,DATA!$A:$H,5,TRUE),0))</f>
        <v>0</v>
      </c>
      <c r="Y115" s="49">
        <f>IF(Y114="","",IFERROR(VLOOKUP(T113,DATA!$A:$H,6,TRUE),0))</f>
        <v>0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nuit</v>
      </c>
      <c r="AE115" s="49" t="str">
        <f>IF(AE114="","",IFERROR(VLOOKUP(AC113,DATA!$A:$H,3,TRUE),0))</f>
        <v>nuit</v>
      </c>
      <c r="AF115" s="49" t="str">
        <f>IF(AF114="","",IFERROR(VLOOKUP(AC113,DATA!$A:$H,4,TRUE),0))</f>
        <v>nuit</v>
      </c>
      <c r="AG115" s="49" t="str">
        <f>IF(AG114="","",IFERROR(VLOOKUP(AC113,DATA!$A:$H,5,TRUE),0))</f>
        <v>nuit</v>
      </c>
      <c r="AH115" s="49" t="str">
        <f>IF(AH114="","",IFERROR(VLOOKUP(AC113,DATA!$A:$H,6,TRUE),0))</f>
        <v>nuit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matin</v>
      </c>
      <c r="AN115" s="49">
        <f>IF(AN114="","",IFERROR(VLOOKUP(AL113,DATA!$A:$H,3,TRUE),0))</f>
        <v>0</v>
      </c>
      <c r="AO115" s="49">
        <f>IF(AO114="","",IFERROR(VLOOKUP(AL113,DATA!$A:$H,4,TRUE),0))</f>
        <v>0</v>
      </c>
      <c r="AP115" s="49" t="str">
        <f>IF(AP114="","",IFERROR(VLOOKUP(AL113,DATA!$A:$H,5,TRUE),0))</f>
        <v>matin</v>
      </c>
      <c r="AQ115" s="49" t="str">
        <f>IF(AQ114="","",IFERROR(VLOOKUP(AL113,DATA!$A:$H,6,TRUE),0))</f>
        <v>matin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>am</v>
      </c>
      <c r="AW115" s="49" t="str">
        <f>IF(AW114="","",IFERROR(VLOOKUP(AU113,DATA!$A:$H,3,TRUE),0))</f>
        <v/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0</v>
      </c>
      <c r="K116" s="51"/>
      <c r="L116" s="52">
        <f t="shared" ref="L116:R116" si="269">IF(L115="Matin",1,IF(L115="AM",1,0))</f>
        <v>1</v>
      </c>
      <c r="M116" s="52">
        <f t="shared" si="269"/>
        <v>1</v>
      </c>
      <c r="N116" s="52">
        <f t="shared" si="269"/>
        <v>1</v>
      </c>
      <c r="O116" s="52">
        <f t="shared" si="269"/>
        <v>1</v>
      </c>
      <c r="P116" s="52">
        <f t="shared" si="269"/>
        <v>1</v>
      </c>
      <c r="Q116" s="52">
        <f t="shared" si="269"/>
        <v>0</v>
      </c>
      <c r="R116" s="52">
        <f t="shared" si="269"/>
        <v>0</v>
      </c>
      <c r="S116" s="52">
        <f>SUM(L116:R116)</f>
        <v>5</v>
      </c>
      <c r="T116" s="51"/>
      <c r="U116" s="52">
        <f t="shared" ref="U116:AA116" si="270">IF(U115="Matin",1,IF(U115="AM",1,0))</f>
        <v>1</v>
      </c>
      <c r="V116" s="52">
        <f t="shared" si="270"/>
        <v>1</v>
      </c>
      <c r="W116" s="52">
        <f t="shared" si="270"/>
        <v>1</v>
      </c>
      <c r="X116" s="52">
        <f t="shared" si="270"/>
        <v>0</v>
      </c>
      <c r="Y116" s="52">
        <f t="shared" si="270"/>
        <v>0</v>
      </c>
      <c r="Z116" s="52">
        <f t="shared" si="270"/>
        <v>0</v>
      </c>
      <c r="AA116" s="52">
        <f t="shared" si="270"/>
        <v>0</v>
      </c>
      <c r="AB116" s="52">
        <f>SUM(U116:AA116)</f>
        <v>3</v>
      </c>
      <c r="AC116" s="51"/>
      <c r="AD116" s="52">
        <f t="shared" ref="AD116:AJ116" si="271">IF(AD115="Matin",1,IF(AD115="AM",1,0))</f>
        <v>0</v>
      </c>
      <c r="AE116" s="52">
        <f t="shared" si="271"/>
        <v>0</v>
      </c>
      <c r="AF116" s="52">
        <f t="shared" si="271"/>
        <v>0</v>
      </c>
      <c r="AG116" s="52">
        <f t="shared" si="271"/>
        <v>0</v>
      </c>
      <c r="AH116" s="52">
        <f t="shared" si="271"/>
        <v>0</v>
      </c>
      <c r="AI116" s="52">
        <f t="shared" si="271"/>
        <v>0</v>
      </c>
      <c r="AJ116" s="52">
        <f t="shared" si="271"/>
        <v>0</v>
      </c>
      <c r="AK116" s="52">
        <f>SUM(AD116:AJ116)</f>
        <v>0</v>
      </c>
      <c r="AL116" s="51"/>
      <c r="AM116" s="52">
        <f t="shared" ref="AM116:AS116" si="272">IF(AM115="Matin",1,IF(AM115="AM",1,0))</f>
        <v>1</v>
      </c>
      <c r="AN116" s="52">
        <f t="shared" si="272"/>
        <v>0</v>
      </c>
      <c r="AO116" s="52">
        <f t="shared" si="272"/>
        <v>0</v>
      </c>
      <c r="AP116" s="52">
        <f t="shared" si="272"/>
        <v>1</v>
      </c>
      <c r="AQ116" s="52">
        <f t="shared" si="272"/>
        <v>1</v>
      </c>
      <c r="AR116" s="52">
        <f t="shared" si="272"/>
        <v>0</v>
      </c>
      <c r="AS116" s="52">
        <f t="shared" si="272"/>
        <v>0</v>
      </c>
      <c r="AT116" s="52">
        <f>SUM(AM116:AS116)</f>
        <v>3</v>
      </c>
      <c r="AU116" s="51"/>
      <c r="AV116" s="52">
        <f t="shared" ref="AV116:AW116" si="273">IF(AV115="Matin",1,IF(AV115="AM",1,0))</f>
        <v>1</v>
      </c>
      <c r="AW116" s="52">
        <f t="shared" si="273"/>
        <v>0</v>
      </c>
      <c r="AX116" s="52">
        <f t="shared" ref="AX116:AX123" si="274">SUM(AV116:AW116)</f>
        <v>1</v>
      </c>
      <c r="AY116" s="52">
        <f>J116+S116+AB116+AK116+AT116+AX116</f>
        <v>12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0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0</v>
      </c>
      <c r="K117" s="48"/>
      <c r="L117" s="49">
        <f>IF(L118&gt;=1,1,0)</f>
        <v>1</v>
      </c>
      <c r="M117" s="49">
        <f t="shared" ref="M117:R117" si="277">IF(M118&gt;=1,1,0)</f>
        <v>1</v>
      </c>
      <c r="N117" s="49">
        <f t="shared" si="277"/>
        <v>1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5</v>
      </c>
      <c r="T117" s="48"/>
      <c r="U117" s="49">
        <f>IF(U118&gt;=1,1,0)</f>
        <v>1</v>
      </c>
      <c r="V117" s="49">
        <f t="shared" ref="V117:AA117" si="279">IF(V118&gt;=1,1,0)</f>
        <v>1</v>
      </c>
      <c r="W117" s="49">
        <f t="shared" si="279"/>
        <v>1</v>
      </c>
      <c r="X117" s="49">
        <f t="shared" si="279"/>
        <v>0</v>
      </c>
      <c r="Y117" s="49">
        <f t="shared" si="279"/>
        <v>0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3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1</v>
      </c>
      <c r="AH117" s="49">
        <f t="shared" si="281"/>
        <v>1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5</v>
      </c>
      <c r="AL117" s="48"/>
      <c r="AM117" s="49">
        <f>IF(AM118&gt;=1,1,0)</f>
        <v>1</v>
      </c>
      <c r="AN117" s="49">
        <f t="shared" ref="AN117:AS117" si="283">IF(AN118&gt;=1,1,0)</f>
        <v>0</v>
      </c>
      <c r="AO117" s="49">
        <f t="shared" si="283"/>
        <v>0</v>
      </c>
      <c r="AP117" s="49">
        <f t="shared" si="283"/>
        <v>1</v>
      </c>
      <c r="AQ117" s="49">
        <f t="shared" si="283"/>
        <v>1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3</v>
      </c>
      <c r="AU117" s="48"/>
      <c r="AV117" s="49">
        <f>IF(AV118&gt;=1,1,0)</f>
        <v>1</v>
      </c>
      <c r="AW117" s="49">
        <f t="shared" ref="AW117" si="285">IF(AW118&gt;=1,1,0)</f>
        <v>0</v>
      </c>
      <c r="AX117" s="52">
        <f t="shared" si="274"/>
        <v>1</v>
      </c>
      <c r="AY117" s="49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0</v>
      </c>
      <c r="H118" s="52">
        <f t="shared" si="287"/>
        <v>0</v>
      </c>
      <c r="I118" s="52">
        <f t="shared" si="287"/>
        <v>0</v>
      </c>
      <c r="J118" s="52">
        <f t="shared" si="276"/>
        <v>0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8</v>
      </c>
      <c r="N118" s="52">
        <f t="shared" si="288"/>
        <v>8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40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8</v>
      </c>
      <c r="W118" s="52">
        <f t="shared" si="289"/>
        <v>8</v>
      </c>
      <c r="X118" s="52">
        <f t="shared" si="289"/>
        <v>0</v>
      </c>
      <c r="Y118" s="52">
        <f t="shared" si="289"/>
        <v>0</v>
      </c>
      <c r="Z118" s="52">
        <f t="shared" si="289"/>
        <v>0</v>
      </c>
      <c r="AA118" s="52">
        <f t="shared" si="289"/>
        <v>0</v>
      </c>
      <c r="AB118" s="52">
        <f t="shared" si="280"/>
        <v>24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8</v>
      </c>
      <c r="AH118" s="52">
        <f t="shared" si="290"/>
        <v>8</v>
      </c>
      <c r="AI118" s="52">
        <f t="shared" si="290"/>
        <v>0</v>
      </c>
      <c r="AJ118" s="52">
        <f t="shared" si="290"/>
        <v>0</v>
      </c>
      <c r="AK118" s="52">
        <f t="shared" si="282"/>
        <v>40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0</v>
      </c>
      <c r="AO118" s="52">
        <f t="shared" si="291"/>
        <v>0</v>
      </c>
      <c r="AP118" s="52">
        <f t="shared" si="291"/>
        <v>8</v>
      </c>
      <c r="AQ118" s="52">
        <f t="shared" si="291"/>
        <v>8</v>
      </c>
      <c r="AR118" s="52">
        <f t="shared" si="291"/>
        <v>0</v>
      </c>
      <c r="AS118" s="52">
        <f t="shared" si="291"/>
        <v>0</v>
      </c>
      <c r="AT118" s="52">
        <f t="shared" si="284"/>
        <v>24</v>
      </c>
      <c r="AU118" s="51"/>
      <c r="AV118" s="52">
        <f>IF(AV115="Matin",8,IF(AV115="AM",8,IF(AV115="nuit",8,0)))</f>
        <v>8</v>
      </c>
      <c r="AW118" s="52">
        <f t="shared" ref="AW118" si="292">IF(AW115="Matin",8,IF(AW115="AM",8,IF(AW115="nuit",8,0)))</f>
        <v>0</v>
      </c>
      <c r="AX118" s="52">
        <f t="shared" si="274"/>
        <v>8</v>
      </c>
      <c r="AY118" s="52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20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44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</v>
      </c>
      <c r="H127" s="49">
        <f t="shared" si="299"/>
        <v>0</v>
      </c>
      <c r="I127" s="49">
        <f t="shared" si="299"/>
        <v>0</v>
      </c>
      <c r="J127" s="52">
        <f t="shared" si="276"/>
        <v>0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300">IF(N115="nuit",N118*0.02,0)</f>
        <v>0</v>
      </c>
      <c r="O127" s="49">
        <f t="shared" si="300"/>
        <v>0</v>
      </c>
      <c r="P127" s="49">
        <f>IF(P115="nuit",P118*0.02,0)</f>
        <v>0</v>
      </c>
      <c r="Q127" s="49">
        <f t="shared" si="300"/>
        <v>0</v>
      </c>
      <c r="R127" s="49">
        <f t="shared" si="300"/>
        <v>0</v>
      </c>
      <c r="S127" s="52">
        <f t="shared" si="278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0.16</v>
      </c>
      <c r="AE127" s="49">
        <f>IF(AE115="nuit",AE118*0.02,0)</f>
        <v>0.16</v>
      </c>
      <c r="AF127" s="49">
        <f t="shared" ref="AF127:AJ127" si="302">IF(AF115="nuit",AF118*0.02,0)</f>
        <v>0.16</v>
      </c>
      <c r="AG127" s="49">
        <f t="shared" si="302"/>
        <v>0.16</v>
      </c>
      <c r="AH127" s="49">
        <f>IF(AH115="nuit",AH118*0.02,0)</f>
        <v>0.16</v>
      </c>
      <c r="AI127" s="49">
        <f t="shared" si="302"/>
        <v>0</v>
      </c>
      <c r="AJ127" s="49">
        <f t="shared" si="302"/>
        <v>0</v>
      </c>
      <c r="AK127" s="52">
        <f t="shared" si="282"/>
        <v>0.8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3">IF(AO115="nuit",AO118*0.02,0)</f>
        <v>0</v>
      </c>
      <c r="AP127" s="49">
        <f t="shared" si="303"/>
        <v>0</v>
      </c>
      <c r="AQ127" s="49">
        <f>IF(AQ115="nuit",AQ118*0.02,0)</f>
        <v>0</v>
      </c>
      <c r="AR127" s="49">
        <f t="shared" si="303"/>
        <v>0</v>
      </c>
      <c r="AS127" s="49">
        <f t="shared" si="303"/>
        <v>0</v>
      </c>
      <c r="AT127" s="52">
        <f t="shared" si="284"/>
        <v>0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31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75" thickBot="1">
      <c r="A130" s="16"/>
      <c r="B130" s="16"/>
      <c r="C130" s="19" t="s">
        <v>26</v>
      </c>
      <c r="D130" s="19"/>
      <c r="E130" s="19"/>
      <c r="F130" s="19"/>
      <c r="G130" s="19"/>
      <c r="H130" s="72">
        <f>Année_Calendaire</f>
        <v>2017</v>
      </c>
      <c r="I130" s="72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26</v>
      </c>
      <c r="V130" s="19"/>
      <c r="W130" s="19"/>
      <c r="X130" s="19"/>
      <c r="Y130" s="19"/>
      <c r="Z130" s="72">
        <f>Année_Calendaire</f>
        <v>2017</v>
      </c>
      <c r="AA130" s="72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26</v>
      </c>
      <c r="AN130" s="19"/>
      <c r="AO130" s="19"/>
      <c r="AP130" s="19"/>
      <c r="AQ130" s="19"/>
      <c r="AR130" s="72">
        <f>Année_Calendaire</f>
        <v>2017</v>
      </c>
      <c r="AS130" s="72"/>
      <c r="AT130" s="37"/>
      <c r="AU130" s="44"/>
      <c r="AV130" s="26"/>
      <c r="AW130" s="26"/>
      <c r="AX130" s="37"/>
    </row>
    <row r="131" spans="1:59" s="23" customFormat="1" ht="29.25" customHeight="1" thickTop="1" thickBot="1">
      <c r="A131" s="36"/>
      <c r="B131" s="55" t="str">
        <f>IF(AU113&lt;&gt;"",AU113,IF(AL113="C1","C2",IF(AL113="C2","C3",IF(AL113="C3","C4",IF(AL113="C4","C1","")))))</f>
        <v>C4</v>
      </c>
      <c r="C131" s="98" t="s">
        <v>13</v>
      </c>
      <c r="D131" s="99" t="s">
        <v>14</v>
      </c>
      <c r="E131" s="99" t="s">
        <v>15</v>
      </c>
      <c r="F131" s="99" t="s">
        <v>16</v>
      </c>
      <c r="G131" s="99" t="s">
        <v>17</v>
      </c>
      <c r="H131" s="99" t="s">
        <v>18</v>
      </c>
      <c r="I131" s="101" t="s">
        <v>19</v>
      </c>
      <c r="J131" s="71" t="s">
        <v>32</v>
      </c>
      <c r="K131" s="55" t="str">
        <f>IF(B131="C1","C2",IF(B131="C2","C3",IF(B131="C3","C4",IF(B131="C4","C1",""))))</f>
        <v>C1</v>
      </c>
      <c r="L131" s="99" t="str">
        <f>IF(L132&lt;&gt;"","Lun","")</f>
        <v>Lun</v>
      </c>
      <c r="M131" s="99" t="str">
        <f>IF(M132&lt;&gt;"","Mar","")</f>
        <v>Mar</v>
      </c>
      <c r="N131" s="99" t="str">
        <f>IF(N132&lt;&gt;"","Mer","")</f>
        <v>Mer</v>
      </c>
      <c r="O131" s="99" t="str">
        <f>IF(O132&lt;&gt;"","Jeu","")</f>
        <v>Jeu</v>
      </c>
      <c r="P131" s="99" t="str">
        <f>IF(P132&lt;&gt;"","Ven","")</f>
        <v>Ven</v>
      </c>
      <c r="Q131" s="99" t="str">
        <f>IF(Q132&lt;&gt;"","Sam","")</f>
        <v>Sam</v>
      </c>
      <c r="R131" s="99" t="str">
        <f>IF(R132&lt;&gt;"","Dim","")</f>
        <v>Dim</v>
      </c>
      <c r="S131" s="71" t="s">
        <v>32</v>
      </c>
      <c r="T131" s="55" t="str">
        <f>IF(K131="C1","C2",IF(K131="C2","C3",IF(K131="C3","C4",IF(K131="C4","C1",""))))</f>
        <v>C2</v>
      </c>
      <c r="U131" s="99" t="str">
        <f>IF(U132&lt;&gt;"","Lun","")</f>
        <v>Lun</v>
      </c>
      <c r="V131" s="99" t="str">
        <f>IF(V132&lt;&gt;"","Mar","")</f>
        <v>Mar</v>
      </c>
      <c r="W131" s="99" t="str">
        <f>IF(W132&lt;&gt;"","Mer","")</f>
        <v>Mer</v>
      </c>
      <c r="X131" s="99" t="str">
        <f>IF(X132&lt;&gt;"","Jeu","")</f>
        <v>Jeu</v>
      </c>
      <c r="Y131" s="99" t="str">
        <f>IF(Y132&lt;&gt;"","Ven","")</f>
        <v>Ven</v>
      </c>
      <c r="Z131" s="99" t="str">
        <f>IF(Z132&lt;&gt;"","Sam","")</f>
        <v>Sam</v>
      </c>
      <c r="AA131" s="99" t="str">
        <f>IF(AA132&lt;&gt;"","Dim","")</f>
        <v>Dim</v>
      </c>
      <c r="AB131" s="71" t="s">
        <v>32</v>
      </c>
      <c r="AC131" s="55" t="str">
        <f>IF(T131="C1","C2",IF(T131="C2","C3",IF(T131="C3","C4",IF(T131="C4","C1",""))))</f>
        <v>C3</v>
      </c>
      <c r="AD131" s="99" t="str">
        <f>IF(AD132&lt;&gt;"","Lun","")</f>
        <v>Lun</v>
      </c>
      <c r="AE131" s="99" t="str">
        <f>IF(AE132&lt;&gt;"","Mar","")</f>
        <v>Mar</v>
      </c>
      <c r="AF131" s="99" t="str">
        <f>IF(AF132&lt;&gt;"","Mer","")</f>
        <v>Mer</v>
      </c>
      <c r="AG131" s="99" t="str">
        <f>IF(AG132&lt;&gt;"","Jeu","")</f>
        <v>Jeu</v>
      </c>
      <c r="AH131" s="99" t="str">
        <f>IF(AH132&lt;&gt;"","Ven","")</f>
        <v>Ven</v>
      </c>
      <c r="AI131" s="99" t="str">
        <f>IF(AI132&lt;&gt;"","Sam","")</f>
        <v>Sam</v>
      </c>
      <c r="AJ131" s="99" t="str">
        <f>IF(AJ132&lt;&gt;"","Dim","")</f>
        <v>Dim</v>
      </c>
      <c r="AK131" s="71" t="s">
        <v>32</v>
      </c>
      <c r="AL131" s="55" t="str">
        <f>IF(AC131="C1","C2",IF(AC131="C2","C3",IF(AC131="C3","C4",IF(AC131="C4","C1",""))))</f>
        <v>C4</v>
      </c>
      <c r="AM131" s="99" t="str">
        <f>IF(AM132&lt;&gt;"","Lun","")</f>
        <v>Lun</v>
      </c>
      <c r="AN131" s="99" t="str">
        <f>IF(AN132&lt;&gt;"","Mar","")</f>
        <v>Mar</v>
      </c>
      <c r="AO131" s="99" t="str">
        <f>IF(AO132&lt;&gt;"","Mer","")</f>
        <v>Mer</v>
      </c>
      <c r="AP131" s="99" t="str">
        <f>IF(AP132&lt;&gt;"","Jeu","")</f>
        <v>Jeu</v>
      </c>
      <c r="AQ131" s="98" t="str">
        <f>IF(AQ132&lt;&gt;"","Ven","")</f>
        <v/>
      </c>
      <c r="AR131" s="98" t="str">
        <f>IF(AR132&lt;&gt;"","Sam","")</f>
        <v/>
      </c>
      <c r="AS131" s="98" t="str">
        <f>IF(AS132&lt;&gt;"","Dim","")</f>
        <v/>
      </c>
      <c r="AT131" s="71" t="s">
        <v>32</v>
      </c>
      <c r="AU131" s="55" t="str">
        <f>IF(AV131&lt;&gt;"",IF(AL131="C1","C2",IF(AL131="C2","C3",IF(AL131="C3","C4",IF(AL131="C4","C1","")))),"")</f>
        <v/>
      </c>
      <c r="AV131" s="53" t="str">
        <f>IF(AV132&lt;&gt;"","Lun","")</f>
        <v/>
      </c>
      <c r="AW131" s="53" t="str">
        <f>IF(AW132&lt;&gt;"","Mar","")</f>
        <v/>
      </c>
      <c r="AX131" s="71" t="s">
        <v>32</v>
      </c>
      <c r="AY131" s="71" t="s">
        <v>35</v>
      </c>
      <c r="AZ131" s="74">
        <f>AY138+AY139+AY140</f>
        <v>5</v>
      </c>
      <c r="BA131" s="74">
        <f>AZ131+BA113</f>
        <v>65</v>
      </c>
      <c r="BB131" s="39"/>
      <c r="BC131" s="39"/>
      <c r="BD131" s="39"/>
      <c r="BE131" s="39"/>
      <c r="BF131" s="34"/>
    </row>
    <row r="132" spans="1:59" s="25" customFormat="1" ht="15" customHeight="1" thickTop="1">
      <c r="A132" s="10"/>
      <c r="B132" s="54"/>
      <c r="C132" s="97" t="str">
        <f>IF(DAY(Aoû_Dim1)=1,"",IF(AND(YEAR(Aoû_Dim1+1)=Année_Calendaire,MONTH(Aoû_Dim1+1)=8),Aoû_Dim1+1,""))</f>
        <v/>
      </c>
      <c r="D132" s="97">
        <f>IF(DAY(Aoû_Dim1)=1,"",IF(AND(YEAR(Aoû_Dim1+2)=Année_Calendaire,MONTH(Aoû_Dim1+2)=8),Aoû_Dim1+2,""))</f>
        <v>42948</v>
      </c>
      <c r="E132" s="97">
        <f>IF(DAY(Aoû_Dim1)=1,"",IF(AND(YEAR(Aoû_Dim1+3)=Année_Calendaire,MONTH(Aoû_Dim1+3)=8),Aoû_Dim1+3,""))</f>
        <v>42949</v>
      </c>
      <c r="F132" s="97">
        <f>IF(DAY(Aoû_Dim1)=1,"",IF(AND(YEAR(Aoû_Dim1+4)=Année_Calendaire,MONTH(Aoû_Dim1+4)=8),Aoû_Dim1+4,""))</f>
        <v>42950</v>
      </c>
      <c r="G132" s="97">
        <f>IF(DAY(Aoû_Dim1)=1,"",IF(AND(YEAR(Aoû_Dim1+5)=Année_Calendaire,MONTH(Aoû_Dim1+5)=8),Aoû_Dim1+5,""))</f>
        <v>42951</v>
      </c>
      <c r="H132" s="97">
        <f>IF(DAY(Aoû_Dim1)=1,"",IF(AND(YEAR(Aoû_Dim1+6)=Année_Calendaire,MONTH(Aoû_Dim1+6)=8),Aoû_Dim1+6,""))</f>
        <v>42952</v>
      </c>
      <c r="I132" s="97">
        <f>IF(DAY(Aoû_Dim1)=1,IF(AND(YEAR(Aoû_Dim1)=Année_Calendaire,MONTH(Aoû_Dim1)=8),Aoû_Dim1,""),IF(AND(YEAR(Aoû_Dim1+7)=Année_Calendaire,MONTH(Aoû_Dim1+7)=8),Aoû_Dim1+7,""))</f>
        <v>42953</v>
      </c>
      <c r="J132" s="71"/>
      <c r="K132" s="54"/>
      <c r="L132" s="97">
        <f>IF(DAY(Aoû_Dim1)=1,IF(AND(YEAR(Aoû_Dim1+1)=Année_Calendaire,MONTH(Aoû_Dim1+1)=8),Aoû_Dim1+1,""),IF(AND(YEAR(Aoû_Dim1+8)=Année_Calendaire,MONTH(Aoû_Dim1+8)=8),Aoû_Dim1+8,""))</f>
        <v>42954</v>
      </c>
      <c r="M132" s="97">
        <f>IF(DAY(Aoû_Dim1)=1,IF(AND(YEAR(Aoû_Dim1+2)=Année_Calendaire,MONTH(Aoû_Dim1+2)=8),Aoû_Dim1+2,""),IF(AND(YEAR(Aoû_Dim1+9)=Année_Calendaire,MONTH(Aoû_Dim1+9)=8),Aoû_Dim1+9,""))</f>
        <v>42955</v>
      </c>
      <c r="N132" s="97">
        <f>IF(DAY(Aoû_Dim1)=1,IF(AND(YEAR(Aoû_Dim1+3)=Année_Calendaire,MONTH(Aoû_Dim1+3)=8),Aoû_Dim1+3,""),IF(AND(YEAR(Aoû_Dim1+10)=Année_Calendaire,MONTH(Aoû_Dim1+10)=8),Aoû_Dim1+10,""))</f>
        <v>42956</v>
      </c>
      <c r="O132" s="97">
        <f>IF(DAY(Aoû_Dim1)=1,IF(AND(YEAR(Aoû_Dim1+4)=Année_Calendaire,MONTH(Aoû_Dim1+4)=8),Aoû_Dim1+4,""),IF(AND(YEAR(Aoû_Dim1+11)=Année_Calendaire,MONTH(Aoû_Dim1+11)=8),Aoû_Dim1+11,""))</f>
        <v>42957</v>
      </c>
      <c r="P132" s="97">
        <f>IF(DAY(Aoû_Dim1)=1,IF(AND(YEAR(Aoû_Dim1+5)=Année_Calendaire,MONTH(Aoû_Dim1+5)=8),Aoû_Dim1+5,""),IF(AND(YEAR(Aoû_Dim1+12)=Année_Calendaire,MONTH(Aoû_Dim1+12)=8),Aoû_Dim1+12,""))</f>
        <v>42958</v>
      </c>
      <c r="Q132" s="97">
        <f>IF(DAY(Aoû_Dim1)=1,IF(AND(YEAR(Aoû_Dim1+6)=Année_Calendaire,MONTH(Aoû_Dim1+6)=8),Aoû_Dim1+6,""),IF(AND(YEAR(Aoû_Dim1+13)=Année_Calendaire,MONTH(Aoû_Dim1+13)=8),Aoû_Dim1+13,""))</f>
        <v>42959</v>
      </c>
      <c r="R132" s="97">
        <f>IF(DAY(Aoû_Dim1)=1,IF(AND(YEAR(Aoû_Dim1+7)=Année_Calendaire,MONTH(Aoû_Dim1+7)=8),Aoû_Dim1+7,""),IF(AND(YEAR(Aoû_Dim1+14)=Année_Calendaire,MONTH(Aoû_Dim1+14)=8),Aoû_Dim1+14,""))</f>
        <v>42960</v>
      </c>
      <c r="S132" s="71"/>
      <c r="T132" s="54"/>
      <c r="U132" s="97">
        <f>IF(DAY(Aoû_Dim1)=1,IF(AND(YEAR(Aoû_Dim1+8)=Année_Calendaire,MONTH(Aoû_Dim1+8)=8),Aoû_Dim1+8,""),IF(AND(YEAR(Aoû_Dim1+15)=Année_Calendaire,MONTH(Aoû_Dim1+15)=8),Aoû_Dim1+15,""))</f>
        <v>42961</v>
      </c>
      <c r="V132" s="97">
        <f>IF(DAY(Aoû_Dim1)=1,IF(AND(YEAR(Aoû_Dim1+9)=Année_Calendaire,MONTH(Aoû_Dim1+9)=8),Aoû_Dim1+9,""),IF(AND(YEAR(Aoû_Dim1+16)=Année_Calendaire,MONTH(Aoû_Dim1+16)=8),Aoû_Dim1+16,""))</f>
        <v>42962</v>
      </c>
      <c r="W132" s="97">
        <f>IF(DAY(Aoû_Dim1)=1,IF(AND(YEAR(Aoû_Dim1+10)=Année_Calendaire,MONTH(Aoû_Dim1+10)=8),Aoû_Dim1+10,""),IF(AND(YEAR(Aoû_Dim1+17)=Année_Calendaire,MONTH(Aoû_Dim1+17)=8),Aoû_Dim1+17,""))</f>
        <v>42963</v>
      </c>
      <c r="X132" s="97">
        <f>IF(DAY(Aoû_Dim1)=1,IF(AND(YEAR(Aoû_Dim1+11)=Année_Calendaire,MONTH(Aoû_Dim1+11)=8),Aoû_Dim1+11,""),IF(AND(YEAR(Aoû_Dim1+18)=Année_Calendaire,MONTH(Aoû_Dim1+18)=8),Aoû_Dim1+18,""))</f>
        <v>42964</v>
      </c>
      <c r="Y132" s="97">
        <f>IF(DAY(Aoû_Dim1)=1,IF(AND(YEAR(Aoû_Dim1+12)=Année_Calendaire,MONTH(Aoû_Dim1+12)=8),Aoû_Dim1+12,""),IF(AND(YEAR(Aoû_Dim1+19)=Année_Calendaire,MONTH(Aoû_Dim1+19)=8),Aoû_Dim1+19,""))</f>
        <v>42965</v>
      </c>
      <c r="Z132" s="97">
        <f>IF(DAY(Aoû_Dim1)=1,IF(AND(YEAR(Aoû_Dim1+13)=Année_Calendaire,MONTH(Aoû_Dim1+13)=8),Aoû_Dim1+13,""),IF(AND(YEAR(Aoû_Dim1+20)=Année_Calendaire,MONTH(Aoû_Dim1+20)=8),Aoû_Dim1+20,""))</f>
        <v>42966</v>
      </c>
      <c r="AA132" s="97">
        <f>IF(DAY(Aoû_Dim1)=1,IF(AND(YEAR(Aoû_Dim1+14)=Année_Calendaire,MONTH(Aoû_Dim1+14)=8),Aoû_Dim1+14,""),IF(AND(YEAR(Aoû_Dim1+21)=Année_Calendaire,MONTH(Aoû_Dim1+21)=8),Aoû_Dim1+21,""))</f>
        <v>42967</v>
      </c>
      <c r="AB132" s="71"/>
      <c r="AC132" s="54"/>
      <c r="AD132" s="97">
        <f>IF(DAY(Aoû_Dim1)=1,IF(AND(YEAR(Aoû_Dim1+15)=Année_Calendaire,MONTH(Aoû_Dim1+15)=8),Aoû_Dim1+15,""),IF(AND(YEAR(Aoû_Dim1+22)=Année_Calendaire,MONTH(Aoû_Dim1+22)=8),Aoû_Dim1+22,""))</f>
        <v>42968</v>
      </c>
      <c r="AE132" s="97">
        <f>IF(DAY(Aoû_Dim1)=1,IF(AND(YEAR(Aoû_Dim1+16)=Année_Calendaire,MONTH(Aoû_Dim1+16)=8),Aoû_Dim1+16,""),IF(AND(YEAR(Aoû_Dim1+23)=Année_Calendaire,MONTH(Aoû_Dim1+23)=8),Aoû_Dim1+23,""))</f>
        <v>42969</v>
      </c>
      <c r="AF132" s="97">
        <f>IF(DAY(Aoû_Dim1)=1,IF(AND(YEAR(Aoû_Dim1+17)=Année_Calendaire,MONTH(Aoû_Dim1+17)=8),Aoû_Dim1+17,""),IF(AND(YEAR(Aoû_Dim1+24)=Année_Calendaire,MONTH(Aoû_Dim1+24)=8),Aoû_Dim1+24,""))</f>
        <v>42970</v>
      </c>
      <c r="AG132" s="97">
        <f>IF(DAY(Aoû_Dim1)=1,IF(AND(YEAR(Aoû_Dim1+18)=Année_Calendaire,MONTH(Aoû_Dim1+18)=8),Aoû_Dim1+18,""),IF(AND(YEAR(Aoû_Dim1+25)=Année_Calendaire,MONTH(Aoû_Dim1+25)=8),Aoû_Dim1+25,""))</f>
        <v>42971</v>
      </c>
      <c r="AH132" s="97">
        <f>IF(DAY(Aoû_Dim1)=1,IF(AND(YEAR(Aoû_Dim1+19)=Année_Calendaire,MONTH(Aoû_Dim1+19)=8),Aoû_Dim1+19,""),IF(AND(YEAR(Aoû_Dim1+26)=Année_Calendaire,MONTH(Aoû_Dim1+26)=8),Aoû_Dim1+26,""))</f>
        <v>42972</v>
      </c>
      <c r="AI132" s="97">
        <f>IF(DAY(Aoû_Dim1)=1,IF(AND(YEAR(Aoû_Dim1+20)=Année_Calendaire,MONTH(Aoû_Dim1+20)=8),Aoû_Dim1+20,""),IF(AND(YEAR(Aoû_Dim1+27)=Année_Calendaire,MONTH(Aoû_Dim1+27)=8),Aoû_Dim1+27,""))</f>
        <v>42973</v>
      </c>
      <c r="AJ132" s="97">
        <f>IF(DAY(Aoû_Dim1)=1,IF(AND(YEAR(Aoû_Dim1+21)=Année_Calendaire,MONTH(Aoû_Dim1+21)=8),Aoû_Dim1+21,""),IF(AND(YEAR(Aoû_Dim1+28)=Année_Calendaire,MONTH(Aoû_Dim1+28)=8),Aoû_Dim1+28,""))</f>
        <v>42974</v>
      </c>
      <c r="AK132" s="71"/>
      <c r="AL132" s="54"/>
      <c r="AM132" s="97">
        <f>IF(DAY(Aoû_Dim1)=1,IF(AND(YEAR(Aoû_Dim1+22)=Année_Calendaire,MONTH(Aoû_Dim1+22)=8),Aoû_Dim1+22,""),IF(AND(YEAR(Aoû_Dim1+29)=Année_Calendaire,MONTH(Aoû_Dim1+29)=8),Aoû_Dim1+29,""))</f>
        <v>42975</v>
      </c>
      <c r="AN132" s="97">
        <f>IF(DAY(Aoû_Dim1)=1,IF(AND(YEAR(Aoû_Dim1+23)=Année_Calendaire,MONTH(Aoû_Dim1+23)=8),Aoû_Dim1+23,""),IF(AND(YEAR(Aoû_Dim1+30)=Année_Calendaire,MONTH(Aoû_Dim1+30)=8),Aoû_Dim1+30,""))</f>
        <v>42976</v>
      </c>
      <c r="AO132" s="97">
        <f>IF(DAY(Aoû_Dim1)=1,IF(AND(YEAR(Aoû_Dim1+24)=Année_Calendaire,MONTH(Aoû_Dim1+24)=8),Aoû_Dim1+24,""),IF(AND(YEAR(Aoû_Dim1+31)=Année_Calendaire,MONTH(Aoû_Dim1+31)=8),Aoû_Dim1+31,""))</f>
        <v>42977</v>
      </c>
      <c r="AP132" s="97">
        <f>IF(DAY(Aoû_Dim1)=1,IF(AND(YEAR(Aoû_Dim1+25)=Année_Calendaire,MONTH(Aoû_Dim1+25)=8),Aoû_Dim1+25,""),IF(AND(YEAR(Aoû_Dim1+32)=Année_Calendaire,MONTH(Aoû_Dim1+32)=8),Aoû_Dim1+32,""))</f>
        <v>42978</v>
      </c>
      <c r="AQ132" s="97" t="str">
        <f>IF(DAY(Aoû_Dim1)=1,IF(AND(YEAR(Aoû_Dim1+26)=Année_Calendaire,MONTH(Aoû_Dim1+26)=8),Aoû_Dim1+26,""),IF(AND(YEAR(Aoû_Dim1+33)=Année_Calendaire,MONTH(Aoû_Dim1+33)=8),Aoû_Dim1+33,""))</f>
        <v/>
      </c>
      <c r="AR132" s="97" t="str">
        <f>IF(DAY(Aoû_Dim1)=1,IF(AND(YEAR(Aoû_Dim1+27)=Année_Calendaire,MONTH(Aoû_Dim1+27)=8),Aoû_Dim1+27,""),IF(AND(YEAR(Aoû_Dim1+34)=Année_Calendaire,MONTH(Aoû_Dim1+34)=8),Aoû_Dim1+34,""))</f>
        <v/>
      </c>
      <c r="AS132" s="97" t="str">
        <f>IF(DAY(Aoû_Dim1)=1,IF(AND(YEAR(Aoû_Dim1+28)=Année_Calendaire,MONTH(Aoû_Dim1+28)=8),Aoû_Dim1+28,""),IF(AND(YEAR(Aoû_Dim1+35)=Année_Calendaire,MONTH(Aoû_Dim1+35)=8),Aoû_Dim1+35,""))</f>
        <v/>
      </c>
      <c r="AT132" s="71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71"/>
      <c r="AY132" s="71"/>
      <c r="AZ132" s="74"/>
      <c r="BA132" s="74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IF(C132="","",IFERROR(VLOOKUP(B131,DATA!$A:$H,2,TRUE),0))</f>
        <v/>
      </c>
      <c r="D133" s="49" t="str">
        <f>IF(D132="","",IFERROR(VLOOKUP(B131,DATA!$A:$H,3,TRUE),0))</f>
        <v>am</v>
      </c>
      <c r="E133" s="49" t="str">
        <f>IF(E132="","",IFERROR(VLOOKUP(B131,DATA!$A:$H,4,TRUE),0))</f>
        <v>am</v>
      </c>
      <c r="F133" s="49" t="str">
        <f>IF(F132="","",IFERROR(VLOOKUP(B131,DATA!$A:$H,5,TRUE),0))</f>
        <v>am</v>
      </c>
      <c r="G133" s="49" t="str">
        <f>IF(G132="","",IFERROR(VLOOKUP(B131,DATA!$A:$H,6,TRUE),0))</f>
        <v>am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matin</v>
      </c>
      <c r="M133" s="49" t="str">
        <f>IF(M132="","",IFERROR(VLOOKUP(K131,DATA!$A:$H,3,TRUE),0))</f>
        <v>matin</v>
      </c>
      <c r="N133" s="49" t="str">
        <f>IF(N132="","",IFERROR(VLOOKUP(K131,DATA!$A:$H,4,TRUE),0))</f>
        <v>matin</v>
      </c>
      <c r="O133" s="49">
        <f>IF(O132="","",IFERROR(VLOOKUP(K131,DATA!$A:$H,5,TRUE),0))</f>
        <v>0</v>
      </c>
      <c r="P133" s="49">
        <f>IF(P132="","",IFERROR(VLOOKUP(K131,DATA!$A:$H,6,TRUE),0))</f>
        <v>0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nuit</v>
      </c>
      <c r="V133" s="49" t="str">
        <f>IF(V132="","",IFERROR(VLOOKUP(T131,DATA!$A:$H,3,TRUE),0))</f>
        <v>nuit</v>
      </c>
      <c r="W133" s="49" t="str">
        <f>IF(W132="","",IFERROR(VLOOKUP(T131,DATA!$A:$H,4,TRUE),0))</f>
        <v>nuit</v>
      </c>
      <c r="X133" s="49" t="str">
        <f>IF(X132="","",IFERROR(VLOOKUP(T131,DATA!$A:$H,5,TRUE),0))</f>
        <v>nuit</v>
      </c>
      <c r="Y133" s="49" t="str">
        <f>IF(Y132="","",IFERROR(VLOOKUP(T131,DATA!$A:$H,6,TRUE),0))</f>
        <v>nuit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matin</v>
      </c>
      <c r="AE133" s="49">
        <f>IF(AE132="","",IFERROR(VLOOKUP(AC131,DATA!$A:$H,3,TRUE),0))</f>
        <v>0</v>
      </c>
      <c r="AF133" s="49">
        <f>IF(AF132="","",IFERROR(VLOOKUP(AC131,DATA!$A:$H,4,TRUE),0))</f>
        <v>0</v>
      </c>
      <c r="AG133" s="49" t="str">
        <f>IF(AG132="","",IFERROR(VLOOKUP(AC131,DATA!$A:$H,5,TRUE),0))</f>
        <v>matin</v>
      </c>
      <c r="AH133" s="49" t="str">
        <f>IF(AH132="","",IFERROR(VLOOKUP(AC131,DATA!$A:$H,6,TRUE),0))</f>
        <v>matin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am</v>
      </c>
      <c r="AN133" s="49" t="str">
        <f>IF(AN132="","",IFERROR(VLOOKUP(AL131,DATA!$A:$H,3,TRUE),0))</f>
        <v>am</v>
      </c>
      <c r="AO133" s="49" t="str">
        <f>IF(AO132="","",IFERROR(VLOOKUP(AL131,DATA!$A:$H,4,TRUE),0))</f>
        <v>am</v>
      </c>
      <c r="AP133" s="49" t="str">
        <f>IF(AP132="","",IFERROR(VLOOKUP(AL131,DATA!$A:$H,5,TRUE),0))</f>
        <v>am</v>
      </c>
      <c r="AQ133" s="49" t="str">
        <f>IF(AQ132="","",IFERROR(VLOOKUP(AL131,DATA!$A:$H,6,TRUE),0))</f>
        <v/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4">IF(C133="Matin",1,IF(C133="AM",1,0))</f>
        <v>0</v>
      </c>
      <c r="D134" s="52">
        <f t="shared" si="304"/>
        <v>1</v>
      </c>
      <c r="E134" s="52">
        <f t="shared" si="304"/>
        <v>1</v>
      </c>
      <c r="F134" s="52">
        <f t="shared" si="304"/>
        <v>1</v>
      </c>
      <c r="G134" s="52">
        <f t="shared" si="304"/>
        <v>1</v>
      </c>
      <c r="H134" s="52">
        <f t="shared" si="304"/>
        <v>0</v>
      </c>
      <c r="I134" s="52">
        <f t="shared" si="304"/>
        <v>0</v>
      </c>
      <c r="J134" s="52">
        <f>SUM(C134:I134)</f>
        <v>4</v>
      </c>
      <c r="K134" s="51"/>
      <c r="L134" s="52">
        <f t="shared" ref="L134:R134" si="305">IF(L133="Matin",1,IF(L133="AM",1,0))</f>
        <v>1</v>
      </c>
      <c r="M134" s="52">
        <f t="shared" si="305"/>
        <v>1</v>
      </c>
      <c r="N134" s="52">
        <f t="shared" si="305"/>
        <v>1</v>
      </c>
      <c r="O134" s="52">
        <f t="shared" si="305"/>
        <v>0</v>
      </c>
      <c r="P134" s="52">
        <f t="shared" si="305"/>
        <v>0</v>
      </c>
      <c r="Q134" s="52">
        <f t="shared" si="305"/>
        <v>0</v>
      </c>
      <c r="R134" s="52">
        <f t="shared" si="305"/>
        <v>0</v>
      </c>
      <c r="S134" s="52">
        <f>SUM(L134:R134)</f>
        <v>3</v>
      </c>
      <c r="T134" s="51"/>
      <c r="U134" s="52">
        <f t="shared" ref="U134:AA134" si="306">IF(U133="Matin",1,IF(U133="AM",1,0))</f>
        <v>0</v>
      </c>
      <c r="V134" s="52">
        <f t="shared" si="306"/>
        <v>0</v>
      </c>
      <c r="W134" s="52">
        <f t="shared" si="306"/>
        <v>0</v>
      </c>
      <c r="X134" s="52">
        <f t="shared" si="306"/>
        <v>0</v>
      </c>
      <c r="Y134" s="52">
        <f t="shared" si="306"/>
        <v>0</v>
      </c>
      <c r="Z134" s="52">
        <f t="shared" si="306"/>
        <v>0</v>
      </c>
      <c r="AA134" s="52">
        <f t="shared" si="306"/>
        <v>0</v>
      </c>
      <c r="AB134" s="52">
        <f>SUM(U134:AA134)</f>
        <v>0</v>
      </c>
      <c r="AC134" s="51"/>
      <c r="AD134" s="52">
        <f t="shared" ref="AD134:AJ134" si="307">IF(AD133="Matin",1,IF(AD133="AM",1,0))</f>
        <v>1</v>
      </c>
      <c r="AE134" s="52">
        <f t="shared" si="307"/>
        <v>0</v>
      </c>
      <c r="AF134" s="52">
        <f t="shared" si="307"/>
        <v>0</v>
      </c>
      <c r="AG134" s="52">
        <f t="shared" si="307"/>
        <v>1</v>
      </c>
      <c r="AH134" s="52">
        <f t="shared" si="307"/>
        <v>1</v>
      </c>
      <c r="AI134" s="52">
        <f t="shared" si="307"/>
        <v>0</v>
      </c>
      <c r="AJ134" s="52">
        <f t="shared" si="307"/>
        <v>0</v>
      </c>
      <c r="AK134" s="52">
        <f>SUM(AD134:AJ134)</f>
        <v>3</v>
      </c>
      <c r="AL134" s="51"/>
      <c r="AM134" s="52">
        <f t="shared" ref="AM134:AS134" si="308">IF(AM133="Matin",1,IF(AM133="AM",1,0))</f>
        <v>1</v>
      </c>
      <c r="AN134" s="52">
        <f t="shared" si="308"/>
        <v>1</v>
      </c>
      <c r="AO134" s="52">
        <f t="shared" si="308"/>
        <v>1</v>
      </c>
      <c r="AP134" s="52">
        <f t="shared" si="308"/>
        <v>1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4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14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1</v>
      </c>
      <c r="E135" s="49">
        <f t="shared" ref="E135:I135" si="311">IF(E136&gt;=1,1,0)</f>
        <v>1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4</v>
      </c>
      <c r="K135" s="48"/>
      <c r="L135" s="49">
        <f>IF(L136&gt;=1,1,0)</f>
        <v>1</v>
      </c>
      <c r="M135" s="49">
        <f t="shared" ref="M135:R135" si="313">IF(M136&gt;=1,1,0)</f>
        <v>1</v>
      </c>
      <c r="N135" s="49">
        <f t="shared" si="313"/>
        <v>1</v>
      </c>
      <c r="O135" s="49">
        <f t="shared" si="313"/>
        <v>0</v>
      </c>
      <c r="P135" s="49">
        <f t="shared" si="313"/>
        <v>0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3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1</v>
      </c>
      <c r="Y135" s="49">
        <f t="shared" si="315"/>
        <v>1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5</v>
      </c>
      <c r="AC135" s="48"/>
      <c r="AD135" s="49">
        <f>IF(AD136&gt;=1,1,0)</f>
        <v>1</v>
      </c>
      <c r="AE135" s="49">
        <f t="shared" ref="AE135:AJ135" si="317">IF(AE136&gt;=1,1,0)</f>
        <v>0</v>
      </c>
      <c r="AF135" s="49">
        <f t="shared" si="317"/>
        <v>0</v>
      </c>
      <c r="AG135" s="49">
        <f t="shared" si="317"/>
        <v>1</v>
      </c>
      <c r="AH135" s="49">
        <f t="shared" si="317"/>
        <v>1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3</v>
      </c>
      <c r="AL135" s="48"/>
      <c r="AM135" s="49">
        <f>IF(AM136&gt;=1,1,0)</f>
        <v>1</v>
      </c>
      <c r="AN135" s="49">
        <f t="shared" ref="AN135:AS135" si="319">IF(AN136&gt;=1,1,0)</f>
        <v>1</v>
      </c>
      <c r="AO135" s="49">
        <f t="shared" si="319"/>
        <v>1</v>
      </c>
      <c r="AP135" s="49">
        <f t="shared" si="319"/>
        <v>1</v>
      </c>
      <c r="AQ135" s="49">
        <f t="shared" si="319"/>
        <v>0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4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3">IF(D133="Matin",8,IF(D133="AM",8,IF(D133="nuit",8,0)))</f>
        <v>8</v>
      </c>
      <c r="E136" s="52">
        <f t="shared" si="323"/>
        <v>8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32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8</v>
      </c>
      <c r="N136" s="52">
        <f t="shared" si="324"/>
        <v>8</v>
      </c>
      <c r="O136" s="52">
        <f t="shared" si="324"/>
        <v>0</v>
      </c>
      <c r="P136" s="52">
        <f t="shared" si="324"/>
        <v>0</v>
      </c>
      <c r="Q136" s="52">
        <f t="shared" si="324"/>
        <v>0</v>
      </c>
      <c r="R136" s="52">
        <f t="shared" si="324"/>
        <v>0</v>
      </c>
      <c r="S136" s="52">
        <f t="shared" si="314"/>
        <v>24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8</v>
      </c>
      <c r="Y136" s="52">
        <f t="shared" si="325"/>
        <v>8</v>
      </c>
      <c r="Z136" s="52">
        <f t="shared" si="325"/>
        <v>0</v>
      </c>
      <c r="AA136" s="52">
        <f t="shared" si="325"/>
        <v>0</v>
      </c>
      <c r="AB136" s="52">
        <f t="shared" si="316"/>
        <v>40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0</v>
      </c>
      <c r="AF136" s="52">
        <f t="shared" si="326"/>
        <v>0</v>
      </c>
      <c r="AG136" s="52">
        <f t="shared" si="326"/>
        <v>8</v>
      </c>
      <c r="AH136" s="52">
        <f t="shared" si="326"/>
        <v>8</v>
      </c>
      <c r="AI136" s="52">
        <f t="shared" si="326"/>
        <v>0</v>
      </c>
      <c r="AJ136" s="52">
        <f t="shared" si="326"/>
        <v>0</v>
      </c>
      <c r="AK136" s="52">
        <f t="shared" si="318"/>
        <v>24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8</v>
      </c>
      <c r="AO136" s="52">
        <f t="shared" si="327"/>
        <v>8</v>
      </c>
      <c r="AP136" s="52">
        <f t="shared" si="327"/>
        <v>8</v>
      </c>
      <c r="AQ136" s="52">
        <f t="shared" si="327"/>
        <v>0</v>
      </c>
      <c r="AR136" s="52">
        <f t="shared" si="327"/>
        <v>0</v>
      </c>
      <c r="AS136" s="52">
        <f t="shared" si="327"/>
        <v>0</v>
      </c>
      <c r="AT136" s="52">
        <f t="shared" si="320"/>
        <v>32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20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0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0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3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0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0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5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44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</v>
      </c>
      <c r="F145" s="49">
        <f t="shared" si="335"/>
        <v>0</v>
      </c>
      <c r="G145" s="49">
        <f>IF(G133="nuit",G136*0.02,0)</f>
        <v>0</v>
      </c>
      <c r="H145" s="49">
        <f t="shared" si="335"/>
        <v>0</v>
      </c>
      <c r="I145" s="49">
        <f t="shared" si="335"/>
        <v>0</v>
      </c>
      <c r="J145" s="52">
        <f t="shared" si="312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0.16</v>
      </c>
      <c r="V145" s="49">
        <f>IF(V133="nuit",V136*0.02,0)</f>
        <v>0.16</v>
      </c>
      <c r="W145" s="49">
        <f t="shared" ref="W145:AA145" si="337">IF(W133="nuit",W136*0.02,0)</f>
        <v>0.16</v>
      </c>
      <c r="X145" s="49">
        <f t="shared" si="337"/>
        <v>0.16</v>
      </c>
      <c r="Y145" s="49">
        <f>IF(Y133="nuit",Y136*0.02,0)</f>
        <v>0.16</v>
      </c>
      <c r="Z145" s="49">
        <f t="shared" si="337"/>
        <v>0</v>
      </c>
      <c r="AA145" s="49">
        <f t="shared" si="337"/>
        <v>0</v>
      </c>
      <c r="AB145" s="52">
        <f t="shared" si="316"/>
        <v>0.8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8">IF(AF133="nuit",AF136*0.02,0)</f>
        <v>0</v>
      </c>
      <c r="AG145" s="49">
        <f t="shared" si="338"/>
        <v>0</v>
      </c>
      <c r="AH145" s="49">
        <f>IF(AH133="nuit",AH136*0.02,0)</f>
        <v>0</v>
      </c>
      <c r="AI145" s="49">
        <f t="shared" si="338"/>
        <v>0</v>
      </c>
      <c r="AJ145" s="49">
        <f t="shared" si="338"/>
        <v>0</v>
      </c>
      <c r="AK145" s="52">
        <f t="shared" si="318"/>
        <v>0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9">IF(AO133="nuit",AO136*0.02,0)</f>
        <v>0</v>
      </c>
      <c r="AP145" s="49">
        <f t="shared" si="339"/>
        <v>0</v>
      </c>
      <c r="AQ145" s="49">
        <f>IF(AQ133="nuit",AQ136*0.02,0)</f>
        <v>0</v>
      </c>
      <c r="AR145" s="49">
        <f t="shared" si="339"/>
        <v>0</v>
      </c>
      <c r="AS145" s="49">
        <f t="shared" si="339"/>
        <v>0</v>
      </c>
      <c r="AT145" s="52">
        <f t="shared" si="320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31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">
      <c r="A148" s="16"/>
      <c r="B148" s="16"/>
      <c r="C148" s="19" t="s">
        <v>27</v>
      </c>
      <c r="D148" s="19"/>
      <c r="E148" s="19"/>
      <c r="F148" s="19"/>
      <c r="G148" s="19"/>
      <c r="H148" s="72">
        <f>Année_Calendaire</f>
        <v>2017</v>
      </c>
      <c r="I148" s="72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27</v>
      </c>
      <c r="V148" s="19"/>
      <c r="W148" s="19"/>
      <c r="X148" s="19"/>
      <c r="Y148" s="19"/>
      <c r="Z148" s="72">
        <f>Année_Calendaire</f>
        <v>2017</v>
      </c>
      <c r="AA148" s="72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27</v>
      </c>
      <c r="AN148" s="19"/>
      <c r="AO148" s="19"/>
      <c r="AP148" s="19"/>
      <c r="AQ148" s="19"/>
      <c r="AR148" s="72">
        <f>Année_Calendaire</f>
        <v>2017</v>
      </c>
      <c r="AS148" s="72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IF(AU131&lt;&gt;"",AU131,IF(AL131="C1","C2",IF(AL131="C2","C3",IF(AL131="C3","C4",IF(AL131="C4","C1","")))))</f>
        <v>C1</v>
      </c>
      <c r="C149" s="98" t="s">
        <v>13</v>
      </c>
      <c r="D149" s="98" t="s">
        <v>14</v>
      </c>
      <c r="E149" s="98" t="s">
        <v>15</v>
      </c>
      <c r="F149" s="98" t="s">
        <v>16</v>
      </c>
      <c r="G149" s="98" t="s">
        <v>17</v>
      </c>
      <c r="H149" s="98" t="s">
        <v>18</v>
      </c>
      <c r="I149" s="98" t="s">
        <v>19</v>
      </c>
      <c r="J149" s="71" t="s">
        <v>32</v>
      </c>
      <c r="K149" s="55" t="str">
        <f>IF(B149="C1","C2",IF(B149="C2","C3",IF(B149="C3","C4",IF(B149="C4","C1",""))))</f>
        <v>C2</v>
      </c>
      <c r="L149" s="98" t="str">
        <f>IF(L150&lt;&gt;"","Lun","")</f>
        <v>Lun</v>
      </c>
      <c r="M149" s="98" t="str">
        <f>IF(M150&lt;&gt;"","Mar","")</f>
        <v>Mar</v>
      </c>
      <c r="N149" s="98" t="str">
        <f>IF(N150&lt;&gt;"","Mer","")</f>
        <v>Mer</v>
      </c>
      <c r="O149" s="100" t="str">
        <f>IF(O150&lt;&gt;"","Jeu","")</f>
        <v>Jeu</v>
      </c>
      <c r="P149" s="100" t="str">
        <f>IF(P150&lt;&gt;"","Ven","")</f>
        <v>Ven</v>
      </c>
      <c r="Q149" s="98" t="str">
        <f>IF(Q150&lt;&gt;"","Sam","")</f>
        <v>Sam</v>
      </c>
      <c r="R149" s="98" t="str">
        <f>IF(R150&lt;&gt;"","Dim","")</f>
        <v>Dim</v>
      </c>
      <c r="S149" s="71" t="s">
        <v>32</v>
      </c>
      <c r="T149" s="55" t="str">
        <f>IF(K149="C1","C2",IF(K149="C2","C3",IF(K149="C3","C4",IF(K149="C4","C1",""))))</f>
        <v>C3</v>
      </c>
      <c r="U149" s="98" t="str">
        <f>IF(U150&lt;&gt;"","Lun","")</f>
        <v>Lun</v>
      </c>
      <c r="V149" s="98" t="str">
        <f>IF(V150&lt;&gt;"","Mar","")</f>
        <v>Mar</v>
      </c>
      <c r="W149" s="98" t="str">
        <f>IF(W150&lt;&gt;"","Mer","")</f>
        <v>Mer</v>
      </c>
      <c r="X149" s="98" t="str">
        <f>IF(X150&lt;&gt;"","Jeu","")</f>
        <v>Jeu</v>
      </c>
      <c r="Y149" s="98" t="str">
        <f>IF(Y150&lt;&gt;"","Ven","")</f>
        <v>Ven</v>
      </c>
      <c r="Z149" s="98" t="str">
        <f>IF(Z150&lt;&gt;"","Sam","")</f>
        <v>Sam</v>
      </c>
      <c r="AA149" s="98" t="str">
        <f>IF(AA150&lt;&gt;"","Dim","")</f>
        <v>Dim</v>
      </c>
      <c r="AB149" s="71" t="s">
        <v>32</v>
      </c>
      <c r="AC149" s="55" t="str">
        <f>IF(T149="C1","C2",IF(T149="C2","C3",IF(T149="C3","C4",IF(T149="C4","C1",""))))</f>
        <v>C4</v>
      </c>
      <c r="AD149" s="98" t="str">
        <f>IF(AD150&lt;&gt;"","Lun","")</f>
        <v>Lun</v>
      </c>
      <c r="AE149" s="98" t="str">
        <f>IF(AE150&lt;&gt;"","Mar","")</f>
        <v>Mar</v>
      </c>
      <c r="AF149" s="98" t="str">
        <f>IF(AF150&lt;&gt;"","Mer","")</f>
        <v>Mer</v>
      </c>
      <c r="AG149" s="98" t="str">
        <f>IF(AG150&lt;&gt;"","Jeu","")</f>
        <v>Jeu</v>
      </c>
      <c r="AH149" s="98" t="str">
        <f>IF(AH150&lt;&gt;"","Ven","")</f>
        <v>Ven</v>
      </c>
      <c r="AI149" s="98" t="str">
        <f>IF(AI150&lt;&gt;"","Sam","")</f>
        <v>Sam</v>
      </c>
      <c r="AJ149" s="98" t="str">
        <f>IF(AJ150&lt;&gt;"","Dim","")</f>
        <v>Dim</v>
      </c>
      <c r="AK149" s="71" t="s">
        <v>32</v>
      </c>
      <c r="AL149" s="55" t="str">
        <f>IF(AC149="C1","C2",IF(AC149="C2","C3",IF(AC149="C3","C4",IF(AC149="C4","C1",""))))</f>
        <v>C1</v>
      </c>
      <c r="AM149" s="98" t="str">
        <f>IF(AM150&lt;&gt;"","Lun","")</f>
        <v>Lun</v>
      </c>
      <c r="AN149" s="98" t="str">
        <f>IF(AN150&lt;&gt;"","Mar","")</f>
        <v>Mar</v>
      </c>
      <c r="AO149" s="98" t="str">
        <f>IF(AO150&lt;&gt;"","Mer","")</f>
        <v>Mer</v>
      </c>
      <c r="AP149" s="98" t="str">
        <f>IF(AP150&lt;&gt;"","Jeu","")</f>
        <v>Jeu</v>
      </c>
      <c r="AQ149" s="98" t="str">
        <f>IF(AQ150&lt;&gt;"","Ven","")</f>
        <v>Ven</v>
      </c>
      <c r="AR149" s="98" t="str">
        <f>IF(AR150&lt;&gt;"","Sam","")</f>
        <v>Sam</v>
      </c>
      <c r="AS149" s="98" t="str">
        <f>IF(AS150&lt;&gt;"","Dim","")</f>
        <v/>
      </c>
      <c r="AT149" s="71" t="s">
        <v>32</v>
      </c>
      <c r="AU149" s="55" t="str">
        <f>IF(AV149&lt;&gt;"",IF(AL149="C1","C2",IF(AL149="C2","C3",IF(AL149="C3","C4",IF(AL149="C4","C1","")))),"")</f>
        <v/>
      </c>
      <c r="AV149" s="53" t="str">
        <f>IF(AV150&lt;&gt;"","Lun","")</f>
        <v/>
      </c>
      <c r="AW149" s="53" t="str">
        <f>IF(AW150&lt;&gt;"","Mar","")</f>
        <v/>
      </c>
      <c r="AX149" s="71" t="s">
        <v>32</v>
      </c>
      <c r="AY149" s="71" t="s">
        <v>35</v>
      </c>
      <c r="AZ149" s="74">
        <f>AY156+AY157+AY158</f>
        <v>10</v>
      </c>
      <c r="BA149" s="74">
        <f>AZ149+BA131</f>
        <v>75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97" t="str">
        <f>IF(DAY(Sep_Dim1)=1,"",IF(AND(YEAR(Sep_Dim1+1)=Année_Calendaire,MONTH(Sep_Dim1+1)=9),Sep_Dim1+1,""))</f>
        <v/>
      </c>
      <c r="D150" s="97" t="str">
        <f>IF(DAY(Sep_Dim1)=1,"",IF(AND(YEAR(Sep_Dim1+2)=Année_Calendaire,MONTH(Sep_Dim1+2)=9),Sep_Dim1+2,""))</f>
        <v/>
      </c>
      <c r="E150" s="97" t="str">
        <f>IF(DAY(Sep_Dim1)=1,"",IF(AND(YEAR(Sep_Dim1+3)=Année_Calendaire,MONTH(Sep_Dim1+3)=9),Sep_Dim1+3,""))</f>
        <v/>
      </c>
      <c r="F150" s="97" t="str">
        <f>IF(DAY(Sep_Dim1)=1,"",IF(AND(YEAR(Sep_Dim1+4)=Année_Calendaire,MONTH(Sep_Dim1+4)=9),Sep_Dim1+4,""))</f>
        <v/>
      </c>
      <c r="G150" s="97">
        <f>IF(DAY(Sep_Dim1)=1,"",IF(AND(YEAR(Sep_Dim1+5)=Année_Calendaire,MONTH(Sep_Dim1+5)=9),Sep_Dim1+5,""))</f>
        <v>42979</v>
      </c>
      <c r="H150" s="97">
        <f>IF(DAY(Sep_Dim1)=1,"",IF(AND(YEAR(Sep_Dim1+6)=Année_Calendaire,MONTH(Sep_Dim1+6)=9),Sep_Dim1+6,""))</f>
        <v>42980</v>
      </c>
      <c r="I150" s="97">
        <f>IF(DAY(Sep_Dim1)=1,IF(AND(YEAR(Sep_Dim1)=Année_Calendaire,MONTH(Sep_Dim1)=9),Sep_Dim1,""),IF(AND(YEAR(Sep_Dim1+7)=Année_Calendaire,MONTH(Sep_Dim1+7)=9),Sep_Dim1+7,""))</f>
        <v>42981</v>
      </c>
      <c r="J150" s="71"/>
      <c r="K150" s="54"/>
      <c r="L150" s="97">
        <f>IF(DAY(Sep_Dim1)=1,IF(AND(YEAR(Sep_Dim1+1)=Année_Calendaire,MONTH(Sep_Dim1+1)=9),Sep_Dim1+1,""),IF(AND(YEAR(Sep_Dim1+8)=Année_Calendaire,MONTH(Sep_Dim1+8)=9),Sep_Dim1+8,""))</f>
        <v>42982</v>
      </c>
      <c r="M150" s="97">
        <f>IF(DAY(Sep_Dim1)=1,IF(AND(YEAR(Sep_Dim1+2)=Année_Calendaire,MONTH(Sep_Dim1+2)=9),Sep_Dim1+2,""),IF(AND(YEAR(Sep_Dim1+9)=Année_Calendaire,MONTH(Sep_Dim1+9)=9),Sep_Dim1+9,""))</f>
        <v>42983</v>
      </c>
      <c r="N150" s="97">
        <f>IF(DAY(Sep_Dim1)=1,IF(AND(YEAR(Sep_Dim1+3)=Année_Calendaire,MONTH(Sep_Dim1+3)=9),Sep_Dim1+3,""),IF(AND(YEAR(Sep_Dim1+10)=Année_Calendaire,MONTH(Sep_Dim1+10)=9),Sep_Dim1+10,""))</f>
        <v>42984</v>
      </c>
      <c r="O150" s="97">
        <f>IF(DAY(Sep_Dim1)=1,IF(AND(YEAR(Sep_Dim1+4)=Année_Calendaire,MONTH(Sep_Dim1+4)=9),Sep_Dim1+4,""),IF(AND(YEAR(Sep_Dim1+11)=Année_Calendaire,MONTH(Sep_Dim1+11)=9),Sep_Dim1+11,""))</f>
        <v>42985</v>
      </c>
      <c r="P150" s="97">
        <f>IF(DAY(Sep_Dim1)=1,IF(AND(YEAR(Sep_Dim1+5)=Année_Calendaire,MONTH(Sep_Dim1+5)=9),Sep_Dim1+5,""),IF(AND(YEAR(Sep_Dim1+12)=Année_Calendaire,MONTH(Sep_Dim1+12)=9),Sep_Dim1+12,""))</f>
        <v>42986</v>
      </c>
      <c r="Q150" s="97">
        <f>IF(DAY(Sep_Dim1)=1,IF(AND(YEAR(Sep_Dim1+6)=Année_Calendaire,MONTH(Sep_Dim1+6)=9),Sep_Dim1+6,""),IF(AND(YEAR(Sep_Dim1+13)=Année_Calendaire,MONTH(Sep_Dim1+13)=9),Sep_Dim1+13,""))</f>
        <v>42987</v>
      </c>
      <c r="R150" s="97">
        <f>IF(DAY(Sep_Dim1)=1,IF(AND(YEAR(Sep_Dim1+7)=Année_Calendaire,MONTH(Sep_Dim1+7)=9),Sep_Dim1+7,""),IF(AND(YEAR(Sep_Dim1+14)=Année_Calendaire,MONTH(Sep_Dim1+14)=9),Sep_Dim1+14,""))</f>
        <v>42988</v>
      </c>
      <c r="S150" s="71"/>
      <c r="T150" s="54"/>
      <c r="U150" s="97">
        <f>IF(DAY(Sep_Dim1)=1,IF(AND(YEAR(Sep_Dim1+8)=Année_Calendaire,MONTH(Sep_Dim1+8)=9),Sep_Dim1+8,""),IF(AND(YEAR(Sep_Dim1+15)=Année_Calendaire,MONTH(Sep_Dim1+15)=9),Sep_Dim1+15,""))</f>
        <v>42989</v>
      </c>
      <c r="V150" s="97">
        <f>IF(DAY(Sep_Dim1)=1,IF(AND(YEAR(Sep_Dim1+9)=Année_Calendaire,MONTH(Sep_Dim1+9)=9),Sep_Dim1+9,""),IF(AND(YEAR(Sep_Dim1+16)=Année_Calendaire,MONTH(Sep_Dim1+16)=9),Sep_Dim1+16,""))</f>
        <v>42990</v>
      </c>
      <c r="W150" s="97">
        <f>IF(DAY(Sep_Dim1)=1,IF(AND(YEAR(Sep_Dim1+10)=Année_Calendaire,MONTH(Sep_Dim1+10)=9),Sep_Dim1+10,""),IF(AND(YEAR(Sep_Dim1+17)=Année_Calendaire,MONTH(Sep_Dim1+17)=9),Sep_Dim1+17,""))</f>
        <v>42991</v>
      </c>
      <c r="X150" s="97">
        <f>IF(DAY(Sep_Dim1)=1,IF(AND(YEAR(Sep_Dim1+11)=Année_Calendaire,MONTH(Sep_Dim1+11)=9),Sep_Dim1+11,""),IF(AND(YEAR(Sep_Dim1+18)=Année_Calendaire,MONTH(Sep_Dim1+18)=9),Sep_Dim1+18,""))</f>
        <v>42992</v>
      </c>
      <c r="Y150" s="97">
        <f>IF(DAY(Sep_Dim1)=1,IF(AND(YEAR(Sep_Dim1+12)=Année_Calendaire,MONTH(Sep_Dim1+12)=9),Sep_Dim1+12,""),IF(AND(YEAR(Sep_Dim1+19)=Année_Calendaire,MONTH(Sep_Dim1+19)=9),Sep_Dim1+19,""))</f>
        <v>42993</v>
      </c>
      <c r="Z150" s="97">
        <f>IF(DAY(Sep_Dim1)=1,IF(AND(YEAR(Sep_Dim1+13)=Année_Calendaire,MONTH(Sep_Dim1+13)=9),Sep_Dim1+13,""),IF(AND(YEAR(Sep_Dim1+20)=Année_Calendaire,MONTH(Sep_Dim1+20)=9),Sep_Dim1+20,""))</f>
        <v>42994</v>
      </c>
      <c r="AA150" s="97">
        <f>IF(DAY(Sep_Dim1)=1,IF(AND(YEAR(Sep_Dim1+14)=Année_Calendaire,MONTH(Sep_Dim1+14)=9),Sep_Dim1+14,""),IF(AND(YEAR(Sep_Dim1+21)=Année_Calendaire,MONTH(Sep_Dim1+21)=9),Sep_Dim1+21,""))</f>
        <v>42995</v>
      </c>
      <c r="AB150" s="71"/>
      <c r="AC150" s="54"/>
      <c r="AD150" s="97">
        <f>IF(DAY(Sep_Dim1)=1,IF(AND(YEAR(Sep_Dim1+15)=Année_Calendaire,MONTH(Sep_Dim1+15)=9),Sep_Dim1+15,""),IF(AND(YEAR(Sep_Dim1+22)=Année_Calendaire,MONTH(Sep_Dim1+22)=9),Sep_Dim1+22,""))</f>
        <v>42996</v>
      </c>
      <c r="AE150" s="97">
        <f>IF(DAY(Sep_Dim1)=1,IF(AND(YEAR(Sep_Dim1+16)=Année_Calendaire,MONTH(Sep_Dim1+16)=9),Sep_Dim1+16,""),IF(AND(YEAR(Sep_Dim1+23)=Année_Calendaire,MONTH(Sep_Dim1+23)=9),Sep_Dim1+23,""))</f>
        <v>42997</v>
      </c>
      <c r="AF150" s="97">
        <f>IF(DAY(Sep_Dim1)=1,IF(AND(YEAR(Sep_Dim1+17)=Année_Calendaire,MONTH(Sep_Dim1+17)=9),Sep_Dim1+17,""),IF(AND(YEAR(Sep_Dim1+24)=Année_Calendaire,MONTH(Sep_Dim1+24)=9),Sep_Dim1+24,""))</f>
        <v>42998</v>
      </c>
      <c r="AG150" s="97">
        <f>IF(DAY(Sep_Dim1)=1,IF(AND(YEAR(Sep_Dim1+18)=Année_Calendaire,MONTH(Sep_Dim1+18)=9),Sep_Dim1+18,""),IF(AND(YEAR(Sep_Dim1+25)=Année_Calendaire,MONTH(Sep_Dim1+25)=9),Sep_Dim1+25,""))</f>
        <v>42999</v>
      </c>
      <c r="AH150" s="97">
        <f>IF(DAY(Sep_Dim1)=1,IF(AND(YEAR(Sep_Dim1+19)=Année_Calendaire,MONTH(Sep_Dim1+19)=9),Sep_Dim1+19,""),IF(AND(YEAR(Sep_Dim1+26)=Année_Calendaire,MONTH(Sep_Dim1+26)=9),Sep_Dim1+26,""))</f>
        <v>43000</v>
      </c>
      <c r="AI150" s="97">
        <f>IF(DAY(Sep_Dim1)=1,IF(AND(YEAR(Sep_Dim1+20)=Année_Calendaire,MONTH(Sep_Dim1+20)=9),Sep_Dim1+20,""),IF(AND(YEAR(Sep_Dim1+27)=Année_Calendaire,MONTH(Sep_Dim1+27)=9),Sep_Dim1+27,""))</f>
        <v>43001</v>
      </c>
      <c r="AJ150" s="97">
        <f>IF(DAY(Sep_Dim1)=1,IF(AND(YEAR(Sep_Dim1+21)=Année_Calendaire,MONTH(Sep_Dim1+21)=9),Sep_Dim1+21,""),IF(AND(YEAR(Sep_Dim1+28)=Année_Calendaire,MONTH(Sep_Dim1+28)=9),Sep_Dim1+28,""))</f>
        <v>43002</v>
      </c>
      <c r="AK150" s="71"/>
      <c r="AL150" s="54"/>
      <c r="AM150" s="97">
        <f>IF(DAY(Sep_Dim1)=1,IF(AND(YEAR(Sep_Dim1+22)=Année_Calendaire,MONTH(Sep_Dim1+22)=9),Sep_Dim1+22,""),IF(AND(YEAR(Sep_Dim1+29)=Année_Calendaire,MONTH(Sep_Dim1+29)=9),Sep_Dim1+29,""))</f>
        <v>43003</v>
      </c>
      <c r="AN150" s="97">
        <f>IF(DAY(Sep_Dim1)=1,IF(AND(YEAR(Sep_Dim1+23)=Année_Calendaire,MONTH(Sep_Dim1+23)=9),Sep_Dim1+23,""),IF(AND(YEAR(Sep_Dim1+30)=Année_Calendaire,MONTH(Sep_Dim1+30)=9),Sep_Dim1+30,""))</f>
        <v>43004</v>
      </c>
      <c r="AO150" s="97">
        <f>IF(DAY(Sep_Dim1)=1,IF(AND(YEAR(Sep_Dim1+24)=Année_Calendaire,MONTH(Sep_Dim1+24)=9),Sep_Dim1+24,""),IF(AND(YEAR(Sep_Dim1+31)=Année_Calendaire,MONTH(Sep_Dim1+31)=9),Sep_Dim1+31,""))</f>
        <v>43005</v>
      </c>
      <c r="AP150" s="97">
        <f>IF(DAY(Sep_Dim1)=1,IF(AND(YEAR(Sep_Dim1+25)=Année_Calendaire,MONTH(Sep_Dim1+25)=9),Sep_Dim1+25,""),IF(AND(YEAR(Sep_Dim1+32)=Année_Calendaire,MONTH(Sep_Dim1+32)=9),Sep_Dim1+32,""))</f>
        <v>43006</v>
      </c>
      <c r="AQ150" s="97">
        <f>IF(DAY(Sep_Dim1)=1,IF(AND(YEAR(Sep_Dim1+26)=Année_Calendaire,MONTH(Sep_Dim1+26)=9),Sep_Dim1+26,""),IF(AND(YEAR(Sep_Dim1+33)=Année_Calendaire,MONTH(Sep_Dim1+33)=9),Sep_Dim1+33,""))</f>
        <v>43007</v>
      </c>
      <c r="AR150" s="97">
        <f>IF(DAY(Sep_Dim1)=1,IF(AND(YEAR(Sep_Dim1+27)=Année_Calendaire,MONTH(Sep_Dim1+27)=9),Sep_Dim1+27,""),IF(AND(YEAR(Sep_Dim1+34)=Année_Calendaire,MONTH(Sep_Dim1+34)=9),Sep_Dim1+34,""))</f>
        <v>43008</v>
      </c>
      <c r="AS150" s="97" t="str">
        <f>IF(DAY(Sep_Dim1)=1,IF(AND(YEAR(Sep_Dim1+28)=Année_Calendaire,MONTH(Sep_Dim1+28)=9),Sep_Dim1+28,""),IF(AND(YEAR(Sep_Dim1+35)=Année_Calendaire,MONTH(Sep_Dim1+35)=9),Sep_Dim1+35,""))</f>
        <v/>
      </c>
      <c r="AT150" s="71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71"/>
      <c r="AY150" s="71"/>
      <c r="AZ150" s="74"/>
      <c r="BA150" s="74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 t="str">
        <f>IF(F150="","",IFERROR(VLOOKUP(B149,DATA!$A:$H,5,TRUE),0))</f>
        <v/>
      </c>
      <c r="G151" s="49">
        <f>IF(G150="","",IFERROR(VLOOKUP(B149,DATA!$A:$H,6,TRUE),0))</f>
        <v>0</v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nuit</v>
      </c>
      <c r="M151" s="49" t="str">
        <f>IF(M150="","",IFERROR(VLOOKUP(K149,DATA!$A:$H,3,TRUE),0))</f>
        <v>nuit</v>
      </c>
      <c r="N151" s="49" t="str">
        <f>IF(N150="","",IFERROR(VLOOKUP(K149,DATA!$A:$H,4,TRUE),0))</f>
        <v>nuit</v>
      </c>
      <c r="O151" s="49" t="str">
        <f>IF(O150="","",IFERROR(VLOOKUP(K149,DATA!$A:$H,5,TRUE),0))</f>
        <v>nuit</v>
      </c>
      <c r="P151" s="49" t="str">
        <f>IF(P150="","",IFERROR(VLOOKUP(K149,DATA!$A:$H,6,TRUE),0))</f>
        <v>nuit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matin</v>
      </c>
      <c r="V151" s="49">
        <f>IF(V150="","",IFERROR(VLOOKUP(T149,DATA!$A:$H,3,TRUE),0))</f>
        <v>0</v>
      </c>
      <c r="W151" s="49">
        <f>IF(W150="","",IFERROR(VLOOKUP(T149,DATA!$A:$H,4,TRUE),0))</f>
        <v>0</v>
      </c>
      <c r="X151" s="49" t="str">
        <f>IF(X150="","",IFERROR(VLOOKUP(T149,DATA!$A:$H,5,TRUE),0))</f>
        <v>matin</v>
      </c>
      <c r="Y151" s="49" t="str">
        <f>IF(Y150="","",IFERROR(VLOOKUP(T149,DATA!$A:$H,6,TRUE),0))</f>
        <v>matin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am</v>
      </c>
      <c r="AE151" s="49" t="str">
        <f>IF(AE150="","",IFERROR(VLOOKUP(AC149,DATA!$A:$H,3,TRUE),0))</f>
        <v>am</v>
      </c>
      <c r="AF151" s="49" t="str">
        <f>IF(AF150="","",IFERROR(VLOOKUP(AC149,DATA!$A:$H,4,TRUE),0))</f>
        <v>am</v>
      </c>
      <c r="AG151" s="49" t="str">
        <f>IF(AG150="","",IFERROR(VLOOKUP(AC149,DATA!$A:$H,5,TRUE),0))</f>
        <v>am</v>
      </c>
      <c r="AH151" s="49" t="str">
        <f>IF(AH150="","",IFERROR(VLOOKUP(AC149,DATA!$A:$H,6,TRUE),0))</f>
        <v>am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matin</v>
      </c>
      <c r="AN151" s="49" t="str">
        <f>IF(AN150="","",IFERROR(VLOOKUP(AL149,DATA!$A:$H,3,TRUE),0))</f>
        <v>matin</v>
      </c>
      <c r="AO151" s="49" t="str">
        <f>IF(AO150="","",IFERROR(VLOOKUP(AL149,DATA!$A:$H,4,TRUE),0))</f>
        <v>matin</v>
      </c>
      <c r="AP151" s="49">
        <f>IF(AP150="","",IFERROR(VLOOKUP(AL149,DATA!$A:$H,5,TRUE),0))</f>
        <v>0</v>
      </c>
      <c r="AQ151" s="49">
        <f>IF(AQ150="","",IFERROR(VLOOKUP(AL149,DATA!$A:$H,6,TRUE),0))</f>
        <v>0</v>
      </c>
      <c r="AR151" s="49">
        <f>IF(AR150="","",IFERROR(VLOOKUP(AL149,DATA!$A:$H,7,TRUE),0))</f>
        <v>0</v>
      </c>
      <c r="AS151" s="49" t="str">
        <f>IF(AS150="","",IFERROR(VLOOKUP(AL149,DATA!$A:$H,8,TRUE),0))</f>
        <v/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0</v>
      </c>
      <c r="G152" s="52">
        <f t="shared" si="340"/>
        <v>0</v>
      </c>
      <c r="H152" s="52">
        <f t="shared" si="340"/>
        <v>0</v>
      </c>
      <c r="I152" s="52">
        <f t="shared" si="340"/>
        <v>0</v>
      </c>
      <c r="J152" s="52">
        <f>SUM(C152:I152)</f>
        <v>0</v>
      </c>
      <c r="K152" s="51"/>
      <c r="L152" s="52">
        <f t="shared" ref="L152:R152" si="341">IF(L151="Matin",1,IF(L151="AM",1,0))</f>
        <v>0</v>
      </c>
      <c r="M152" s="52">
        <f t="shared" si="341"/>
        <v>0</v>
      </c>
      <c r="N152" s="52">
        <f t="shared" si="341"/>
        <v>0</v>
      </c>
      <c r="O152" s="52">
        <f t="shared" si="341"/>
        <v>0</v>
      </c>
      <c r="P152" s="52">
        <f t="shared" si="341"/>
        <v>0</v>
      </c>
      <c r="Q152" s="52">
        <f t="shared" si="341"/>
        <v>0</v>
      </c>
      <c r="R152" s="52">
        <f t="shared" si="341"/>
        <v>0</v>
      </c>
      <c r="S152" s="52">
        <f>SUM(L152:R152)</f>
        <v>0</v>
      </c>
      <c r="T152" s="51"/>
      <c r="U152" s="52">
        <f t="shared" ref="U152:AA152" si="342">IF(U151="Matin",1,IF(U151="AM",1,0))</f>
        <v>1</v>
      </c>
      <c r="V152" s="52">
        <f t="shared" si="342"/>
        <v>0</v>
      </c>
      <c r="W152" s="52">
        <f t="shared" si="342"/>
        <v>0</v>
      </c>
      <c r="X152" s="52">
        <f t="shared" si="342"/>
        <v>1</v>
      </c>
      <c r="Y152" s="52">
        <f t="shared" si="342"/>
        <v>1</v>
      </c>
      <c r="Z152" s="52">
        <f t="shared" si="342"/>
        <v>0</v>
      </c>
      <c r="AA152" s="52">
        <f t="shared" si="342"/>
        <v>0</v>
      </c>
      <c r="AB152" s="52">
        <f>SUM(U152:AA152)</f>
        <v>3</v>
      </c>
      <c r="AC152" s="51"/>
      <c r="AD152" s="52">
        <f t="shared" ref="AD152:AJ152" si="343">IF(AD151="Matin",1,IF(AD151="AM",1,0))</f>
        <v>1</v>
      </c>
      <c r="AE152" s="52">
        <f t="shared" si="343"/>
        <v>1</v>
      </c>
      <c r="AF152" s="52">
        <f t="shared" si="343"/>
        <v>1</v>
      </c>
      <c r="AG152" s="52">
        <f t="shared" si="343"/>
        <v>1</v>
      </c>
      <c r="AH152" s="52">
        <f t="shared" si="343"/>
        <v>1</v>
      </c>
      <c r="AI152" s="52">
        <f t="shared" si="343"/>
        <v>0</v>
      </c>
      <c r="AJ152" s="52">
        <f t="shared" si="343"/>
        <v>0</v>
      </c>
      <c r="AK152" s="52">
        <f>SUM(AD152:AJ152)</f>
        <v>5</v>
      </c>
      <c r="AL152" s="51"/>
      <c r="AM152" s="52">
        <f t="shared" ref="AM152:AS152" si="344">IF(AM151="Matin",1,IF(AM151="AM",1,0))</f>
        <v>1</v>
      </c>
      <c r="AN152" s="52">
        <f t="shared" si="344"/>
        <v>1</v>
      </c>
      <c r="AO152" s="52">
        <f t="shared" si="344"/>
        <v>1</v>
      </c>
      <c r="AP152" s="52">
        <f t="shared" si="344"/>
        <v>0</v>
      </c>
      <c r="AQ152" s="52">
        <f t="shared" si="344"/>
        <v>0</v>
      </c>
      <c r="AR152" s="52">
        <f t="shared" si="344"/>
        <v>0</v>
      </c>
      <c r="AS152" s="52">
        <f t="shared" si="344"/>
        <v>0</v>
      </c>
      <c r="AT152" s="52">
        <f>SUM(AM152:AS152)</f>
        <v>3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0</v>
      </c>
      <c r="G153" s="49">
        <f t="shared" si="347"/>
        <v>0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0</v>
      </c>
      <c r="K153" s="48"/>
      <c r="L153" s="49">
        <f>IF(L154&gt;=1,1,0)</f>
        <v>1</v>
      </c>
      <c r="M153" s="49">
        <f t="shared" ref="M153:R153" si="349">IF(M154&gt;=1,1,0)</f>
        <v>1</v>
      </c>
      <c r="N153" s="49">
        <f t="shared" si="349"/>
        <v>1</v>
      </c>
      <c r="O153" s="49">
        <f t="shared" si="349"/>
        <v>1</v>
      </c>
      <c r="P153" s="49">
        <f t="shared" si="349"/>
        <v>1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5</v>
      </c>
      <c r="T153" s="48"/>
      <c r="U153" s="49">
        <f>IF(U154&gt;=1,1,0)</f>
        <v>1</v>
      </c>
      <c r="V153" s="49">
        <f t="shared" ref="V153:AA153" si="351">IF(V154&gt;=1,1,0)</f>
        <v>0</v>
      </c>
      <c r="W153" s="49">
        <f t="shared" si="351"/>
        <v>0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3</v>
      </c>
      <c r="AC153" s="48"/>
      <c r="AD153" s="49">
        <f>IF(AD154&gt;=1,1,0)</f>
        <v>1</v>
      </c>
      <c r="AE153" s="49">
        <f t="shared" ref="AE153:AJ153" si="353">IF(AE154&gt;=1,1,0)</f>
        <v>1</v>
      </c>
      <c r="AF153" s="49">
        <f t="shared" si="353"/>
        <v>1</v>
      </c>
      <c r="AG153" s="49">
        <f t="shared" si="353"/>
        <v>1</v>
      </c>
      <c r="AH153" s="49">
        <f t="shared" si="353"/>
        <v>1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5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0</v>
      </c>
      <c r="AQ153" s="49">
        <f t="shared" si="355"/>
        <v>0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3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0</v>
      </c>
      <c r="G154" s="52">
        <f t="shared" si="359"/>
        <v>0</v>
      </c>
      <c r="H154" s="52">
        <f t="shared" si="359"/>
        <v>0</v>
      </c>
      <c r="I154" s="52">
        <f t="shared" si="359"/>
        <v>0</v>
      </c>
      <c r="J154" s="52">
        <f t="shared" si="348"/>
        <v>0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8</v>
      </c>
      <c r="N154" s="52">
        <f t="shared" si="360"/>
        <v>8</v>
      </c>
      <c r="O154" s="52">
        <f t="shared" si="360"/>
        <v>8</v>
      </c>
      <c r="P154" s="52">
        <f t="shared" si="360"/>
        <v>8</v>
      </c>
      <c r="Q154" s="52">
        <f t="shared" si="360"/>
        <v>0</v>
      </c>
      <c r="R154" s="52">
        <f t="shared" si="360"/>
        <v>0</v>
      </c>
      <c r="S154" s="52">
        <f t="shared" si="350"/>
        <v>40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0</v>
      </c>
      <c r="W154" s="52">
        <f t="shared" si="361"/>
        <v>0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24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8</v>
      </c>
      <c r="AF154" s="52">
        <f t="shared" si="362"/>
        <v>8</v>
      </c>
      <c r="AG154" s="52">
        <f t="shared" si="362"/>
        <v>8</v>
      </c>
      <c r="AH154" s="52">
        <f t="shared" si="362"/>
        <v>8</v>
      </c>
      <c r="AI154" s="52">
        <f t="shared" si="362"/>
        <v>0</v>
      </c>
      <c r="AJ154" s="52">
        <f t="shared" si="362"/>
        <v>0</v>
      </c>
      <c r="AK154" s="52">
        <f t="shared" si="354"/>
        <v>40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0</v>
      </c>
      <c r="AQ154" s="52">
        <f t="shared" si="363"/>
        <v>0</v>
      </c>
      <c r="AR154" s="52">
        <f t="shared" si="363"/>
        <v>0</v>
      </c>
      <c r="AS154" s="52">
        <f t="shared" si="363"/>
        <v>0</v>
      </c>
      <c r="AT154" s="52">
        <f t="shared" si="356"/>
        <v>24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20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3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3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0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0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3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3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0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0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5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5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0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0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5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5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0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0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44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0.16</v>
      </c>
      <c r="M163" s="49">
        <f>IF(M151="nuit",M154*0.02,0)</f>
        <v>0.16</v>
      </c>
      <c r="N163" s="49">
        <f t="shared" ref="N163:R163" si="372">IF(N151="nuit",N154*0.02,0)</f>
        <v>0.16</v>
      </c>
      <c r="O163" s="49">
        <f t="shared" si="372"/>
        <v>0.16</v>
      </c>
      <c r="P163" s="49">
        <f>IF(P151="nuit",P154*0.02,0)</f>
        <v>0.16</v>
      </c>
      <c r="Q163" s="49">
        <f t="shared" si="372"/>
        <v>0</v>
      </c>
      <c r="R163" s="49">
        <f t="shared" si="372"/>
        <v>0</v>
      </c>
      <c r="S163" s="52">
        <f t="shared" si="350"/>
        <v>0.8</v>
      </c>
      <c r="T163" s="48"/>
      <c r="U163" s="49">
        <f>IF(U151="nuit",U154*0.02,0)</f>
        <v>0</v>
      </c>
      <c r="V163" s="49">
        <f>IF(V151="nuit",V154*0.02,0)</f>
        <v>0</v>
      </c>
      <c r="W163" s="49">
        <f t="shared" ref="W163:AA163" si="373">IF(W151="nuit",W154*0.02,0)</f>
        <v>0</v>
      </c>
      <c r="X163" s="49">
        <f t="shared" si="373"/>
        <v>0</v>
      </c>
      <c r="Y163" s="49">
        <f>IF(Y151="nuit",Y154*0.02,0)</f>
        <v>0</v>
      </c>
      <c r="Z163" s="49">
        <f t="shared" si="373"/>
        <v>0</v>
      </c>
      <c r="AA163" s="49">
        <f t="shared" si="373"/>
        <v>0</v>
      </c>
      <c r="AB163" s="52">
        <f t="shared" si="352"/>
        <v>0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5">IF(AO151="nuit",AO154*0.02,0)</f>
        <v>0</v>
      </c>
      <c r="AP163" s="49">
        <f t="shared" si="375"/>
        <v>0</v>
      </c>
      <c r="AQ163" s="49">
        <f>IF(AQ151="nuit",AQ154*0.02,0)</f>
        <v>0</v>
      </c>
      <c r="AR163" s="49">
        <f t="shared" si="375"/>
        <v>0</v>
      </c>
      <c r="AS163" s="49">
        <f t="shared" si="375"/>
        <v>0</v>
      </c>
      <c r="AT163" s="52">
        <f t="shared" si="356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31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">
      <c r="A166" s="16"/>
      <c r="B166" s="16"/>
      <c r="C166" s="19" t="s">
        <v>28</v>
      </c>
      <c r="D166" s="19"/>
      <c r="E166" s="19"/>
      <c r="F166" s="19"/>
      <c r="G166" s="19"/>
      <c r="H166" s="72">
        <f>Année_Calendaire</f>
        <v>2017</v>
      </c>
      <c r="I166" s="72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28</v>
      </c>
      <c r="V166" s="19"/>
      <c r="W166" s="19"/>
      <c r="X166" s="19"/>
      <c r="Y166" s="19"/>
      <c r="Z166" s="72">
        <f>Année_Calendaire</f>
        <v>2017</v>
      </c>
      <c r="AA166" s="72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28</v>
      </c>
      <c r="AN166" s="19"/>
      <c r="AO166" s="19"/>
      <c r="AP166" s="19"/>
      <c r="AQ166" s="19"/>
      <c r="AR166" s="72">
        <f>Année_Calendaire</f>
        <v>2017</v>
      </c>
      <c r="AS166" s="72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IF(AU149&lt;&gt;"",AU149,IF(AL149="C1","C2",IF(AL149="C2","C3",IF(AL149="C3","C4",IF(AL149="C4","C1","")))))</f>
        <v>C2</v>
      </c>
      <c r="C167" s="98" t="s">
        <v>13</v>
      </c>
      <c r="D167" s="98" t="s">
        <v>14</v>
      </c>
      <c r="E167" s="98" t="s">
        <v>15</v>
      </c>
      <c r="F167" s="98" t="s">
        <v>16</v>
      </c>
      <c r="G167" s="98" t="s">
        <v>17</v>
      </c>
      <c r="H167" s="98" t="s">
        <v>18</v>
      </c>
      <c r="I167" s="98" t="s">
        <v>19</v>
      </c>
      <c r="J167" s="71" t="s">
        <v>32</v>
      </c>
      <c r="K167" s="55" t="str">
        <f>IF(B167="C1","C2",IF(B167="C2","C3",IF(B167="C3","C4",IF(B167="C4","C1",""))))</f>
        <v>C3</v>
      </c>
      <c r="L167" s="98" t="str">
        <f>IF(L168&lt;&gt;"","Lun","")</f>
        <v>Lun</v>
      </c>
      <c r="M167" s="98" t="str">
        <f>IF(M168&lt;&gt;"","Mar","")</f>
        <v>Mar</v>
      </c>
      <c r="N167" s="98" t="str">
        <f>IF(N168&lt;&gt;"","Mer","")</f>
        <v>Mer</v>
      </c>
      <c r="O167" s="98" t="str">
        <f>IF(O168&lt;&gt;"","Jeu","")</f>
        <v>Jeu</v>
      </c>
      <c r="P167" s="98" t="str">
        <f>IF(P168&lt;&gt;"","Ven","")</f>
        <v>Ven</v>
      </c>
      <c r="Q167" s="98" t="str">
        <f>IF(Q168&lt;&gt;"","Sam","")</f>
        <v>Sam</v>
      </c>
      <c r="R167" s="98" t="str">
        <f>IF(R168&lt;&gt;"","Dim","")</f>
        <v>Dim</v>
      </c>
      <c r="S167" s="71" t="s">
        <v>32</v>
      </c>
      <c r="T167" s="55" t="str">
        <f>IF(K167="C1","C2",IF(K167="C2","C3",IF(K167="C3","C4",IF(K167="C4","C1",""))))</f>
        <v>C4</v>
      </c>
      <c r="U167" s="100" t="str">
        <f>IF(U168&lt;&gt;"","Lun","")</f>
        <v>Lun</v>
      </c>
      <c r="V167" s="98" t="str">
        <f>IF(V168&lt;&gt;"","Mar","")</f>
        <v>Mar</v>
      </c>
      <c r="W167" s="98" t="str">
        <f>IF(W168&lt;&gt;"","Mer","")</f>
        <v>Mer</v>
      </c>
      <c r="X167" s="98" t="str">
        <f>IF(X168&lt;&gt;"","Jeu","")</f>
        <v>Jeu</v>
      </c>
      <c r="Y167" s="98" t="str">
        <f>IF(Y168&lt;&gt;"","Ven","")</f>
        <v>Ven</v>
      </c>
      <c r="Z167" s="98" t="str">
        <f>IF(Z168&lt;&gt;"","Sam","")</f>
        <v>Sam</v>
      </c>
      <c r="AA167" s="98" t="str">
        <f>IF(AA168&lt;&gt;"","Dim","")</f>
        <v>Dim</v>
      </c>
      <c r="AB167" s="71" t="s">
        <v>32</v>
      </c>
      <c r="AC167" s="55" t="str">
        <f>IF(T167="C1","C2",IF(T167="C2","C3",IF(T167="C3","C4",IF(T167="C4","C1",""))))</f>
        <v>C1</v>
      </c>
      <c r="AD167" s="98" t="str">
        <f>IF(AD168&lt;&gt;"","Lun","")</f>
        <v>Lun</v>
      </c>
      <c r="AE167" s="98" t="str">
        <f>IF(AE168&lt;&gt;"","Mar","")</f>
        <v>Mar</v>
      </c>
      <c r="AF167" s="98" t="str">
        <f>IF(AF168&lt;&gt;"","Mer","")</f>
        <v>Mer</v>
      </c>
      <c r="AG167" s="98" t="str">
        <f>IF(AG168&lt;&gt;"","Jeu","")</f>
        <v>Jeu</v>
      </c>
      <c r="AH167" s="98" t="str">
        <f>IF(AH168&lt;&gt;"","Ven","")</f>
        <v>Ven</v>
      </c>
      <c r="AI167" s="98" t="str">
        <f>IF(AI168&lt;&gt;"","Sam","")</f>
        <v>Sam</v>
      </c>
      <c r="AJ167" s="98" t="str">
        <f>IF(AJ168&lt;&gt;"","Dim","")</f>
        <v>Dim</v>
      </c>
      <c r="AK167" s="71" t="s">
        <v>32</v>
      </c>
      <c r="AL167" s="55" t="str">
        <f>IF(AC167="C1","C2",IF(AC167="C2","C3",IF(AC167="C3","C4",IF(AC167="C4","C1",""))))</f>
        <v>C2</v>
      </c>
      <c r="AM167" s="98" t="str">
        <f>IF(AM168&lt;&gt;"","Lun","")</f>
        <v>Lun</v>
      </c>
      <c r="AN167" s="98" t="str">
        <f>IF(AN168&lt;&gt;"","Mar","")</f>
        <v>Mar</v>
      </c>
      <c r="AO167" s="98" t="str">
        <f>IF(AO168&lt;&gt;"","Mer","")</f>
        <v>Mer</v>
      </c>
      <c r="AP167" s="98" t="str">
        <f>IF(AP168&lt;&gt;"","Jeu","")</f>
        <v>Jeu</v>
      </c>
      <c r="AQ167" s="98" t="str">
        <f>IF(AQ168&lt;&gt;"","Ven","")</f>
        <v>Ven</v>
      </c>
      <c r="AR167" s="98" t="str">
        <f>IF(AR168&lt;&gt;"","Sam","")</f>
        <v>Sam</v>
      </c>
      <c r="AS167" s="98" t="str">
        <f>IF(AS168&lt;&gt;"","Dim","")</f>
        <v>Dim</v>
      </c>
      <c r="AT167" s="71" t="s">
        <v>32</v>
      </c>
      <c r="AU167" s="55" t="str">
        <f>IF(AV167&lt;&gt;"",IF(AL167="C1","C2",IF(AL167="C2","C3",IF(AL167="C3","C4",IF(AL167="C4","C1","")))),"")</f>
        <v>C3</v>
      </c>
      <c r="AV167" s="53" t="str">
        <f>IF(AV168&lt;&gt;"","Lun","")</f>
        <v>Lun</v>
      </c>
      <c r="AW167" s="53" t="str">
        <f>IF(AW168&lt;&gt;"","Mar","")</f>
        <v>Mar</v>
      </c>
      <c r="AX167" s="71" t="s">
        <v>32</v>
      </c>
      <c r="AY167" s="71" t="s">
        <v>35</v>
      </c>
      <c r="AZ167" s="74">
        <f>AY174+AY175+AY176</f>
        <v>10</v>
      </c>
      <c r="BA167" s="74">
        <f>AZ167+BA149</f>
        <v>85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97" t="str">
        <f>IF(DAY(Oct_Dim1)=1,"",IF(AND(YEAR(Oct_Dim1+1)=Année_Calendaire,MONTH(Oct_Dim1+1)=10),Oct_Dim1+1,""))</f>
        <v/>
      </c>
      <c r="D168" s="97" t="str">
        <f>IF(DAY(Oct_Dim1)=1,"",IF(AND(YEAR(Oct_Dim1+2)=Année_Calendaire,MONTH(Oct_Dim1+2)=10),Oct_Dim1+2,""))</f>
        <v/>
      </c>
      <c r="E168" s="97" t="str">
        <f>IF(DAY(Oct_Dim1)=1,"",IF(AND(YEAR(Oct_Dim1+3)=Année_Calendaire,MONTH(Oct_Dim1+3)=10),Oct_Dim1+3,""))</f>
        <v/>
      </c>
      <c r="F168" s="97" t="str">
        <f>IF(DAY(Oct_Dim1)=1,"",IF(AND(YEAR(Oct_Dim1+4)=Année_Calendaire,MONTH(Oct_Dim1+4)=10),Oct_Dim1+4,""))</f>
        <v/>
      </c>
      <c r="G168" s="97" t="str">
        <f>IF(DAY(Oct_Dim1)=1,"",IF(AND(YEAR(Oct_Dim1+5)=Année_Calendaire,MONTH(Oct_Dim1+5)=10),Oct_Dim1+5,""))</f>
        <v/>
      </c>
      <c r="H168" s="97" t="str">
        <f>IF(DAY(Oct_Dim1)=1,"",IF(AND(YEAR(Oct_Dim1+6)=Année_Calendaire,MONTH(Oct_Dim1+6)=10),Oct_Dim1+6,""))</f>
        <v/>
      </c>
      <c r="I168" s="97">
        <f>IF(DAY(Oct_Dim1)=1,IF(AND(YEAR(Oct_Dim1)=Année_Calendaire,MONTH(Oct_Dim1)=10),Oct_Dim1,""),IF(AND(YEAR(Oct_Dim1+7)=Année_Calendaire,MONTH(Oct_Dim1+7)=10),Oct_Dim1+7,""))</f>
        <v>43009</v>
      </c>
      <c r="J168" s="71"/>
      <c r="K168" s="54"/>
      <c r="L168" s="97">
        <f>IF(DAY(Oct_Dim1)=1,IF(AND(YEAR(Oct_Dim1+1)=Année_Calendaire,MONTH(Oct_Dim1+1)=10),Oct_Dim1+1,""),IF(AND(YEAR(Oct_Dim1+8)=Année_Calendaire,MONTH(Oct_Dim1+8)=10),Oct_Dim1+8,""))</f>
        <v>43010</v>
      </c>
      <c r="M168" s="97">
        <f>IF(DAY(Oct_Dim1)=1,IF(AND(YEAR(Oct_Dim1+2)=Année_Calendaire,MONTH(Oct_Dim1+2)=10),Oct_Dim1+2,""),IF(AND(YEAR(Oct_Dim1+9)=Année_Calendaire,MONTH(Oct_Dim1+9)=10),Oct_Dim1+9,""))</f>
        <v>43011</v>
      </c>
      <c r="N168" s="97">
        <f>IF(DAY(Oct_Dim1)=1,IF(AND(YEAR(Oct_Dim1+3)=Année_Calendaire,MONTH(Oct_Dim1+3)=10),Oct_Dim1+3,""),IF(AND(YEAR(Oct_Dim1+10)=Année_Calendaire,MONTH(Oct_Dim1+10)=10),Oct_Dim1+10,""))</f>
        <v>43012</v>
      </c>
      <c r="O168" s="97">
        <f>IF(DAY(Oct_Dim1)=1,IF(AND(YEAR(Oct_Dim1+4)=Année_Calendaire,MONTH(Oct_Dim1+4)=10),Oct_Dim1+4,""),IF(AND(YEAR(Oct_Dim1+11)=Année_Calendaire,MONTH(Oct_Dim1+11)=10),Oct_Dim1+11,""))</f>
        <v>43013</v>
      </c>
      <c r="P168" s="97">
        <f>IF(DAY(Oct_Dim1)=1,IF(AND(YEAR(Oct_Dim1+5)=Année_Calendaire,MONTH(Oct_Dim1+5)=10),Oct_Dim1+5,""),IF(AND(YEAR(Oct_Dim1+12)=Année_Calendaire,MONTH(Oct_Dim1+12)=10),Oct_Dim1+12,""))</f>
        <v>43014</v>
      </c>
      <c r="Q168" s="97">
        <f>IF(DAY(Oct_Dim1)=1,IF(AND(YEAR(Oct_Dim1+6)=Année_Calendaire,MONTH(Oct_Dim1+6)=10),Oct_Dim1+6,""),IF(AND(YEAR(Oct_Dim1+13)=Année_Calendaire,MONTH(Oct_Dim1+13)=10),Oct_Dim1+13,""))</f>
        <v>43015</v>
      </c>
      <c r="R168" s="97">
        <f>IF(DAY(Oct_Dim1)=1,IF(AND(YEAR(Oct_Dim1+7)=Année_Calendaire,MONTH(Oct_Dim1+7)=10),Oct_Dim1+7,""),IF(AND(YEAR(Oct_Dim1+14)=Année_Calendaire,MONTH(Oct_Dim1+14)=10),Oct_Dim1+14,""))</f>
        <v>43016</v>
      </c>
      <c r="S168" s="71"/>
      <c r="T168" s="54"/>
      <c r="U168" s="97">
        <f>IF(DAY(Oct_Dim1)=1,IF(AND(YEAR(Oct_Dim1+8)=Année_Calendaire,MONTH(Oct_Dim1+8)=10),Oct_Dim1+8,""),IF(AND(YEAR(Oct_Dim1+15)=Année_Calendaire,MONTH(Oct_Dim1+15)=10),Oct_Dim1+15,""))</f>
        <v>43017</v>
      </c>
      <c r="V168" s="97">
        <f>IF(DAY(Oct_Dim1)=1,IF(AND(YEAR(Oct_Dim1+9)=Année_Calendaire,MONTH(Oct_Dim1+9)=10),Oct_Dim1+9,""),IF(AND(YEAR(Oct_Dim1+16)=Année_Calendaire,MONTH(Oct_Dim1+16)=10),Oct_Dim1+16,""))</f>
        <v>43018</v>
      </c>
      <c r="W168" s="97">
        <f>IF(DAY(Oct_Dim1)=1,IF(AND(YEAR(Oct_Dim1+10)=Année_Calendaire,MONTH(Oct_Dim1+10)=10),Oct_Dim1+10,""),IF(AND(YEAR(Oct_Dim1+17)=Année_Calendaire,MONTH(Oct_Dim1+17)=10),Oct_Dim1+17,""))</f>
        <v>43019</v>
      </c>
      <c r="X168" s="97">
        <f>IF(DAY(Oct_Dim1)=1,IF(AND(YEAR(Oct_Dim1+11)=Année_Calendaire,MONTH(Oct_Dim1+11)=10),Oct_Dim1+11,""),IF(AND(YEAR(Oct_Dim1+18)=Année_Calendaire,MONTH(Oct_Dim1+18)=10),Oct_Dim1+18,""))</f>
        <v>43020</v>
      </c>
      <c r="Y168" s="97">
        <f>IF(DAY(Oct_Dim1)=1,IF(AND(YEAR(Oct_Dim1+12)=Année_Calendaire,MONTH(Oct_Dim1+12)=10),Oct_Dim1+12,""),IF(AND(YEAR(Oct_Dim1+19)=Année_Calendaire,MONTH(Oct_Dim1+19)=10),Oct_Dim1+19,""))</f>
        <v>43021</v>
      </c>
      <c r="Z168" s="97">
        <f>IF(DAY(Oct_Dim1)=1,IF(AND(YEAR(Oct_Dim1+13)=Année_Calendaire,MONTH(Oct_Dim1+13)=10),Oct_Dim1+13,""),IF(AND(YEAR(Oct_Dim1+20)=Année_Calendaire,MONTH(Oct_Dim1+20)=10),Oct_Dim1+20,""))</f>
        <v>43022</v>
      </c>
      <c r="AA168" s="97">
        <f>IF(DAY(Oct_Dim1)=1,IF(AND(YEAR(Oct_Dim1+14)=Année_Calendaire,MONTH(Oct_Dim1+14)=10),Oct_Dim1+14,""),IF(AND(YEAR(Oct_Dim1+21)=Année_Calendaire,MONTH(Oct_Dim1+21)=10),Oct_Dim1+21,""))</f>
        <v>43023</v>
      </c>
      <c r="AB168" s="71"/>
      <c r="AC168" s="54"/>
      <c r="AD168" s="97">
        <f>IF(DAY(Oct_Dim1)=1,IF(AND(YEAR(Oct_Dim1+15)=Année_Calendaire,MONTH(Oct_Dim1+15)=10),Oct_Dim1+15,""),IF(AND(YEAR(Oct_Dim1+22)=Année_Calendaire,MONTH(Oct_Dim1+22)=10),Oct_Dim1+22,""))</f>
        <v>43024</v>
      </c>
      <c r="AE168" s="97">
        <f>IF(DAY(Oct_Dim1)=1,IF(AND(YEAR(Oct_Dim1+16)=Année_Calendaire,MONTH(Oct_Dim1+16)=10),Oct_Dim1+16,""),IF(AND(YEAR(Oct_Dim1+23)=Année_Calendaire,MONTH(Oct_Dim1+23)=10),Oct_Dim1+23,""))</f>
        <v>43025</v>
      </c>
      <c r="AF168" s="97">
        <f>IF(DAY(Oct_Dim1)=1,IF(AND(YEAR(Oct_Dim1+17)=Année_Calendaire,MONTH(Oct_Dim1+17)=10),Oct_Dim1+17,""),IF(AND(YEAR(Oct_Dim1+24)=Année_Calendaire,MONTH(Oct_Dim1+24)=10),Oct_Dim1+24,""))</f>
        <v>43026</v>
      </c>
      <c r="AG168" s="97">
        <f>IF(DAY(Oct_Dim1)=1,IF(AND(YEAR(Oct_Dim1+18)=Année_Calendaire,MONTH(Oct_Dim1+18)=10),Oct_Dim1+18,""),IF(AND(YEAR(Oct_Dim1+25)=Année_Calendaire,MONTH(Oct_Dim1+25)=10),Oct_Dim1+25,""))</f>
        <v>43027</v>
      </c>
      <c r="AH168" s="97">
        <f>IF(DAY(Oct_Dim1)=1,IF(AND(YEAR(Oct_Dim1+19)=Année_Calendaire,MONTH(Oct_Dim1+19)=10),Oct_Dim1+19,""),IF(AND(YEAR(Oct_Dim1+26)=Année_Calendaire,MONTH(Oct_Dim1+26)=10),Oct_Dim1+26,""))</f>
        <v>43028</v>
      </c>
      <c r="AI168" s="97">
        <f>IF(DAY(Oct_Dim1)=1,IF(AND(YEAR(Oct_Dim1+20)=Année_Calendaire,MONTH(Oct_Dim1+20)=10),Oct_Dim1+20,""),IF(AND(YEAR(Oct_Dim1+27)=Année_Calendaire,MONTH(Oct_Dim1+27)=10),Oct_Dim1+27,""))</f>
        <v>43029</v>
      </c>
      <c r="AJ168" s="97">
        <f>IF(DAY(Oct_Dim1)=1,IF(AND(YEAR(Oct_Dim1+21)=Année_Calendaire,MONTH(Oct_Dim1+21)=10),Oct_Dim1+21,""),IF(AND(YEAR(Oct_Dim1+28)=Année_Calendaire,MONTH(Oct_Dim1+28)=10),Oct_Dim1+28,""))</f>
        <v>43030</v>
      </c>
      <c r="AK168" s="71"/>
      <c r="AL168" s="54"/>
      <c r="AM168" s="97">
        <f>IF(DAY(Oct_Dim1)=1,IF(AND(YEAR(Oct_Dim1+22)=Année_Calendaire,MONTH(Oct_Dim1+22)=10),Oct_Dim1+22,""),IF(AND(YEAR(Oct_Dim1+29)=Année_Calendaire,MONTH(Oct_Dim1+29)=10),Oct_Dim1+29,""))</f>
        <v>43031</v>
      </c>
      <c r="AN168" s="97">
        <f>IF(DAY(Oct_Dim1)=1,IF(AND(YEAR(Oct_Dim1+23)=Année_Calendaire,MONTH(Oct_Dim1+23)=10),Oct_Dim1+23,""),IF(AND(YEAR(Oct_Dim1+30)=Année_Calendaire,MONTH(Oct_Dim1+30)=10),Oct_Dim1+30,""))</f>
        <v>43032</v>
      </c>
      <c r="AO168" s="97">
        <f>IF(DAY(Oct_Dim1)=1,IF(AND(YEAR(Oct_Dim1+24)=Année_Calendaire,MONTH(Oct_Dim1+24)=10),Oct_Dim1+24,""),IF(AND(YEAR(Oct_Dim1+31)=Année_Calendaire,MONTH(Oct_Dim1+31)=10),Oct_Dim1+31,""))</f>
        <v>43033</v>
      </c>
      <c r="AP168" s="97">
        <f>IF(DAY(Oct_Dim1)=1,IF(AND(YEAR(Oct_Dim1+25)=Année_Calendaire,MONTH(Oct_Dim1+25)=10),Oct_Dim1+25,""),IF(AND(YEAR(Oct_Dim1+32)=Année_Calendaire,MONTH(Oct_Dim1+32)=10),Oct_Dim1+32,""))</f>
        <v>43034</v>
      </c>
      <c r="AQ168" s="97">
        <f>IF(DAY(Oct_Dim1)=1,IF(AND(YEAR(Oct_Dim1+26)=Année_Calendaire,MONTH(Oct_Dim1+26)=10),Oct_Dim1+26,""),IF(AND(YEAR(Oct_Dim1+33)=Année_Calendaire,MONTH(Oct_Dim1+33)=10),Oct_Dim1+33,""))</f>
        <v>43035</v>
      </c>
      <c r="AR168" s="97">
        <f>IF(DAY(Oct_Dim1)=1,IF(AND(YEAR(Oct_Dim1+27)=Année_Calendaire,MONTH(Oct_Dim1+27)=10),Oct_Dim1+27,""),IF(AND(YEAR(Oct_Dim1+34)=Année_Calendaire,MONTH(Oct_Dim1+34)=10),Oct_Dim1+34,""))</f>
        <v>43036</v>
      </c>
      <c r="AS168" s="97">
        <f>IF(DAY(Oct_Dim1)=1,IF(AND(YEAR(Oct_Dim1+28)=Année_Calendaire,MONTH(Oct_Dim1+28)=10),Oct_Dim1+28,""),IF(AND(YEAR(Oct_Dim1+35)=Année_Calendaire,MONTH(Oct_Dim1+35)=10),Oct_Dim1+35,""))</f>
        <v>43037</v>
      </c>
      <c r="AT168" s="71"/>
      <c r="AU168" s="54"/>
      <c r="AV168" s="54">
        <f>IF(DAY(Oct_Dim1)=1,IF(AND(YEAR(Oct_Dim1+29)=Année_Calendaire,MONTH(Oct_Dim1+29)=10),Oct_Dim1+29,""),IF(AND(YEAR(Oct_Dim1+36)=Année_Calendaire,MONTH(Oct_Dim1+36)=10),Oct_Dim1+36,""))</f>
        <v>43038</v>
      </c>
      <c r="AW168" s="54">
        <f>IF(DAY(Oct_Dim1)=1,IF(AND(YEAR(Oct_Dim1+30)=Année_Calendaire,MONTH(Oct_Dim1+30)=10),Oct_Dim1+30,""),IF(AND(YEAR(Oct_Dim1+37)=Année_Calendaire,MONTH(Oct_Dim1+37)=10),Oct_Dim1+37,""))</f>
        <v>43039</v>
      </c>
      <c r="AX168" s="71"/>
      <c r="AY168" s="71"/>
      <c r="AZ168" s="74"/>
      <c r="BA168" s="74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IF(C168="","",IFERROR(VLOOKUP(B167,DATA!$A:$H,2,TRUE),0))</f>
        <v/>
      </c>
      <c r="D169" s="49" t="str">
        <f>IF(D168="","",IFERROR(VLOOKUP(B167,DATA!$A:$H,3,TRUE),0))</f>
        <v/>
      </c>
      <c r="E169" s="49" t="str">
        <f>IF(E168="","",IFERROR(VLOOKUP(B167,DATA!$A:$H,4,TRUE),0))</f>
        <v/>
      </c>
      <c r="F169" s="49" t="str">
        <f>IF(F168="","",IFERROR(VLOOKUP(B167,DATA!$A:$H,5,TRUE),0))</f>
        <v/>
      </c>
      <c r="G169" s="49" t="str">
        <f>IF(G168="","",IFERROR(VLOOKUP(B167,DATA!$A:$H,6,TRUE),0))</f>
        <v/>
      </c>
      <c r="H169" s="49" t="str">
        <f>IF(H168="","",IFERROR(VLOOKUP(B167,DATA!$A:$H,7,TRUE),0))</f>
        <v/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matin</v>
      </c>
      <c r="M169" s="49">
        <f>IF(M168="","",IFERROR(VLOOKUP(K167,DATA!$A:$H,3,TRUE),0))</f>
        <v>0</v>
      </c>
      <c r="N169" s="49">
        <f>IF(N168="","",IFERROR(VLOOKUP(K167,DATA!$A:$H,4,TRUE),0))</f>
        <v>0</v>
      </c>
      <c r="O169" s="49" t="str">
        <f>IF(O168="","",IFERROR(VLOOKUP(K167,DATA!$A:$H,5,TRUE),0))</f>
        <v>matin</v>
      </c>
      <c r="P169" s="49" t="str">
        <f>IF(P168="","",IFERROR(VLOOKUP(K167,DATA!$A:$H,6,TRUE),0))</f>
        <v>matin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am</v>
      </c>
      <c r="V169" s="49" t="str">
        <f>IF(V168="","",IFERROR(VLOOKUP(T167,DATA!$A:$H,3,TRUE),0))</f>
        <v>am</v>
      </c>
      <c r="W169" s="49" t="str">
        <f>IF(W168="","",IFERROR(VLOOKUP(T167,DATA!$A:$H,4,TRUE),0))</f>
        <v>am</v>
      </c>
      <c r="X169" s="49" t="str">
        <f>IF(X168="","",IFERROR(VLOOKUP(T167,DATA!$A:$H,5,TRUE),0))</f>
        <v>am</v>
      </c>
      <c r="Y169" s="49" t="str">
        <f>IF(Y168="","",IFERROR(VLOOKUP(T167,DATA!$A:$H,6,TRUE),0))</f>
        <v>am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matin</v>
      </c>
      <c r="AE169" s="49" t="str">
        <f>IF(AE168="","",IFERROR(VLOOKUP(AC167,DATA!$A:$H,3,TRUE),0))</f>
        <v>matin</v>
      </c>
      <c r="AF169" s="49" t="str">
        <f>IF(AF168="","",IFERROR(VLOOKUP(AC167,DATA!$A:$H,4,TRUE),0))</f>
        <v>matin</v>
      </c>
      <c r="AG169" s="49">
        <f>IF(AG168="","",IFERROR(VLOOKUP(AC167,DATA!$A:$H,5,TRUE),0))</f>
        <v>0</v>
      </c>
      <c r="AH169" s="49">
        <f>IF(AH168="","",IFERROR(VLOOKUP(AC167,DATA!$A:$H,6,TRUE),0))</f>
        <v>0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nuit</v>
      </c>
      <c r="AN169" s="49" t="str">
        <f>IF(AN168="","",IFERROR(VLOOKUP(AL167,DATA!$A:$H,3,TRUE),0))</f>
        <v>nuit</v>
      </c>
      <c r="AO169" s="49" t="str">
        <f>IF(AO168="","",IFERROR(VLOOKUP(AL167,DATA!$A:$H,4,TRUE),0))</f>
        <v>nuit</v>
      </c>
      <c r="AP169" s="49" t="str">
        <f>IF(AP168="","",IFERROR(VLOOKUP(AL167,DATA!$A:$H,5,TRUE),0))</f>
        <v>nuit</v>
      </c>
      <c r="AQ169" s="49" t="str">
        <f>IF(AQ168="","",IFERROR(VLOOKUP(AL167,DATA!$A:$H,6,TRUE),0))</f>
        <v>nuit</v>
      </c>
      <c r="AR169" s="49">
        <f>IF(AR168="","",IFERROR(VLOOKUP(AL167,DATA!$A:$H,7,TRUE),0))</f>
        <v>0</v>
      </c>
      <c r="AS169" s="49">
        <f>IF(AS168="","",IFERROR(VLOOKUP(AL167,DATA!$A:$H,8,TRUE),0))</f>
        <v>0</v>
      </c>
      <c r="AT169" s="52"/>
      <c r="AU169" s="48"/>
      <c r="AV169" s="49" t="str">
        <f>IF(AV168="","",IFERROR(VLOOKUP(AU167,DATA!$A:$H,2,TRUE),0))</f>
        <v>matin</v>
      </c>
      <c r="AW169" s="49">
        <f>IF(AW168="","",IFERROR(VLOOKUP(AU167,DATA!$A:$H,3,TRUE),0))</f>
        <v>0</v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6">IF(C169="Matin",1,IF(C169="AM",1,0))</f>
        <v>0</v>
      </c>
      <c r="D170" s="52">
        <f t="shared" si="376"/>
        <v>0</v>
      </c>
      <c r="E170" s="52">
        <f t="shared" si="376"/>
        <v>0</v>
      </c>
      <c r="F170" s="52">
        <f t="shared" si="376"/>
        <v>0</v>
      </c>
      <c r="G170" s="52">
        <f t="shared" si="376"/>
        <v>0</v>
      </c>
      <c r="H170" s="52">
        <f t="shared" si="376"/>
        <v>0</v>
      </c>
      <c r="I170" s="52">
        <f t="shared" si="376"/>
        <v>0</v>
      </c>
      <c r="J170" s="52">
        <f>SUM(C170:I170)</f>
        <v>0</v>
      </c>
      <c r="K170" s="51"/>
      <c r="L170" s="52">
        <f t="shared" ref="L170:R170" si="377">IF(L169="Matin",1,IF(L169="AM",1,0))</f>
        <v>1</v>
      </c>
      <c r="M170" s="52">
        <f t="shared" si="377"/>
        <v>0</v>
      </c>
      <c r="N170" s="52">
        <f t="shared" si="377"/>
        <v>0</v>
      </c>
      <c r="O170" s="52">
        <f t="shared" si="377"/>
        <v>1</v>
      </c>
      <c r="P170" s="52">
        <f t="shared" si="377"/>
        <v>1</v>
      </c>
      <c r="Q170" s="52">
        <f t="shared" si="377"/>
        <v>0</v>
      </c>
      <c r="R170" s="52">
        <f t="shared" si="377"/>
        <v>0</v>
      </c>
      <c r="S170" s="52">
        <f>SUM(L170:R170)</f>
        <v>3</v>
      </c>
      <c r="T170" s="51"/>
      <c r="U170" s="52">
        <f t="shared" ref="U170:AA170" si="378">IF(U169="Matin",1,IF(U169="AM",1,0))</f>
        <v>1</v>
      </c>
      <c r="V170" s="52">
        <f t="shared" si="378"/>
        <v>1</v>
      </c>
      <c r="W170" s="52">
        <f t="shared" si="378"/>
        <v>1</v>
      </c>
      <c r="X170" s="52">
        <f t="shared" si="378"/>
        <v>1</v>
      </c>
      <c r="Y170" s="52">
        <f t="shared" si="378"/>
        <v>1</v>
      </c>
      <c r="Z170" s="52">
        <f t="shared" si="378"/>
        <v>0</v>
      </c>
      <c r="AA170" s="52">
        <f t="shared" si="378"/>
        <v>0</v>
      </c>
      <c r="AB170" s="52">
        <f>SUM(U170:AA170)</f>
        <v>5</v>
      </c>
      <c r="AC170" s="51"/>
      <c r="AD170" s="52">
        <f t="shared" ref="AD170:AJ170" si="379">IF(AD169="Matin",1,IF(AD169="AM",1,0))</f>
        <v>1</v>
      </c>
      <c r="AE170" s="52">
        <f t="shared" si="379"/>
        <v>1</v>
      </c>
      <c r="AF170" s="52">
        <f t="shared" si="379"/>
        <v>1</v>
      </c>
      <c r="AG170" s="52">
        <f t="shared" si="379"/>
        <v>0</v>
      </c>
      <c r="AH170" s="52">
        <f t="shared" si="379"/>
        <v>0</v>
      </c>
      <c r="AI170" s="52">
        <f t="shared" si="379"/>
        <v>0</v>
      </c>
      <c r="AJ170" s="52">
        <f t="shared" si="379"/>
        <v>0</v>
      </c>
      <c r="AK170" s="52">
        <f>SUM(AD170:AJ170)</f>
        <v>3</v>
      </c>
      <c r="AL170" s="51"/>
      <c r="AM170" s="52">
        <f t="shared" ref="AM170:AS170" si="380">IF(AM169="Matin",1,IF(AM169="AM",1,0))</f>
        <v>0</v>
      </c>
      <c r="AN170" s="52">
        <f t="shared" si="380"/>
        <v>0</v>
      </c>
      <c r="AO170" s="52">
        <f t="shared" si="380"/>
        <v>0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0</v>
      </c>
      <c r="AU170" s="51"/>
      <c r="AV170" s="52">
        <f t="shared" ref="AV170:AW170" si="381">IF(AV169="Matin",1,IF(AV169="AM",1,0))</f>
        <v>1</v>
      </c>
      <c r="AW170" s="52">
        <f t="shared" si="381"/>
        <v>0</v>
      </c>
      <c r="AX170" s="52">
        <f t="shared" ref="AX170:AX177" si="382">SUM(AV170:AW170)</f>
        <v>1</v>
      </c>
      <c r="AY170" s="52">
        <f>J170+S170+AB170+AK170+AT170+AX170</f>
        <v>12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0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0</v>
      </c>
      <c r="G171" s="49">
        <f t="shared" si="383"/>
        <v>0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0</v>
      </c>
      <c r="K171" s="48"/>
      <c r="L171" s="49">
        <f>IF(L172&gt;=1,1,0)</f>
        <v>1</v>
      </c>
      <c r="M171" s="49">
        <f t="shared" ref="M171:R171" si="385">IF(M172&gt;=1,1,0)</f>
        <v>0</v>
      </c>
      <c r="N171" s="49">
        <f t="shared" si="385"/>
        <v>0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3</v>
      </c>
      <c r="T171" s="48"/>
      <c r="U171" s="49">
        <f>IF(U172&gt;=1,1,0)</f>
        <v>1</v>
      </c>
      <c r="V171" s="49">
        <f t="shared" ref="V171:AA171" si="387">IF(V172&gt;=1,1,0)</f>
        <v>1</v>
      </c>
      <c r="W171" s="49">
        <f t="shared" si="387"/>
        <v>1</v>
      </c>
      <c r="X171" s="49">
        <f t="shared" si="387"/>
        <v>1</v>
      </c>
      <c r="Y171" s="49">
        <f t="shared" si="387"/>
        <v>1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5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0</v>
      </c>
      <c r="AH171" s="49">
        <f t="shared" si="389"/>
        <v>0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3</v>
      </c>
      <c r="AL171" s="48"/>
      <c r="AM171" s="49">
        <f>IF(AM172&gt;=1,1,0)</f>
        <v>1</v>
      </c>
      <c r="AN171" s="49">
        <f t="shared" ref="AN171:AS171" si="391">IF(AN172&gt;=1,1,0)</f>
        <v>1</v>
      </c>
      <c r="AO171" s="49">
        <f t="shared" si="391"/>
        <v>1</v>
      </c>
      <c r="AP171" s="49">
        <f t="shared" si="391"/>
        <v>1</v>
      </c>
      <c r="AQ171" s="49">
        <f t="shared" si="391"/>
        <v>1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5</v>
      </c>
      <c r="AU171" s="48"/>
      <c r="AV171" s="49">
        <f>IF(AV172&gt;=1,1,0)</f>
        <v>1</v>
      </c>
      <c r="AW171" s="49">
        <f t="shared" ref="AW171" si="393">IF(AW172&gt;=1,1,0)</f>
        <v>0</v>
      </c>
      <c r="AX171" s="52">
        <f t="shared" si="382"/>
        <v>1</v>
      </c>
      <c r="AY171" s="49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0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0</v>
      </c>
      <c r="G172" s="52">
        <f t="shared" si="395"/>
        <v>0</v>
      </c>
      <c r="H172" s="52">
        <f t="shared" si="395"/>
        <v>0</v>
      </c>
      <c r="I172" s="52">
        <f t="shared" si="395"/>
        <v>0</v>
      </c>
      <c r="J172" s="52">
        <f t="shared" si="384"/>
        <v>0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0</v>
      </c>
      <c r="N172" s="52">
        <f t="shared" si="396"/>
        <v>0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24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8</v>
      </c>
      <c r="W172" s="52">
        <f t="shared" si="397"/>
        <v>8</v>
      </c>
      <c r="X172" s="52">
        <f t="shared" si="397"/>
        <v>8</v>
      </c>
      <c r="Y172" s="52">
        <f t="shared" si="397"/>
        <v>8</v>
      </c>
      <c r="Z172" s="52">
        <f t="shared" si="397"/>
        <v>0</v>
      </c>
      <c r="AA172" s="52">
        <f t="shared" si="397"/>
        <v>0</v>
      </c>
      <c r="AB172" s="52">
        <f t="shared" si="388"/>
        <v>40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0</v>
      </c>
      <c r="AH172" s="52">
        <f t="shared" si="398"/>
        <v>0</v>
      </c>
      <c r="AI172" s="52">
        <f t="shared" si="398"/>
        <v>0</v>
      </c>
      <c r="AJ172" s="52">
        <f t="shared" si="398"/>
        <v>0</v>
      </c>
      <c r="AK172" s="52">
        <f t="shared" si="390"/>
        <v>24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8</v>
      </c>
      <c r="AO172" s="52">
        <f t="shared" si="399"/>
        <v>8</v>
      </c>
      <c r="AP172" s="52">
        <f t="shared" si="399"/>
        <v>8</v>
      </c>
      <c r="AQ172" s="52">
        <f t="shared" si="399"/>
        <v>8</v>
      </c>
      <c r="AR172" s="52">
        <f t="shared" si="399"/>
        <v>0</v>
      </c>
      <c r="AS172" s="52">
        <f t="shared" si="399"/>
        <v>0</v>
      </c>
      <c r="AT172" s="52">
        <f t="shared" si="392"/>
        <v>40</v>
      </c>
      <c r="AU172" s="51"/>
      <c r="AV172" s="52">
        <f>IF(AV169="Matin",8,IF(AV169="AM",8,IF(AV169="nuit",8,0)))</f>
        <v>8</v>
      </c>
      <c r="AW172" s="52">
        <f t="shared" ref="AW172" si="400">IF(AW169="Matin",8,IF(AW169="AM",8,IF(AW169="nuit",8,0)))</f>
        <v>0</v>
      </c>
      <c r="AX172" s="52">
        <f t="shared" si="382"/>
        <v>8</v>
      </c>
      <c r="AY172" s="52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20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0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0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3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3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0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0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3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3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0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0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5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5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0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0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5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5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44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</v>
      </c>
      <c r="M181" s="49">
        <f>IF(M169="nuit",M172*0.02,0)</f>
        <v>0</v>
      </c>
      <c r="N181" s="49">
        <f t="shared" ref="N181:R181" si="409">IF(N169="nuit",N172*0.02,0)</f>
        <v>0</v>
      </c>
      <c r="O181" s="49">
        <f t="shared" si="409"/>
        <v>0</v>
      </c>
      <c r="P181" s="49">
        <f>IF(P169="nuit",P172*0.02,0)</f>
        <v>0</v>
      </c>
      <c r="Q181" s="49">
        <f t="shared" si="409"/>
        <v>0</v>
      </c>
      <c r="R181" s="49">
        <f t="shared" si="409"/>
        <v>0</v>
      </c>
      <c r="S181" s="52">
        <f t="shared" si="386"/>
        <v>0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11">IF(AF169="nuit",AF172*0.02,0)</f>
        <v>0</v>
      </c>
      <c r="AG181" s="49">
        <f t="shared" si="411"/>
        <v>0</v>
      </c>
      <c r="AH181" s="49">
        <f>IF(AH169="nuit",AH172*0.02,0)</f>
        <v>0</v>
      </c>
      <c r="AI181" s="49">
        <f t="shared" si="411"/>
        <v>0</v>
      </c>
      <c r="AJ181" s="49">
        <f t="shared" si="411"/>
        <v>0</v>
      </c>
      <c r="AK181" s="52">
        <f t="shared" si="390"/>
        <v>0</v>
      </c>
      <c r="AL181" s="48"/>
      <c r="AM181" s="49">
        <f>IF(AM169="nuit",AM172*0.02,0)</f>
        <v>0.16</v>
      </c>
      <c r="AN181" s="49">
        <f>IF(AN169="nuit",AN172*0.02,0)</f>
        <v>0.16</v>
      </c>
      <c r="AO181" s="49">
        <f t="shared" ref="AO181:AS181" si="412">IF(AO169="nuit",AO172*0.02,0)</f>
        <v>0.16</v>
      </c>
      <c r="AP181" s="49">
        <f t="shared" si="412"/>
        <v>0.16</v>
      </c>
      <c r="AQ181" s="49">
        <f>IF(AQ169="nuit",AQ172*0.02,0)</f>
        <v>0.16</v>
      </c>
      <c r="AR181" s="49">
        <f t="shared" si="412"/>
        <v>0</v>
      </c>
      <c r="AS181" s="49">
        <f t="shared" si="412"/>
        <v>0</v>
      </c>
      <c r="AT181" s="52">
        <f t="shared" si="392"/>
        <v>0.8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31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">
      <c r="A184" s="16"/>
      <c r="B184" s="16"/>
      <c r="C184" s="19" t="s">
        <v>29</v>
      </c>
      <c r="D184" s="19"/>
      <c r="E184" s="19"/>
      <c r="F184" s="19"/>
      <c r="G184" s="19"/>
      <c r="H184" s="72">
        <f>Année_Calendaire</f>
        <v>2017</v>
      </c>
      <c r="I184" s="72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29</v>
      </c>
      <c r="V184" s="19"/>
      <c r="W184" s="19"/>
      <c r="X184" s="19"/>
      <c r="Y184" s="19"/>
      <c r="Z184" s="72">
        <f>Année_Calendaire</f>
        <v>2017</v>
      </c>
      <c r="AA184" s="72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29</v>
      </c>
      <c r="AN184" s="19"/>
      <c r="AO184" s="19"/>
      <c r="AP184" s="19"/>
      <c r="AQ184" s="19"/>
      <c r="AR184" s="72">
        <f>Année_Calendaire</f>
        <v>2017</v>
      </c>
      <c r="AS184" s="72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IF(AU167&lt;&gt;"",AU167,IF(AL167="C1","C2",IF(AL167="C2","C3",IF(AL167="C3","C4",IF(AL167="C4","C1","")))))</f>
        <v>C3</v>
      </c>
      <c r="C185" s="98" t="s">
        <v>13</v>
      </c>
      <c r="D185" s="98" t="s">
        <v>14</v>
      </c>
      <c r="E185" s="98" t="s">
        <v>15</v>
      </c>
      <c r="F185" s="98" t="s">
        <v>16</v>
      </c>
      <c r="G185" s="98" t="s">
        <v>17</v>
      </c>
      <c r="H185" s="98" t="s">
        <v>18</v>
      </c>
      <c r="I185" s="98" t="s">
        <v>19</v>
      </c>
      <c r="J185" s="71" t="s">
        <v>32</v>
      </c>
      <c r="K185" s="55" t="str">
        <f>IF(B185="C1","C2",IF(B185="C2","C3",IF(B185="C3","C4",IF(B185="C4","C1",""))))</f>
        <v>C4</v>
      </c>
      <c r="L185" s="98" t="str">
        <f>IF(L186&lt;&gt;"","Lun","")</f>
        <v>Lun</v>
      </c>
      <c r="M185" s="98" t="str">
        <f>IF(M186&lt;&gt;"","Mar","")</f>
        <v>Mar</v>
      </c>
      <c r="N185" s="98" t="str">
        <f>IF(N186&lt;&gt;"","Mer","")</f>
        <v>Mer</v>
      </c>
      <c r="O185" s="98" t="str">
        <f>IF(O186&lt;&gt;"","Jeu","")</f>
        <v>Jeu</v>
      </c>
      <c r="P185" s="98" t="str">
        <f>IF(P186&lt;&gt;"","Ven","")</f>
        <v>Ven</v>
      </c>
      <c r="Q185" s="98" t="str">
        <f>IF(Q186&lt;&gt;"","Sam","")</f>
        <v>Sam</v>
      </c>
      <c r="R185" s="98" t="str">
        <f>IF(R186&lt;&gt;"","Dim","")</f>
        <v>Dim</v>
      </c>
      <c r="S185" s="71" t="s">
        <v>32</v>
      </c>
      <c r="T185" s="55" t="str">
        <f>IF(K185="C1","C2",IF(K185="C2","C3",IF(K185="C3","C4",IF(K185="C4","C1",""))))</f>
        <v>C1</v>
      </c>
      <c r="U185" s="98" t="str">
        <f>IF(U186&lt;&gt;"","Lun","")</f>
        <v>Lun</v>
      </c>
      <c r="V185" s="98" t="str">
        <f>IF(V186&lt;&gt;"","Mar","")</f>
        <v>Mar</v>
      </c>
      <c r="W185" s="98" t="str">
        <f>IF(W186&lt;&gt;"","Mer","")</f>
        <v>Mer</v>
      </c>
      <c r="X185" s="98" t="str">
        <f>IF(X186&lt;&gt;"","Jeu","")</f>
        <v>Jeu</v>
      </c>
      <c r="Y185" s="98" t="str">
        <f>IF(Y186&lt;&gt;"","Ven","")</f>
        <v>Ven</v>
      </c>
      <c r="Z185" s="98" t="str">
        <f>IF(Z186&lt;&gt;"","Sam","")</f>
        <v>Sam</v>
      </c>
      <c r="AA185" s="98" t="str">
        <f>IF(AA186&lt;&gt;"","Dim","")</f>
        <v>Dim</v>
      </c>
      <c r="AB185" s="71" t="s">
        <v>32</v>
      </c>
      <c r="AC185" s="55" t="str">
        <f>IF(T185="C1","C2",IF(T185="C2","C3",IF(T185="C3","C4",IF(T185="C4","C1",""))))</f>
        <v>C2</v>
      </c>
      <c r="AD185" s="98" t="str">
        <f>IF(AD186&lt;&gt;"","Lun","")</f>
        <v>Lun</v>
      </c>
      <c r="AE185" s="98" t="str">
        <f>IF(AE186&lt;&gt;"","Mar","")</f>
        <v>Mar</v>
      </c>
      <c r="AF185" s="98" t="str">
        <f>IF(AF186&lt;&gt;"","Mer","")</f>
        <v>Mer</v>
      </c>
      <c r="AG185" s="98" t="str">
        <f>IF(AG186&lt;&gt;"","Jeu","")</f>
        <v>Jeu</v>
      </c>
      <c r="AH185" s="98" t="str">
        <f>IF(AH186&lt;&gt;"","Ven","")</f>
        <v>Ven</v>
      </c>
      <c r="AI185" s="98" t="str">
        <f>IF(AI186&lt;&gt;"","Sam","")</f>
        <v>Sam</v>
      </c>
      <c r="AJ185" s="98" t="str">
        <f>IF(AJ186&lt;&gt;"","Dim","")</f>
        <v>Dim</v>
      </c>
      <c r="AK185" s="71" t="s">
        <v>32</v>
      </c>
      <c r="AL185" s="55" t="str">
        <f>IF(AC185="C1","C2",IF(AC185="C2","C3",IF(AC185="C3","C4",IF(AC185="C4","C1",""))))</f>
        <v>C3</v>
      </c>
      <c r="AM185" s="98" t="str">
        <f>IF(AM186&lt;&gt;"","Lun","")</f>
        <v>Lun</v>
      </c>
      <c r="AN185" s="98" t="str">
        <f>IF(AN186&lt;&gt;"","Mar","")</f>
        <v>Mar</v>
      </c>
      <c r="AO185" s="98" t="str">
        <f>IF(AO186&lt;&gt;"","Mer","")</f>
        <v>Mer</v>
      </c>
      <c r="AP185" s="98" t="str">
        <f>IF(AP186&lt;&gt;"","Jeu","")</f>
        <v>Jeu</v>
      </c>
      <c r="AQ185" s="98" t="str">
        <f>IF(AQ186&lt;&gt;"","Ven","")</f>
        <v/>
      </c>
      <c r="AR185" s="98" t="str">
        <f>IF(AR186&lt;&gt;"","Sam","")</f>
        <v/>
      </c>
      <c r="AS185" s="98" t="str">
        <f>IF(AS186&lt;&gt;"","Dim","")</f>
        <v/>
      </c>
      <c r="AT185" s="71" t="s">
        <v>32</v>
      </c>
      <c r="AU185" s="55" t="str">
        <f>IF(AV185&lt;&gt;"",IF(AL185="C1","C2",IF(AL185="C2","C3",IF(AL185="C3","C4",IF(AL185="C4","C1","")))),"")</f>
        <v/>
      </c>
      <c r="AV185" s="53" t="str">
        <f>IF(AV186&lt;&gt;"","Lun","")</f>
        <v/>
      </c>
      <c r="AW185" s="53" t="str">
        <f>IF(AW186&lt;&gt;"","Mar","")</f>
        <v/>
      </c>
      <c r="AX185" s="71" t="s">
        <v>32</v>
      </c>
      <c r="AY185" s="71" t="s">
        <v>35</v>
      </c>
      <c r="AZ185" s="74">
        <f>AY192+AY193+AY194</f>
        <v>10</v>
      </c>
      <c r="BA185" s="74">
        <f>AZ185+BA167</f>
        <v>95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97" t="str">
        <f>IF(DAY(Nov_Dim1)=1,"",IF(AND(YEAR(Nov_Dim1+1)=Année_Calendaire,MONTH(Nov_Dim1+1)=11),Nov_Dim1+1,""))</f>
        <v/>
      </c>
      <c r="D186" s="97" t="str">
        <f>IF(DAY(Nov_Dim1)=1,"",IF(AND(YEAR(Nov_Dim1+2)=Année_Calendaire,MONTH(Nov_Dim1+2)=11),Nov_Dim1+2,""))</f>
        <v/>
      </c>
      <c r="E186" s="97">
        <f>IF(DAY(Nov_Dim1)=1,"",IF(AND(YEAR(Nov_Dim1+3)=Année_Calendaire,MONTH(Nov_Dim1+3)=11),Nov_Dim1+3,""))</f>
        <v>43040</v>
      </c>
      <c r="F186" s="97">
        <f>IF(DAY(Nov_Dim1)=1,"",IF(AND(YEAR(Nov_Dim1+4)=Année_Calendaire,MONTH(Nov_Dim1+4)=11),Nov_Dim1+4,""))</f>
        <v>43041</v>
      </c>
      <c r="G186" s="97">
        <f>IF(DAY(Nov_Dim1)=1,"",IF(AND(YEAR(Nov_Dim1+5)=Année_Calendaire,MONTH(Nov_Dim1+5)=11),Nov_Dim1+5,""))</f>
        <v>43042</v>
      </c>
      <c r="H186" s="97">
        <f>IF(DAY(Nov_Dim1)=1,"",IF(AND(YEAR(Nov_Dim1+6)=Année_Calendaire,MONTH(Nov_Dim1+6)=11),Nov_Dim1+6,""))</f>
        <v>43043</v>
      </c>
      <c r="I186" s="97">
        <f>IF(DAY(Nov_Dim1)=1,IF(AND(YEAR(Nov_Dim1)=Année_Calendaire,MONTH(Nov_Dim1)=11),Nov_Dim1,""),IF(AND(YEAR(Nov_Dim1+7)=Année_Calendaire,MONTH(Nov_Dim1+7)=11),Nov_Dim1+7,""))</f>
        <v>43044</v>
      </c>
      <c r="J186" s="71"/>
      <c r="K186" s="54"/>
      <c r="L186" s="97">
        <f>IF(DAY(Nov_Dim1)=1,IF(AND(YEAR(Nov_Dim1+1)=Année_Calendaire,MONTH(Nov_Dim1+1)=11),Nov_Dim1+1,""),IF(AND(YEAR(Nov_Dim1+8)=Année_Calendaire,MONTH(Nov_Dim1+8)=11),Nov_Dim1+8,""))</f>
        <v>43045</v>
      </c>
      <c r="M186" s="97">
        <f>IF(DAY(Nov_Dim1)=1,IF(AND(YEAR(Nov_Dim1+2)=Année_Calendaire,MONTH(Nov_Dim1+2)=11),Nov_Dim1+2,""),IF(AND(YEAR(Nov_Dim1+9)=Année_Calendaire,MONTH(Nov_Dim1+9)=11),Nov_Dim1+9,""))</f>
        <v>43046</v>
      </c>
      <c r="N186" s="97">
        <f>IF(DAY(Nov_Dim1)=1,IF(AND(YEAR(Nov_Dim1+3)=Année_Calendaire,MONTH(Nov_Dim1+3)=11),Nov_Dim1+3,""),IF(AND(YEAR(Nov_Dim1+10)=Année_Calendaire,MONTH(Nov_Dim1+10)=11),Nov_Dim1+10,""))</f>
        <v>43047</v>
      </c>
      <c r="O186" s="97">
        <f>IF(DAY(Nov_Dim1)=1,IF(AND(YEAR(Nov_Dim1+4)=Année_Calendaire,MONTH(Nov_Dim1+4)=11),Nov_Dim1+4,""),IF(AND(YEAR(Nov_Dim1+11)=Année_Calendaire,MONTH(Nov_Dim1+11)=11),Nov_Dim1+11,""))</f>
        <v>43048</v>
      </c>
      <c r="P186" s="97">
        <f>IF(DAY(Nov_Dim1)=1,IF(AND(YEAR(Nov_Dim1+5)=Année_Calendaire,MONTH(Nov_Dim1+5)=11),Nov_Dim1+5,""),IF(AND(YEAR(Nov_Dim1+12)=Année_Calendaire,MONTH(Nov_Dim1+12)=11),Nov_Dim1+12,""))</f>
        <v>43049</v>
      </c>
      <c r="Q186" s="97">
        <f>IF(DAY(Nov_Dim1)=1,IF(AND(YEAR(Nov_Dim1+6)=Année_Calendaire,MONTH(Nov_Dim1+6)=11),Nov_Dim1+6,""),IF(AND(YEAR(Nov_Dim1+13)=Année_Calendaire,MONTH(Nov_Dim1+13)=11),Nov_Dim1+13,""))</f>
        <v>43050</v>
      </c>
      <c r="R186" s="97">
        <f>IF(DAY(Nov_Dim1)=1,IF(AND(YEAR(Nov_Dim1+7)=Année_Calendaire,MONTH(Nov_Dim1+7)=11),Nov_Dim1+7,""),IF(AND(YEAR(Nov_Dim1+14)=Année_Calendaire,MONTH(Nov_Dim1+14)=11),Nov_Dim1+14,""))</f>
        <v>43051</v>
      </c>
      <c r="S186" s="71"/>
      <c r="T186" s="54"/>
      <c r="U186" s="97">
        <f>IF(DAY(Nov_Dim1)=1,IF(AND(YEAR(Nov_Dim1+8)=Année_Calendaire,MONTH(Nov_Dim1+8)=11),Nov_Dim1+8,""),IF(AND(YEAR(Nov_Dim1+15)=Année_Calendaire,MONTH(Nov_Dim1+15)=11),Nov_Dim1+15,""))</f>
        <v>43052</v>
      </c>
      <c r="V186" s="97">
        <f>IF(DAY(Nov_Dim1)=1,IF(AND(YEAR(Nov_Dim1+9)=Année_Calendaire,MONTH(Nov_Dim1+9)=11),Nov_Dim1+9,""),IF(AND(YEAR(Nov_Dim1+16)=Année_Calendaire,MONTH(Nov_Dim1+16)=11),Nov_Dim1+16,""))</f>
        <v>43053</v>
      </c>
      <c r="W186" s="97">
        <f>IF(DAY(Nov_Dim1)=1,IF(AND(YEAR(Nov_Dim1+10)=Année_Calendaire,MONTH(Nov_Dim1+10)=11),Nov_Dim1+10,""),IF(AND(YEAR(Nov_Dim1+17)=Année_Calendaire,MONTH(Nov_Dim1+17)=11),Nov_Dim1+17,""))</f>
        <v>43054</v>
      </c>
      <c r="X186" s="97">
        <f>IF(DAY(Nov_Dim1)=1,IF(AND(YEAR(Nov_Dim1+11)=Année_Calendaire,MONTH(Nov_Dim1+11)=11),Nov_Dim1+11,""),IF(AND(YEAR(Nov_Dim1+18)=Année_Calendaire,MONTH(Nov_Dim1+18)=11),Nov_Dim1+18,""))</f>
        <v>43055</v>
      </c>
      <c r="Y186" s="97">
        <f>IF(DAY(Nov_Dim1)=1,IF(AND(YEAR(Nov_Dim1+12)=Année_Calendaire,MONTH(Nov_Dim1+12)=11),Nov_Dim1+12,""),IF(AND(YEAR(Nov_Dim1+19)=Année_Calendaire,MONTH(Nov_Dim1+19)=11),Nov_Dim1+19,""))</f>
        <v>43056</v>
      </c>
      <c r="Z186" s="97">
        <f>IF(DAY(Nov_Dim1)=1,IF(AND(YEAR(Nov_Dim1+13)=Année_Calendaire,MONTH(Nov_Dim1+13)=11),Nov_Dim1+13,""),IF(AND(YEAR(Nov_Dim1+20)=Année_Calendaire,MONTH(Nov_Dim1+20)=11),Nov_Dim1+20,""))</f>
        <v>43057</v>
      </c>
      <c r="AA186" s="97">
        <f>IF(DAY(Nov_Dim1)=1,IF(AND(YEAR(Nov_Dim1+14)=Année_Calendaire,MONTH(Nov_Dim1+14)=11),Nov_Dim1+14,""),IF(AND(YEAR(Nov_Dim1+21)=Année_Calendaire,MONTH(Nov_Dim1+21)=11),Nov_Dim1+21,""))</f>
        <v>43058</v>
      </c>
      <c r="AB186" s="71"/>
      <c r="AC186" s="54"/>
      <c r="AD186" s="97">
        <f>IF(DAY(Nov_Dim1)=1,IF(AND(YEAR(Nov_Dim1+15)=Année_Calendaire,MONTH(Nov_Dim1+15)=11),Nov_Dim1+15,""),IF(AND(YEAR(Nov_Dim1+22)=Année_Calendaire,MONTH(Nov_Dim1+22)=11),Nov_Dim1+22,""))</f>
        <v>43059</v>
      </c>
      <c r="AE186" s="97">
        <f>IF(DAY(Nov_Dim1)=1,IF(AND(YEAR(Nov_Dim1+16)=Année_Calendaire,MONTH(Nov_Dim1+16)=11),Nov_Dim1+16,""),IF(AND(YEAR(Nov_Dim1+23)=Année_Calendaire,MONTH(Nov_Dim1+23)=11),Nov_Dim1+23,""))</f>
        <v>43060</v>
      </c>
      <c r="AF186" s="97">
        <f>IF(DAY(Nov_Dim1)=1,IF(AND(YEAR(Nov_Dim1+17)=Année_Calendaire,MONTH(Nov_Dim1+17)=11),Nov_Dim1+17,""),IF(AND(YEAR(Nov_Dim1+24)=Année_Calendaire,MONTH(Nov_Dim1+24)=11),Nov_Dim1+24,""))</f>
        <v>43061</v>
      </c>
      <c r="AG186" s="97">
        <f>IF(DAY(Nov_Dim1)=1,IF(AND(YEAR(Nov_Dim1+18)=Année_Calendaire,MONTH(Nov_Dim1+18)=11),Nov_Dim1+18,""),IF(AND(YEAR(Nov_Dim1+25)=Année_Calendaire,MONTH(Nov_Dim1+25)=11),Nov_Dim1+25,""))</f>
        <v>43062</v>
      </c>
      <c r="AH186" s="97">
        <f>IF(DAY(Nov_Dim1)=1,IF(AND(YEAR(Nov_Dim1+19)=Année_Calendaire,MONTH(Nov_Dim1+19)=11),Nov_Dim1+19,""),IF(AND(YEAR(Nov_Dim1+26)=Année_Calendaire,MONTH(Nov_Dim1+26)=11),Nov_Dim1+26,""))</f>
        <v>43063</v>
      </c>
      <c r="AI186" s="97">
        <f>IF(DAY(Nov_Dim1)=1,IF(AND(YEAR(Nov_Dim1+20)=Année_Calendaire,MONTH(Nov_Dim1+20)=11),Nov_Dim1+20,""),IF(AND(YEAR(Nov_Dim1+27)=Année_Calendaire,MONTH(Nov_Dim1+27)=11),Nov_Dim1+27,""))</f>
        <v>43064</v>
      </c>
      <c r="AJ186" s="97">
        <f>IF(DAY(Nov_Dim1)=1,IF(AND(YEAR(Nov_Dim1+21)=Année_Calendaire,MONTH(Nov_Dim1+21)=11),Nov_Dim1+21,""),IF(AND(YEAR(Nov_Dim1+28)=Année_Calendaire,MONTH(Nov_Dim1+28)=11),Nov_Dim1+28,""))</f>
        <v>43065</v>
      </c>
      <c r="AK186" s="71"/>
      <c r="AL186" s="54"/>
      <c r="AM186" s="97">
        <f>IF(DAY(Nov_Dim1)=1,IF(AND(YEAR(Nov_Dim1+22)=Année_Calendaire,MONTH(Nov_Dim1+22)=11),Nov_Dim1+22,""),IF(AND(YEAR(Nov_Dim1+29)=Année_Calendaire,MONTH(Nov_Dim1+29)=11),Nov_Dim1+29,""))</f>
        <v>43066</v>
      </c>
      <c r="AN186" s="97">
        <f>IF(DAY(Nov_Dim1)=1,IF(AND(YEAR(Nov_Dim1+23)=Année_Calendaire,MONTH(Nov_Dim1+23)=11),Nov_Dim1+23,""),IF(AND(YEAR(Nov_Dim1+30)=Année_Calendaire,MONTH(Nov_Dim1+30)=11),Nov_Dim1+30,""))</f>
        <v>43067</v>
      </c>
      <c r="AO186" s="97">
        <f>IF(DAY(Nov_Dim1)=1,IF(AND(YEAR(Nov_Dim1+24)=Année_Calendaire,MONTH(Nov_Dim1+24)=11),Nov_Dim1+24,""),IF(AND(YEAR(Nov_Dim1+31)=Année_Calendaire,MONTH(Nov_Dim1+31)=11),Nov_Dim1+31,""))</f>
        <v>43068</v>
      </c>
      <c r="AP186" s="97">
        <f>IF(DAY(Nov_Dim1)=1,IF(AND(YEAR(Nov_Dim1+25)=Année_Calendaire,MONTH(Nov_Dim1+25)=11),Nov_Dim1+25,""),IF(AND(YEAR(Nov_Dim1+32)=Année_Calendaire,MONTH(Nov_Dim1+32)=11),Nov_Dim1+32,""))</f>
        <v>43069</v>
      </c>
      <c r="AQ186" s="97" t="str">
        <f>IF(DAY(Nov_Dim1)=1,IF(AND(YEAR(Nov_Dim1+26)=Année_Calendaire,MONTH(Nov_Dim1+26)=11),Nov_Dim1+26,""),IF(AND(YEAR(Nov_Dim1+33)=Année_Calendaire,MONTH(Nov_Dim1+33)=11),Nov_Dim1+33,""))</f>
        <v/>
      </c>
      <c r="AR186" s="97" t="str">
        <f>IF(DAY(Nov_Dim1)=1,IF(AND(YEAR(Nov_Dim1+27)=Année_Calendaire,MONTH(Nov_Dim1+27)=11),Nov_Dim1+27,""),IF(AND(YEAR(Nov_Dim1+34)=Année_Calendaire,MONTH(Nov_Dim1+34)=11),Nov_Dim1+34,""))</f>
        <v/>
      </c>
      <c r="AS186" s="97" t="str">
        <f>IF(DAY(Nov_Dim1)=1,IF(AND(YEAR(Nov_Dim1+28)=Année_Calendaire,MONTH(Nov_Dim1+28)=11),Nov_Dim1+28,""),IF(AND(YEAR(Nov_Dim1+35)=Année_Calendaire,MONTH(Nov_Dim1+35)=11),Nov_Dim1+35,""))</f>
        <v/>
      </c>
      <c r="AT186" s="71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71"/>
      <c r="AY186" s="71"/>
      <c r="AZ186" s="74"/>
      <c r="BA186" s="74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/>
      </c>
      <c r="E187" s="49">
        <f>IF(E186="","",IFERROR(VLOOKUP(B185,DATA!$A:$H,4,TRUE),0))</f>
        <v>0</v>
      </c>
      <c r="F187" s="49" t="str">
        <f>IF(F186="","",IFERROR(VLOOKUP(B185,DATA!$A:$H,5,TRUE),0))</f>
        <v>matin</v>
      </c>
      <c r="G187" s="49" t="str">
        <f>IF(G186="","",IFERROR(VLOOKUP(B185,DATA!$A:$H,6,TRUE),0))</f>
        <v>matin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am</v>
      </c>
      <c r="M187" s="49" t="str">
        <f>IF(M186="","",IFERROR(VLOOKUP(K185,DATA!$A:$H,3,TRUE),0))</f>
        <v>am</v>
      </c>
      <c r="N187" s="49" t="str">
        <f>IF(N186="","",IFERROR(VLOOKUP(K185,DATA!$A:$H,4,TRUE),0))</f>
        <v>am</v>
      </c>
      <c r="O187" s="49" t="str">
        <f>IF(O186="","",IFERROR(VLOOKUP(K185,DATA!$A:$H,5,TRUE),0))</f>
        <v>am</v>
      </c>
      <c r="P187" s="49" t="str">
        <f>IF(P186="","",IFERROR(VLOOKUP(K185,DATA!$A:$H,6,TRUE),0))</f>
        <v>am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matin</v>
      </c>
      <c r="V187" s="49" t="str">
        <f>IF(V186="","",IFERROR(VLOOKUP(T185,DATA!$A:$H,3,TRUE),0))</f>
        <v>matin</v>
      </c>
      <c r="W187" s="49" t="str">
        <f>IF(W186="","",IFERROR(VLOOKUP(T185,DATA!$A:$H,4,TRUE),0))</f>
        <v>matin</v>
      </c>
      <c r="X187" s="49">
        <f>IF(X186="","",IFERROR(VLOOKUP(T185,DATA!$A:$H,5,TRUE),0))</f>
        <v>0</v>
      </c>
      <c r="Y187" s="49">
        <f>IF(Y186="","",IFERROR(VLOOKUP(T185,DATA!$A:$H,6,TRUE),0))</f>
        <v>0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nuit</v>
      </c>
      <c r="AE187" s="49" t="str">
        <f>IF(AE186="","",IFERROR(VLOOKUP(AC185,DATA!$A:$H,3,TRUE),0))</f>
        <v>nuit</v>
      </c>
      <c r="AF187" s="49" t="str">
        <f>IF(AF186="","",IFERROR(VLOOKUP(AC185,DATA!$A:$H,4,TRUE),0))</f>
        <v>nuit</v>
      </c>
      <c r="AG187" s="49" t="str">
        <f>IF(AG186="","",IFERROR(VLOOKUP(AC185,DATA!$A:$H,5,TRUE),0))</f>
        <v>nuit</v>
      </c>
      <c r="AH187" s="49" t="str">
        <f>IF(AH186="","",IFERROR(VLOOKUP(AC185,DATA!$A:$H,6,TRUE),0))</f>
        <v>nuit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matin</v>
      </c>
      <c r="AN187" s="49">
        <f>IF(AN186="","",IFERROR(VLOOKUP(AL185,DATA!$A:$H,3,TRUE),0))</f>
        <v>0</v>
      </c>
      <c r="AO187" s="49">
        <f>IF(AO186="","",IFERROR(VLOOKUP(AL185,DATA!$A:$H,4,TRUE),0))</f>
        <v>0</v>
      </c>
      <c r="AP187" s="49" t="str">
        <f>IF(AP186="","",IFERROR(VLOOKUP(AL185,DATA!$A:$H,5,TRUE),0))</f>
        <v>matin</v>
      </c>
      <c r="AQ187" s="49" t="str">
        <f>IF(AQ186="","",IFERROR(VLOOKUP(AL185,DATA!$A:$H,6,TRUE),0))</f>
        <v/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1</v>
      </c>
      <c r="G188" s="52">
        <f t="shared" si="413"/>
        <v>1</v>
      </c>
      <c r="H188" s="52">
        <f t="shared" si="413"/>
        <v>0</v>
      </c>
      <c r="I188" s="52">
        <f t="shared" si="413"/>
        <v>0</v>
      </c>
      <c r="J188" s="52">
        <f>SUM(C188:I188)</f>
        <v>2</v>
      </c>
      <c r="K188" s="51"/>
      <c r="L188" s="52">
        <f t="shared" ref="L188:R188" si="414">IF(L187="Matin",1,IF(L187="AM",1,0))</f>
        <v>1</v>
      </c>
      <c r="M188" s="52">
        <f t="shared" si="414"/>
        <v>1</v>
      </c>
      <c r="N188" s="52">
        <f t="shared" si="414"/>
        <v>1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5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0</v>
      </c>
      <c r="Y188" s="52">
        <f t="shared" si="415"/>
        <v>0</v>
      </c>
      <c r="Z188" s="52">
        <f t="shared" si="415"/>
        <v>0</v>
      </c>
      <c r="AA188" s="52">
        <f t="shared" si="415"/>
        <v>0</v>
      </c>
      <c r="AB188" s="52">
        <f>SUM(U188:AA188)</f>
        <v>3</v>
      </c>
      <c r="AC188" s="51"/>
      <c r="AD188" s="52">
        <f t="shared" ref="AD188:AJ188" si="416">IF(AD187="Matin",1,IF(AD187="AM",1,0))</f>
        <v>0</v>
      </c>
      <c r="AE188" s="52">
        <f t="shared" si="416"/>
        <v>0</v>
      </c>
      <c r="AF188" s="52">
        <f t="shared" si="416"/>
        <v>0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0</v>
      </c>
      <c r="AL188" s="51"/>
      <c r="AM188" s="52">
        <f t="shared" ref="AM188:AS188" si="417">IF(AM187="Matin",1,IF(AM187="AM",1,0))</f>
        <v>1</v>
      </c>
      <c r="AN188" s="52">
        <f t="shared" si="417"/>
        <v>0</v>
      </c>
      <c r="AO188" s="52">
        <f t="shared" si="417"/>
        <v>0</v>
      </c>
      <c r="AP188" s="52">
        <f t="shared" si="417"/>
        <v>1</v>
      </c>
      <c r="AQ188" s="52">
        <f t="shared" si="417"/>
        <v>0</v>
      </c>
      <c r="AR188" s="52">
        <f t="shared" si="417"/>
        <v>0</v>
      </c>
      <c r="AS188" s="52">
        <f t="shared" si="417"/>
        <v>0</v>
      </c>
      <c r="AT188" s="52">
        <f>SUM(AM188:AS188)</f>
        <v>2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12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20">IF(E190&gt;=1,1,0)</f>
        <v>0</v>
      </c>
      <c r="F189" s="49">
        <f t="shared" si="420"/>
        <v>1</v>
      </c>
      <c r="G189" s="49">
        <f t="shared" si="420"/>
        <v>1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2</v>
      </c>
      <c r="K189" s="48"/>
      <c r="L189" s="49">
        <f>IF(L190&gt;=1,1,0)</f>
        <v>1</v>
      </c>
      <c r="M189" s="49">
        <f t="shared" ref="M189:R189" si="422">IF(M190&gt;=1,1,0)</f>
        <v>1</v>
      </c>
      <c r="N189" s="49">
        <f t="shared" si="422"/>
        <v>1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5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0</v>
      </c>
      <c r="Y189" s="49">
        <f t="shared" si="424"/>
        <v>0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3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1</v>
      </c>
      <c r="AH189" s="49">
        <f t="shared" si="426"/>
        <v>1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5</v>
      </c>
      <c r="AL189" s="48"/>
      <c r="AM189" s="49">
        <f>IF(AM190&gt;=1,1,0)</f>
        <v>1</v>
      </c>
      <c r="AN189" s="49">
        <f t="shared" ref="AN189:AS189" si="428">IF(AN190&gt;=1,1,0)</f>
        <v>0</v>
      </c>
      <c r="AO189" s="49">
        <f t="shared" si="428"/>
        <v>0</v>
      </c>
      <c r="AP189" s="49">
        <f t="shared" si="428"/>
        <v>1</v>
      </c>
      <c r="AQ189" s="49">
        <f t="shared" si="428"/>
        <v>0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2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17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0</v>
      </c>
      <c r="E190" s="52">
        <f t="shared" si="432"/>
        <v>0</v>
      </c>
      <c r="F190" s="52">
        <f t="shared" si="432"/>
        <v>8</v>
      </c>
      <c r="G190" s="52">
        <f t="shared" si="432"/>
        <v>8</v>
      </c>
      <c r="H190" s="52">
        <f t="shared" si="432"/>
        <v>0</v>
      </c>
      <c r="I190" s="52">
        <f t="shared" si="432"/>
        <v>0</v>
      </c>
      <c r="J190" s="52">
        <f t="shared" si="421"/>
        <v>16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8</v>
      </c>
      <c r="N190" s="52">
        <f t="shared" si="433"/>
        <v>8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40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0</v>
      </c>
      <c r="Y190" s="52">
        <f t="shared" si="434"/>
        <v>0</v>
      </c>
      <c r="Z190" s="52">
        <f t="shared" si="434"/>
        <v>0</v>
      </c>
      <c r="AA190" s="52">
        <f t="shared" si="434"/>
        <v>0</v>
      </c>
      <c r="AB190" s="52">
        <f t="shared" si="425"/>
        <v>24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8</v>
      </c>
      <c r="AH190" s="52">
        <f t="shared" si="435"/>
        <v>8</v>
      </c>
      <c r="AI190" s="52">
        <f t="shared" si="435"/>
        <v>0</v>
      </c>
      <c r="AJ190" s="52">
        <f t="shared" si="435"/>
        <v>0</v>
      </c>
      <c r="AK190" s="52">
        <f t="shared" si="427"/>
        <v>40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0</v>
      </c>
      <c r="AO190" s="52">
        <f t="shared" si="436"/>
        <v>0</v>
      </c>
      <c r="AP190" s="52">
        <f t="shared" si="436"/>
        <v>8</v>
      </c>
      <c r="AQ190" s="52">
        <f t="shared" si="436"/>
        <v>0</v>
      </c>
      <c r="AR190" s="52">
        <f t="shared" si="436"/>
        <v>0</v>
      </c>
      <c r="AS190" s="52">
        <f t="shared" si="436"/>
        <v>0</v>
      </c>
      <c r="AT190" s="52">
        <f t="shared" si="429"/>
        <v>16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136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20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44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4">IF(E187="nuit",E190*0.02,0)</f>
        <v>0</v>
      </c>
      <c r="F199" s="49">
        <f t="shared" si="444"/>
        <v>0</v>
      </c>
      <c r="G199" s="49">
        <f>IF(G187="nuit",G190*0.02,0)</f>
        <v>0</v>
      </c>
      <c r="H199" s="49">
        <f t="shared" si="444"/>
        <v>0</v>
      </c>
      <c r="I199" s="49">
        <f t="shared" si="444"/>
        <v>0</v>
      </c>
      <c r="J199" s="52">
        <f t="shared" si="421"/>
        <v>0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0.16</v>
      </c>
      <c r="AE199" s="49">
        <f>IF(AE187="nuit",AE190*0.02,0)</f>
        <v>0.16</v>
      </c>
      <c r="AF199" s="49">
        <f t="shared" ref="AF199:AJ199" si="447">IF(AF187="nuit",AF190*0.02,0)</f>
        <v>0.16</v>
      </c>
      <c r="AG199" s="49">
        <f t="shared" si="447"/>
        <v>0.16</v>
      </c>
      <c r="AH199" s="49">
        <f>IF(AH187="nuit",AH190*0.02,0)</f>
        <v>0.16</v>
      </c>
      <c r="AI199" s="49">
        <f t="shared" si="447"/>
        <v>0</v>
      </c>
      <c r="AJ199" s="49">
        <f t="shared" si="447"/>
        <v>0</v>
      </c>
      <c r="AK199" s="52">
        <f t="shared" si="427"/>
        <v>0.8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8">IF(AO187="nuit",AO190*0.02,0)</f>
        <v>0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31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">
      <c r="A202" s="16"/>
      <c r="B202" s="16"/>
      <c r="C202" s="19" t="s">
        <v>30</v>
      </c>
      <c r="D202" s="19"/>
      <c r="E202" s="19"/>
      <c r="F202" s="19"/>
      <c r="G202" s="19"/>
      <c r="H202" s="72">
        <f>Année_Calendaire</f>
        <v>2017</v>
      </c>
      <c r="I202" s="72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30</v>
      </c>
      <c r="V202" s="19"/>
      <c r="W202" s="19"/>
      <c r="X202" s="19"/>
      <c r="Y202" s="19"/>
      <c r="Z202" s="72">
        <f>Année_Calendaire</f>
        <v>2017</v>
      </c>
      <c r="AA202" s="72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30</v>
      </c>
      <c r="AN202" s="19"/>
      <c r="AO202" s="19"/>
      <c r="AP202" s="19"/>
      <c r="AQ202" s="19"/>
      <c r="AR202" s="72">
        <f>Année_Calendaire</f>
        <v>2017</v>
      </c>
      <c r="AS202" s="72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IF(AU185&lt;&gt;"",IF(AU185="C1","C2",IF(AU185="C2","C3",IF(AU185="C3","C4",IF(AU185="C4","C1","")))),IF(AL185="C1","C2",IF(AL185="C2","C3",IF(AL185="C3","C4",IF(AL185="C4","C1","")))))</f>
        <v>C4</v>
      </c>
      <c r="C203" s="98" t="s">
        <v>13</v>
      </c>
      <c r="D203" s="98" t="s">
        <v>14</v>
      </c>
      <c r="E203" s="98" t="s">
        <v>15</v>
      </c>
      <c r="F203" s="98" t="s">
        <v>16</v>
      </c>
      <c r="G203" s="98" t="s">
        <v>17</v>
      </c>
      <c r="H203" s="98" t="s">
        <v>18</v>
      </c>
      <c r="I203" s="98" t="s">
        <v>19</v>
      </c>
      <c r="J203" s="71" t="s">
        <v>32</v>
      </c>
      <c r="K203" s="55" t="str">
        <f>IF(B203="C1","C2",IF(B203="C2","C3",IF(B203="C3","C4",IF(B203="C4","C1",""))))</f>
        <v>C1</v>
      </c>
      <c r="L203" s="98" t="str">
        <f>IF(L204&lt;&gt;"","Lun","")</f>
        <v>Lun</v>
      </c>
      <c r="M203" s="98" t="str">
        <f>IF(M204&lt;&gt;"","Mar","")</f>
        <v>Mar</v>
      </c>
      <c r="N203" s="98" t="str">
        <f>IF(N204&lt;&gt;"","Mer","")</f>
        <v>Mer</v>
      </c>
      <c r="O203" s="98" t="str">
        <f>IF(O204&lt;&gt;"","Jeu","")</f>
        <v>Jeu</v>
      </c>
      <c r="P203" s="98" t="str">
        <f>IF(P204&lt;&gt;"","Ven","")</f>
        <v>Ven</v>
      </c>
      <c r="Q203" s="98" t="str">
        <f>IF(Q204&lt;&gt;"","Sam","")</f>
        <v>Sam</v>
      </c>
      <c r="R203" s="98" t="str">
        <f>IF(R204&lt;&gt;"","Dim","")</f>
        <v>Dim</v>
      </c>
      <c r="S203" s="71" t="s">
        <v>32</v>
      </c>
      <c r="T203" s="55" t="str">
        <f>IF(K203="C1","C2",IF(K203="C2","C3",IF(K203="C3","C4",IF(K203="C4","C1",""))))</f>
        <v>C2</v>
      </c>
      <c r="U203" s="98" t="str">
        <f>IF(U204&lt;&gt;"","Lun","")</f>
        <v>Lun</v>
      </c>
      <c r="V203" s="98" t="str">
        <f>IF(V204&lt;&gt;"","Mar","")</f>
        <v>Mar</v>
      </c>
      <c r="W203" s="98" t="str">
        <f>IF(W204&lt;&gt;"","Mer","")</f>
        <v>Mer</v>
      </c>
      <c r="X203" s="98" t="str">
        <f>IF(X204&lt;&gt;"","Jeu","")</f>
        <v>Jeu</v>
      </c>
      <c r="Y203" s="98" t="str">
        <f>IF(Y204&lt;&gt;"","Ven","")</f>
        <v>Ven</v>
      </c>
      <c r="Z203" s="98" t="str">
        <f>IF(Z204&lt;&gt;"","Sam","")</f>
        <v>Sam</v>
      </c>
      <c r="AA203" s="98" t="str">
        <f>IF(AA204&lt;&gt;"","Dim","")</f>
        <v>Dim</v>
      </c>
      <c r="AB203" s="71" t="s">
        <v>32</v>
      </c>
      <c r="AC203" s="55" t="str">
        <f>IF(T203="C1","C2",IF(T203="C2","C3",IF(T203="C3","C4",IF(T203="C4","C1",""))))</f>
        <v>C3</v>
      </c>
      <c r="AD203" s="98" t="str">
        <f>IF(AD204&lt;&gt;"","Lun","")</f>
        <v>Lun</v>
      </c>
      <c r="AE203" s="98" t="str">
        <f>IF(AE204&lt;&gt;"","Mar","")</f>
        <v>Mar</v>
      </c>
      <c r="AF203" s="98" t="str">
        <f>IF(AF204&lt;&gt;"","Mer","")</f>
        <v>Mer</v>
      </c>
      <c r="AG203" s="98" t="str">
        <f>IF(AG204&lt;&gt;"","Jeu","")</f>
        <v>Jeu</v>
      </c>
      <c r="AH203" s="98" t="str">
        <f>IF(AH204&lt;&gt;"","Ven","")</f>
        <v>Ven</v>
      </c>
      <c r="AI203" s="98" t="str">
        <f>IF(AI204&lt;&gt;"","Sam","")</f>
        <v>Sam</v>
      </c>
      <c r="AJ203" s="98" t="str">
        <f>IF(AJ204&lt;&gt;"","Dim","")</f>
        <v>Dim</v>
      </c>
      <c r="AK203" s="71" t="s">
        <v>32</v>
      </c>
      <c r="AL203" s="55" t="str">
        <f>IF(AC203="C1","C2",IF(AC203="C2","C3",IF(AC203="C3","C4",IF(AC203="C4","C1",""))))</f>
        <v>C4</v>
      </c>
      <c r="AM203" s="98" t="str">
        <f>IF(AM204&lt;&gt;"","Lun","")</f>
        <v>Lun</v>
      </c>
      <c r="AN203" s="98" t="str">
        <f>IF(AN204&lt;&gt;"","Mar","")</f>
        <v>Mar</v>
      </c>
      <c r="AO203" s="98" t="str">
        <f>IF(AO204&lt;&gt;"","Mer","")</f>
        <v>Mer</v>
      </c>
      <c r="AP203" s="98" t="str">
        <f>IF(AP204&lt;&gt;"","Jeu","")</f>
        <v>Jeu</v>
      </c>
      <c r="AQ203" s="98" t="str">
        <f>IF(AQ204&lt;&gt;"","Ven","")</f>
        <v>Ven</v>
      </c>
      <c r="AR203" s="98" t="str">
        <f>IF(AR204&lt;&gt;"","Sam","")</f>
        <v>Sam</v>
      </c>
      <c r="AS203" s="98" t="str">
        <f>IF(AS204&lt;&gt;"","Dim","")</f>
        <v>Dim</v>
      </c>
      <c r="AT203" s="71" t="s">
        <v>32</v>
      </c>
      <c r="AU203" s="55" t="str">
        <f>IF(AV203&lt;&gt;"",IF(AL203="C1","C2",IF(AL203="C2","C3",IF(AL203="C3","C4",IF(AL203="C4","C1","")))),"")</f>
        <v/>
      </c>
      <c r="AV203" s="53" t="str">
        <f>IF(AV204&lt;&gt;"","Lun","")</f>
        <v/>
      </c>
      <c r="AW203" s="53" t="str">
        <f>IF(AW204&lt;&gt;"","Mar","")</f>
        <v/>
      </c>
      <c r="AX203" s="71" t="s">
        <v>32</v>
      </c>
      <c r="AY203" s="71" t="s">
        <v>35</v>
      </c>
      <c r="AZ203" s="74">
        <f>AY210+AY211+AY212</f>
        <v>10</v>
      </c>
      <c r="BA203" s="74">
        <f>AZ203+BA185</f>
        <v>105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97" t="str">
        <f>IF(DAY(Déc_Dim1)=1,"",IF(AND(YEAR(Déc_Dim1+1)=Année_Calendaire,MONTH(Déc_Dim1+1)=12),Déc_Dim1+1,""))</f>
        <v/>
      </c>
      <c r="D204" s="97" t="str">
        <f>IF(DAY(Déc_Dim1)=1,"",IF(AND(YEAR(Déc_Dim1+2)=Année_Calendaire,MONTH(Déc_Dim1+2)=12),Déc_Dim1+2,""))</f>
        <v/>
      </c>
      <c r="E204" s="97" t="str">
        <f>IF(DAY(Déc_Dim1)=1,"",IF(AND(YEAR(Déc_Dim1+3)=Année_Calendaire,MONTH(Déc_Dim1+3)=12),Déc_Dim1+3,""))</f>
        <v/>
      </c>
      <c r="F204" s="97" t="str">
        <f>IF(DAY(Déc_Dim1)=1,"",IF(AND(YEAR(Déc_Dim1+4)=Année_Calendaire,MONTH(Déc_Dim1+4)=12),Déc_Dim1+4,""))</f>
        <v/>
      </c>
      <c r="G204" s="97">
        <f>IF(DAY(Déc_Dim1)=1,"",IF(AND(YEAR(Déc_Dim1+5)=Année_Calendaire,MONTH(Déc_Dim1+5)=12),Déc_Dim1+5,""))</f>
        <v>43070</v>
      </c>
      <c r="H204" s="97">
        <f>IF(DAY(Déc_Dim1)=1,"",IF(AND(YEAR(Déc_Dim1+6)=Année_Calendaire,MONTH(Déc_Dim1+6)=12),Déc_Dim1+6,""))</f>
        <v>43071</v>
      </c>
      <c r="I204" s="97">
        <f>IF(DAY(Déc_Dim1)=1,IF(AND(YEAR(Déc_Dim1)=Année_Calendaire,MONTH(Déc_Dim1)=12),Déc_Dim1,""),IF(AND(YEAR(Déc_Dim1+7)=Année_Calendaire,MONTH(Déc_Dim1+7)=12),Déc_Dim1+7,""))</f>
        <v>43072</v>
      </c>
      <c r="J204" s="71"/>
      <c r="K204" s="54"/>
      <c r="L204" s="97">
        <f>IF(DAY(Déc_Dim1)=1,IF(AND(YEAR(Déc_Dim1+1)=Année_Calendaire,MONTH(Déc_Dim1+1)=12),Déc_Dim1+1,""),IF(AND(YEAR(Déc_Dim1+8)=Année_Calendaire,MONTH(Déc_Dim1+8)=12),Déc_Dim1+8,""))</f>
        <v>43073</v>
      </c>
      <c r="M204" s="97">
        <f>IF(DAY(Déc_Dim1)=1,IF(AND(YEAR(Déc_Dim1+2)=Année_Calendaire,MONTH(Déc_Dim1+2)=12),Déc_Dim1+2,""),IF(AND(YEAR(Déc_Dim1+9)=Année_Calendaire,MONTH(Déc_Dim1+9)=12),Déc_Dim1+9,""))</f>
        <v>43074</v>
      </c>
      <c r="N204" s="97">
        <f>IF(DAY(Déc_Dim1)=1,IF(AND(YEAR(Déc_Dim1+3)=Année_Calendaire,MONTH(Déc_Dim1+3)=12),Déc_Dim1+3,""),IF(AND(YEAR(Déc_Dim1+10)=Année_Calendaire,MONTH(Déc_Dim1+10)=12),Déc_Dim1+10,""))</f>
        <v>43075</v>
      </c>
      <c r="O204" s="97">
        <f>IF(DAY(Déc_Dim1)=1,IF(AND(YEAR(Déc_Dim1+4)=Année_Calendaire,MONTH(Déc_Dim1+4)=12),Déc_Dim1+4,""),IF(AND(YEAR(Déc_Dim1+11)=Année_Calendaire,MONTH(Déc_Dim1+11)=12),Déc_Dim1+11,""))</f>
        <v>43076</v>
      </c>
      <c r="P204" s="97">
        <f>IF(DAY(Déc_Dim1)=1,IF(AND(YEAR(Déc_Dim1+5)=Année_Calendaire,MONTH(Déc_Dim1+5)=12),Déc_Dim1+5,""),IF(AND(YEAR(Déc_Dim1+12)=Année_Calendaire,MONTH(Déc_Dim1+12)=12),Déc_Dim1+12,""))</f>
        <v>43077</v>
      </c>
      <c r="Q204" s="97">
        <f>IF(DAY(Déc_Dim1)=1,IF(AND(YEAR(Déc_Dim1+6)=Année_Calendaire,MONTH(Déc_Dim1+6)=12),Déc_Dim1+6,""),IF(AND(YEAR(Déc_Dim1+13)=Année_Calendaire,MONTH(Déc_Dim1+13)=12),Déc_Dim1+13,""))</f>
        <v>43078</v>
      </c>
      <c r="R204" s="97">
        <f>IF(DAY(Déc_Dim1)=1,IF(AND(YEAR(Déc_Dim1+7)=Année_Calendaire,MONTH(Déc_Dim1+7)=12),Déc_Dim1+7,""),IF(AND(YEAR(Déc_Dim1+14)=Année_Calendaire,MONTH(Déc_Dim1+14)=12),Déc_Dim1+14,""))</f>
        <v>43079</v>
      </c>
      <c r="S204" s="71"/>
      <c r="T204" s="54"/>
      <c r="U204" s="97">
        <f>IF(DAY(Déc_Dim1)=1,IF(AND(YEAR(Déc_Dim1+8)=Année_Calendaire,MONTH(Déc_Dim1+8)=12),Déc_Dim1+8,""),IF(AND(YEAR(Déc_Dim1+15)=Année_Calendaire,MONTH(Déc_Dim1+15)=12),Déc_Dim1+15,""))</f>
        <v>43080</v>
      </c>
      <c r="V204" s="97">
        <f>IF(DAY(Déc_Dim1)=1,IF(AND(YEAR(Déc_Dim1+9)=Année_Calendaire,MONTH(Déc_Dim1+9)=12),Déc_Dim1+9,""),IF(AND(YEAR(Déc_Dim1+16)=Année_Calendaire,MONTH(Déc_Dim1+16)=12),Déc_Dim1+16,""))</f>
        <v>43081</v>
      </c>
      <c r="W204" s="97">
        <f>IF(DAY(Déc_Dim1)=1,IF(AND(YEAR(Déc_Dim1+10)=Année_Calendaire,MONTH(Déc_Dim1+10)=12),Déc_Dim1+10,""),IF(AND(YEAR(Déc_Dim1+17)=Année_Calendaire,MONTH(Déc_Dim1+17)=12),Déc_Dim1+17,""))</f>
        <v>43082</v>
      </c>
      <c r="X204" s="97">
        <f>IF(DAY(Déc_Dim1)=1,IF(AND(YEAR(Déc_Dim1+11)=Année_Calendaire,MONTH(Déc_Dim1+11)=12),Déc_Dim1+11,""),IF(AND(YEAR(Déc_Dim1+18)=Année_Calendaire,MONTH(Déc_Dim1+18)=12),Déc_Dim1+18,""))</f>
        <v>43083</v>
      </c>
      <c r="Y204" s="97">
        <f>IF(DAY(Déc_Dim1)=1,IF(AND(YEAR(Déc_Dim1+12)=Année_Calendaire,MONTH(Déc_Dim1+12)=12),Déc_Dim1+12,""),IF(AND(YEAR(Déc_Dim1+19)=Année_Calendaire,MONTH(Déc_Dim1+19)=12),Déc_Dim1+19,""))</f>
        <v>43084</v>
      </c>
      <c r="Z204" s="97">
        <f>IF(DAY(Déc_Dim1)=1,IF(AND(YEAR(Déc_Dim1+13)=Année_Calendaire,MONTH(Déc_Dim1+13)=12),Déc_Dim1+13,""),IF(AND(YEAR(Déc_Dim1+20)=Année_Calendaire,MONTH(Déc_Dim1+20)=12),Déc_Dim1+20,""))</f>
        <v>43085</v>
      </c>
      <c r="AA204" s="97">
        <f>IF(DAY(Déc_Dim1)=1,IF(AND(YEAR(Déc_Dim1+14)=Année_Calendaire,MONTH(Déc_Dim1+14)=12),Déc_Dim1+14,""),IF(AND(YEAR(Déc_Dim1+21)=Année_Calendaire,MONTH(Déc_Dim1+21)=12),Déc_Dim1+21,""))</f>
        <v>43086</v>
      </c>
      <c r="AB204" s="71"/>
      <c r="AC204" s="54"/>
      <c r="AD204" s="97">
        <f>IF(DAY(Déc_Dim1)=1,IF(AND(YEAR(Déc_Dim1+15)=Année_Calendaire,MONTH(Déc_Dim1+15)=12),Déc_Dim1+15,""),IF(AND(YEAR(Déc_Dim1+22)=Année_Calendaire,MONTH(Déc_Dim1+22)=12),Déc_Dim1+22,""))</f>
        <v>43087</v>
      </c>
      <c r="AE204" s="97">
        <f>IF(DAY(Déc_Dim1)=1,IF(AND(YEAR(Déc_Dim1+16)=Année_Calendaire,MONTH(Déc_Dim1+16)=12),Déc_Dim1+16,""),IF(AND(YEAR(Déc_Dim1+23)=Année_Calendaire,MONTH(Déc_Dim1+23)=12),Déc_Dim1+23,""))</f>
        <v>43088</v>
      </c>
      <c r="AF204" s="97">
        <f>IF(DAY(Déc_Dim1)=1,IF(AND(YEAR(Déc_Dim1+17)=Année_Calendaire,MONTH(Déc_Dim1+17)=12),Déc_Dim1+17,""),IF(AND(YEAR(Déc_Dim1+24)=Année_Calendaire,MONTH(Déc_Dim1+24)=12),Déc_Dim1+24,""))</f>
        <v>43089</v>
      </c>
      <c r="AG204" s="97">
        <f>IF(DAY(Déc_Dim1)=1,IF(AND(YEAR(Déc_Dim1+18)=Année_Calendaire,MONTH(Déc_Dim1+18)=12),Déc_Dim1+18,""),IF(AND(YEAR(Déc_Dim1+25)=Année_Calendaire,MONTH(Déc_Dim1+25)=12),Déc_Dim1+25,""))</f>
        <v>43090</v>
      </c>
      <c r="AH204" s="97">
        <f>IF(DAY(Déc_Dim1)=1,IF(AND(YEAR(Déc_Dim1+19)=Année_Calendaire,MONTH(Déc_Dim1+19)=12),Déc_Dim1+19,""),IF(AND(YEAR(Déc_Dim1+26)=Année_Calendaire,MONTH(Déc_Dim1+26)=12),Déc_Dim1+26,""))</f>
        <v>43091</v>
      </c>
      <c r="AI204" s="97">
        <f>IF(DAY(Déc_Dim1)=1,IF(AND(YEAR(Déc_Dim1+20)=Année_Calendaire,MONTH(Déc_Dim1+20)=12),Déc_Dim1+20,""),IF(AND(YEAR(Déc_Dim1+27)=Année_Calendaire,MONTH(Déc_Dim1+27)=12),Déc_Dim1+27,""))</f>
        <v>43092</v>
      </c>
      <c r="AJ204" s="97">
        <f>IF(DAY(Déc_Dim1)=1,IF(AND(YEAR(Déc_Dim1+21)=Année_Calendaire,MONTH(Déc_Dim1+21)=12),Déc_Dim1+21,""),IF(AND(YEAR(Déc_Dim1+28)=Année_Calendaire,MONTH(Déc_Dim1+28)=12),Déc_Dim1+28,""))</f>
        <v>43093</v>
      </c>
      <c r="AK204" s="71"/>
      <c r="AL204" s="54"/>
      <c r="AM204" s="97">
        <f>IF(DAY(Déc_Dim1)=1,IF(AND(YEAR(Déc_Dim1+22)=Année_Calendaire,MONTH(Déc_Dim1+22)=12),Déc_Dim1+22,""),IF(AND(YEAR(Déc_Dim1+29)=Année_Calendaire,MONTH(Déc_Dim1+29)=12),Déc_Dim1+29,""))</f>
        <v>43094</v>
      </c>
      <c r="AN204" s="97">
        <f>IF(DAY(Déc_Dim1)=1,IF(AND(YEAR(Déc_Dim1+23)=Année_Calendaire,MONTH(Déc_Dim1+23)=12),Déc_Dim1+23,""),IF(AND(YEAR(Déc_Dim1+30)=Année_Calendaire,MONTH(Déc_Dim1+30)=12),Déc_Dim1+30,""))</f>
        <v>43095</v>
      </c>
      <c r="AO204" s="97">
        <f>IF(DAY(Déc_Dim1)=1,IF(AND(YEAR(Déc_Dim1+24)=Année_Calendaire,MONTH(Déc_Dim1+24)=12),Déc_Dim1+24,""),IF(AND(YEAR(Déc_Dim1+31)=Année_Calendaire,MONTH(Déc_Dim1+31)=12),Déc_Dim1+31,""))</f>
        <v>43096</v>
      </c>
      <c r="AP204" s="97">
        <f>IF(DAY(Déc_Dim1)=1,IF(AND(YEAR(Déc_Dim1+25)=Année_Calendaire,MONTH(Déc_Dim1+25)=12),Déc_Dim1+25,""),IF(AND(YEAR(Déc_Dim1+32)=Année_Calendaire,MONTH(Déc_Dim1+32)=12),Déc_Dim1+32,""))</f>
        <v>43097</v>
      </c>
      <c r="AQ204" s="97">
        <f>IF(DAY(Déc_Dim1)=1,IF(AND(YEAR(Déc_Dim1+26)=Année_Calendaire,MONTH(Déc_Dim1+26)=12),Déc_Dim1+26,""),IF(AND(YEAR(Déc_Dim1+33)=Année_Calendaire,MONTH(Déc_Dim1+33)=12),Déc_Dim1+33,""))</f>
        <v>43098</v>
      </c>
      <c r="AR204" s="97">
        <f>IF(DAY(Déc_Dim1)=1,IF(AND(YEAR(Déc_Dim1+27)=Année_Calendaire,MONTH(Déc_Dim1+27)=12),Déc_Dim1+27,""),IF(AND(YEAR(Déc_Dim1+34)=Année_Calendaire,MONTH(Déc_Dim1+34)=12),Déc_Dim1+34,""))</f>
        <v>43099</v>
      </c>
      <c r="AS204" s="97">
        <f>IF(DAY(Déc_Dim1)=1,IF(AND(YEAR(Déc_Dim1+28)=Année_Calendaire,MONTH(Déc_Dim1+28)=12),Déc_Dim1+28,""),IF(AND(YEAR(Déc_Dim1+35)=Année_Calendaire,MONTH(Déc_Dim1+35)=12),Déc_Dim1+35,""))</f>
        <v>43100</v>
      </c>
      <c r="AT204" s="71"/>
      <c r="AU204" s="54"/>
      <c r="AV204" s="54" t="str">
        <f>IF(DAY(Déc_Dim1)=1,IF(AND(YEAR(Déc_Dim1+29)=Année_Calendaire,MONTH(Déc_Dim1+29)=12),Déc_Dim1+29,""),IF(AND(YEAR(Déc_Dim1+36)=Année_Calendaire,MONTH(Déc_Dim1+36)=12),Déc_Dim1+36,""))</f>
        <v/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71"/>
      <c r="AY204" s="71"/>
      <c r="AZ204" s="74"/>
      <c r="BA204" s="74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/>
      </c>
      <c r="G205" s="49" t="str">
        <f>IF(G204="","",IFERROR(VLOOKUP(B203,DATA!$A:$H,6,TRUE),0))</f>
        <v>am</v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matin</v>
      </c>
      <c r="M205" s="49" t="str">
        <f>IF(M204="","",IFERROR(VLOOKUP(K203,DATA!$A:$H,3,TRUE),0))</f>
        <v>matin</v>
      </c>
      <c r="N205" s="49" t="str">
        <f>IF(N204="","",IFERROR(VLOOKUP(K203,DATA!$A:$H,4,TRUE),0))</f>
        <v>matin</v>
      </c>
      <c r="O205" s="49">
        <f>IF(O204="","",IFERROR(VLOOKUP(K203,DATA!$A:$H,5,TRUE),0))</f>
        <v>0</v>
      </c>
      <c r="P205" s="49">
        <f>IF(P204="","",IFERROR(VLOOKUP(K203,DATA!$A:$H,6,TRUE),0))</f>
        <v>0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nuit</v>
      </c>
      <c r="V205" s="49" t="str">
        <f>IF(V204="","",IFERROR(VLOOKUP(T203,DATA!$A:$H,3,TRUE),0))</f>
        <v>nuit</v>
      </c>
      <c r="W205" s="49" t="str">
        <f>IF(W204="","",IFERROR(VLOOKUP(T203,DATA!$A:$H,4,TRUE),0))</f>
        <v>nuit</v>
      </c>
      <c r="X205" s="49" t="str">
        <f>IF(X204="","",IFERROR(VLOOKUP(T203,DATA!$A:$H,5,TRUE),0))</f>
        <v>nuit</v>
      </c>
      <c r="Y205" s="49" t="str">
        <f>IF(Y204="","",IFERROR(VLOOKUP(T203,DATA!$A:$H,6,TRUE),0))</f>
        <v>nuit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matin</v>
      </c>
      <c r="AE205" s="49">
        <f>IF(AE204="","",IFERROR(VLOOKUP(AC203,DATA!$A:$H,3,TRUE),0))</f>
        <v>0</v>
      </c>
      <c r="AF205" s="49">
        <f>IF(AF204="","",IFERROR(VLOOKUP(AC203,DATA!$A:$H,4,TRUE),0))</f>
        <v>0</v>
      </c>
      <c r="AG205" s="49" t="str">
        <f>IF(AG204="","",IFERROR(VLOOKUP(AC203,DATA!$A:$H,5,TRUE),0))</f>
        <v>matin</v>
      </c>
      <c r="AH205" s="49" t="str">
        <f>IF(AH204="","",IFERROR(VLOOKUP(AC203,DATA!$A:$H,6,TRUE),0))</f>
        <v>matin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am</v>
      </c>
      <c r="AN205" s="49" t="str">
        <f>IF(AN204="","",IFERROR(VLOOKUP(AL203,DATA!$A:$H,3,TRUE),0))</f>
        <v>am</v>
      </c>
      <c r="AO205" s="49" t="str">
        <f>IF(AO204="","",IFERROR(VLOOKUP(AL203,DATA!$A:$H,4,TRUE),0))</f>
        <v>am</v>
      </c>
      <c r="AP205" s="49" t="str">
        <f>IF(AP204="","",IFERROR(VLOOKUP(AL203,DATA!$A:$H,5,TRUE),0))</f>
        <v>am</v>
      </c>
      <c r="AQ205" s="49" t="str">
        <f>IF(AQ204="","",IFERROR(VLOOKUP(AL203,DATA!$A:$H,6,TRUE),0))</f>
        <v>am</v>
      </c>
      <c r="AR205" s="49">
        <f>IF(AR204="","",IFERROR(VLOOKUP(AL203,DATA!$A:$H,7,TRUE),0))</f>
        <v>0</v>
      </c>
      <c r="AS205" s="49">
        <f>IF(AS204="","",IFERROR(VLOOKUP(AL203,DATA!$A:$H,8,TRUE),0))</f>
        <v>0</v>
      </c>
      <c r="AT205" s="52"/>
      <c r="AU205" s="48"/>
      <c r="AV205" s="49" t="str">
        <f>IF(AV204="","",IFERROR(VLOOKUP(AU203,DATA!$A:$H,2,TRUE),0))</f>
        <v/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0</v>
      </c>
      <c r="G206" s="52">
        <f t="shared" si="449"/>
        <v>1</v>
      </c>
      <c r="H206" s="52">
        <f t="shared" si="449"/>
        <v>0</v>
      </c>
      <c r="I206" s="52">
        <f t="shared" si="449"/>
        <v>0</v>
      </c>
      <c r="J206" s="52">
        <f>SUM(C206:I206)</f>
        <v>1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0</v>
      </c>
      <c r="P206" s="52">
        <f t="shared" si="450"/>
        <v>0</v>
      </c>
      <c r="Q206" s="52">
        <f t="shared" si="450"/>
        <v>0</v>
      </c>
      <c r="R206" s="52">
        <f t="shared" si="450"/>
        <v>0</v>
      </c>
      <c r="S206" s="52">
        <f>SUM(L206:R206)</f>
        <v>3</v>
      </c>
      <c r="T206" s="51"/>
      <c r="U206" s="52">
        <f t="shared" ref="U206:AA206" si="451">IF(U205="Matin",1,IF(U205="AM",1,0))</f>
        <v>0</v>
      </c>
      <c r="V206" s="52">
        <f t="shared" si="451"/>
        <v>0</v>
      </c>
      <c r="W206" s="52">
        <f t="shared" si="451"/>
        <v>0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0</v>
      </c>
      <c r="AC206" s="51"/>
      <c r="AD206" s="52">
        <f t="shared" ref="AD206:AJ206" si="452">IF(AD205="Matin",1,IF(AD205="AM",1,0))</f>
        <v>1</v>
      </c>
      <c r="AE206" s="52">
        <f t="shared" si="452"/>
        <v>0</v>
      </c>
      <c r="AF206" s="52">
        <f t="shared" si="452"/>
        <v>0</v>
      </c>
      <c r="AG206" s="52">
        <f t="shared" si="452"/>
        <v>1</v>
      </c>
      <c r="AH206" s="52">
        <f t="shared" si="452"/>
        <v>1</v>
      </c>
      <c r="AI206" s="52">
        <f t="shared" si="452"/>
        <v>0</v>
      </c>
      <c r="AJ206" s="52">
        <f t="shared" si="452"/>
        <v>0</v>
      </c>
      <c r="AK206" s="52">
        <f>SUM(AD206:AJ206)</f>
        <v>3</v>
      </c>
      <c r="AL206" s="51"/>
      <c r="AM206" s="52">
        <f t="shared" ref="AM206:AS206" si="453">IF(AM205="Matin",1,IF(AM205="AM",1,0))</f>
        <v>1</v>
      </c>
      <c r="AN206" s="52">
        <f t="shared" si="453"/>
        <v>1</v>
      </c>
      <c r="AO206" s="52">
        <f t="shared" si="453"/>
        <v>1</v>
      </c>
      <c r="AP206" s="52">
        <f t="shared" si="453"/>
        <v>1</v>
      </c>
      <c r="AQ206" s="52">
        <f t="shared" si="453"/>
        <v>1</v>
      </c>
      <c r="AR206" s="52">
        <f t="shared" si="453"/>
        <v>0</v>
      </c>
      <c r="AS206" s="52">
        <f t="shared" si="453"/>
        <v>0</v>
      </c>
      <c r="AT206" s="52">
        <f>SUM(AM206:AS206)</f>
        <v>5</v>
      </c>
      <c r="AU206" s="51"/>
      <c r="AV206" s="52">
        <f t="shared" ref="AV206:AW206" si="454">IF(AV205="Matin",1,IF(AV205="AM",1,0))</f>
        <v>0</v>
      </c>
      <c r="AW206" s="52">
        <f t="shared" si="454"/>
        <v>0</v>
      </c>
      <c r="AX206" s="52">
        <f t="shared" ref="AX206:AX213" si="455">SUM(AV206:AW206)</f>
        <v>0</v>
      </c>
      <c r="AY206" s="52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0</v>
      </c>
      <c r="G207" s="49">
        <f t="shared" si="456"/>
        <v>1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1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0</v>
      </c>
      <c r="P207" s="49">
        <f t="shared" si="458"/>
        <v>0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3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1</v>
      </c>
      <c r="Y207" s="49">
        <f t="shared" si="460"/>
        <v>1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5</v>
      </c>
      <c r="AC207" s="48"/>
      <c r="AD207" s="49">
        <f>IF(AD208&gt;=1,1,0)</f>
        <v>1</v>
      </c>
      <c r="AE207" s="49">
        <f t="shared" ref="AE207:AJ207" si="462">IF(AE208&gt;=1,1,0)</f>
        <v>0</v>
      </c>
      <c r="AF207" s="49">
        <f t="shared" si="462"/>
        <v>0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3</v>
      </c>
      <c r="AL207" s="48"/>
      <c r="AM207" s="49">
        <f>IF(AM208&gt;=1,1,0)</f>
        <v>1</v>
      </c>
      <c r="AN207" s="49">
        <f t="shared" ref="AN207:AS207" si="464">IF(AN208&gt;=1,1,0)</f>
        <v>1</v>
      </c>
      <c r="AO207" s="49">
        <f t="shared" si="464"/>
        <v>1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5</v>
      </c>
      <c r="AU207" s="48"/>
      <c r="AV207" s="49">
        <f>IF(AV208&gt;=1,1,0)</f>
        <v>0</v>
      </c>
      <c r="AW207" s="49">
        <f t="shared" ref="AW207" si="466">IF(AW208&gt;=1,1,0)</f>
        <v>0</v>
      </c>
      <c r="AX207" s="52">
        <f t="shared" si="455"/>
        <v>0</v>
      </c>
      <c r="AY207" s="49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0</v>
      </c>
      <c r="G208" s="52">
        <f t="shared" si="468"/>
        <v>8</v>
      </c>
      <c r="H208" s="52">
        <f t="shared" si="468"/>
        <v>0</v>
      </c>
      <c r="I208" s="52">
        <f t="shared" si="468"/>
        <v>0</v>
      </c>
      <c r="J208" s="52">
        <f t="shared" si="457"/>
        <v>8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0</v>
      </c>
      <c r="P208" s="52">
        <f t="shared" si="469"/>
        <v>0</v>
      </c>
      <c r="Q208" s="52">
        <f t="shared" si="469"/>
        <v>0</v>
      </c>
      <c r="R208" s="52">
        <f t="shared" si="469"/>
        <v>0</v>
      </c>
      <c r="S208" s="52">
        <f t="shared" si="459"/>
        <v>24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8</v>
      </c>
      <c r="Y208" s="52">
        <f t="shared" si="470"/>
        <v>8</v>
      </c>
      <c r="Z208" s="52">
        <f t="shared" si="470"/>
        <v>0</v>
      </c>
      <c r="AA208" s="52">
        <f t="shared" si="470"/>
        <v>0</v>
      </c>
      <c r="AB208" s="52">
        <f t="shared" si="461"/>
        <v>40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0</v>
      </c>
      <c r="AF208" s="52">
        <f t="shared" si="471"/>
        <v>0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24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8</v>
      </c>
      <c r="AO208" s="52">
        <f t="shared" si="472"/>
        <v>8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40</v>
      </c>
      <c r="AU208" s="51"/>
      <c r="AV208" s="52">
        <f>IF(AV205="Matin",8,IF(AV205="AM",8,IF(AV205="nuit",8,0)))</f>
        <v>0</v>
      </c>
      <c r="AW208" s="52">
        <f t="shared" ref="AW208" si="473">IF(AW205="Matin",8,IF(AW205="AM",8,IF(AW205="nuit",8,0)))</f>
        <v>0</v>
      </c>
      <c r="AX208" s="52">
        <f t="shared" si="455"/>
        <v>0</v>
      </c>
      <c r="AY208" s="52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20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0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0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3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3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0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0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3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3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0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0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5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5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0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0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5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5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44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0.16</v>
      </c>
      <c r="V217" s="49">
        <f>IF(V205="nuit",V208*0.02,0)</f>
        <v>0.16</v>
      </c>
      <c r="W217" s="49">
        <f t="shared" ref="W217:AA217" si="482">IF(W205="nuit",W208*0.02,0)</f>
        <v>0.16</v>
      </c>
      <c r="X217" s="49">
        <f t="shared" si="482"/>
        <v>0.16</v>
      </c>
      <c r="Y217" s="49">
        <f>IF(Y205="nuit",Y208*0.02,0)</f>
        <v>0.16</v>
      </c>
      <c r="Z217" s="49">
        <f t="shared" si="482"/>
        <v>0</v>
      </c>
      <c r="AA217" s="49">
        <f t="shared" si="482"/>
        <v>0</v>
      </c>
      <c r="AB217" s="52">
        <f t="shared" si="461"/>
        <v>0.8</v>
      </c>
      <c r="AC217" s="48"/>
      <c r="AD217" s="49">
        <f>IF(AD205="nuit",AD208*0.02,0)</f>
        <v>0</v>
      </c>
      <c r="AE217" s="49">
        <f>IF(AE205="nuit",AE208*0.02,0)</f>
        <v>0</v>
      </c>
      <c r="AF217" s="49">
        <f t="shared" ref="AF217:AJ217" si="483">IF(AF205="nuit",AF208*0.02,0)</f>
        <v>0</v>
      </c>
      <c r="AG217" s="49">
        <f t="shared" si="483"/>
        <v>0</v>
      </c>
      <c r="AH217" s="49">
        <f>IF(AH205="nuit",AH208*0.02,0)</f>
        <v>0</v>
      </c>
      <c r="AI217" s="49">
        <f t="shared" si="483"/>
        <v>0</v>
      </c>
      <c r="AJ217" s="49">
        <f t="shared" si="483"/>
        <v>0</v>
      </c>
      <c r="AK217" s="52">
        <f t="shared" si="463"/>
        <v>0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31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5"/>
  <sheetViews>
    <sheetView workbookViewId="0">
      <selection activeCell="J9" sqref="J9"/>
    </sheetView>
  </sheetViews>
  <sheetFormatPr baseColWidth="10" defaultRowHeight="15.75"/>
  <cols>
    <col min="2" max="2" width="15.77734375" bestFit="1" customWidth="1"/>
    <col min="3" max="3" width="3.44140625" customWidth="1"/>
    <col min="5" max="5" width="14.77734375" bestFit="1" customWidth="1"/>
    <col min="6" max="6" width="4" customWidth="1"/>
  </cols>
  <sheetData>
    <row r="1" spans="1:9" ht="16.5" thickBot="1">
      <c r="A1" s="75" t="s">
        <v>84</v>
      </c>
      <c r="B1" s="76">
        <f>Année_Calendaire</f>
        <v>2017</v>
      </c>
      <c r="D1" s="77" t="s">
        <v>85</v>
      </c>
      <c r="E1" s="77"/>
      <c r="G1" s="78" t="s">
        <v>86</v>
      </c>
      <c r="H1" s="78"/>
      <c r="I1" s="79" t="s">
        <v>87</v>
      </c>
    </row>
    <row r="2" spans="1:9" ht="17.25" thickTop="1" thickBot="1">
      <c r="A2" s="75" t="s">
        <v>88</v>
      </c>
      <c r="B2" s="75" t="s">
        <v>89</v>
      </c>
      <c r="D2" s="80" t="s">
        <v>90</v>
      </c>
      <c r="E2" s="80" t="s">
        <v>91</v>
      </c>
      <c r="G2" s="81" t="s">
        <v>92</v>
      </c>
      <c r="H2" s="81" t="s">
        <v>93</v>
      </c>
      <c r="I2" t="s">
        <v>94</v>
      </c>
    </row>
    <row r="3" spans="1:9" ht="16.5" thickTop="1">
      <c r="A3" s="82">
        <v>42370</v>
      </c>
      <c r="B3" t="s">
        <v>95</v>
      </c>
      <c r="D3" s="83">
        <v>31567</v>
      </c>
      <c r="E3" t="s">
        <v>96</v>
      </c>
      <c r="G3" s="84">
        <v>42005</v>
      </c>
      <c r="H3" s="85">
        <v>42009</v>
      </c>
    </row>
    <row r="4" spans="1:9">
      <c r="A4" s="82">
        <v>42491</v>
      </c>
      <c r="B4" t="s">
        <v>97</v>
      </c>
      <c r="D4" s="83">
        <v>31233</v>
      </c>
      <c r="E4" t="s">
        <v>98</v>
      </c>
      <c r="G4" s="84">
        <v>42042</v>
      </c>
      <c r="H4" s="84">
        <v>42058</v>
      </c>
    </row>
    <row r="5" spans="1:9">
      <c r="A5" s="82">
        <v>42498</v>
      </c>
      <c r="B5" t="s">
        <v>99</v>
      </c>
      <c r="D5" s="83">
        <v>37109</v>
      </c>
      <c r="E5" t="s">
        <v>100</v>
      </c>
      <c r="G5" s="84">
        <v>42105</v>
      </c>
      <c r="H5" s="86">
        <v>42121</v>
      </c>
    </row>
    <row r="6" spans="1:9">
      <c r="A6" s="82">
        <v>42565</v>
      </c>
      <c r="B6" t="s">
        <v>101</v>
      </c>
      <c r="D6" s="83">
        <v>37871</v>
      </c>
      <c r="E6" t="s">
        <v>102</v>
      </c>
      <c r="G6" s="84">
        <v>42189</v>
      </c>
      <c r="H6" s="84">
        <v>42247</v>
      </c>
    </row>
    <row r="7" spans="1:9">
      <c r="A7" s="82">
        <v>42597</v>
      </c>
      <c r="B7" t="s">
        <v>103</v>
      </c>
      <c r="D7" s="83">
        <v>11209</v>
      </c>
      <c r="E7" t="s">
        <v>104</v>
      </c>
      <c r="G7" s="84">
        <v>42294</v>
      </c>
      <c r="H7" s="84">
        <v>42310</v>
      </c>
    </row>
    <row r="8" spans="1:9">
      <c r="A8" s="82">
        <v>42675</v>
      </c>
      <c r="B8" t="s">
        <v>105</v>
      </c>
      <c r="D8" s="83">
        <v>7588</v>
      </c>
      <c r="E8" t="s">
        <v>106</v>
      </c>
      <c r="G8" s="87">
        <v>42357</v>
      </c>
      <c r="H8" s="87">
        <v>42369</v>
      </c>
    </row>
    <row r="9" spans="1:9">
      <c r="A9" s="82">
        <v>42685</v>
      </c>
      <c r="B9" t="s">
        <v>107</v>
      </c>
      <c r="D9" s="83">
        <v>40180</v>
      </c>
      <c r="G9" s="88">
        <v>42370</v>
      </c>
      <c r="H9" s="89">
        <v>42373</v>
      </c>
    </row>
    <row r="10" spans="1:9">
      <c r="A10" s="82">
        <v>42729</v>
      </c>
      <c r="B10" t="s">
        <v>108</v>
      </c>
      <c r="D10" s="43"/>
      <c r="E10" t="s">
        <v>109</v>
      </c>
      <c r="G10" s="90">
        <v>42413</v>
      </c>
      <c r="H10" s="90">
        <v>42429</v>
      </c>
    </row>
    <row r="11" spans="1:9">
      <c r="A11" s="91">
        <v>42457</v>
      </c>
      <c r="B11" s="92" t="s">
        <v>110</v>
      </c>
      <c r="D11" s="43"/>
      <c r="G11" s="90">
        <v>42476</v>
      </c>
      <c r="H11" s="90">
        <v>42492</v>
      </c>
    </row>
    <row r="12" spans="1:9">
      <c r="A12" s="91">
        <v>42495</v>
      </c>
      <c r="B12" s="92" t="s">
        <v>111</v>
      </c>
      <c r="D12" s="43"/>
      <c r="G12" s="90">
        <v>42553</v>
      </c>
      <c r="H12" s="90">
        <v>42614</v>
      </c>
    </row>
    <row r="13" spans="1:9">
      <c r="A13" s="91">
        <v>42506</v>
      </c>
      <c r="B13" s="92" t="s">
        <v>112</v>
      </c>
      <c r="D13" s="43"/>
      <c r="G13" s="90">
        <v>42662</v>
      </c>
      <c r="H13" s="90">
        <v>42677</v>
      </c>
    </row>
    <row r="14" spans="1:9">
      <c r="B14" s="92" t="s">
        <v>109</v>
      </c>
      <c r="D14" s="43"/>
      <c r="G14" s="93">
        <v>42721</v>
      </c>
      <c r="H14" s="93">
        <v>42735</v>
      </c>
    </row>
    <row r="15" spans="1:9">
      <c r="D15" s="43"/>
      <c r="G15" s="94">
        <v>42736</v>
      </c>
      <c r="H15" s="95">
        <v>42738</v>
      </c>
    </row>
    <row r="16" spans="1:9">
      <c r="D16" s="43"/>
      <c r="G16" s="84">
        <v>42784</v>
      </c>
      <c r="H16" s="84">
        <v>42800</v>
      </c>
    </row>
    <row r="17" spans="4:9">
      <c r="D17" s="43"/>
      <c r="G17" s="84">
        <v>42847</v>
      </c>
      <c r="H17" s="84">
        <v>42864</v>
      </c>
    </row>
    <row r="18" spans="4:9">
      <c r="D18" s="43"/>
      <c r="G18" s="84">
        <v>42919</v>
      </c>
      <c r="H18" s="84">
        <v>42978</v>
      </c>
      <c r="I18" t="s">
        <v>113</v>
      </c>
    </row>
    <row r="19" spans="4:9">
      <c r="D19" s="43"/>
    </row>
    <row r="20" spans="4:9">
      <c r="D20" s="43"/>
    </row>
    <row r="95" spans="12:12">
      <c r="L95" s="9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E25" sqref="E25"/>
    </sheetView>
  </sheetViews>
  <sheetFormatPr baseColWidth="10" defaultRowHeight="15.7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>
      <c r="A1" s="48"/>
      <c r="B1" s="48"/>
      <c r="C1" s="48" t="s">
        <v>36</v>
      </c>
      <c r="D1" s="48" t="s">
        <v>37</v>
      </c>
      <c r="E1" s="48" t="s">
        <v>21</v>
      </c>
      <c r="F1" s="48" t="s">
        <v>22</v>
      </c>
      <c r="G1" s="48" t="s">
        <v>23</v>
      </c>
      <c r="H1" s="48" t="s">
        <v>24</v>
      </c>
      <c r="I1" s="48" t="s">
        <v>38</v>
      </c>
      <c r="J1" s="48" t="s">
        <v>26</v>
      </c>
      <c r="K1" s="48" t="s">
        <v>39</v>
      </c>
      <c r="L1" s="48" t="s">
        <v>40</v>
      </c>
      <c r="M1" s="48" t="s">
        <v>41</v>
      </c>
      <c r="N1" s="48" t="s">
        <v>42</v>
      </c>
      <c r="O1" s="48"/>
      <c r="P1" s="48" t="s">
        <v>43</v>
      </c>
      <c r="Q1" s="48"/>
    </row>
    <row r="2" spans="1:17" ht="15" customHeight="1">
      <c r="A2" s="51" t="s">
        <v>47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48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33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34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53</v>
      </c>
    </row>
    <row r="6" spans="1:17" ht="15" customHeight="1">
      <c r="A6" s="51" t="s">
        <v>49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54</v>
      </c>
    </row>
    <row r="7" spans="1:17" ht="15" customHeight="1">
      <c r="A7" s="48" t="s">
        <v>50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51</v>
      </c>
      <c r="B8" s="51"/>
      <c r="C8" s="51">
        <f>B3-C19+C20</f>
        <v>0.32</v>
      </c>
      <c r="D8" s="51">
        <f>C8-D19+D20</f>
        <v>1.1200000000000001</v>
      </c>
      <c r="E8" s="51">
        <f t="shared" ref="E8:M8" si="3">D8-E19+E20</f>
        <v>1.9200000000000002</v>
      </c>
      <c r="F8" s="51">
        <f t="shared" si="3"/>
        <v>2.72</v>
      </c>
      <c r="G8" s="51">
        <f t="shared" si="3"/>
        <v>3.5200000000000005</v>
      </c>
      <c r="H8" s="51">
        <f t="shared" si="3"/>
        <v>4.6400000000000006</v>
      </c>
      <c r="I8" s="51">
        <f t="shared" si="3"/>
        <v>5.44</v>
      </c>
      <c r="J8" s="51">
        <f t="shared" si="3"/>
        <v>6.24</v>
      </c>
      <c r="K8" s="51">
        <f t="shared" si="3"/>
        <v>7.04</v>
      </c>
      <c r="L8" s="51">
        <f t="shared" si="3"/>
        <v>7.84</v>
      </c>
      <c r="M8" s="51">
        <f t="shared" si="3"/>
        <v>8.64</v>
      </c>
      <c r="N8" s="51">
        <f>M8-N19+N20</f>
        <v>9.4400000000000013</v>
      </c>
      <c r="O8" s="51"/>
      <c r="P8" s="51">
        <f>N8</f>
        <v>9.4400000000000013</v>
      </c>
      <c r="Q8" s="51"/>
    </row>
    <row r="9" spans="1:17" ht="15" customHeight="1">
      <c r="A9" s="48" t="s">
        <v>12</v>
      </c>
      <c r="B9" s="48"/>
      <c r="C9" s="48">
        <f>Travail!AY8</f>
        <v>14</v>
      </c>
      <c r="D9" s="48">
        <f>Travail!AY26</f>
        <v>11</v>
      </c>
      <c r="E9" s="48">
        <f>Travail!AY44</f>
        <v>13</v>
      </c>
      <c r="F9" s="48">
        <f>Travail!AY62</f>
        <v>11</v>
      </c>
      <c r="G9" s="48">
        <f>Travail!AY80</f>
        <v>14</v>
      </c>
      <c r="H9" s="48">
        <f>Travail!AY98</f>
        <v>11</v>
      </c>
      <c r="I9" s="48">
        <f>Travail!AY116</f>
        <v>12</v>
      </c>
      <c r="J9" s="48">
        <f>Travail!AY134</f>
        <v>14</v>
      </c>
      <c r="K9" s="48">
        <f>Travail!AY152</f>
        <v>11</v>
      </c>
      <c r="L9" s="48">
        <f>Travail!AY170</f>
        <v>12</v>
      </c>
      <c r="M9" s="48">
        <f>Travail!AY188</f>
        <v>12</v>
      </c>
      <c r="N9" s="48">
        <f>Travail!AY206</f>
        <v>12</v>
      </c>
      <c r="O9" s="48"/>
      <c r="P9" s="48">
        <f>SUM(C9:N9)</f>
        <v>147</v>
      </c>
      <c r="Q9" s="48"/>
    </row>
    <row r="10" spans="1:17" ht="15" customHeight="1">
      <c r="A10" s="51" t="s">
        <v>4</v>
      </c>
      <c r="B10" s="51"/>
      <c r="C10" s="51">
        <f>Travail!AY9</f>
        <v>16</v>
      </c>
      <c r="D10" s="51">
        <f>Travail!AY27</f>
        <v>16</v>
      </c>
      <c r="E10" s="51">
        <f>Travail!AY45</f>
        <v>18</v>
      </c>
      <c r="F10" s="51">
        <f>Travail!AY63</f>
        <v>16</v>
      </c>
      <c r="G10" s="51">
        <f>Travail!AY81</f>
        <v>19</v>
      </c>
      <c r="H10" s="51">
        <f>Travail!AY99</f>
        <v>18</v>
      </c>
      <c r="I10" s="51">
        <f>Travail!AY117</f>
        <v>17</v>
      </c>
      <c r="J10" s="51">
        <f>Travail!AY135</f>
        <v>19</v>
      </c>
      <c r="K10" s="51">
        <f>Travail!AY153</f>
        <v>16</v>
      </c>
      <c r="L10" s="51">
        <f>Travail!AY171</f>
        <v>17</v>
      </c>
      <c r="M10" s="51">
        <f>Travail!AY189</f>
        <v>17</v>
      </c>
      <c r="N10" s="51">
        <f>Travail!AY207</f>
        <v>17</v>
      </c>
      <c r="O10" s="51"/>
      <c r="P10" s="51">
        <f t="shared" ref="P10:P20" si="4">SUM(C10:N10)</f>
        <v>206</v>
      </c>
      <c r="Q10" s="51"/>
    </row>
    <row r="11" spans="1:17" ht="15" customHeight="1">
      <c r="A11" s="48" t="s">
        <v>3</v>
      </c>
      <c r="B11" s="48"/>
      <c r="C11" s="48">
        <f>Travail!AY10</f>
        <v>128</v>
      </c>
      <c r="D11" s="48">
        <f>Travail!AY28</f>
        <v>128</v>
      </c>
      <c r="E11" s="48">
        <f>Travail!AY46</f>
        <v>144</v>
      </c>
      <c r="F11" s="48">
        <f>Travail!AY64</f>
        <v>128</v>
      </c>
      <c r="G11" s="48">
        <f>Travail!AY82</f>
        <v>152</v>
      </c>
      <c r="H11" s="48">
        <f>Travail!AY100</f>
        <v>144</v>
      </c>
      <c r="I11" s="48">
        <f>Travail!AY118</f>
        <v>136</v>
      </c>
      <c r="J11" s="48">
        <f>Travail!AY136</f>
        <v>152</v>
      </c>
      <c r="K11" s="48">
        <f>Travail!AY154</f>
        <v>128</v>
      </c>
      <c r="L11" s="48">
        <f>Travail!AY172</f>
        <v>136</v>
      </c>
      <c r="M11" s="48">
        <f>Travail!AY190</f>
        <v>136</v>
      </c>
      <c r="N11" s="48">
        <f>Travail!AY208</f>
        <v>136</v>
      </c>
      <c r="O11" s="48"/>
      <c r="P11" s="48">
        <f t="shared" si="4"/>
        <v>1648</v>
      </c>
      <c r="Q11" s="48"/>
    </row>
    <row r="12" spans="1:17" ht="15" customHeight="1">
      <c r="A12" s="51" t="s">
        <v>20</v>
      </c>
      <c r="B12" s="51"/>
      <c r="C12" s="51">
        <f>Travail!AY11</f>
        <v>3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3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63</v>
      </c>
      <c r="Q12" s="51"/>
    </row>
    <row r="13" spans="1:17" ht="15" customHeight="1">
      <c r="A13" s="48" t="s">
        <v>6</v>
      </c>
      <c r="B13" s="48"/>
      <c r="C13" s="48">
        <f>Travail!AY12</f>
        <v>5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5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105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52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44</v>
      </c>
      <c r="B20" s="51"/>
      <c r="C20" s="51">
        <f>Travail!AY19</f>
        <v>0.32</v>
      </c>
      <c r="D20" s="51">
        <f>Travail!AY37</f>
        <v>0.8</v>
      </c>
      <c r="E20" s="51">
        <f>Travail!AY55</f>
        <v>0.8</v>
      </c>
      <c r="F20" s="51">
        <f>Travail!AY73</f>
        <v>0.8</v>
      </c>
      <c r="G20" s="51">
        <f>Travail!AY91</f>
        <v>0.8</v>
      </c>
      <c r="H20" s="51">
        <f>Travail!AY109</f>
        <v>1.1200000000000001</v>
      </c>
      <c r="I20" s="51">
        <f>Travail!AY127</f>
        <v>0.8</v>
      </c>
      <c r="J20" s="51">
        <f>Travail!AY145</f>
        <v>0.8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0.8</v>
      </c>
      <c r="O20" s="51"/>
      <c r="P20" s="51">
        <f t="shared" si="4"/>
        <v>9.4400000000000013</v>
      </c>
      <c r="Q20" s="51"/>
    </row>
    <row r="21" spans="1:17" ht="15" customHeight="1">
      <c r="A21" s="48" t="s">
        <v>45</v>
      </c>
      <c r="B21" s="48"/>
      <c r="C21" s="48">
        <f>Travail!AZ5</f>
        <v>5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5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46</v>
      </c>
      <c r="B22" s="51"/>
      <c r="C22" s="51">
        <f>Travail!BA5</f>
        <v>5</v>
      </c>
      <c r="D22" s="51">
        <f>Travail!BA23</f>
        <v>10</v>
      </c>
      <c r="E22" s="51">
        <f>Travail!BA41</f>
        <v>20</v>
      </c>
      <c r="F22" s="51">
        <f>Travail!BA59</f>
        <v>30</v>
      </c>
      <c r="G22" s="51">
        <f>Travail!BA77</f>
        <v>40</v>
      </c>
      <c r="H22" s="51">
        <f>Travail!BA95</f>
        <v>50</v>
      </c>
      <c r="I22" s="51">
        <f>Travail!BA113</f>
        <v>60</v>
      </c>
      <c r="J22" s="51">
        <f>Travail!BA131</f>
        <v>65</v>
      </c>
      <c r="K22" s="51">
        <f>Travail!BA149</f>
        <v>75</v>
      </c>
      <c r="L22" s="51">
        <f>Travail!BA167</f>
        <v>85</v>
      </c>
      <c r="M22" s="51">
        <f>Travail!BA185</f>
        <v>95</v>
      </c>
      <c r="N22" s="51">
        <f>Travail!BA203</f>
        <v>105</v>
      </c>
      <c r="O22" s="51"/>
      <c r="P22" s="51">
        <f>N22</f>
        <v>105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.75"/>
  <cols>
    <col min="1" max="1" width="20.5546875" customWidth="1"/>
  </cols>
  <sheetData>
    <row r="1" spans="1:4">
      <c r="A1" t="s">
        <v>81</v>
      </c>
      <c r="B1" s="70" t="s">
        <v>23</v>
      </c>
    </row>
    <row r="2" spans="1:4">
      <c r="D2" t="s">
        <v>83</v>
      </c>
    </row>
    <row r="3" spans="1:4">
      <c r="A3" s="48" t="s">
        <v>12</v>
      </c>
      <c r="B3" s="48">
        <v>13</v>
      </c>
    </row>
    <row r="4" spans="1:4">
      <c r="A4" s="51" t="s">
        <v>4</v>
      </c>
      <c r="B4" s="51">
        <v>18</v>
      </c>
    </row>
    <row r="5" spans="1:4">
      <c r="A5" s="48" t="s">
        <v>3</v>
      </c>
      <c r="B5" s="48">
        <v>144</v>
      </c>
    </row>
    <row r="6" spans="1:4">
      <c r="A6" s="51" t="s">
        <v>20</v>
      </c>
      <c r="B6" s="51">
        <v>6</v>
      </c>
    </row>
    <row r="7" spans="1:4">
      <c r="A7" s="48" t="s">
        <v>6</v>
      </c>
      <c r="B7" s="48">
        <v>10</v>
      </c>
    </row>
    <row r="8" spans="1:4">
      <c r="A8" s="51" t="s">
        <v>5</v>
      </c>
      <c r="B8" s="51">
        <v>0</v>
      </c>
    </row>
    <row r="9" spans="1:4">
      <c r="A9" s="48" t="s">
        <v>7</v>
      </c>
      <c r="B9" s="48">
        <v>0</v>
      </c>
    </row>
    <row r="10" spans="1:4">
      <c r="A10" s="51" t="s">
        <v>8</v>
      </c>
      <c r="B10" s="51">
        <v>0</v>
      </c>
    </row>
    <row r="11" spans="1:4">
      <c r="A11" s="48" t="s">
        <v>9</v>
      </c>
      <c r="B11" s="48">
        <v>0</v>
      </c>
    </row>
    <row r="12" spans="1:4">
      <c r="A12" s="51" t="s">
        <v>11</v>
      </c>
      <c r="B12" s="51">
        <v>0</v>
      </c>
    </row>
    <row r="13" spans="1:4">
      <c r="A13" s="48" t="s">
        <v>10</v>
      </c>
      <c r="B13" s="48">
        <v>0</v>
      </c>
    </row>
    <row r="14" spans="1:4">
      <c r="A14" s="51" t="s">
        <v>44</v>
      </c>
      <c r="B14" s="51">
        <v>0.8</v>
      </c>
    </row>
    <row r="15" spans="1:4">
      <c r="A15" s="48" t="s">
        <v>45</v>
      </c>
      <c r="B15" s="48">
        <v>10</v>
      </c>
    </row>
    <row r="16" spans="1:4">
      <c r="A16" s="51" t="s">
        <v>46</v>
      </c>
      <c r="B16" s="51">
        <v>50</v>
      </c>
    </row>
    <row r="17" spans="6:9">
      <c r="F17" s="69"/>
      <c r="G17" s="66"/>
      <c r="H17" s="66"/>
      <c r="I17" s="66"/>
    </row>
    <row r="18" spans="6:9">
      <c r="F18" s="69"/>
      <c r="G18" s="66"/>
      <c r="H18" s="66"/>
      <c r="I18" s="66"/>
    </row>
    <row r="19" spans="6:9">
      <c r="F19" s="69"/>
      <c r="G19" s="66"/>
      <c r="H19" s="66"/>
      <c r="I19" s="66"/>
    </row>
    <row r="20" spans="6:9">
      <c r="F20" s="69"/>
      <c r="G20" s="66"/>
      <c r="H20" s="66"/>
      <c r="I20" s="66"/>
    </row>
    <row r="21" spans="6:9">
      <c r="F21" s="69"/>
      <c r="G21" s="66"/>
      <c r="H21" s="66"/>
      <c r="I21" s="66"/>
    </row>
    <row r="22" spans="6:9">
      <c r="F22" s="69"/>
      <c r="G22" s="68"/>
      <c r="H22" s="66"/>
      <c r="I22" s="66"/>
    </row>
    <row r="23" spans="6:9">
      <c r="F23" s="66"/>
      <c r="G23" s="67"/>
      <c r="H23" s="66"/>
      <c r="I23" s="66"/>
    </row>
    <row r="24" spans="6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H20" sqref="H20"/>
    </sheetView>
  </sheetViews>
  <sheetFormatPr baseColWidth="10" defaultRowHeight="15.75"/>
  <sheetData>
    <row r="1" spans="1:12">
      <c r="A1" t="s">
        <v>64</v>
      </c>
    </row>
    <row r="2" spans="1:12">
      <c r="A2" t="s">
        <v>58</v>
      </c>
      <c r="B2" t="s">
        <v>61</v>
      </c>
    </row>
    <row r="3" spans="1:12">
      <c r="A3" t="s">
        <v>59</v>
      </c>
      <c r="B3" t="s">
        <v>62</v>
      </c>
    </row>
    <row r="4" spans="1:12">
      <c r="A4" t="s">
        <v>60</v>
      </c>
      <c r="B4" t="s">
        <v>63</v>
      </c>
    </row>
    <row r="5" spans="1:12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12">
      <c r="A6" t="s">
        <v>65</v>
      </c>
      <c r="B6" t="s">
        <v>55</v>
      </c>
      <c r="C6" t="s">
        <v>55</v>
      </c>
      <c r="D6" t="s">
        <v>55</v>
      </c>
    </row>
    <row r="7" spans="1:12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12">
      <c r="A8" t="s">
        <v>74</v>
      </c>
      <c r="B8" t="s">
        <v>55</v>
      </c>
      <c r="E8" t="s">
        <v>55</v>
      </c>
      <c r="F8" t="s">
        <v>55</v>
      </c>
    </row>
    <row r="9" spans="1:12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  <row r="15" spans="1:1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Travail</vt:lpstr>
      <vt:lpstr>Jours spéciaux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gmb</cp:lastModifiedBy>
  <dcterms:created xsi:type="dcterms:W3CDTF">2012-08-30T13:50:50Z</dcterms:created>
  <dcterms:modified xsi:type="dcterms:W3CDTF">2016-08-21T12:10:47Z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