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ink/ink1.xml" ContentType="application/inkml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ink/ink2.xml" ContentType="application/inkml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000" windowHeight="9345" tabRatio="705"/>
  </bookViews>
  <sheets>
    <sheet name="Fictif" sheetId="9" r:id="rId1"/>
    <sheet name="Simulation" sheetId="8" r:id="rId2"/>
    <sheet name="Réel" sheetId="10" r:id="rId3"/>
    <sheet name="Stats Fictif" sheetId="16" r:id="rId4"/>
    <sheet name="Stats Simulation" sheetId="14" r:id="rId5"/>
    <sheet name="Stats Réel" sheetId="15" r:id="rId6"/>
    <sheet name="Data" sheetId="6" r:id="rId7"/>
  </sheets>
  <definedNames>
    <definedName name="Championnat">Data!$A$2:$A$6</definedName>
    <definedName name="Date_actuelle_ou_fin_exercice_20172018">Data!$L$2</definedName>
    <definedName name="Date_début_exercice_20172018">Data!$L$1</definedName>
    <definedName name="Equipes_Bundes">Data!$F$2:$F$19</definedName>
    <definedName name="Equipes_Bundesliga">Data!$F$2:$F$21</definedName>
    <definedName name="Equipes_L1">Data!$D$2:$D$21</definedName>
    <definedName name="Equipes_Liga">Data!$E$2:$E$21</definedName>
    <definedName name="Equipes_PL">Data!$C$2:$C$21</definedName>
    <definedName name="Equipes_SerieA">Data!$G$2:$G$21</definedName>
    <definedName name="FICTIF_Mise_par_bet">'Stats Fictif'!$C$11</definedName>
    <definedName name="FICTIF_Montant_total_engagé">'Stats Fictif'!$C$12</definedName>
    <definedName name="FICTIF_Résultat_net">'Stats Fictif'!$C$13</definedName>
    <definedName name="FICTIF_Résultat_net_par_mois">'Stats Fictif'!$C$14</definedName>
    <definedName name="Mise_par_bet">'Stats Fictif'!$C$11</definedName>
    <definedName name="Montant_total_engagé">'Stats Fictif'!$C$12</definedName>
    <definedName name="Nb_journées_Bundesliga_écoulées">Data!$L$11</definedName>
    <definedName name="Nb_journées_L1_écoulées">Data!$L$9</definedName>
    <definedName name="Nb_journées_Liga_écoulées">Data!$L$10</definedName>
    <definedName name="Nb_journées_PL_écoulées">Data!$L$8</definedName>
    <definedName name="Nb_journées_SerieA_écoulées">Data!$L$12</definedName>
    <definedName name="Nb_jours_écoulés">Data!$L$3</definedName>
    <definedName name="Nb_jours_par_mois">Data!$L$4</definedName>
    <definedName name="Nb_mois_dans_une_année">Data!$L$7</definedName>
    <definedName name="Nb_mois_dans_une_saison">Data!$L$6</definedName>
    <definedName name="Nb_mois_écoulés">Data!$L$5</definedName>
    <definedName name="Premier_League">Data!$C$2:$C$21</definedName>
    <definedName name="REEL_Mise_par_bet">'Stats Réel'!$C$10</definedName>
    <definedName name="REEL_Montant_capital">'Stats Réel'!$C$8</definedName>
    <definedName name="REEL_Montant_total_engagé">'Stats Réel'!$C$11</definedName>
    <definedName name="REEL_Pourcentage_K_investi_par_pari">'Stats Réel'!$C$9</definedName>
    <definedName name="REEL_Résultat_net">'Stats Réel'!$C$12</definedName>
    <definedName name="REEL_Résultat_net_par_mois">'Stats Réel'!$C$13</definedName>
    <definedName name="REEL_Retour_sur_K_départ">'Stats Réel'!$C$14</definedName>
    <definedName name="Résultat_net">'Stats Fictif'!$C$13</definedName>
    <definedName name="Résultat_net_par_mois">'Stats Fictif'!$C$14</definedName>
    <definedName name="SIMU_">'Stats Simulation'!$C$13</definedName>
    <definedName name="SIMU_capital_départ">'Stats Simulation'!$C$17</definedName>
    <definedName name="SIMU_Mise_par_bet">'Stats Simulation'!$C$13</definedName>
    <definedName name="SIMU_Montant_capital">'Stats Simulation'!$C$11</definedName>
    <definedName name="SIMU_Montant_total_engagé">'Stats Simulation'!$C$14</definedName>
    <definedName name="SIMU_Pourcentage_K_investi_par_pari">'Stats Simulation'!$C$12</definedName>
    <definedName name="SIMU_Résultat_net">'Stats Simulation'!$C$15</definedName>
    <definedName name="SIMU_Résultat_net_par_mois">'Stats Simulation'!$C$16</definedName>
    <definedName name="SIMU_retour_sur_capital_départ">'Stats Simulation'!$C$17</definedName>
    <definedName name="Typeofbet">Data!$I$2:$I$5</definedName>
  </definedNames>
  <calcPr calcId="152511"/>
  <pivotCaches>
    <pivotCache cacheId="0" r:id="rId8"/>
    <pivotCache cacheId="1" r:id="rId9"/>
    <pivotCache cacheId="2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6" i="8" l="1"/>
  <c r="L18" i="9" l="1"/>
  <c r="L14" i="8"/>
  <c r="L15" i="8"/>
  <c r="L2" i="10" l="1"/>
  <c r="L3" i="10"/>
  <c r="L5" i="10"/>
  <c r="L4" i="10"/>
  <c r="C10" i="15"/>
  <c r="F5" i="15"/>
  <c r="F4" i="15"/>
  <c r="C11" i="15"/>
  <c r="C12" i="15"/>
  <c r="E5" i="15"/>
  <c r="E4" i="15"/>
  <c r="F6" i="15" l="1"/>
  <c r="E6" i="15"/>
  <c r="F8" i="14"/>
  <c r="F7" i="14"/>
  <c r="F6" i="14"/>
  <c r="F5" i="14"/>
  <c r="F4" i="14"/>
  <c r="F9" i="14" l="1"/>
  <c r="L5" i="8" l="1"/>
  <c r="L9" i="8"/>
  <c r="L11" i="8"/>
  <c r="C13" i="14"/>
  <c r="L6" i="8" s="1"/>
  <c r="C15" i="14"/>
  <c r="E4" i="14"/>
  <c r="C14" i="14"/>
  <c r="C14" i="15" l="1"/>
  <c r="L13" i="8"/>
  <c r="C17" i="14"/>
  <c r="L12" i="8"/>
  <c r="L8" i="8"/>
  <c r="L4" i="8"/>
  <c r="L7" i="8"/>
  <c r="L3" i="8"/>
  <c r="L2" i="8"/>
  <c r="L10" i="8"/>
  <c r="E4" i="16"/>
  <c r="E8" i="14"/>
  <c r="E7" i="14"/>
  <c r="E6" i="14"/>
  <c r="E5" i="14"/>
  <c r="E9" i="14" l="1"/>
  <c r="L3" i="9"/>
  <c r="L4" i="9"/>
  <c r="L5" i="9"/>
  <c r="L6" i="9"/>
  <c r="L7" i="9"/>
  <c r="L8" i="9"/>
  <c r="L9" i="9"/>
  <c r="L10" i="9"/>
  <c r="L11" i="9"/>
  <c r="L12" i="9"/>
  <c r="L13" i="9"/>
  <c r="L14" i="9"/>
  <c r="L15" i="9"/>
  <c r="L16" i="9"/>
  <c r="L17" i="9"/>
  <c r="L2" i="9"/>
  <c r="L10" i="6"/>
  <c r="L9" i="6"/>
  <c r="L8" i="6"/>
  <c r="L12" i="6"/>
  <c r="L11" i="6"/>
  <c r="F5" i="16"/>
  <c r="E7" i="16"/>
  <c r="E6" i="16"/>
  <c r="E5" i="16"/>
  <c r="F8" i="16"/>
  <c r="F6" i="16"/>
  <c r="F7" i="16"/>
  <c r="F4" i="16"/>
  <c r="E8" i="16"/>
  <c r="C12" i="16"/>
  <c r="L13" i="6" l="1"/>
  <c r="L2" i="6" l="1"/>
  <c r="L3" i="6" s="1"/>
  <c r="L5" i="6" s="1"/>
  <c r="C13" i="15" s="1"/>
  <c r="C13" i="16"/>
  <c r="C14" i="16" l="1"/>
  <c r="C16" i="14"/>
  <c r="F9" i="16"/>
  <c r="E9" i="16"/>
</calcChain>
</file>

<file path=xl/comments1.xml><?xml version="1.0" encoding="utf-8"?>
<comments xmlns="http://schemas.openxmlformats.org/spreadsheetml/2006/main">
  <authors>
    <author>gmb</author>
  </authors>
  <commentList>
    <comment ref="J1" authorId="0" shapeId="0">
      <text>
        <r>
          <rPr>
            <sz val="9"/>
            <color indexed="81"/>
            <rFont val="Tahoma"/>
            <family val="2"/>
          </rPr>
          <t>Un double-clic dans une cellule de cette colonne envoie la ligne dans la feuille "Simulation"
Un clic droit suipprime la ligne</t>
        </r>
      </text>
    </comment>
  </commentList>
</comments>
</file>

<file path=xl/comments2.xml><?xml version="1.0" encoding="utf-8"?>
<comments xmlns="http://schemas.openxmlformats.org/spreadsheetml/2006/main">
  <authors>
    <author>gmb</author>
  </authors>
  <commentList>
    <comment ref="J1" authorId="0" shapeId="0">
      <text>
        <r>
          <rPr>
            <sz val="9"/>
            <color indexed="81"/>
            <rFont val="Tahoma"/>
            <family val="2"/>
          </rPr>
          <t>Un double-clic dans une cellule de cette colonne envoie la ligne dans la feuille "Simulation"
Un clic droit suipprime la ligne</t>
        </r>
      </text>
    </comment>
  </commentList>
</comments>
</file>

<file path=xl/comments3.xml><?xml version="1.0" encoding="utf-8"?>
<comments xmlns="http://schemas.openxmlformats.org/spreadsheetml/2006/main">
  <authors>
    <author>gmb</author>
  </authors>
  <commentList>
    <comment ref="J1" authorId="0" shapeId="0">
      <text>
        <r>
          <rPr>
            <sz val="9"/>
            <color indexed="81"/>
            <rFont val="Tahoma"/>
            <family val="2"/>
          </rPr>
          <t>Un double-clic dans une cellule de cette colonne envoie la ligne dans la feuille "Simulation"
Un clic droit suipprime la ligne</t>
        </r>
      </text>
    </comment>
  </commentList>
</comments>
</file>

<file path=xl/sharedStrings.xml><?xml version="1.0" encoding="utf-8"?>
<sst xmlns="http://schemas.openxmlformats.org/spreadsheetml/2006/main" count="436" uniqueCount="164">
  <si>
    <t>Bet</t>
  </si>
  <si>
    <t>Résultat</t>
  </si>
  <si>
    <t>Home</t>
  </si>
  <si>
    <t>Away</t>
  </si>
  <si>
    <t>Journée</t>
  </si>
  <si>
    <t>P&amp;L</t>
  </si>
  <si>
    <t>Odd</t>
  </si>
  <si>
    <t>Type of bet</t>
  </si>
  <si>
    <t>Réf</t>
  </si>
  <si>
    <t>OM</t>
  </si>
  <si>
    <t>PSG</t>
  </si>
  <si>
    <t>1N2</t>
  </si>
  <si>
    <t>Lorient</t>
  </si>
  <si>
    <t>Lille</t>
  </si>
  <si>
    <t>Dijon</t>
  </si>
  <si>
    <t>OL</t>
  </si>
  <si>
    <t>Bordeaux</t>
  </si>
  <si>
    <t>Strasbourg</t>
  </si>
  <si>
    <t>Rennes</t>
  </si>
  <si>
    <t>Toulouse</t>
  </si>
  <si>
    <t>Nice</t>
  </si>
  <si>
    <t>Caen</t>
  </si>
  <si>
    <t>DNB</t>
  </si>
  <si>
    <t>AH</t>
  </si>
  <si>
    <t>DC</t>
  </si>
  <si>
    <t>Lille DNB</t>
  </si>
  <si>
    <t>AH-1 Dijon</t>
  </si>
  <si>
    <t>Nul ou Lyon</t>
  </si>
  <si>
    <t>AH-1 Bordeaux</t>
  </si>
  <si>
    <t>Nice DNB</t>
  </si>
  <si>
    <t>Gagnant</t>
  </si>
  <si>
    <t>Perdant</t>
  </si>
  <si>
    <t>Remboursé</t>
  </si>
  <si>
    <t>Barcelona</t>
  </si>
  <si>
    <t>Las Palmas</t>
  </si>
  <si>
    <t>Real Madrid</t>
  </si>
  <si>
    <t>Celta Vigo</t>
  </si>
  <si>
    <t>Leganés</t>
  </si>
  <si>
    <t>Alavés</t>
  </si>
  <si>
    <t>Malaga</t>
  </si>
  <si>
    <t>Valencia</t>
  </si>
  <si>
    <t>Sevilla</t>
  </si>
  <si>
    <t>Betis</t>
  </si>
  <si>
    <t>Eibar</t>
  </si>
  <si>
    <t>Ligue 1</t>
  </si>
  <si>
    <t>Monaco</t>
  </si>
  <si>
    <t>Saint-Etienne</t>
  </si>
  <si>
    <t>Nantes</t>
  </si>
  <si>
    <t>Guingamp</t>
  </si>
  <si>
    <t>Metz</t>
  </si>
  <si>
    <t>Angers</t>
  </si>
  <si>
    <t>Montpellier</t>
  </si>
  <si>
    <t>Amiens</t>
  </si>
  <si>
    <t>Liga</t>
  </si>
  <si>
    <t>Atletico</t>
  </si>
  <si>
    <t>Villarreal</t>
  </si>
  <si>
    <t>Bilbao</t>
  </si>
  <si>
    <t>Real Sociedad</t>
  </si>
  <si>
    <t>Espanyol</t>
  </si>
  <si>
    <t>Dep. La Coruna</t>
  </si>
  <si>
    <t>Levante</t>
  </si>
  <si>
    <t>Girona</t>
  </si>
  <si>
    <t>Getafe</t>
  </si>
  <si>
    <t>Premier League</t>
  </si>
  <si>
    <t>Championnat</t>
  </si>
  <si>
    <t>Date et heure</t>
  </si>
  <si>
    <t>Bundesliga</t>
  </si>
  <si>
    <t>Serie A</t>
  </si>
  <si>
    <t>Chelsea</t>
  </si>
  <si>
    <t>Tottenham</t>
  </si>
  <si>
    <t>Manchester City</t>
  </si>
  <si>
    <t>Liverpool</t>
  </si>
  <si>
    <t>Arsenal</t>
  </si>
  <si>
    <t>Everton</t>
  </si>
  <si>
    <t>Southampton</t>
  </si>
  <si>
    <t>West Bromwich</t>
  </si>
  <si>
    <t>Bournemouth</t>
  </si>
  <si>
    <t>Leicester City</t>
  </si>
  <si>
    <t>West Ham Utd</t>
  </si>
  <si>
    <t>Manchester Utd</t>
  </si>
  <si>
    <t>Cystal Palace</t>
  </si>
  <si>
    <t>Stoke City</t>
  </si>
  <si>
    <t>Burnley</t>
  </si>
  <si>
    <t>Watford</t>
  </si>
  <si>
    <t>Swansea City</t>
  </si>
  <si>
    <t>Bayern Munich</t>
  </si>
  <si>
    <t>RB Leipzig</t>
  </si>
  <si>
    <t>Borussia Dortmund</t>
  </si>
  <si>
    <t>Hoffenheim</t>
  </si>
  <si>
    <t>Hertha Berlin</t>
  </si>
  <si>
    <t>Borussia M'Gladbach</t>
  </si>
  <si>
    <t>Schalke 04</t>
  </si>
  <si>
    <t>Eintracht Frankfurt</t>
  </si>
  <si>
    <t>SC Freiburg</t>
  </si>
  <si>
    <t>FC Koln</t>
  </si>
  <si>
    <t>Werder Bremen</t>
  </si>
  <si>
    <t>Bayer Leverkusen</t>
  </si>
  <si>
    <t>FSV Mainz 05</t>
  </si>
  <si>
    <t>FC Augsburg</t>
  </si>
  <si>
    <t>Wolfsburg</t>
  </si>
  <si>
    <t>Hamburger SV</t>
  </si>
  <si>
    <t>Juventus</t>
  </si>
  <si>
    <t>AS Roma</t>
  </si>
  <si>
    <t>Napoli</t>
  </si>
  <si>
    <t>Lazio</t>
  </si>
  <si>
    <t>Atalanta</t>
  </si>
  <si>
    <t>AC Milan</t>
  </si>
  <si>
    <t>Fiorentina</t>
  </si>
  <si>
    <t>Inter</t>
  </si>
  <si>
    <t>Torino</t>
  </si>
  <si>
    <t>Sampdoria</t>
  </si>
  <si>
    <t>Udinese</t>
  </si>
  <si>
    <t>Cagliari</t>
  </si>
  <si>
    <t>Chievo</t>
  </si>
  <si>
    <t>Sassuolo</t>
  </si>
  <si>
    <t>Bologna</t>
  </si>
  <si>
    <t>Genoa</t>
  </si>
  <si>
    <t>Empoli</t>
  </si>
  <si>
    <t>Crotone</t>
  </si>
  <si>
    <t>Total général</t>
  </si>
  <si>
    <t>Action</t>
  </si>
  <si>
    <t>Newcastle Utd</t>
  </si>
  <si>
    <t>Brighton &amp; Hove</t>
  </si>
  <si>
    <t>Stuttgart</t>
  </si>
  <si>
    <t>Hannover 96</t>
  </si>
  <si>
    <t>Résultat net par mois</t>
  </si>
  <si>
    <t>Nb de jours par mois</t>
  </si>
  <si>
    <t>Nb de mois écoulés</t>
  </si>
  <si>
    <t>Nb de mois dans une saison</t>
  </si>
  <si>
    <t>Nb de mois dans une année</t>
  </si>
  <si>
    <t>Nb journées de Liga écoulées</t>
  </si>
  <si>
    <t>Moyenne de journées écoulées</t>
  </si>
  <si>
    <t>Montant total engagé</t>
  </si>
  <si>
    <t>Résultat net</t>
  </si>
  <si>
    <t>Nb de paris</t>
  </si>
  <si>
    <t>Côte moyenne</t>
  </si>
  <si>
    <t>Bénéf/perte nette</t>
  </si>
  <si>
    <t>Nb journées de Bundesliga écoulées</t>
  </si>
  <si>
    <t>Nb journées de Serie A écoulées</t>
  </si>
  <si>
    <t>Bets/journée moyen</t>
  </si>
  <si>
    <t>ROI</t>
  </si>
  <si>
    <t>Commentaires</t>
  </si>
  <si>
    <t>Crystal Palace</t>
  </si>
  <si>
    <t>Nul ou Bologna</t>
  </si>
  <si>
    <t>Genoa DNB</t>
  </si>
  <si>
    <t>AH-2 Bayern</t>
  </si>
  <si>
    <t>Leipzig</t>
  </si>
  <si>
    <t>Date début d'exercice 2017-2018</t>
  </si>
  <si>
    <t>Date actuelle ou fin d'exercice 2017-2018</t>
  </si>
  <si>
    <t>Nb de jours écoulés</t>
  </si>
  <si>
    <t>Nb journées de Ligue 1 écoulées</t>
  </si>
  <si>
    <t>Nb journées de Premier League écoulées</t>
  </si>
  <si>
    <t xml:space="preserve">Mise par bet </t>
  </si>
  <si>
    <t>Freiburg</t>
  </si>
  <si>
    <t>Koln DNB</t>
  </si>
  <si>
    <t>Nul ou Stuttgart</t>
  </si>
  <si>
    <t>AH+1 Brighton</t>
  </si>
  <si>
    <t>Actualiser le TCD à chaque modification !</t>
  </si>
  <si>
    <t xml:space="preserve">Montant du capital </t>
  </si>
  <si>
    <t>Champ modifiable</t>
  </si>
  <si>
    <t>Pourcentage du K investi/pari</t>
  </si>
  <si>
    <t>Retour sur capital de départ</t>
  </si>
  <si>
    <t>Mise par bet</t>
  </si>
  <si>
    <t>https://forum.excel-pratique.com/post544108.html#p544108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</si>
</sst>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164" formatCode="#,##0.00\ &quot;€&quot;"/>
    <numFmt numFmtId="165" formatCode="d/m/yy\ h:mm;@"/>
    <numFmt numFmtId="166" formatCode="0.0%"/>
    <numFmt numFmtId="167" formatCode="0.0"/>
    <numFmt numFmtId="168" formatCode="0.00&quot; U&quot;"/>
    <numFmt numFmtId="169" formatCode="General&quot; U&quot;"/>
    <numFmt numFmtId="170" formatCode="#,##0.00&quot; U&quot;"/>
    <numFmt numFmtId="171" formatCode="#,##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71">
    <xf numFmtId="0" fontId="0" fillId="0" borderId="0" xfId="0"/>
    <xf numFmtId="0" fontId="1" fillId="0" borderId="0" xfId="0" applyFont="1"/>
    <xf numFmtId="165" fontId="0" fillId="0" borderId="0" xfId="0" applyNumberFormat="1"/>
    <xf numFmtId="164" fontId="0" fillId="0" borderId="0" xfId="0" applyNumberFormat="1"/>
    <xf numFmtId="2" fontId="0" fillId="0" borderId="0" xfId="0" applyNumberFormat="1"/>
    <xf numFmtId="165" fontId="1" fillId="0" borderId="0" xfId="0" applyNumberFormat="1" applyFont="1"/>
    <xf numFmtId="2" fontId="1" fillId="0" borderId="0" xfId="0" applyNumberFormat="1" applyFont="1"/>
    <xf numFmtId="164" fontId="1" fillId="0" borderId="0" xfId="0" applyNumberFormat="1" applyFont="1"/>
    <xf numFmtId="0" fontId="0" fillId="0" borderId="0" xfId="0" pivotButton="1"/>
    <xf numFmtId="0" fontId="0" fillId="0" borderId="0" xfId="0" applyNumberFormat="1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4" fillId="0" borderId="0" xfId="0" applyFont="1"/>
    <xf numFmtId="166" fontId="0" fillId="0" borderId="0" xfId="2" applyNumberFormat="1" applyFont="1"/>
    <xf numFmtId="14" fontId="0" fillId="0" borderId="0" xfId="0" applyNumberFormat="1"/>
    <xf numFmtId="0" fontId="0" fillId="0" borderId="0" xfId="0"/>
    <xf numFmtId="1" fontId="0" fillId="0" borderId="0" xfId="0" applyNumberFormat="1"/>
    <xf numFmtId="167" fontId="0" fillId="0" borderId="0" xfId="2" applyNumberFormat="1" applyFont="1"/>
    <xf numFmtId="0" fontId="1" fillId="2" borderId="0" xfId="0" applyFont="1" applyFill="1"/>
    <xf numFmtId="0" fontId="0" fillId="2" borderId="0" xfId="0" applyFill="1"/>
    <xf numFmtId="0" fontId="1" fillId="0" borderId="1" xfId="0" applyFont="1" applyBorder="1"/>
    <xf numFmtId="0" fontId="0" fillId="0" borderId="1" xfId="0" applyBorder="1"/>
    <xf numFmtId="0" fontId="1" fillId="0" borderId="2" xfId="0" applyFont="1" applyBorder="1"/>
    <xf numFmtId="0" fontId="0" fillId="0" borderId="2" xfId="0" applyBorder="1"/>
    <xf numFmtId="0" fontId="0" fillId="0" borderId="1" xfId="0" applyBorder="1" applyAlignment="1">
      <alignment horizontal="center" vertical="center"/>
    </xf>
    <xf numFmtId="0" fontId="0" fillId="0" borderId="1" xfId="0" applyFont="1" applyBorder="1"/>
    <xf numFmtId="14" fontId="0" fillId="0" borderId="1" xfId="0" applyNumberFormat="1" applyBorder="1"/>
    <xf numFmtId="0" fontId="0" fillId="0" borderId="1" xfId="0" applyNumberFormat="1" applyBorder="1"/>
    <xf numFmtId="2" fontId="0" fillId="0" borderId="1" xfId="0" applyNumberFormat="1" applyBorder="1"/>
    <xf numFmtId="1" fontId="0" fillId="0" borderId="1" xfId="0" applyNumberFormat="1" applyBorder="1"/>
    <xf numFmtId="0" fontId="5" fillId="0" borderId="1" xfId="0" applyFont="1" applyBorder="1"/>
    <xf numFmtId="167" fontId="0" fillId="0" borderId="1" xfId="2" applyNumberFormat="1" applyFont="1" applyBorder="1"/>
    <xf numFmtId="2" fontId="1" fillId="0" borderId="0" xfId="0" applyNumberFormat="1" applyFont="1" applyFill="1" applyBorder="1"/>
    <xf numFmtId="0" fontId="1" fillId="0" borderId="0" xfId="0" applyFont="1" applyFill="1" applyBorder="1" applyAlignment="1">
      <alignment horizontal="right"/>
    </xf>
    <xf numFmtId="2" fontId="0" fillId="0" borderId="0" xfId="0" applyNumberFormat="1" applyBorder="1"/>
    <xf numFmtId="0" fontId="0" fillId="0" borderId="0" xfId="0"/>
    <xf numFmtId="0" fontId="0" fillId="0" borderId="0" xfId="0"/>
    <xf numFmtId="9" fontId="0" fillId="0" borderId="0" xfId="2" applyFont="1" applyBorder="1" applyAlignment="1">
      <alignment horizontal="right"/>
    </xf>
    <xf numFmtId="168" fontId="0" fillId="0" borderId="0" xfId="0" applyNumberFormat="1"/>
    <xf numFmtId="169" fontId="0" fillId="0" borderId="1" xfId="1" applyNumberFormat="1" applyFont="1" applyBorder="1"/>
    <xf numFmtId="170" fontId="0" fillId="0" borderId="1" xfId="0" applyNumberFormat="1" applyBorder="1"/>
    <xf numFmtId="2" fontId="6" fillId="0" borderId="0" xfId="0" applyNumberFormat="1" applyFont="1"/>
    <xf numFmtId="170" fontId="1" fillId="3" borderId="1" xfId="1" applyNumberFormat="1" applyFont="1" applyFill="1" applyBorder="1"/>
    <xf numFmtId="0" fontId="0" fillId="0" borderId="0" xfId="0"/>
    <xf numFmtId="0" fontId="0" fillId="0" borderId="0" xfId="0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left"/>
    </xf>
    <xf numFmtId="166" fontId="0" fillId="2" borderId="7" xfId="2" applyNumberFormat="1" applyFont="1" applyFill="1" applyBorder="1"/>
    <xf numFmtId="166" fontId="0" fillId="0" borderId="10" xfId="2" applyNumberFormat="1" applyFont="1" applyBorder="1"/>
    <xf numFmtId="0" fontId="7" fillId="0" borderId="0" xfId="0" applyFont="1" applyAlignment="1">
      <alignment horizontal="right"/>
    </xf>
    <xf numFmtId="171" fontId="0" fillId="2" borderId="5" xfId="1" applyNumberFormat="1" applyFont="1" applyFill="1" applyBorder="1"/>
    <xf numFmtId="171" fontId="0" fillId="0" borderId="7" xfId="1" applyNumberFormat="1" applyFont="1" applyBorder="1"/>
    <xf numFmtId="171" fontId="0" fillId="0" borderId="7" xfId="0" applyNumberFormat="1" applyBorder="1"/>
    <xf numFmtId="171" fontId="0" fillId="0" borderId="0" xfId="0" applyNumberFormat="1"/>
    <xf numFmtId="0" fontId="0" fillId="0" borderId="0" xfId="0"/>
    <xf numFmtId="9" fontId="8" fillId="0" borderId="11" xfId="2" applyFont="1" applyBorder="1" applyAlignment="1">
      <alignment horizontal="right"/>
    </xf>
    <xf numFmtId="171" fontId="8" fillId="3" borderId="11" xfId="1" applyNumberFormat="1" applyFont="1" applyFill="1" applyBorder="1"/>
    <xf numFmtId="0" fontId="0" fillId="0" borderId="0" xfId="0"/>
    <xf numFmtId="0" fontId="9" fillId="0" borderId="0" xfId="3"/>
    <xf numFmtId="0" fontId="1" fillId="0" borderId="1" xfId="0" applyFont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1" fillId="0" borderId="8" xfId="0" applyFont="1" applyFill="1" applyBorder="1" applyAlignment="1">
      <alignment horizontal="left"/>
    </xf>
    <xf numFmtId="0" fontId="1" fillId="0" borderId="9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0" borderId="6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3" borderId="6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15">
    <dxf>
      <numFmt numFmtId="2" formatCode="0.00"/>
    </dxf>
    <dxf>
      <numFmt numFmtId="171" formatCode="#,##0\ &quot;€&quot;"/>
    </dxf>
    <dxf>
      <numFmt numFmtId="172" formatCode="#,##0.0\ &quot;€&quot;"/>
    </dxf>
    <dxf>
      <numFmt numFmtId="164" formatCode="#,##0.00\ &quot;€&quot;"/>
    </dxf>
    <dxf>
      <numFmt numFmtId="173" formatCode="#,##0.000\ &quot;€&quot;"/>
    </dxf>
    <dxf>
      <numFmt numFmtId="164" formatCode="#,##0.00\ &quot;€&quot;"/>
    </dxf>
    <dxf>
      <numFmt numFmtId="171" formatCode="#,##0\ &quot;€&quot;"/>
    </dxf>
    <dxf>
      <numFmt numFmtId="172" formatCode="#,##0.0\ &quot;€&quot;"/>
    </dxf>
    <dxf>
      <numFmt numFmtId="164" formatCode="#,##0.00\ &quot;€&quot;"/>
    </dxf>
    <dxf>
      <numFmt numFmtId="2" formatCode="0.00"/>
    </dxf>
    <dxf>
      <numFmt numFmtId="168" formatCode="0.00&quot; U&quot;"/>
    </dxf>
    <dxf>
      <numFmt numFmtId="2" formatCode="0.00"/>
    </dxf>
    <dxf>
      <numFmt numFmtId="164" formatCode="#,##0.00\ &quot;€&quot;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ustomXml" Target="../ink/ink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ustomXml" Target="../ink/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30239</xdr:colOff>
      <xdr:row>10</xdr:row>
      <xdr:rowOff>36286</xdr:rowOff>
    </xdr:from>
    <xdr:to>
      <xdr:col>3</xdr:col>
      <xdr:colOff>151191</xdr:colOff>
      <xdr:row>11</xdr:row>
      <xdr:rowOff>0</xdr:rowOff>
    </xdr:to>
    <xdr:sp macro="" textlink="">
      <xdr:nvSpPr>
        <xdr:cNvPr id="12" name="Flèche : gauche 11">
          <a:extLst>
            <a:ext uri="{FF2B5EF4-FFF2-40B4-BE49-F238E27FC236}">
              <a16:creationId xmlns="" xmlns:a16="http://schemas.microsoft.com/office/drawing/2014/main" id="{CD91C56E-7F72-4CAD-B63B-55D42B488C5C}"/>
            </a:ext>
          </a:extLst>
        </xdr:cNvPr>
        <xdr:cNvSpPr/>
      </xdr:nvSpPr>
      <xdr:spPr>
        <a:xfrm>
          <a:off x="2679096" y="1917096"/>
          <a:ext cx="120952" cy="15119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30240</xdr:colOff>
      <xdr:row>11</xdr:row>
      <xdr:rowOff>48380</xdr:rowOff>
    </xdr:from>
    <xdr:to>
      <xdr:col>3</xdr:col>
      <xdr:colOff>157238</xdr:colOff>
      <xdr:row>12</xdr:row>
      <xdr:rowOff>6047</xdr:rowOff>
    </xdr:to>
    <xdr:sp macro="" textlink="">
      <xdr:nvSpPr>
        <xdr:cNvPr id="13" name="Flèche : gauche 12">
          <a:extLst>
            <a:ext uri="{FF2B5EF4-FFF2-40B4-BE49-F238E27FC236}">
              <a16:creationId xmlns="" xmlns:a16="http://schemas.microsoft.com/office/drawing/2014/main" id="{36B8157A-8372-464F-8D14-35DB51494464}"/>
            </a:ext>
          </a:extLst>
        </xdr:cNvPr>
        <xdr:cNvSpPr/>
      </xdr:nvSpPr>
      <xdr:spPr>
        <a:xfrm>
          <a:off x="2679097" y="2116666"/>
          <a:ext cx="126998" cy="14514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208640</xdr:colOff>
      <xdr:row>12</xdr:row>
      <xdr:rowOff>73329</xdr:rowOff>
    </xdr:from>
    <xdr:to>
      <xdr:col>5</xdr:col>
      <xdr:colOff>417284</xdr:colOff>
      <xdr:row>14</xdr:row>
      <xdr:rowOff>133048</xdr:rowOff>
    </xdr:to>
    <xdr:sp macro="" textlink="">
      <xdr:nvSpPr>
        <xdr:cNvPr id="14" name="ZoneTexte 13">
          <a:extLst>
            <a:ext uri="{FF2B5EF4-FFF2-40B4-BE49-F238E27FC236}">
              <a16:creationId xmlns="" xmlns:a16="http://schemas.microsoft.com/office/drawing/2014/main" id="{E140F899-ADF8-4E16-A27C-3D61399E7581}"/>
            </a:ext>
          </a:extLst>
        </xdr:cNvPr>
        <xdr:cNvSpPr txBox="1"/>
      </xdr:nvSpPr>
      <xdr:spPr>
        <a:xfrm>
          <a:off x="2857497" y="2329091"/>
          <a:ext cx="2615597" cy="434671"/>
        </a:xfrm>
        <a:prstGeom prst="rect">
          <a:avLst/>
        </a:prstGeom>
        <a:solidFill>
          <a:srgbClr val="BBE7B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Actualiser</a:t>
          </a:r>
          <a:r>
            <a:rPr lang="fr-FR" sz="1100" baseline="0"/>
            <a:t> le </a:t>
          </a:r>
          <a:r>
            <a:rPr lang="fr-FR" sz="1100" b="1" baseline="0">
              <a:solidFill>
                <a:schemeClr val="tx2"/>
              </a:solidFill>
            </a:rPr>
            <a:t>TCD</a:t>
          </a:r>
          <a:r>
            <a:rPr lang="fr-FR" sz="1100" baseline="0">
              <a:solidFill>
                <a:schemeClr val="tx2"/>
              </a:solidFill>
            </a:rPr>
            <a:t> </a:t>
          </a:r>
          <a:r>
            <a:rPr lang="fr-FR" sz="1100" baseline="0"/>
            <a:t>à chaque </a:t>
          </a:r>
          <a:r>
            <a:rPr lang="fr-FR" sz="1100" baseline="0">
              <a:solidFill>
                <a:srgbClr val="FF0000"/>
              </a:solidFill>
            </a:rPr>
            <a:t>modification</a:t>
          </a:r>
          <a:r>
            <a:rPr lang="fr-FR" sz="1100" baseline="0"/>
            <a:t> !!! </a:t>
          </a:r>
          <a:br>
            <a:rPr lang="fr-FR" sz="1100" baseline="0"/>
          </a:br>
          <a:r>
            <a:rPr lang="fr-FR" sz="1100" baseline="0"/>
            <a:t>--&gt; Clic droit sur le TCD, "Actualiser"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3</xdr:col>
      <xdr:colOff>1203440</xdr:colOff>
      <xdr:row>12</xdr:row>
      <xdr:rowOff>84584</xdr:rowOff>
    </xdr:from>
    <xdr:to>
      <xdr:col>3</xdr:col>
      <xdr:colOff>1252040</xdr:colOff>
      <xdr:row>12</xdr:row>
      <xdr:rowOff>109064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15" name="Encre 14">
              <a:extLst>
                <a:ext uri="{FF2B5EF4-FFF2-40B4-BE49-F238E27FC236}">
                  <a16:creationId xmlns="" xmlns:a16="http://schemas.microsoft.com/office/drawing/2014/main" id="{02967A6D-90C8-46E8-865F-FBA2779E44F5}"/>
                </a:ext>
              </a:extLst>
            </xdr14:cNvPr>
            <xdr14:cNvContentPartPr/>
          </xdr14:nvContentPartPr>
          <xdr14:nvPr macro=""/>
          <xdr14:xfrm>
            <a:off x="3997440" y="1965394"/>
            <a:ext cx="48600" cy="24480"/>
          </xdr14:xfrm>
        </xdr:contentPart>
      </mc:Choice>
      <mc:Fallback xmlns="">
        <xdr:pic>
          <xdr:nvPicPr>
            <xdr:cNvPr id="16" name="Encre 15">
              <a:extLst>
                <a:ext uri="{FF2B5EF4-FFF2-40B4-BE49-F238E27FC236}">
                  <a16:creationId xmlns:a16="http://schemas.microsoft.com/office/drawing/2014/main" id="{DEA3FDF1-FC28-497B-80FC-7A902E57243D}"/>
                </a:ext>
              </a:extLst>
            </xdr:cNvPr>
            <xdr:cNvPicPr/>
          </xdr:nvPicPr>
          <xdr:blipFill/>
          <xdr:spPr/>
        </xdr:pic>
      </mc:Fallback>
    </mc:AlternateContent>
    <xdr:clientData/>
  </xdr:twoCellAnchor>
  <xdr:twoCellAnchor>
    <xdr:from>
      <xdr:col>3</xdr:col>
      <xdr:colOff>544287</xdr:colOff>
      <xdr:row>9</xdr:row>
      <xdr:rowOff>90714</xdr:rowOff>
    </xdr:from>
    <xdr:to>
      <xdr:col>4</xdr:col>
      <xdr:colOff>258050</xdr:colOff>
      <xdr:row>12</xdr:row>
      <xdr:rowOff>114904</xdr:rowOff>
    </xdr:to>
    <xdr:sp macro="" textlink="">
      <xdr:nvSpPr>
        <xdr:cNvPr id="16" name="Forme libre : forme 15">
          <a:extLst>
            <a:ext uri="{FF2B5EF4-FFF2-40B4-BE49-F238E27FC236}">
              <a16:creationId xmlns="" xmlns:a16="http://schemas.microsoft.com/office/drawing/2014/main" id="{708F768B-54B3-4570-A60F-8F80C38997CC}"/>
            </a:ext>
          </a:extLst>
        </xdr:cNvPr>
        <xdr:cNvSpPr/>
      </xdr:nvSpPr>
      <xdr:spPr>
        <a:xfrm>
          <a:off x="3314701" y="1386114"/>
          <a:ext cx="1009163" cy="584804"/>
        </a:xfrm>
        <a:custGeom>
          <a:avLst/>
          <a:gdLst>
            <a:gd name="connsiteX0" fmla="*/ 786191 w 1225669"/>
            <a:gd name="connsiteY0" fmla="*/ 592667 h 592667"/>
            <a:gd name="connsiteX1" fmla="*/ 1191381 w 1225669"/>
            <a:gd name="connsiteY1" fmla="*/ 235857 h 592667"/>
            <a:gd name="connsiteX2" fmla="*/ 0 w 1225669"/>
            <a:gd name="connsiteY2" fmla="*/ 0 h 59266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1225669" h="592667">
              <a:moveTo>
                <a:pt x="786191" y="592667"/>
              </a:moveTo>
              <a:cubicBezTo>
                <a:pt x="1054302" y="463651"/>
                <a:pt x="1322413" y="334635"/>
                <a:pt x="1191381" y="235857"/>
              </a:cubicBezTo>
              <a:cubicBezTo>
                <a:pt x="1060349" y="137079"/>
                <a:pt x="225778" y="108857"/>
                <a:pt x="0" y="0"/>
              </a:cubicBezTo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284238</xdr:colOff>
      <xdr:row>8</xdr:row>
      <xdr:rowOff>120952</xdr:rowOff>
    </xdr:from>
    <xdr:to>
      <xdr:col>3</xdr:col>
      <xdr:colOff>544286</xdr:colOff>
      <xdr:row>9</xdr:row>
      <xdr:rowOff>84664</xdr:rowOff>
    </xdr:to>
    <xdr:cxnSp macro="">
      <xdr:nvCxnSpPr>
        <xdr:cNvPr id="20" name="Connecteur droit avec flèche 19">
          <a:extLst>
            <a:ext uri="{FF2B5EF4-FFF2-40B4-BE49-F238E27FC236}">
              <a16:creationId xmlns="" xmlns:a16="http://schemas.microsoft.com/office/drawing/2014/main" id="{B7455CD5-E750-4CE7-B639-DFB77E4AD444}"/>
            </a:ext>
          </a:extLst>
        </xdr:cNvPr>
        <xdr:cNvCxnSpPr/>
      </xdr:nvCxnSpPr>
      <xdr:spPr>
        <a:xfrm flipH="1" flipV="1">
          <a:off x="2933095" y="1620762"/>
          <a:ext cx="260048" cy="151188"/>
        </a:xfrm>
        <a:prstGeom prst="straightConnector1">
          <a:avLst/>
        </a:prstGeom>
        <a:ln w="28575">
          <a:solidFill>
            <a:schemeClr val="tx2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30239</xdr:colOff>
      <xdr:row>7</xdr:row>
      <xdr:rowOff>36286</xdr:rowOff>
    </xdr:from>
    <xdr:to>
      <xdr:col>3</xdr:col>
      <xdr:colOff>151191</xdr:colOff>
      <xdr:row>8</xdr:row>
      <xdr:rowOff>0</xdr:rowOff>
    </xdr:to>
    <xdr:sp macro="" textlink="">
      <xdr:nvSpPr>
        <xdr:cNvPr id="2" name="Flèche : gauche 1">
          <a:extLst>
            <a:ext uri="{FF2B5EF4-FFF2-40B4-BE49-F238E27FC236}">
              <a16:creationId xmlns="" xmlns:a16="http://schemas.microsoft.com/office/drawing/2014/main" id="{D3ED889D-31C4-4DB6-9756-9B6B44BD66C2}"/>
            </a:ext>
          </a:extLst>
        </xdr:cNvPr>
        <xdr:cNvSpPr/>
      </xdr:nvSpPr>
      <xdr:spPr>
        <a:xfrm>
          <a:off x="2680910" y="1892300"/>
          <a:ext cx="120952" cy="148771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30240</xdr:colOff>
      <xdr:row>8</xdr:row>
      <xdr:rowOff>48380</xdr:rowOff>
    </xdr:from>
    <xdr:to>
      <xdr:col>3</xdr:col>
      <xdr:colOff>157238</xdr:colOff>
      <xdr:row>9</xdr:row>
      <xdr:rowOff>6047</xdr:rowOff>
    </xdr:to>
    <xdr:sp macro="" textlink="">
      <xdr:nvSpPr>
        <xdr:cNvPr id="3" name="Flèche : gauche 2">
          <a:extLst>
            <a:ext uri="{FF2B5EF4-FFF2-40B4-BE49-F238E27FC236}">
              <a16:creationId xmlns="" xmlns:a16="http://schemas.microsoft.com/office/drawing/2014/main" id="{090804B1-BF98-400A-BC13-7C1B2CD61494}"/>
            </a:ext>
          </a:extLst>
        </xdr:cNvPr>
        <xdr:cNvSpPr/>
      </xdr:nvSpPr>
      <xdr:spPr>
        <a:xfrm>
          <a:off x="2680911" y="2089451"/>
          <a:ext cx="126998" cy="1427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208640</xdr:colOff>
      <xdr:row>9</xdr:row>
      <xdr:rowOff>73329</xdr:rowOff>
    </xdr:from>
    <xdr:to>
      <xdr:col>5</xdr:col>
      <xdr:colOff>417284</xdr:colOff>
      <xdr:row>11</xdr:row>
      <xdr:rowOff>133048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DCB8936F-B97E-41B2-BB31-B098AF21E9C4}"/>
            </a:ext>
          </a:extLst>
        </xdr:cNvPr>
        <xdr:cNvSpPr txBox="1"/>
      </xdr:nvSpPr>
      <xdr:spPr>
        <a:xfrm>
          <a:off x="2859311" y="2299458"/>
          <a:ext cx="2614387" cy="429833"/>
        </a:xfrm>
        <a:prstGeom prst="rect">
          <a:avLst/>
        </a:prstGeom>
        <a:solidFill>
          <a:srgbClr val="BBE7B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Actualiser</a:t>
          </a:r>
          <a:r>
            <a:rPr lang="fr-FR" sz="1100" baseline="0"/>
            <a:t> le </a:t>
          </a:r>
          <a:r>
            <a:rPr lang="fr-FR" sz="1100" b="1" baseline="0">
              <a:solidFill>
                <a:schemeClr val="tx2"/>
              </a:solidFill>
            </a:rPr>
            <a:t>TCD</a:t>
          </a:r>
          <a:r>
            <a:rPr lang="fr-FR" sz="1100" baseline="0">
              <a:solidFill>
                <a:schemeClr val="tx2"/>
              </a:solidFill>
            </a:rPr>
            <a:t> </a:t>
          </a:r>
          <a:r>
            <a:rPr lang="fr-FR" sz="1100" baseline="0"/>
            <a:t>à chaque </a:t>
          </a:r>
          <a:r>
            <a:rPr lang="fr-FR" sz="1100" baseline="0">
              <a:solidFill>
                <a:srgbClr val="FF0000"/>
              </a:solidFill>
            </a:rPr>
            <a:t>modification</a:t>
          </a:r>
          <a:r>
            <a:rPr lang="fr-FR" sz="1100" baseline="0"/>
            <a:t> !!! </a:t>
          </a:r>
          <a:br>
            <a:rPr lang="fr-FR" sz="1100" baseline="0"/>
          </a:br>
          <a:r>
            <a:rPr lang="fr-FR" sz="1100" baseline="0"/>
            <a:t>--&gt; Clic droit sur le TCD, "Actualiser"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3</xdr:col>
      <xdr:colOff>1203440</xdr:colOff>
      <xdr:row>9</xdr:row>
      <xdr:rowOff>84584</xdr:rowOff>
    </xdr:from>
    <xdr:to>
      <xdr:col>3</xdr:col>
      <xdr:colOff>1252040</xdr:colOff>
      <xdr:row>9</xdr:row>
      <xdr:rowOff>109064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5" name="Encre 4">
              <a:extLst>
                <a:ext uri="{FF2B5EF4-FFF2-40B4-BE49-F238E27FC236}">
                  <a16:creationId xmlns="" xmlns:a16="http://schemas.microsoft.com/office/drawing/2014/main" id="{8F9E2F36-EC0C-4AED-9DB7-DD262ACEF4EB}"/>
                </a:ext>
              </a:extLst>
            </xdr14:cNvPr>
            <xdr14:cNvContentPartPr/>
          </xdr14:nvContentPartPr>
          <xdr14:nvPr macro=""/>
          <xdr14:xfrm>
            <a:off x="3997440" y="1965394"/>
            <a:ext cx="48600" cy="24480"/>
          </xdr14:xfrm>
        </xdr:contentPart>
      </mc:Choice>
      <mc:Fallback xmlns="">
        <xdr:pic>
          <xdr:nvPicPr>
            <xdr:cNvPr id="16" name="Encre 15">
              <a:extLst>
                <a:ext uri="{FF2B5EF4-FFF2-40B4-BE49-F238E27FC236}">
                  <a16:creationId xmlns:a16="http://schemas.microsoft.com/office/drawing/2014/main" id="{DEA3FDF1-FC28-497B-80FC-7A902E57243D}"/>
                </a:ext>
              </a:extLst>
            </xdr:cNvPr>
            <xdr:cNvPicPr/>
          </xdr:nvPicPr>
          <xdr:blipFill/>
          <xdr:spPr/>
        </xdr:pic>
      </mc:Fallback>
    </mc:AlternateContent>
    <xdr:clientData/>
  </xdr:twoCellAnchor>
  <xdr:twoCellAnchor>
    <xdr:from>
      <xdr:col>3</xdr:col>
      <xdr:colOff>544287</xdr:colOff>
      <xdr:row>6</xdr:row>
      <xdr:rowOff>90714</xdr:rowOff>
    </xdr:from>
    <xdr:to>
      <xdr:col>4</xdr:col>
      <xdr:colOff>258050</xdr:colOff>
      <xdr:row>9</xdr:row>
      <xdr:rowOff>114904</xdr:rowOff>
    </xdr:to>
    <xdr:sp macro="" textlink="">
      <xdr:nvSpPr>
        <xdr:cNvPr id="6" name="Forme libre : forme 5">
          <a:extLst>
            <a:ext uri="{FF2B5EF4-FFF2-40B4-BE49-F238E27FC236}">
              <a16:creationId xmlns="" xmlns:a16="http://schemas.microsoft.com/office/drawing/2014/main" id="{A76F9CE4-B52D-4B0D-9D5C-5E91F8BB241B}"/>
            </a:ext>
          </a:extLst>
        </xdr:cNvPr>
        <xdr:cNvSpPr/>
      </xdr:nvSpPr>
      <xdr:spPr>
        <a:xfrm>
          <a:off x="3194958" y="1756228"/>
          <a:ext cx="845878" cy="584805"/>
        </a:xfrm>
        <a:custGeom>
          <a:avLst/>
          <a:gdLst>
            <a:gd name="connsiteX0" fmla="*/ 786191 w 1225669"/>
            <a:gd name="connsiteY0" fmla="*/ 592667 h 592667"/>
            <a:gd name="connsiteX1" fmla="*/ 1191381 w 1225669"/>
            <a:gd name="connsiteY1" fmla="*/ 235857 h 592667"/>
            <a:gd name="connsiteX2" fmla="*/ 0 w 1225669"/>
            <a:gd name="connsiteY2" fmla="*/ 0 h 59266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1225669" h="592667">
              <a:moveTo>
                <a:pt x="786191" y="592667"/>
              </a:moveTo>
              <a:cubicBezTo>
                <a:pt x="1054302" y="463651"/>
                <a:pt x="1322413" y="334635"/>
                <a:pt x="1191381" y="235857"/>
              </a:cubicBezTo>
              <a:cubicBezTo>
                <a:pt x="1060349" y="137079"/>
                <a:pt x="225778" y="108857"/>
                <a:pt x="0" y="0"/>
              </a:cubicBezTo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286053</xdr:colOff>
      <xdr:row>5</xdr:row>
      <xdr:rowOff>114300</xdr:rowOff>
    </xdr:from>
    <xdr:to>
      <xdr:col>3</xdr:col>
      <xdr:colOff>546101</xdr:colOff>
      <xdr:row>6</xdr:row>
      <xdr:rowOff>78012</xdr:rowOff>
    </xdr:to>
    <xdr:cxnSp macro="">
      <xdr:nvCxnSpPr>
        <xdr:cNvPr id="8" name="Connecteur droit avec flèche 7">
          <a:extLst>
            <a:ext uri="{FF2B5EF4-FFF2-40B4-BE49-F238E27FC236}">
              <a16:creationId xmlns="" xmlns:a16="http://schemas.microsoft.com/office/drawing/2014/main" id="{4C652500-20DC-4FF0-914E-3679CA68C7EE}"/>
            </a:ext>
          </a:extLst>
        </xdr:cNvPr>
        <xdr:cNvCxnSpPr/>
      </xdr:nvCxnSpPr>
      <xdr:spPr>
        <a:xfrm flipH="1" flipV="1">
          <a:off x="2934910" y="1051681"/>
          <a:ext cx="260048" cy="151188"/>
        </a:xfrm>
        <a:prstGeom prst="straightConnector1">
          <a:avLst/>
        </a:prstGeom>
        <a:ln w="28575">
          <a:solidFill>
            <a:schemeClr val="tx2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7-05-27T18:03:12.625"/>
    </inkml:context>
    <inkml:brush xml:id="br0">
      <inkml:brushProperty name="width" value="0.00504" units="cm"/>
      <inkml:brushProperty name="height" value="0.00504" units="cm"/>
      <inkml:brushProperty name="color" value="#3165BB"/>
      <inkml:brushProperty name="ignorePressure" value="1"/>
    </inkml:brush>
  </inkml:definitions>
  <inkml:trace contextRef="#ctx0" brushRef="#br0">8328 4146</inkml:trace>
  <inkml:trace contextRef="#ctx0" brushRef="#br0" timeOffset="1">8331 4079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7-05-28T17:11:57.781"/>
    </inkml:context>
    <inkml:brush xml:id="br0">
      <inkml:brushProperty name="width" value="0.00504" units="cm"/>
      <inkml:brushProperty name="height" value="0.00504" units="cm"/>
      <inkml:brushProperty name="color" value="#3165BB"/>
      <inkml:brushProperty name="ignorePressure" value="1"/>
    </inkml:brush>
  </inkml:definitions>
  <inkml:trace contextRef="#ctx0" brushRef="#br0">8328 4146</inkml:trace>
  <inkml:trace contextRef="#ctx0" brushRef="#br0" timeOffset="1">8331 4079</inkml:trace>
</inkml: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ho" refreshedDate="42883.808551620372" createdVersion="6" refreshedVersion="6" minRefreshableVersion="3" recordCount="6">
  <cacheSource type="worksheet">
    <worksheetSource ref="A1:L1048576" sheet="Réel"/>
  </cacheSource>
  <cacheFields count="12">
    <cacheField name="Date et heure" numFmtId="165">
      <sharedItems containsNonDate="0" containsDate="1" containsString="0" containsBlank="1" minDate="2017-08-09T13:00:00" maxDate="2017-08-14T14:00:00"/>
    </cacheField>
    <cacheField name="Championnat" numFmtId="0">
      <sharedItems containsBlank="1" count="4">
        <s v="Ligue 1"/>
        <s v="Premier League"/>
        <m/>
        <s v="Liga" u="1"/>
      </sharedItems>
    </cacheField>
    <cacheField name="Journée" numFmtId="0">
      <sharedItems containsString="0" containsBlank="1" containsNumber="1" containsInteger="1" minValue="1" maxValue="2"/>
    </cacheField>
    <cacheField name="Réf" numFmtId="0">
      <sharedItems containsString="0" containsBlank="1" containsNumber="1" containsInteger="1" minValue="1" maxValue="9"/>
    </cacheField>
    <cacheField name="Home" numFmtId="0">
      <sharedItems containsBlank="1"/>
    </cacheField>
    <cacheField name="Away" numFmtId="0">
      <sharedItems containsBlank="1"/>
    </cacheField>
    <cacheField name="Type of bet" numFmtId="0">
      <sharedItems containsBlank="1"/>
    </cacheField>
    <cacheField name="Bet" numFmtId="0">
      <sharedItems containsBlank="1"/>
    </cacheField>
    <cacheField name="Odd" numFmtId="2">
      <sharedItems containsString="0" containsBlank="1" containsNumber="1" minValue="1.8" maxValue="2.2999999999999998"/>
    </cacheField>
    <cacheField name="Action" numFmtId="0">
      <sharedItems containsNonDate="0" containsString="0" containsBlank="1"/>
    </cacheField>
    <cacheField name="Résultat" numFmtId="0">
      <sharedItems containsBlank="1"/>
    </cacheField>
    <cacheField name="P&amp;L" numFmtId="164">
      <sharedItems containsString="0" containsBlank="1" containsNumber="1" minValue="-400" maxValue="480.000000000000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ntho" refreshedDate="42883.808976967593" createdVersion="6" refreshedVersion="6" minRefreshableVersion="3" recordCount="20">
  <cacheSource type="worksheet">
    <worksheetSource ref="A1:L1048576" sheet="Fictif"/>
  </cacheSource>
  <cacheFields count="12">
    <cacheField name="Date et heure" numFmtId="165">
      <sharedItems containsNonDate="0" containsDate="1" containsString="0" containsBlank="1" minDate="2017-08-07T19:00:00" maxDate="2017-08-17T14:00:00"/>
    </cacheField>
    <cacheField name="Championnat" numFmtId="0">
      <sharedItems containsBlank="1" count="6">
        <s v="Liga"/>
        <s v="Premier League"/>
        <s v="Bundesliga"/>
        <s v="Serie A"/>
        <s v="Ligue 1"/>
        <m/>
      </sharedItems>
    </cacheField>
    <cacheField name="Journée" numFmtId="0">
      <sharedItems containsString="0" containsBlank="1" containsNumber="1" containsInteger="1" minValue="1" maxValue="4"/>
    </cacheField>
    <cacheField name="Réf" numFmtId="0">
      <sharedItems containsString="0" containsBlank="1" containsNumber="1" containsInteger="1" minValue="1" maxValue="18"/>
    </cacheField>
    <cacheField name="Home" numFmtId="0">
      <sharedItems containsBlank="1"/>
    </cacheField>
    <cacheField name="Away" numFmtId="0">
      <sharedItems containsBlank="1"/>
    </cacheField>
    <cacheField name="Type of bet" numFmtId="0">
      <sharedItems containsBlank="1"/>
    </cacheField>
    <cacheField name="Bet" numFmtId="0">
      <sharedItems containsBlank="1"/>
    </cacheField>
    <cacheField name="Odd" numFmtId="2">
      <sharedItems containsString="0" containsBlank="1" containsNumber="1" minValue="1.69" maxValue="2.4"/>
    </cacheField>
    <cacheField name="Action" numFmtId="0">
      <sharedItems containsNonDate="0" containsString="0" containsBlank="1"/>
    </cacheField>
    <cacheField name="Résultat" numFmtId="0">
      <sharedItems containsBlank="1"/>
    </cacheField>
    <cacheField name="P&amp;L" numFmtId="164">
      <sharedItems containsString="0" containsBlank="1" containsNumber="1" minValue="-1" maxValue="1.29999999999999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ntho" refreshedDate="42883.809382060186" createdVersion="6" refreshedVersion="6" minRefreshableVersion="3" recordCount="14">
  <cacheSource type="worksheet">
    <worksheetSource ref="A1:L1048576" sheet="Simulation"/>
  </cacheSource>
  <cacheFields count="12">
    <cacheField name="Date et heure" numFmtId="165">
      <sharedItems containsNonDate="0" containsDate="1" containsString="0" containsBlank="1" minDate="2017-08-07T19:00:00" maxDate="2017-08-17T14:00:00"/>
    </cacheField>
    <cacheField name="Championnat" numFmtId="0">
      <sharedItems containsBlank="1" count="6">
        <s v="Ligue 1"/>
        <s v="Serie A"/>
        <s v="Liga"/>
        <s v="Bundesliga"/>
        <s v="Premier League"/>
        <m/>
      </sharedItems>
    </cacheField>
    <cacheField name="Journée" numFmtId="0">
      <sharedItems containsString="0" containsBlank="1" containsNumber="1" containsInteger="1" minValue="1" maxValue="3"/>
    </cacheField>
    <cacheField name="Réf" numFmtId="0">
      <sharedItems containsString="0" containsBlank="1" containsNumber="1" containsInteger="1" minValue="1" maxValue="16"/>
    </cacheField>
    <cacheField name="Home" numFmtId="0">
      <sharedItems containsBlank="1"/>
    </cacheField>
    <cacheField name="Away" numFmtId="0">
      <sharedItems containsBlank="1"/>
    </cacheField>
    <cacheField name="Type of bet" numFmtId="0">
      <sharedItems containsBlank="1"/>
    </cacheField>
    <cacheField name="Bet" numFmtId="0">
      <sharedItems containsBlank="1"/>
    </cacheField>
    <cacheField name="Odd" numFmtId="2">
      <sharedItems containsString="0" containsBlank="1" containsNumber="1" minValue="1.72" maxValue="2.2999999999999998"/>
    </cacheField>
    <cacheField name="Action" numFmtId="0">
      <sharedItems containsNonDate="0" containsString="0" containsBlank="1"/>
    </cacheField>
    <cacheField name="Résultat" numFmtId="0">
      <sharedItems containsBlank="1"/>
    </cacheField>
    <cacheField name="P&amp;L" numFmtId="164">
      <sharedItems containsString="0" containsBlank="1" containsNumber="1" containsInteger="1" minValue="-2000" maxValue="26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d v="2017-08-09T13:00:00"/>
    <x v="0"/>
    <n v="2"/>
    <n v="8"/>
    <s v="OL"/>
    <s v="OM"/>
    <s v="AH"/>
    <s v="OM"/>
    <n v="2.2999999999999998"/>
    <m/>
    <s v="Perdant"/>
    <n v="-400"/>
  </r>
  <r>
    <d v="2017-08-09T15:00:00"/>
    <x v="1"/>
    <n v="1"/>
    <n v="5"/>
    <s v="Sevilla"/>
    <s v="Sevilla"/>
    <s v="AH"/>
    <s v="AH-1 Dijon"/>
    <n v="2.1"/>
    <m/>
    <s v="Gagnant"/>
    <n v="440"/>
  </r>
  <r>
    <d v="2017-08-14T14:00:00"/>
    <x v="0"/>
    <n v="1"/>
    <n v="1"/>
    <s v="PSG"/>
    <s v="Nice"/>
    <s v="DNB"/>
    <s v="Nice DNB"/>
    <n v="2.2000000000000002"/>
    <m/>
    <s v="Gagnant"/>
    <n v="480.00000000000011"/>
  </r>
  <r>
    <d v="2017-08-10T14:00:00"/>
    <x v="1"/>
    <n v="2"/>
    <n v="9"/>
    <s v="Cystal Palace"/>
    <s v="Watford"/>
    <s v="1N2"/>
    <s v="Crystal Palace"/>
    <n v="1.8"/>
    <m/>
    <s v="Perdant"/>
    <n v="-400"/>
  </r>
  <r>
    <m/>
    <x v="2"/>
    <m/>
    <m/>
    <m/>
    <m/>
    <m/>
    <m/>
    <m/>
    <m/>
    <m/>
    <m/>
  </r>
  <r>
    <m/>
    <x v="2"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0">
  <r>
    <d v="2017-08-14T14:00:00"/>
    <x v="0"/>
    <n v="1"/>
    <n v="1"/>
    <s v="PSG"/>
    <s v="Nice"/>
    <s v="DNB"/>
    <s v="Nice DNB"/>
    <n v="2.2000000000000002"/>
    <m/>
    <s v="Gagnant"/>
    <n v="1.2000000000000002"/>
  </r>
  <r>
    <d v="2017-08-13T14:00:00"/>
    <x v="0"/>
    <n v="1"/>
    <n v="2"/>
    <s v="Villarreal"/>
    <s v="Sevilla"/>
    <s v="1N2"/>
    <s v="Toulouse"/>
    <n v="1.69"/>
    <m/>
    <s v="Perdant"/>
    <n v="-1"/>
  </r>
  <r>
    <d v="2017-08-12T14:00:00"/>
    <x v="1"/>
    <n v="1"/>
    <n v="3"/>
    <s v="Tottenham"/>
    <s v="Manchester Utd"/>
    <s v="AH"/>
    <s v="AH-1 Bordeaux"/>
    <n v="1.89"/>
    <m/>
    <s v="Remboursé"/>
    <n v="0"/>
  </r>
  <r>
    <d v="2017-08-09T15:00:00"/>
    <x v="2"/>
    <n v="1"/>
    <n v="4"/>
    <s v="RB Leipzig"/>
    <s v="Hertha Berlin"/>
    <s v="DNB"/>
    <s v="Lille DNB"/>
    <n v="1.7"/>
    <m/>
    <s v="Gagnant"/>
    <n v="0.7"/>
  </r>
  <r>
    <d v="2017-08-09T15:00:00"/>
    <x v="1"/>
    <n v="1"/>
    <n v="5"/>
    <s v="Sevilla"/>
    <s v="Sevilla"/>
    <s v="AH"/>
    <s v="AH-1 Dijon"/>
    <n v="2.1"/>
    <m/>
    <s v="Perdant"/>
    <n v="-1"/>
  </r>
  <r>
    <d v="2017-08-08T14:00:00"/>
    <x v="3"/>
    <n v="1"/>
    <n v="6"/>
    <s v="AS Roma"/>
    <s v="AC Milan"/>
    <s v="1N2"/>
    <s v="OM"/>
    <n v="2"/>
    <m/>
    <s v="Perdant"/>
    <n v="-1"/>
  </r>
  <r>
    <d v="2017-08-07T19:00:00"/>
    <x v="0"/>
    <n v="1"/>
    <n v="7"/>
    <s v="Sevilla"/>
    <s v="Sevilla"/>
    <s v="DC"/>
    <s v="Nul ou Lyon"/>
    <n v="1.87"/>
    <m/>
    <s v="Gagnant"/>
    <n v="0.87000000000000011"/>
  </r>
  <r>
    <d v="2017-08-09T13:00:00"/>
    <x v="4"/>
    <n v="2"/>
    <n v="8"/>
    <s v="OL"/>
    <s v="OM"/>
    <s v="AH"/>
    <s v="OM"/>
    <n v="2.2999999999999998"/>
    <m/>
    <s v="Gagnant"/>
    <n v="1.2999999999999998"/>
  </r>
  <r>
    <d v="2017-08-10T14:00:00"/>
    <x v="1"/>
    <n v="2"/>
    <n v="9"/>
    <s v="Cystal Palace"/>
    <s v="Watford"/>
    <s v="1N2"/>
    <s v="Crystal Palace"/>
    <n v="1.8"/>
    <m/>
    <s v="Perdant"/>
    <n v="-1"/>
  </r>
  <r>
    <d v="2017-08-10T19:00:00"/>
    <x v="3"/>
    <n v="2"/>
    <n v="10"/>
    <s v="Sassuolo"/>
    <s v="Bologna"/>
    <s v="DC"/>
    <s v="Nul ou Bologna"/>
    <n v="1.97"/>
    <m/>
    <s v="Remboursé"/>
    <n v="0"/>
  </r>
  <r>
    <d v="2017-08-11T20:00:00"/>
    <x v="3"/>
    <n v="2"/>
    <n v="11"/>
    <s v="Genoa"/>
    <s v="Crotone"/>
    <s v="DNB"/>
    <s v="Genoa DNB"/>
    <n v="1.88"/>
    <m/>
    <s v="Perdant"/>
    <n v="-1"/>
  </r>
  <r>
    <d v="2017-08-11T21:00:00"/>
    <x v="2"/>
    <n v="2"/>
    <n v="12"/>
    <s v="Bayern Munich"/>
    <s v="Hoffenheim"/>
    <s v="AH"/>
    <s v="AH-2 Bayern"/>
    <n v="1.72"/>
    <m/>
    <s v="Perdant"/>
    <n v="-1"/>
  </r>
  <r>
    <d v="2017-08-12T17:00:00"/>
    <x v="2"/>
    <n v="2"/>
    <n v="13"/>
    <s v="RB Leipzig"/>
    <s v="Hertha Berlin"/>
    <s v="1N2"/>
    <s v="Leipzig"/>
    <n v="1.83"/>
    <m/>
    <s v="Gagnant"/>
    <n v="0.83000000000000007"/>
  </r>
  <r>
    <d v="2017-08-17T14:00:00"/>
    <x v="2"/>
    <n v="3"/>
    <n v="14"/>
    <s v="SC Freiburg"/>
    <s v="Schalke 04"/>
    <s v="1N2"/>
    <s v="Freiburg"/>
    <n v="2.1"/>
    <m/>
    <s v="Perdant"/>
    <n v="-1"/>
  </r>
  <r>
    <d v="2017-08-17T14:00:00"/>
    <x v="2"/>
    <n v="3"/>
    <n v="15"/>
    <s v="Borussia Dortmund"/>
    <s v="FC Koln"/>
    <s v="DNB"/>
    <s v="Koln DNB"/>
    <n v="2.4"/>
    <m/>
    <s v="Perdant"/>
    <n v="-1"/>
  </r>
  <r>
    <m/>
    <x v="1"/>
    <n v="3"/>
    <n v="17"/>
    <s v="Brighton &amp; Hove"/>
    <s v="Swansea City"/>
    <s v="AH"/>
    <s v="AH+1 Brighton"/>
    <n v="2.11"/>
    <m/>
    <s v="Gagnant"/>
    <n v="1.1099999999999999"/>
  </r>
  <r>
    <m/>
    <x v="4"/>
    <n v="4"/>
    <n v="18"/>
    <s v="OM"/>
    <s v="OL"/>
    <s v="1N2"/>
    <s v="OM"/>
    <n v="2"/>
    <m/>
    <m/>
    <m/>
  </r>
  <r>
    <m/>
    <x v="5"/>
    <m/>
    <m/>
    <m/>
    <m/>
    <m/>
    <m/>
    <m/>
    <m/>
    <m/>
    <m/>
  </r>
  <r>
    <m/>
    <x v="5"/>
    <m/>
    <m/>
    <m/>
    <m/>
    <m/>
    <m/>
    <m/>
    <m/>
    <m/>
    <m/>
  </r>
  <r>
    <m/>
    <x v="5"/>
    <m/>
    <m/>
    <m/>
    <m/>
    <m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4">
  <r>
    <d v="2017-08-14T14:00:00"/>
    <x v="0"/>
    <n v="1"/>
    <n v="1"/>
    <s v="PSG"/>
    <s v="Nice"/>
    <s v="DNB"/>
    <s v="Nice DNB"/>
    <n v="2.2000000000000002"/>
    <m/>
    <s v="Perdant"/>
    <n v="-2000"/>
  </r>
  <r>
    <d v="2017-08-08T14:00:00"/>
    <x v="1"/>
    <n v="1"/>
    <n v="6"/>
    <s v="AS Roma"/>
    <s v="AC Milan"/>
    <s v="1N2"/>
    <s v="OM"/>
    <n v="2"/>
    <m/>
    <s v="Gagnant"/>
    <n v="2000"/>
  </r>
  <r>
    <d v="2017-08-07T19:00:00"/>
    <x v="2"/>
    <n v="1"/>
    <n v="7"/>
    <s v="Sevilla"/>
    <s v="Sevilla"/>
    <s v="DC"/>
    <s v="Nul ou Lyon"/>
    <n v="1.87"/>
    <m/>
    <s v="Gagnant"/>
    <n v="1740"/>
  </r>
  <r>
    <d v="2017-08-17T14:00:00"/>
    <x v="3"/>
    <n v="3"/>
    <n v="16"/>
    <s v="Werder Bremen"/>
    <s v="Stuttgart"/>
    <s v="DC"/>
    <s v="Nul ou Stuttgart"/>
    <n v="1.99"/>
    <m/>
    <s v="Remboursé"/>
    <n v="0"/>
  </r>
  <r>
    <d v="2017-08-07T19:00:00"/>
    <x v="2"/>
    <n v="1"/>
    <n v="7"/>
    <s v="Sevilla"/>
    <s v="Sevilla"/>
    <s v="DC"/>
    <s v="Nul ou Lyon"/>
    <n v="1.87"/>
    <m/>
    <s v="Perdant"/>
    <n v="-2000"/>
  </r>
  <r>
    <d v="2017-08-09T13:00:00"/>
    <x v="0"/>
    <n v="2"/>
    <n v="8"/>
    <s v="OL"/>
    <s v="OM"/>
    <s v="AH"/>
    <s v="OM"/>
    <n v="2.2999999999999998"/>
    <m/>
    <s v="Gagnant"/>
    <n v="2600"/>
  </r>
  <r>
    <d v="2017-08-10T14:00:00"/>
    <x v="4"/>
    <n v="2"/>
    <n v="9"/>
    <s v="Cystal Palace"/>
    <s v="Watford"/>
    <s v="1N2"/>
    <s v="Crystal Palace"/>
    <n v="1.8"/>
    <m/>
    <s v="Perdant"/>
    <n v="-2000"/>
  </r>
  <r>
    <d v="2017-08-10T19:00:00"/>
    <x v="1"/>
    <n v="2"/>
    <n v="10"/>
    <s v="Sassuolo"/>
    <s v="Bologna"/>
    <s v="DC"/>
    <s v="Nul ou Bologna"/>
    <n v="1.97"/>
    <m/>
    <s v="Remboursé"/>
    <n v="0"/>
  </r>
  <r>
    <d v="2017-08-11T20:00:00"/>
    <x v="1"/>
    <n v="2"/>
    <n v="11"/>
    <s v="Genoa"/>
    <s v="Crotone"/>
    <s v="DNB"/>
    <s v="Genoa DNB"/>
    <n v="1.88"/>
    <m/>
    <s v="Gagnant"/>
    <n v="1760"/>
  </r>
  <r>
    <d v="2017-08-11T21:00:00"/>
    <x v="3"/>
    <n v="2"/>
    <n v="12"/>
    <s v="Bayern Munich"/>
    <s v="Hoffenheim"/>
    <s v="AH"/>
    <s v="AH-2 Bayern"/>
    <n v="1.72"/>
    <m/>
    <s v="Perdant"/>
    <n v="-2000"/>
  </r>
  <r>
    <d v="2017-08-12T17:00:00"/>
    <x v="3"/>
    <n v="2"/>
    <n v="13"/>
    <s v="RB Leipzig"/>
    <s v="Hertha Berlin"/>
    <s v="1N2"/>
    <s v="Leipzig"/>
    <n v="1.83"/>
    <m/>
    <s v="Gagnant"/>
    <n v="1660"/>
  </r>
  <r>
    <d v="2017-08-09T15:00:00"/>
    <x v="4"/>
    <n v="1"/>
    <n v="5"/>
    <s v="Sevilla"/>
    <s v="Sevilla"/>
    <s v="AH"/>
    <s v="AH-1 Dijon"/>
    <n v="2.1"/>
    <m/>
    <s v="Gagnant"/>
    <n v="2200"/>
  </r>
  <r>
    <d v="2017-08-09T13:00:00"/>
    <x v="0"/>
    <n v="2"/>
    <n v="8"/>
    <s v="OL"/>
    <s v="OM"/>
    <s v="AH"/>
    <s v="OM"/>
    <n v="2.2999999999999998"/>
    <m/>
    <s v="Perdant"/>
    <n v="-2000"/>
  </r>
  <r>
    <m/>
    <x v="5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Championnat">
  <location ref="A3:D9" firstHeaderRow="0" firstDataRow="1" firstDataCol="1"/>
  <pivotFields count="12">
    <pivotField subtotalTop="0" showAll="0"/>
    <pivotField axis="axisRow" subtotalTop="0" showAll="0">
      <items count="7">
        <item x="0"/>
        <item x="4"/>
        <item x="3"/>
        <item h="1" x="5"/>
        <item x="1"/>
        <item x="2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/>
    <pivotField dataField="1" subtotalTop="0" showAll="0"/>
    <pivotField subtotalTop="0" showAll="0"/>
    <pivotField subtotalTop="0" showAll="0"/>
    <pivotField dataField="1" subtotalTop="0" showAll="0"/>
  </pivotFields>
  <rowFields count="1">
    <field x="1"/>
  </rowFields>
  <rowItems count="6">
    <i>
      <x/>
    </i>
    <i>
      <x v="1"/>
    </i>
    <i>
      <x v="2"/>
    </i>
    <i>
      <x v="4"/>
    </i>
    <i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b de paris" fld="7" subtotal="count" baseField="0" baseItem="0"/>
    <dataField name="Côte moyenne" fld="8" subtotal="average" baseField="1" baseItem="0" numFmtId="2"/>
    <dataField name="Bénéf/perte nette" fld="11" baseField="1" baseItem="0" numFmtId="168"/>
  </dataFields>
  <formats count="5">
    <format dxfId="14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2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11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10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Championnat">
  <location ref="A3:D9" firstHeaderRow="0" firstDataRow="1" firstDataCol="1"/>
  <pivotFields count="12">
    <pivotField subtotalTop="0" showAll="0"/>
    <pivotField axis="axisRow" subtotalTop="0" showAll="0">
      <items count="7">
        <item x="2"/>
        <item x="0"/>
        <item x="1"/>
        <item h="1" x="5"/>
        <item x="3"/>
        <item x="4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/>
    <pivotField dataField="1" subtotalTop="0" showAll="0"/>
    <pivotField subtotalTop="0" showAll="0"/>
    <pivotField subtotalTop="0" showAll="0"/>
    <pivotField dataField="1" subtotalTop="0" showAll="0"/>
  </pivotFields>
  <rowFields count="1">
    <field x="1"/>
  </rowFields>
  <rowItems count="6">
    <i>
      <x/>
    </i>
    <i>
      <x v="1"/>
    </i>
    <i>
      <x v="2"/>
    </i>
    <i>
      <x v="4"/>
    </i>
    <i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b de paris" fld="7" subtotal="count" baseField="0" baseItem="0"/>
    <dataField name="Côte moyenne" fld="8" subtotal="average" baseField="1" baseItem="0" numFmtId="2"/>
    <dataField name="Bénéf/perte nette" fld="11" baseField="1" baseItem="0" numFmtId="171"/>
  </dataFields>
  <formats count="4">
    <format dxfId="9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8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7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6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Championnat">
  <location ref="A3:D6" firstHeaderRow="0" firstDataRow="1" firstDataCol="1"/>
  <pivotFields count="12">
    <pivotField subtotalTop="0" showAll="0"/>
    <pivotField axis="axisRow" subtotalTop="0" showAll="0">
      <items count="5">
        <item h="1" m="1" x="3"/>
        <item h="1" x="2"/>
        <item x="0"/>
        <item x="1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/>
    <pivotField dataField="1" subtotalTop="0" showAll="0"/>
    <pivotField subtotalTop="0" showAll="0"/>
    <pivotField subtotalTop="0" showAll="0"/>
    <pivotField dataField="1" subtotalTop="0" showAll="0"/>
  </pivotFields>
  <rowFields count="1">
    <field x="1"/>
  </rowFields>
  <rowItems count="3"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b de paris" fld="7" subtotal="count" baseField="0" baseItem="0"/>
    <dataField name="Côte moyenne" fld="8" subtotal="average" baseField="1" baseItem="0" numFmtId="2"/>
    <dataField name="Bénéf/perte nette" fld="11" baseField="1" baseItem="0" numFmtId="171"/>
  </dataFields>
  <formats count="6">
    <format dxfId="5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4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3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1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0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post544108.html" TargetMode="Externa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0"/>
  <sheetViews>
    <sheetView tabSelected="1" workbookViewId="0">
      <selection activeCell="A17" sqref="A17"/>
    </sheetView>
  </sheetViews>
  <sheetFormatPr baseColWidth="10" defaultRowHeight="15" x14ac:dyDescent="0.25"/>
  <cols>
    <col min="1" max="1" width="12.42578125" style="2" customWidth="1"/>
    <col min="2" max="2" width="13.5703125" customWidth="1"/>
    <col min="3" max="3" width="7.42578125" customWidth="1"/>
    <col min="4" max="4" width="3.5703125" customWidth="1"/>
    <col min="5" max="5" width="16.7109375" bestFit="1" customWidth="1"/>
    <col min="8" max="8" width="13.42578125" bestFit="1" customWidth="1"/>
    <col min="9" max="9" width="4.42578125" style="4" customWidth="1"/>
    <col min="10" max="10" width="11.28515625" customWidth="1"/>
    <col min="12" max="12" width="6.42578125" style="3" customWidth="1"/>
    <col min="14" max="14" width="5.28515625" customWidth="1"/>
  </cols>
  <sheetData>
    <row r="1" spans="1:15" s="1" customFormat="1" x14ac:dyDescent="0.25">
      <c r="A1" s="5" t="s">
        <v>65</v>
      </c>
      <c r="B1" s="1" t="s">
        <v>64</v>
      </c>
      <c r="C1" s="1" t="s">
        <v>4</v>
      </c>
      <c r="D1" s="1" t="s">
        <v>8</v>
      </c>
      <c r="E1" s="1" t="s">
        <v>2</v>
      </c>
      <c r="F1" s="1" t="s">
        <v>3</v>
      </c>
      <c r="G1" s="1" t="s">
        <v>7</v>
      </c>
      <c r="H1" s="1" t="s">
        <v>0</v>
      </c>
      <c r="I1" s="6" t="s">
        <v>6</v>
      </c>
      <c r="J1" s="10" t="s">
        <v>120</v>
      </c>
      <c r="K1" s="1" t="s">
        <v>1</v>
      </c>
      <c r="L1" s="7" t="s">
        <v>5</v>
      </c>
      <c r="O1" s="7"/>
    </row>
    <row r="2" spans="1:15" x14ac:dyDescent="0.25">
      <c r="A2" s="2">
        <v>42961.583333333336</v>
      </c>
      <c r="B2" t="s">
        <v>53</v>
      </c>
      <c r="C2">
        <v>1</v>
      </c>
      <c r="D2">
        <v>1</v>
      </c>
      <c r="E2" t="s">
        <v>10</v>
      </c>
      <c r="F2" t="s">
        <v>20</v>
      </c>
      <c r="G2" t="s">
        <v>22</v>
      </c>
      <c r="H2" t="s">
        <v>29</v>
      </c>
      <c r="I2" s="4">
        <v>2.2000000000000002</v>
      </c>
      <c r="K2" t="s">
        <v>30</v>
      </c>
      <c r="L2" s="3">
        <f t="shared" ref="L2:L18" si="0">IF(K2="Gagnant",FICTIF_Mise_par_bet*I2-FICTIF_Mise_par_bet,IF(K2="Perdant",-FICTIF_Mise_par_bet,IF(K2="Remboursé",0)))</f>
        <v>1.2000000000000002</v>
      </c>
    </row>
    <row r="3" spans="1:15" x14ac:dyDescent="0.25">
      <c r="A3" s="2">
        <v>42960.583333333336</v>
      </c>
      <c r="B3" t="s">
        <v>53</v>
      </c>
      <c r="C3">
        <v>1</v>
      </c>
      <c r="D3">
        <v>2</v>
      </c>
      <c r="E3" t="s">
        <v>55</v>
      </c>
      <c r="F3" t="s">
        <v>41</v>
      </c>
      <c r="G3" t="s">
        <v>11</v>
      </c>
      <c r="H3" t="s">
        <v>19</v>
      </c>
      <c r="I3" s="4">
        <v>1.69</v>
      </c>
      <c r="K3" t="s">
        <v>31</v>
      </c>
      <c r="L3" s="3">
        <f t="shared" si="0"/>
        <v>-1</v>
      </c>
    </row>
    <row r="4" spans="1:15" x14ac:dyDescent="0.25">
      <c r="A4" s="2">
        <v>42959.583333333336</v>
      </c>
      <c r="B4" t="s">
        <v>63</v>
      </c>
      <c r="C4">
        <v>1</v>
      </c>
      <c r="D4">
        <v>3</v>
      </c>
      <c r="E4" t="s">
        <v>69</v>
      </c>
      <c r="F4" t="s">
        <v>79</v>
      </c>
      <c r="G4" t="s">
        <v>23</v>
      </c>
      <c r="H4" t="s">
        <v>28</v>
      </c>
      <c r="I4" s="4">
        <v>1.89</v>
      </c>
      <c r="K4" t="s">
        <v>32</v>
      </c>
      <c r="L4" s="3">
        <f t="shared" si="0"/>
        <v>0</v>
      </c>
      <c r="O4" s="58" t="s">
        <v>163</v>
      </c>
    </row>
    <row r="5" spans="1:15" x14ac:dyDescent="0.25">
      <c r="A5" s="2">
        <v>42956.625</v>
      </c>
      <c r="B5" t="s">
        <v>66</v>
      </c>
      <c r="C5">
        <v>1</v>
      </c>
      <c r="D5">
        <v>4</v>
      </c>
      <c r="E5" t="s">
        <v>86</v>
      </c>
      <c r="F5" t="s">
        <v>89</v>
      </c>
      <c r="G5" t="s">
        <v>22</v>
      </c>
      <c r="H5" t="s">
        <v>25</v>
      </c>
      <c r="I5" s="4">
        <v>1.7</v>
      </c>
      <c r="K5" t="s">
        <v>30</v>
      </c>
      <c r="L5" s="3">
        <f t="shared" si="0"/>
        <v>0.7</v>
      </c>
    </row>
    <row r="6" spans="1:15" x14ac:dyDescent="0.25">
      <c r="A6" s="2">
        <v>42956.625</v>
      </c>
      <c r="B6" t="s">
        <v>63</v>
      </c>
      <c r="C6">
        <v>1</v>
      </c>
      <c r="D6">
        <v>5</v>
      </c>
      <c r="E6" t="s">
        <v>41</v>
      </c>
      <c r="F6" t="s">
        <v>41</v>
      </c>
      <c r="G6" t="s">
        <v>23</v>
      </c>
      <c r="H6" t="s">
        <v>26</v>
      </c>
      <c r="I6" s="4">
        <v>2.1</v>
      </c>
      <c r="K6" t="s">
        <v>31</v>
      </c>
      <c r="L6" s="3">
        <f t="shared" si="0"/>
        <v>-1</v>
      </c>
    </row>
    <row r="7" spans="1:15" x14ac:dyDescent="0.25">
      <c r="A7" s="2">
        <v>42955.583333333336</v>
      </c>
      <c r="B7" t="s">
        <v>67</v>
      </c>
      <c r="C7">
        <v>1</v>
      </c>
      <c r="D7">
        <v>6</v>
      </c>
      <c r="E7" t="s">
        <v>102</v>
      </c>
      <c r="F7" t="s">
        <v>106</v>
      </c>
      <c r="G7" t="s">
        <v>11</v>
      </c>
      <c r="H7" t="s">
        <v>9</v>
      </c>
      <c r="I7" s="4">
        <v>2</v>
      </c>
      <c r="K7" t="s">
        <v>31</v>
      </c>
      <c r="L7" s="3">
        <f t="shared" si="0"/>
        <v>-1</v>
      </c>
    </row>
    <row r="8" spans="1:15" x14ac:dyDescent="0.25">
      <c r="A8" s="2">
        <v>42954.791666666664</v>
      </c>
      <c r="B8" t="s">
        <v>53</v>
      </c>
      <c r="C8">
        <v>1</v>
      </c>
      <c r="D8">
        <v>7</v>
      </c>
      <c r="E8" t="s">
        <v>41</v>
      </c>
      <c r="F8" t="s">
        <v>41</v>
      </c>
      <c r="G8" t="s">
        <v>24</v>
      </c>
      <c r="H8" t="s">
        <v>27</v>
      </c>
      <c r="I8" s="4">
        <v>1.87</v>
      </c>
      <c r="K8" t="s">
        <v>30</v>
      </c>
      <c r="L8" s="3">
        <f t="shared" si="0"/>
        <v>0.87000000000000011</v>
      </c>
    </row>
    <row r="9" spans="1:15" x14ac:dyDescent="0.25">
      <c r="A9" s="2">
        <v>42956.541666666664</v>
      </c>
      <c r="B9" t="s">
        <v>44</v>
      </c>
      <c r="C9">
        <v>2</v>
      </c>
      <c r="D9">
        <v>8</v>
      </c>
      <c r="E9" s="35" t="s">
        <v>15</v>
      </c>
      <c r="F9" s="35" t="s">
        <v>9</v>
      </c>
      <c r="G9" t="s">
        <v>23</v>
      </c>
      <c r="H9" t="s">
        <v>9</v>
      </c>
      <c r="I9" s="4">
        <v>2.2999999999999998</v>
      </c>
      <c r="K9" t="s">
        <v>30</v>
      </c>
      <c r="L9" s="3">
        <f t="shared" si="0"/>
        <v>1.2999999999999998</v>
      </c>
    </row>
    <row r="10" spans="1:15" x14ac:dyDescent="0.25">
      <c r="A10" s="2">
        <v>42957.583333333336</v>
      </c>
      <c r="B10" t="s">
        <v>63</v>
      </c>
      <c r="C10">
        <v>2</v>
      </c>
      <c r="D10">
        <v>9</v>
      </c>
      <c r="E10" s="35" t="s">
        <v>80</v>
      </c>
      <c r="F10" s="35" t="s">
        <v>83</v>
      </c>
      <c r="G10" t="s">
        <v>11</v>
      </c>
      <c r="H10" t="s">
        <v>142</v>
      </c>
      <c r="I10" s="4">
        <v>1.8</v>
      </c>
      <c r="K10" t="s">
        <v>31</v>
      </c>
      <c r="L10" s="3">
        <f t="shared" si="0"/>
        <v>-1</v>
      </c>
    </row>
    <row r="11" spans="1:15" x14ac:dyDescent="0.25">
      <c r="A11" s="2">
        <v>42957.791666666664</v>
      </c>
      <c r="B11" t="s">
        <v>67</v>
      </c>
      <c r="C11">
        <v>2</v>
      </c>
      <c r="D11">
        <v>10</v>
      </c>
      <c r="E11" s="35" t="s">
        <v>114</v>
      </c>
      <c r="F11" s="35" t="s">
        <v>115</v>
      </c>
      <c r="G11" t="s">
        <v>24</v>
      </c>
      <c r="H11" t="s">
        <v>143</v>
      </c>
      <c r="I11" s="4">
        <v>1.97</v>
      </c>
      <c r="K11" t="s">
        <v>32</v>
      </c>
      <c r="L11" s="3">
        <f t="shared" si="0"/>
        <v>0</v>
      </c>
    </row>
    <row r="12" spans="1:15" x14ac:dyDescent="0.25">
      <c r="A12" s="2">
        <v>42958.833333333336</v>
      </c>
      <c r="B12" t="s">
        <v>67</v>
      </c>
      <c r="C12">
        <v>2</v>
      </c>
      <c r="D12">
        <v>11</v>
      </c>
      <c r="E12" s="35" t="s">
        <v>116</v>
      </c>
      <c r="F12" s="35" t="s">
        <v>118</v>
      </c>
      <c r="G12" t="s">
        <v>22</v>
      </c>
      <c r="H12" t="s">
        <v>144</v>
      </c>
      <c r="I12" s="4">
        <v>1.88</v>
      </c>
      <c r="K12" t="s">
        <v>31</v>
      </c>
      <c r="L12" s="3">
        <f t="shared" si="0"/>
        <v>-1</v>
      </c>
    </row>
    <row r="13" spans="1:15" x14ac:dyDescent="0.25">
      <c r="A13" s="2">
        <v>42958.875</v>
      </c>
      <c r="B13" t="s">
        <v>66</v>
      </c>
      <c r="C13">
        <v>2</v>
      </c>
      <c r="D13">
        <v>12</v>
      </c>
      <c r="E13" s="35" t="s">
        <v>85</v>
      </c>
      <c r="F13" s="35" t="s">
        <v>88</v>
      </c>
      <c r="G13" t="s">
        <v>23</v>
      </c>
      <c r="H13" t="s">
        <v>145</v>
      </c>
      <c r="I13" s="4">
        <v>1.72</v>
      </c>
      <c r="K13" t="s">
        <v>31</v>
      </c>
      <c r="L13" s="3">
        <f t="shared" si="0"/>
        <v>-1</v>
      </c>
    </row>
    <row r="14" spans="1:15" x14ac:dyDescent="0.25">
      <c r="A14" s="2">
        <v>42959.708333333336</v>
      </c>
      <c r="B14" t="s">
        <v>66</v>
      </c>
      <c r="C14">
        <v>2</v>
      </c>
      <c r="D14">
        <v>13</v>
      </c>
      <c r="E14" s="35" t="s">
        <v>86</v>
      </c>
      <c r="F14" s="35" t="s">
        <v>89</v>
      </c>
      <c r="G14" t="s">
        <v>11</v>
      </c>
      <c r="H14" t="s">
        <v>146</v>
      </c>
      <c r="I14" s="4">
        <v>1.83</v>
      </c>
      <c r="K14" t="s">
        <v>30</v>
      </c>
      <c r="L14" s="3">
        <f t="shared" si="0"/>
        <v>0.83000000000000007</v>
      </c>
    </row>
    <row r="15" spans="1:15" x14ac:dyDescent="0.25">
      <c r="A15" s="2">
        <v>42964.583333333336</v>
      </c>
      <c r="B15" t="s">
        <v>66</v>
      </c>
      <c r="C15">
        <v>3</v>
      </c>
      <c r="D15">
        <v>14</v>
      </c>
      <c r="E15" s="35" t="s">
        <v>93</v>
      </c>
      <c r="F15" s="35" t="s">
        <v>91</v>
      </c>
      <c r="G15" t="s">
        <v>11</v>
      </c>
      <c r="H15" t="s">
        <v>153</v>
      </c>
      <c r="I15" s="4">
        <v>2.1</v>
      </c>
      <c r="K15" t="s">
        <v>31</v>
      </c>
      <c r="L15" s="3">
        <f t="shared" si="0"/>
        <v>-1</v>
      </c>
    </row>
    <row r="16" spans="1:15" x14ac:dyDescent="0.25">
      <c r="A16" s="2">
        <v>42964.583333333336</v>
      </c>
      <c r="B16" s="35" t="s">
        <v>66</v>
      </c>
      <c r="C16" s="35">
        <v>3</v>
      </c>
      <c r="D16" s="35">
        <v>15</v>
      </c>
      <c r="E16" s="35" t="s">
        <v>87</v>
      </c>
      <c r="F16" s="35" t="s">
        <v>94</v>
      </c>
      <c r="G16" t="s">
        <v>22</v>
      </c>
      <c r="H16" t="s">
        <v>154</v>
      </c>
      <c r="I16" s="4">
        <v>2.4</v>
      </c>
      <c r="K16" t="s">
        <v>31</v>
      </c>
      <c r="L16" s="3">
        <f t="shared" si="0"/>
        <v>-1</v>
      </c>
    </row>
    <row r="17" spans="2:12" x14ac:dyDescent="0.25">
      <c r="B17" t="s">
        <v>63</v>
      </c>
      <c r="C17">
        <v>3</v>
      </c>
      <c r="D17">
        <v>17</v>
      </c>
      <c r="E17" s="35" t="s">
        <v>122</v>
      </c>
      <c r="F17" s="35" t="s">
        <v>84</v>
      </c>
      <c r="G17" t="s">
        <v>23</v>
      </c>
      <c r="H17" t="s">
        <v>156</v>
      </c>
      <c r="I17" s="4">
        <v>2.11</v>
      </c>
      <c r="J17" s="36"/>
      <c r="K17" t="s">
        <v>30</v>
      </c>
      <c r="L17" s="3">
        <f t="shared" si="0"/>
        <v>1.1099999999999999</v>
      </c>
    </row>
    <row r="18" spans="2:12" x14ac:dyDescent="0.25">
      <c r="B18" t="s">
        <v>44</v>
      </c>
      <c r="C18">
        <v>4</v>
      </c>
      <c r="D18">
        <v>18</v>
      </c>
      <c r="E18" t="s">
        <v>9</v>
      </c>
      <c r="F18" t="s">
        <v>15</v>
      </c>
      <c r="G18" t="s">
        <v>11</v>
      </c>
      <c r="H18" t="s">
        <v>9</v>
      </c>
      <c r="I18" s="4">
        <v>2</v>
      </c>
      <c r="J18" s="36"/>
      <c r="K18" t="s">
        <v>31</v>
      </c>
      <c r="L18" s="3">
        <f t="shared" si="0"/>
        <v>-1</v>
      </c>
    </row>
    <row r="19" spans="2:12" x14ac:dyDescent="0.25">
      <c r="J19" s="36"/>
    </row>
    <row r="20" spans="2:12" x14ac:dyDescent="0.25">
      <c r="J20" s="36"/>
    </row>
  </sheetData>
  <dataValidations count="3">
    <dataValidation type="list" allowBlank="1" showInputMessage="1" showErrorMessage="1" sqref="E2:F17">
      <formula1>IF($B2="Premier League",Equipes_PL,IF($B2="Ligue 1",Equipes_L1,IF($B2="Liga",Equipes_Liga,IF($B2="Bundesliga",Equipes_Bundes,IF($B2="Serie A",Equipes_SerieA)))))</formula1>
    </dataValidation>
    <dataValidation type="list" allowBlank="1" showInputMessage="1" showErrorMessage="1" sqref="B2:B1048576">
      <formula1>Championnat</formula1>
    </dataValidation>
    <dataValidation type="list" allowBlank="1" showInputMessage="1" showErrorMessage="1" sqref="G2:G1048576">
      <formula1>Typeofbet</formula1>
    </dataValidation>
  </dataValidations>
  <hyperlinks>
    <hyperlink ref="O4" r:id="rId1" location="p544108"/>
  </hyperlinks>
  <pageMargins left="0.7" right="0.7" top="0.75" bottom="0.75" header="0.3" footer="0.3"/>
  <pageSetup paperSize="9" orientation="portrait" horizontalDpi="4294967295" verticalDpi="4294967295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16"/>
  <sheetViews>
    <sheetView workbookViewId="0">
      <selection activeCell="J16" sqref="J16"/>
    </sheetView>
  </sheetViews>
  <sheetFormatPr baseColWidth="10" defaultRowHeight="15" x14ac:dyDescent="0.25"/>
  <cols>
    <col min="1" max="1" width="12.42578125" style="2" bestFit="1" customWidth="1"/>
    <col min="2" max="2" width="13.5703125" bestFit="1" customWidth="1"/>
    <col min="3" max="3" width="7.42578125" bestFit="1" customWidth="1"/>
    <col min="4" max="4" width="3.5703125" bestFit="1" customWidth="1"/>
    <col min="5" max="5" width="14" bestFit="1" customWidth="1"/>
    <col min="8" max="8" width="14.140625" bestFit="1" customWidth="1"/>
    <col min="9" max="9" width="4.42578125" style="4" bestFit="1" customWidth="1"/>
    <col min="10" max="10" width="12.140625" customWidth="1"/>
    <col min="12" max="12" width="9.85546875" style="3" bestFit="1" customWidth="1"/>
    <col min="14" max="14" width="5.28515625" bestFit="1" customWidth="1"/>
  </cols>
  <sheetData>
    <row r="1" spans="1:15" s="1" customFormat="1" x14ac:dyDescent="0.25">
      <c r="A1" s="5" t="s">
        <v>65</v>
      </c>
      <c r="B1" s="1" t="s">
        <v>64</v>
      </c>
      <c r="C1" s="1" t="s">
        <v>4</v>
      </c>
      <c r="D1" s="1" t="s">
        <v>8</v>
      </c>
      <c r="E1" s="1" t="s">
        <v>2</v>
      </c>
      <c r="F1" s="1" t="s">
        <v>3</v>
      </c>
      <c r="G1" s="1" t="s">
        <v>7</v>
      </c>
      <c r="H1" s="1" t="s">
        <v>0</v>
      </c>
      <c r="I1" s="6" t="s">
        <v>6</v>
      </c>
      <c r="J1" s="10" t="s">
        <v>120</v>
      </c>
      <c r="K1" s="1" t="s">
        <v>1</v>
      </c>
      <c r="L1" s="7" t="s">
        <v>5</v>
      </c>
      <c r="O1" s="7"/>
    </row>
    <row r="2" spans="1:15" x14ac:dyDescent="0.25">
      <c r="A2" s="2">
        <v>42961.583333333336</v>
      </c>
      <c r="B2" t="s">
        <v>44</v>
      </c>
      <c r="C2">
        <v>1</v>
      </c>
      <c r="D2">
        <v>1</v>
      </c>
      <c r="E2" t="s">
        <v>10</v>
      </c>
      <c r="F2" t="s">
        <v>20</v>
      </c>
      <c r="G2" t="s">
        <v>22</v>
      </c>
      <c r="H2" t="s">
        <v>29</v>
      </c>
      <c r="I2" s="4">
        <v>2.2000000000000002</v>
      </c>
      <c r="K2" t="s">
        <v>31</v>
      </c>
      <c r="L2" s="3">
        <f t="shared" ref="L2:L15" si="0">IF(K2="Gagnant",SIMU_Mise_par_bet*I2-SIMU_Mise_par_bet,IF(K2="Perdant",-SIMU_Mise_par_bet,IF(K2="Remboursé",0)))</f>
        <v>-2000</v>
      </c>
    </row>
    <row r="3" spans="1:15" x14ac:dyDescent="0.25">
      <c r="A3" s="2">
        <v>42955.583333333336</v>
      </c>
      <c r="B3" t="s">
        <v>67</v>
      </c>
      <c r="C3">
        <v>1</v>
      </c>
      <c r="D3">
        <v>6</v>
      </c>
      <c r="E3" t="s">
        <v>102</v>
      </c>
      <c r="F3" t="s">
        <v>106</v>
      </c>
      <c r="G3" t="s">
        <v>11</v>
      </c>
      <c r="H3" t="s">
        <v>9</v>
      </c>
      <c r="I3" s="4">
        <v>2</v>
      </c>
      <c r="K3" t="s">
        <v>30</v>
      </c>
      <c r="L3" s="3">
        <f t="shared" si="0"/>
        <v>2000</v>
      </c>
    </row>
    <row r="4" spans="1:15" x14ac:dyDescent="0.25">
      <c r="A4" s="2">
        <v>42954.791666666664</v>
      </c>
      <c r="B4" t="s">
        <v>53</v>
      </c>
      <c r="C4">
        <v>1</v>
      </c>
      <c r="D4">
        <v>7</v>
      </c>
      <c r="E4" t="s">
        <v>41</v>
      </c>
      <c r="F4" t="s">
        <v>41</v>
      </c>
      <c r="G4" t="s">
        <v>24</v>
      </c>
      <c r="H4" t="s">
        <v>27</v>
      </c>
      <c r="I4" s="4">
        <v>1.87</v>
      </c>
      <c r="K4" t="s">
        <v>30</v>
      </c>
      <c r="L4" s="3">
        <f t="shared" si="0"/>
        <v>1740</v>
      </c>
    </row>
    <row r="5" spans="1:15" x14ac:dyDescent="0.25">
      <c r="A5" s="2">
        <v>42964.583333333336</v>
      </c>
      <c r="B5" s="36" t="s">
        <v>66</v>
      </c>
      <c r="C5" s="36">
        <v>3</v>
      </c>
      <c r="D5" s="36">
        <v>16</v>
      </c>
      <c r="E5" s="36" t="s">
        <v>95</v>
      </c>
      <c r="F5" s="36" t="s">
        <v>123</v>
      </c>
      <c r="G5" s="36" t="s">
        <v>24</v>
      </c>
      <c r="H5" s="36" t="s">
        <v>155</v>
      </c>
      <c r="I5" s="4">
        <v>1.99</v>
      </c>
      <c r="J5" s="36"/>
      <c r="K5" s="36" t="s">
        <v>32</v>
      </c>
      <c r="L5" s="3">
        <f t="shared" si="0"/>
        <v>0</v>
      </c>
    </row>
    <row r="6" spans="1:15" x14ac:dyDescent="0.25">
      <c r="A6" s="2">
        <v>42954.791666666664</v>
      </c>
      <c r="B6" s="36" t="s">
        <v>53</v>
      </c>
      <c r="C6" s="36">
        <v>1</v>
      </c>
      <c r="D6" s="36">
        <v>7</v>
      </c>
      <c r="E6" s="36" t="s">
        <v>41</v>
      </c>
      <c r="F6" s="36" t="s">
        <v>41</v>
      </c>
      <c r="G6" s="36" t="s">
        <v>24</v>
      </c>
      <c r="H6" s="36" t="s">
        <v>27</v>
      </c>
      <c r="I6" s="4">
        <v>1.87</v>
      </c>
      <c r="J6" s="36"/>
      <c r="K6" s="36" t="s">
        <v>31</v>
      </c>
      <c r="L6" s="3">
        <f t="shared" si="0"/>
        <v>-2000</v>
      </c>
    </row>
    <row r="7" spans="1:15" x14ac:dyDescent="0.25">
      <c r="A7" s="2">
        <v>42956.541666666664</v>
      </c>
      <c r="B7" s="36" t="s">
        <v>44</v>
      </c>
      <c r="C7" s="36">
        <v>2</v>
      </c>
      <c r="D7" s="36">
        <v>8</v>
      </c>
      <c r="E7" s="36" t="s">
        <v>15</v>
      </c>
      <c r="F7" s="36" t="s">
        <v>9</v>
      </c>
      <c r="G7" s="36" t="s">
        <v>23</v>
      </c>
      <c r="H7" s="36" t="s">
        <v>9</v>
      </c>
      <c r="I7" s="4">
        <v>2.2999999999999998</v>
      </c>
      <c r="J7" s="36"/>
      <c r="K7" s="36" t="s">
        <v>30</v>
      </c>
      <c r="L7" s="3">
        <f t="shared" si="0"/>
        <v>2600</v>
      </c>
    </row>
    <row r="8" spans="1:15" x14ac:dyDescent="0.25">
      <c r="A8" s="2">
        <v>42957.583333333336</v>
      </c>
      <c r="B8" s="36" t="s">
        <v>63</v>
      </c>
      <c r="C8" s="36">
        <v>2</v>
      </c>
      <c r="D8" s="36">
        <v>9</v>
      </c>
      <c r="E8" s="36" t="s">
        <v>80</v>
      </c>
      <c r="F8" s="36" t="s">
        <v>83</v>
      </c>
      <c r="G8" s="36" t="s">
        <v>11</v>
      </c>
      <c r="H8" s="36" t="s">
        <v>142</v>
      </c>
      <c r="I8" s="4">
        <v>1.8</v>
      </c>
      <c r="J8" s="36"/>
      <c r="K8" s="36" t="s">
        <v>31</v>
      </c>
      <c r="L8" s="3">
        <f t="shared" si="0"/>
        <v>-2000</v>
      </c>
    </row>
    <row r="9" spans="1:15" x14ac:dyDescent="0.25">
      <c r="A9" s="2">
        <v>42957.791666666664</v>
      </c>
      <c r="B9" s="36" t="s">
        <v>67</v>
      </c>
      <c r="C9" s="36">
        <v>2</v>
      </c>
      <c r="D9" s="36">
        <v>10</v>
      </c>
      <c r="E9" s="36" t="s">
        <v>114</v>
      </c>
      <c r="F9" s="36" t="s">
        <v>115</v>
      </c>
      <c r="G9" s="36" t="s">
        <v>24</v>
      </c>
      <c r="H9" s="36" t="s">
        <v>143</v>
      </c>
      <c r="I9" s="4">
        <v>1.97</v>
      </c>
      <c r="J9" s="36"/>
      <c r="K9" s="36" t="s">
        <v>32</v>
      </c>
      <c r="L9" s="3">
        <f t="shared" si="0"/>
        <v>0</v>
      </c>
    </row>
    <row r="10" spans="1:15" x14ac:dyDescent="0.25">
      <c r="A10" s="2">
        <v>42958.833333333336</v>
      </c>
      <c r="B10" s="36" t="s">
        <v>67</v>
      </c>
      <c r="C10" s="36">
        <v>2</v>
      </c>
      <c r="D10" s="36">
        <v>11</v>
      </c>
      <c r="E10" s="36" t="s">
        <v>116</v>
      </c>
      <c r="F10" s="36" t="s">
        <v>118</v>
      </c>
      <c r="G10" s="36" t="s">
        <v>22</v>
      </c>
      <c r="H10" s="36" t="s">
        <v>144</v>
      </c>
      <c r="I10" s="4">
        <v>1.88</v>
      </c>
      <c r="J10" s="36"/>
      <c r="K10" s="36" t="s">
        <v>30</v>
      </c>
      <c r="L10" s="3">
        <f t="shared" si="0"/>
        <v>1760</v>
      </c>
    </row>
    <row r="11" spans="1:15" x14ac:dyDescent="0.25">
      <c r="A11" s="2">
        <v>42958.875</v>
      </c>
      <c r="B11" s="36" t="s">
        <v>66</v>
      </c>
      <c r="C11" s="36">
        <v>2</v>
      </c>
      <c r="D11" s="36">
        <v>12</v>
      </c>
      <c r="E11" s="36" t="s">
        <v>85</v>
      </c>
      <c r="F11" s="36" t="s">
        <v>88</v>
      </c>
      <c r="G11" s="36" t="s">
        <v>23</v>
      </c>
      <c r="H11" s="36" t="s">
        <v>145</v>
      </c>
      <c r="I11" s="4">
        <v>1.72</v>
      </c>
      <c r="J11" s="36"/>
      <c r="K11" s="36" t="s">
        <v>31</v>
      </c>
      <c r="L11" s="3">
        <f t="shared" si="0"/>
        <v>-2000</v>
      </c>
    </row>
    <row r="12" spans="1:15" x14ac:dyDescent="0.25">
      <c r="A12" s="2">
        <v>42959.708333333336</v>
      </c>
      <c r="B12" s="36" t="s">
        <v>66</v>
      </c>
      <c r="C12" s="36">
        <v>2</v>
      </c>
      <c r="D12" s="36">
        <v>13</v>
      </c>
      <c r="E12" s="36" t="s">
        <v>86</v>
      </c>
      <c r="F12" s="36" t="s">
        <v>89</v>
      </c>
      <c r="G12" s="36" t="s">
        <v>11</v>
      </c>
      <c r="H12" s="36" t="s">
        <v>146</v>
      </c>
      <c r="I12" s="4">
        <v>1.83</v>
      </c>
      <c r="J12" s="36"/>
      <c r="K12" s="36" t="s">
        <v>30</v>
      </c>
      <c r="L12" s="3">
        <f t="shared" si="0"/>
        <v>1660</v>
      </c>
    </row>
    <row r="13" spans="1:15" x14ac:dyDescent="0.25">
      <c r="A13" s="2">
        <v>42956.625</v>
      </c>
      <c r="B13" s="36" t="s">
        <v>63</v>
      </c>
      <c r="C13" s="36">
        <v>1</v>
      </c>
      <c r="D13" s="36">
        <v>5</v>
      </c>
      <c r="E13" s="36" t="s">
        <v>41</v>
      </c>
      <c r="F13" s="36" t="s">
        <v>41</v>
      </c>
      <c r="G13" s="36" t="s">
        <v>23</v>
      </c>
      <c r="H13" s="36" t="s">
        <v>26</v>
      </c>
      <c r="I13" s="4">
        <v>2.1</v>
      </c>
      <c r="J13" s="36"/>
      <c r="K13" s="36" t="s">
        <v>30</v>
      </c>
      <c r="L13" s="3">
        <f t="shared" si="0"/>
        <v>2200</v>
      </c>
    </row>
    <row r="14" spans="1:15" x14ac:dyDescent="0.25">
      <c r="A14" s="2">
        <v>42956.541666666664</v>
      </c>
      <c r="B14" s="36" t="s">
        <v>44</v>
      </c>
      <c r="C14" s="36">
        <v>2</v>
      </c>
      <c r="D14" s="36">
        <v>8</v>
      </c>
      <c r="E14" s="36" t="s">
        <v>15</v>
      </c>
      <c r="F14" s="36" t="s">
        <v>9</v>
      </c>
      <c r="G14" s="36" t="s">
        <v>23</v>
      </c>
      <c r="H14" s="36" t="s">
        <v>9</v>
      </c>
      <c r="I14" s="4">
        <v>2.2999999999999998</v>
      </c>
      <c r="J14" s="36"/>
      <c r="K14" s="36" t="s">
        <v>31</v>
      </c>
      <c r="L14" s="3">
        <f t="shared" si="0"/>
        <v>-2000</v>
      </c>
    </row>
    <row r="15" spans="1:15" x14ac:dyDescent="0.25">
      <c r="A15" s="2">
        <v>42964.583333333336</v>
      </c>
      <c r="B15" s="54" t="s">
        <v>66</v>
      </c>
      <c r="C15" s="54">
        <v>3</v>
      </c>
      <c r="D15" s="54">
        <v>15</v>
      </c>
      <c r="E15" s="54" t="s">
        <v>87</v>
      </c>
      <c r="F15" s="54" t="s">
        <v>94</v>
      </c>
      <c r="G15" s="54" t="s">
        <v>22</v>
      </c>
      <c r="H15" s="54" t="s">
        <v>154</v>
      </c>
      <c r="I15" s="4">
        <v>2.4</v>
      </c>
      <c r="J15" s="54"/>
      <c r="K15" s="54" t="s">
        <v>31</v>
      </c>
      <c r="L15" s="3">
        <f t="shared" si="0"/>
        <v>-2000</v>
      </c>
    </row>
    <row r="16" spans="1:15" x14ac:dyDescent="0.25">
      <c r="A16" s="2">
        <v>42959.583333333336</v>
      </c>
      <c r="B16" s="57" t="s">
        <v>63</v>
      </c>
      <c r="C16" s="57">
        <v>1</v>
      </c>
      <c r="D16" s="57">
        <v>3</v>
      </c>
      <c r="E16" s="57" t="s">
        <v>69</v>
      </c>
      <c r="F16" s="57" t="s">
        <v>79</v>
      </c>
      <c r="G16" s="57" t="s">
        <v>23</v>
      </c>
      <c r="H16" s="57" t="s">
        <v>28</v>
      </c>
      <c r="I16" s="4">
        <v>1.89</v>
      </c>
      <c r="J16" s="57"/>
      <c r="K16" s="57" t="s">
        <v>32</v>
      </c>
      <c r="L16" s="3">
        <f t="shared" ref="L16" si="1">IF(K16="Gagnant",FICTIF_Mise_par_bet*I16-FICTIF_Mise_par_bet,IF(K16="Perdant",-FICTIF_Mise_par_bet,IF(K16="Remboursé",0)))</f>
        <v>0</v>
      </c>
    </row>
  </sheetData>
  <dataValidations count="3">
    <dataValidation type="list" allowBlank="1" showInputMessage="1" showErrorMessage="1" sqref="G5:G16">
      <formula1>Typeofbet</formula1>
    </dataValidation>
    <dataValidation type="list" allowBlank="1" showInputMessage="1" showErrorMessage="1" sqref="E2:F16">
      <formula1>IF($B2="Premier League",Equipes_PL,IF($B2="Ligue 1",Equipes_L1,IF($B2="Liga",Equipes_Liga,IF($B2="Bundesliga",Equipes_Bundes,IF($B2="Serie A",Equipes_SerieA)))))</formula1>
    </dataValidation>
    <dataValidation type="list" allowBlank="1" showInputMessage="1" showErrorMessage="1" sqref="B2:B1048576">
      <formula1>Championnat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5"/>
  <sheetViews>
    <sheetView workbookViewId="0">
      <selection activeCell="J6" sqref="J6"/>
    </sheetView>
  </sheetViews>
  <sheetFormatPr baseColWidth="10" defaultRowHeight="15" x14ac:dyDescent="0.25"/>
  <cols>
    <col min="1" max="1" width="12.42578125" style="2" customWidth="1"/>
    <col min="2" max="2" width="13.5703125" customWidth="1"/>
    <col min="3" max="3" width="7.42578125" customWidth="1"/>
    <col min="4" max="4" width="3.5703125" customWidth="1"/>
    <col min="9" max="9" width="4.42578125" style="4" customWidth="1"/>
    <col min="10" max="10" width="15.85546875" customWidth="1"/>
    <col min="12" max="12" width="9.85546875" style="3" bestFit="1" customWidth="1"/>
    <col min="14" max="14" width="5.28515625" customWidth="1"/>
  </cols>
  <sheetData>
    <row r="1" spans="1:15" s="10" customFormat="1" x14ac:dyDescent="0.25">
      <c r="A1" s="5" t="s">
        <v>65</v>
      </c>
      <c r="B1" s="1" t="s">
        <v>64</v>
      </c>
      <c r="C1" s="1" t="s">
        <v>4</v>
      </c>
      <c r="D1" s="1" t="s">
        <v>8</v>
      </c>
      <c r="E1" s="1" t="s">
        <v>2</v>
      </c>
      <c r="F1" s="1" t="s">
        <v>3</v>
      </c>
      <c r="G1" s="1" t="s">
        <v>7</v>
      </c>
      <c r="H1" s="1" t="s">
        <v>0</v>
      </c>
      <c r="I1" s="6" t="s">
        <v>6</v>
      </c>
      <c r="J1" s="10" t="s">
        <v>120</v>
      </c>
      <c r="K1" s="1" t="s">
        <v>1</v>
      </c>
      <c r="L1" s="7" t="s">
        <v>5</v>
      </c>
      <c r="O1" s="11"/>
    </row>
    <row r="2" spans="1:15" x14ac:dyDescent="0.25">
      <c r="A2" s="2">
        <v>42956.541666666664</v>
      </c>
      <c r="B2" s="43" t="s">
        <v>44</v>
      </c>
      <c r="C2" s="43">
        <v>2</v>
      </c>
      <c r="D2" s="43">
        <v>8</v>
      </c>
      <c r="E2" s="43" t="s">
        <v>15</v>
      </c>
      <c r="F2" s="43" t="s">
        <v>9</v>
      </c>
      <c r="G2" s="43" t="s">
        <v>23</v>
      </c>
      <c r="H2" s="43" t="s">
        <v>9</v>
      </c>
      <c r="I2" s="4">
        <v>2.2999999999999998</v>
      </c>
      <c r="J2" s="43"/>
      <c r="K2" s="43" t="s">
        <v>31</v>
      </c>
      <c r="L2" s="3">
        <f>IF(K2="Gagnant",REEL_Mise_par_bet*I2-REEL_Mise_par_bet,IF(K2="Perdant",-REEL_Mise_par_bet,IF(K2="Remboursé",0)))</f>
        <v>-400</v>
      </c>
    </row>
    <row r="3" spans="1:15" x14ac:dyDescent="0.25">
      <c r="A3" s="2">
        <v>42956.625</v>
      </c>
      <c r="B3" s="43" t="s">
        <v>63</v>
      </c>
      <c r="C3" s="43">
        <v>1</v>
      </c>
      <c r="D3" s="43">
        <v>5</v>
      </c>
      <c r="E3" s="43" t="s">
        <v>41</v>
      </c>
      <c r="F3" s="43" t="s">
        <v>41</v>
      </c>
      <c r="G3" s="43" t="s">
        <v>23</v>
      </c>
      <c r="H3" s="43" t="s">
        <v>26</v>
      </c>
      <c r="I3" s="4">
        <v>2.1</v>
      </c>
      <c r="J3" s="43"/>
      <c r="K3" s="43" t="s">
        <v>30</v>
      </c>
      <c r="L3" s="3">
        <f>IF(K3="Gagnant",REEL_Mise_par_bet*I3-REEL_Mise_par_bet,IF(K3="Perdant",-REEL_Mise_par_bet,IF(K3="Remboursé",0)))</f>
        <v>440</v>
      </c>
    </row>
    <row r="4" spans="1:15" x14ac:dyDescent="0.25">
      <c r="A4" s="2">
        <v>42961.583333333336</v>
      </c>
      <c r="B4" s="43" t="s">
        <v>44</v>
      </c>
      <c r="C4" s="43">
        <v>1</v>
      </c>
      <c r="D4" s="43">
        <v>1</v>
      </c>
      <c r="E4" s="43" t="s">
        <v>10</v>
      </c>
      <c r="F4" s="43" t="s">
        <v>20</v>
      </c>
      <c r="G4" s="43" t="s">
        <v>22</v>
      </c>
      <c r="H4" s="43" t="s">
        <v>29</v>
      </c>
      <c r="I4" s="4">
        <v>2.2000000000000002</v>
      </c>
      <c r="J4" s="43"/>
      <c r="K4" s="43" t="s">
        <v>30</v>
      </c>
      <c r="L4" s="3">
        <f>IF(K4="Gagnant",REEL_Mise_par_bet*I4-REEL_Mise_par_bet,IF(K4="Perdant",-REEL_Mise_par_bet,IF(K4="Remboursé",0)))</f>
        <v>480.00000000000011</v>
      </c>
    </row>
    <row r="5" spans="1:15" x14ac:dyDescent="0.25">
      <c r="A5" s="2">
        <v>42957.583333333336</v>
      </c>
      <c r="B5" s="43" t="s">
        <v>63</v>
      </c>
      <c r="C5" s="43">
        <v>2</v>
      </c>
      <c r="D5" s="43">
        <v>9</v>
      </c>
      <c r="E5" s="43" t="s">
        <v>80</v>
      </c>
      <c r="F5" s="43" t="s">
        <v>83</v>
      </c>
      <c r="G5" s="43" t="s">
        <v>11</v>
      </c>
      <c r="H5" s="43" t="s">
        <v>142</v>
      </c>
      <c r="I5" s="4">
        <v>1.8</v>
      </c>
      <c r="J5" s="43"/>
      <c r="K5" s="43" t="s">
        <v>31</v>
      </c>
      <c r="L5" s="3">
        <f>IF(K5="Gagnant",REEL_Mise_par_bet*I5-REEL_Mise_par_bet,IF(K5="Perdant",-REEL_Mise_par_bet,IF(K5="Remboursé",0)))</f>
        <v>-400</v>
      </c>
    </row>
  </sheetData>
  <dataValidations count="3">
    <dataValidation type="list" allowBlank="1" showInputMessage="1" showErrorMessage="1" sqref="G2:G3 G5:G1048576">
      <formula1>Typeofbet</formula1>
    </dataValidation>
    <dataValidation type="list" allowBlank="1" showInputMessage="1" showErrorMessage="1" sqref="B2:B1048576">
      <formula1>Championnat</formula1>
    </dataValidation>
    <dataValidation type="list" allowBlank="1" showInputMessage="1" showErrorMessage="1" sqref="E2:F5">
      <formula1>IF($B2="Premier League",Equipes_PL,IF($B2="Ligue 1",Equipes_L1,IF($B2="Liga",Equipes_Liga,IF($B2="Bundesliga",Equipes_Bundes,IF($B2="Serie A",Equipes_SerieA)))))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</sheetPr>
  <dimension ref="A1:G29"/>
  <sheetViews>
    <sheetView zoomScale="90" zoomScaleNormal="90" workbookViewId="0">
      <selection activeCell="D15" sqref="D15"/>
    </sheetView>
  </sheetViews>
  <sheetFormatPr baseColWidth="10" defaultRowHeight="15" x14ac:dyDescent="0.25"/>
  <cols>
    <col min="1" max="1" width="14.28515625" customWidth="1"/>
    <col min="2" max="2" width="10.28515625" customWidth="1"/>
    <col min="3" max="3" width="12.85546875" style="4" customWidth="1"/>
    <col min="4" max="4" width="16" bestFit="1" customWidth="1"/>
    <col min="5" max="5" width="18" bestFit="1" customWidth="1"/>
  </cols>
  <sheetData>
    <row r="1" spans="1:7" x14ac:dyDescent="0.25">
      <c r="B1" s="41" t="s">
        <v>157</v>
      </c>
    </row>
    <row r="3" spans="1:7" x14ac:dyDescent="0.25">
      <c r="A3" s="8" t="s">
        <v>64</v>
      </c>
      <c r="B3" s="43" t="s">
        <v>134</v>
      </c>
      <c r="C3" s="4" t="s">
        <v>135</v>
      </c>
      <c r="D3" s="43" t="s">
        <v>136</v>
      </c>
      <c r="E3" s="32" t="s">
        <v>139</v>
      </c>
      <c r="F3" s="33" t="s">
        <v>140</v>
      </c>
      <c r="G3" s="1" t="s">
        <v>141</v>
      </c>
    </row>
    <row r="4" spans="1:7" x14ac:dyDescent="0.25">
      <c r="A4" s="44" t="s">
        <v>53</v>
      </c>
      <c r="B4" s="9">
        <v>3</v>
      </c>
      <c r="C4" s="4">
        <v>1.92</v>
      </c>
      <c r="D4" s="38">
        <v>1.0700000000000003</v>
      </c>
      <c r="E4" s="34">
        <f>GETPIVOTDATA("Nb de paris",$A$3,"Championnat","Liga")/Nb_journées_Liga_écoulées</f>
        <v>10</v>
      </c>
      <c r="F4" s="37">
        <f>GETPIVOTDATA("Bénéf/perte nette",$A$3,"Championnat","Liga")/(GETPIVOTDATA("Nb de paris",$A$3,"Championnat","Liga")*FICTIF_Mise_par_bet)</f>
        <v>0.35666666666666674</v>
      </c>
    </row>
    <row r="5" spans="1:7" x14ac:dyDescent="0.25">
      <c r="A5" s="44" t="s">
        <v>44</v>
      </c>
      <c r="B5" s="9">
        <v>2</v>
      </c>
      <c r="C5" s="4">
        <v>2.15</v>
      </c>
      <c r="D5" s="38">
        <v>1.2999999999999998</v>
      </c>
      <c r="E5" s="34">
        <f>GETPIVOTDATA("Nb de paris",$A$3,"Championnat","Ligue 1")/Nb_journées_L1_écoulées</f>
        <v>10</v>
      </c>
      <c r="F5" s="37">
        <f>GETPIVOTDATA("Bénéf/perte nette",$A$3,"Championnat","Ligue 1")/(GETPIVOTDATA("Nb de paris",$A$3,"Championnat","Ligue 1")*FICTIF_Mise_par_bet)</f>
        <v>0.64999999999999991</v>
      </c>
    </row>
    <row r="6" spans="1:7" x14ac:dyDescent="0.25">
      <c r="A6" s="44" t="s">
        <v>67</v>
      </c>
      <c r="B6" s="9">
        <v>3</v>
      </c>
      <c r="C6" s="4">
        <v>1.95</v>
      </c>
      <c r="D6" s="38">
        <v>-2</v>
      </c>
      <c r="E6" s="34">
        <f>GETPIVOTDATA("Nb de paris",$A$3,"Championnat","Serie A")/Nb_journées_SerieA_écoulées</f>
        <v>10</v>
      </c>
      <c r="F6" s="37">
        <f>GETPIVOTDATA("Bénéf/perte nette",$A$3,"Championnat","Serie A")/(GETPIVOTDATA("Nb de paris",$A$3,"Championnat","Serie A")*FICTIF_Mise_par_bet)</f>
        <v>-0.66666666666666663</v>
      </c>
    </row>
    <row r="7" spans="1:7" x14ac:dyDescent="0.25">
      <c r="A7" s="44" t="s">
        <v>63</v>
      </c>
      <c r="B7" s="9">
        <v>4</v>
      </c>
      <c r="C7" s="4">
        <v>1.9750000000000001</v>
      </c>
      <c r="D7" s="38">
        <v>-0.89000000000000012</v>
      </c>
      <c r="E7" s="34">
        <f>GETPIVOTDATA("Nb de paris",$A$3,"Championnat","Premier League")/Nb_journées_PL_écoulées</f>
        <v>10</v>
      </c>
      <c r="F7" s="37">
        <f>GETPIVOTDATA("Bénéf/perte nette",$A$3,"Championnat","Premier League")/(GETPIVOTDATA("Nb de paris",$A$3,"Championnat","Premier League")*FICTIF_Mise_par_bet)</f>
        <v>-0.22250000000000003</v>
      </c>
    </row>
    <row r="8" spans="1:7" x14ac:dyDescent="0.25">
      <c r="A8" s="44" t="s">
        <v>66</v>
      </c>
      <c r="B8" s="9">
        <v>5</v>
      </c>
      <c r="C8" s="4">
        <v>1.95</v>
      </c>
      <c r="D8" s="38">
        <v>-1.47</v>
      </c>
      <c r="E8" s="34">
        <f>GETPIVOTDATA("Nb de paris",$A$3,"Championnat","Bundesliga")/Nb_journées_Bundesliga_écoulées</f>
        <v>10</v>
      </c>
      <c r="F8" s="37">
        <f>GETPIVOTDATA("Bénéf/perte nette",$A$3,"Championnat","Bundesliga")/(GETPIVOTDATA("Nb de paris",$A$3,"Championnat","Bundesliga")*FICTIF_Mise_par_bet)</f>
        <v>-0.29399999999999998</v>
      </c>
    </row>
    <row r="9" spans="1:7" x14ac:dyDescent="0.25">
      <c r="A9" s="44" t="s">
        <v>119</v>
      </c>
      <c r="B9" s="9">
        <v>17</v>
      </c>
      <c r="C9" s="4">
        <v>1.9741176470588238</v>
      </c>
      <c r="D9" s="38">
        <v>-1.99</v>
      </c>
      <c r="E9" s="32">
        <f>AVERAGE(E4:E8)</f>
        <v>10</v>
      </c>
      <c r="F9" s="37">
        <f>AVERAGE(F4:F8)</f>
        <v>-3.5300000000000012E-2</v>
      </c>
    </row>
    <row r="10" spans="1:7" x14ac:dyDescent="0.25">
      <c r="C10"/>
    </row>
    <row r="11" spans="1:7" x14ac:dyDescent="0.25">
      <c r="A11" s="59" t="s">
        <v>152</v>
      </c>
      <c r="B11" s="59"/>
      <c r="C11" s="39">
        <v>1</v>
      </c>
    </row>
    <row r="12" spans="1:7" x14ac:dyDescent="0.25">
      <c r="A12" s="59" t="s">
        <v>132</v>
      </c>
      <c r="B12" s="59"/>
      <c r="C12" s="39">
        <f>C11*GETPIVOTDATA("Nb de paris",$A$3)</f>
        <v>17</v>
      </c>
    </row>
    <row r="13" spans="1:7" x14ac:dyDescent="0.25">
      <c r="A13" s="59" t="s">
        <v>133</v>
      </c>
      <c r="B13" s="59"/>
      <c r="C13" s="40">
        <f>GETPIVOTDATA("Bénéf/perte nette",$A$3)</f>
        <v>-1.99</v>
      </c>
    </row>
    <row r="14" spans="1:7" x14ac:dyDescent="0.25">
      <c r="A14" s="60" t="s">
        <v>125</v>
      </c>
      <c r="B14" s="60"/>
      <c r="C14" s="42">
        <f ca="1">C13/Data!L5*Data!L6/Data!L7</f>
        <v>0.67840909090909085</v>
      </c>
    </row>
    <row r="15" spans="1:7" x14ac:dyDescent="0.25">
      <c r="C15"/>
    </row>
    <row r="16" spans="1:7" x14ac:dyDescent="0.25">
      <c r="B16" s="4"/>
      <c r="C16" s="13"/>
    </row>
    <row r="17" spans="1:3" x14ac:dyDescent="0.25">
      <c r="A17" s="62"/>
      <c r="B17" s="62"/>
      <c r="C17" s="14"/>
    </row>
    <row r="18" spans="1:3" x14ac:dyDescent="0.25">
      <c r="A18" s="62"/>
      <c r="B18" s="62"/>
      <c r="C18" s="14"/>
    </row>
    <row r="19" spans="1:3" x14ac:dyDescent="0.25">
      <c r="A19" s="62"/>
      <c r="B19" s="62"/>
      <c r="C19" s="9"/>
    </row>
    <row r="20" spans="1:3" x14ac:dyDescent="0.25">
      <c r="A20" s="62"/>
      <c r="B20" s="62"/>
      <c r="C20" s="9"/>
    </row>
    <row r="21" spans="1:3" x14ac:dyDescent="0.25">
      <c r="A21" s="61"/>
      <c r="B21" s="61"/>
    </row>
    <row r="22" spans="1:3" x14ac:dyDescent="0.25">
      <c r="A22" s="61"/>
      <c r="B22" s="61"/>
      <c r="C22" s="16"/>
    </row>
    <row r="23" spans="1:3" x14ac:dyDescent="0.25">
      <c r="A23" s="61"/>
      <c r="B23" s="61"/>
      <c r="C23" s="16"/>
    </row>
    <row r="24" spans="1:3" x14ac:dyDescent="0.25">
      <c r="B24" s="4"/>
      <c r="C24" s="17"/>
    </row>
    <row r="25" spans="1:3" x14ac:dyDescent="0.25">
      <c r="B25" s="4"/>
      <c r="C25" s="17"/>
    </row>
    <row r="26" spans="1:3" x14ac:dyDescent="0.25">
      <c r="B26" s="4"/>
      <c r="C26" s="17"/>
    </row>
    <row r="27" spans="1:3" s="15" customFormat="1" x14ac:dyDescent="0.25">
      <c r="B27" s="4"/>
      <c r="C27" s="17"/>
    </row>
    <row r="28" spans="1:3" s="15" customFormat="1" x14ac:dyDescent="0.25">
      <c r="B28" s="4"/>
      <c r="C28" s="17"/>
    </row>
    <row r="29" spans="1:3" x14ac:dyDescent="0.25">
      <c r="B29" s="4"/>
      <c r="C29" s="17"/>
    </row>
  </sheetData>
  <mergeCells count="11">
    <mergeCell ref="A11:B11"/>
    <mergeCell ref="A12:B12"/>
    <mergeCell ref="A13:B13"/>
    <mergeCell ref="A14:B14"/>
    <mergeCell ref="A23:B23"/>
    <mergeCell ref="A17:B17"/>
    <mergeCell ref="A18:B18"/>
    <mergeCell ref="A19:B19"/>
    <mergeCell ref="A20:B20"/>
    <mergeCell ref="A21:B21"/>
    <mergeCell ref="A22:B22"/>
  </mergeCells>
  <conditionalFormatting sqref="F4:F9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{F16AA2F7-3640-432C-9D8E-F58DA660171A}</x14:id>
        </ext>
      </extLst>
    </cfRule>
  </conditionalFormatting>
  <pageMargins left="0.7" right="0.7" top="0.75" bottom="0.75" header="0.3" footer="0.3"/>
  <pageSetup paperSize="9" orientation="portrait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16AA2F7-3640-432C-9D8E-F58DA660171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F4:F9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</sheetPr>
  <dimension ref="A3:G17"/>
  <sheetViews>
    <sheetView zoomScale="90" zoomScaleNormal="90" workbookViewId="0">
      <selection activeCell="C5" sqref="C5"/>
    </sheetView>
  </sheetViews>
  <sheetFormatPr baseColWidth="10" defaultRowHeight="15" x14ac:dyDescent="0.25"/>
  <cols>
    <col min="1" max="1" width="14.28515625" bestFit="1" customWidth="1"/>
    <col min="2" max="2" width="10.28515625" bestFit="1" customWidth="1"/>
    <col min="3" max="3" width="12.85546875" bestFit="1" customWidth="1"/>
    <col min="4" max="4" width="16" customWidth="1"/>
    <col min="5" max="5" width="18" bestFit="1" customWidth="1"/>
    <col min="6" max="6" width="11.42578125" bestFit="1" customWidth="1"/>
  </cols>
  <sheetData>
    <row r="3" spans="1:7" x14ac:dyDescent="0.25">
      <c r="A3" s="8" t="s">
        <v>64</v>
      </c>
      <c r="B3" s="43" t="s">
        <v>134</v>
      </c>
      <c r="C3" s="43" t="s">
        <v>135</v>
      </c>
      <c r="D3" s="43" t="s">
        <v>136</v>
      </c>
      <c r="E3" s="32" t="s">
        <v>139</v>
      </c>
      <c r="F3" s="33" t="s">
        <v>140</v>
      </c>
      <c r="G3" s="1" t="s">
        <v>141</v>
      </c>
    </row>
    <row r="4" spans="1:7" x14ac:dyDescent="0.25">
      <c r="A4" s="44" t="s">
        <v>53</v>
      </c>
      <c r="B4" s="9">
        <v>2</v>
      </c>
      <c r="C4" s="4">
        <v>1.87</v>
      </c>
      <c r="D4" s="53">
        <v>-260</v>
      </c>
      <c r="E4" s="4">
        <f>GETPIVOTDATA("Nb de paris",$A$3,"Championnat","Liga")/Nb_journées_Liga_écoulées</f>
        <v>6.666666666666667</v>
      </c>
      <c r="F4" s="37">
        <f>GETPIVOTDATA("Bénéf/perte nette",$A$3:$A$3,"Championnat","Liga")/((GETPIVOTDATA("Nb de paris",$A$3,"Championnat","Liga")*SIMU_Mise_par_bet))</f>
        <v>-6.5000000000000002E-2</v>
      </c>
    </row>
    <row r="5" spans="1:7" x14ac:dyDescent="0.25">
      <c r="A5" s="44" t="s">
        <v>44</v>
      </c>
      <c r="B5" s="9">
        <v>3</v>
      </c>
      <c r="C5" s="4">
        <v>2.2666666666666666</v>
      </c>
      <c r="D5" s="53">
        <v>-1400</v>
      </c>
      <c r="E5" s="4">
        <f>GETPIVOTDATA("Nb de paris",$A$3,"Championnat","Ligue 1")/Nb_journées_L1_écoulées</f>
        <v>15</v>
      </c>
      <c r="F5" s="37">
        <f>GETPIVOTDATA("Bénéf/perte nette",$A$3,"Championnat","Ligue 1")/((GETPIVOTDATA("Nb de paris",$A$3,"Championnat","Ligue 1")*SIMU_Mise_par_bet))</f>
        <v>-0.23333333333333334</v>
      </c>
    </row>
    <row r="6" spans="1:7" x14ac:dyDescent="0.25">
      <c r="A6" s="44" t="s">
        <v>67</v>
      </c>
      <c r="B6" s="9">
        <v>3</v>
      </c>
      <c r="C6" s="4">
        <v>1.95</v>
      </c>
      <c r="D6" s="53">
        <v>3760</v>
      </c>
      <c r="E6" s="4">
        <f>GETPIVOTDATA("Nb de paris",$A$3,"Championnat","Serie A")/Nb_journées_SerieA_écoulées</f>
        <v>10</v>
      </c>
      <c r="F6" s="37">
        <f>GETPIVOTDATA("Bénéf/perte nette",$A$3,"Championnat","Serie A")/((GETPIVOTDATA("Nb de paris",$A$3,"Championnat","Serie A")*SIMU_Mise_par_bet))</f>
        <v>0.62666666666666671</v>
      </c>
    </row>
    <row r="7" spans="1:7" x14ac:dyDescent="0.25">
      <c r="A7" s="44" t="s">
        <v>66</v>
      </c>
      <c r="B7" s="9">
        <v>3</v>
      </c>
      <c r="C7" s="4">
        <v>1.8466666666666667</v>
      </c>
      <c r="D7" s="53">
        <v>-340</v>
      </c>
      <c r="E7" s="4">
        <f>GETPIVOTDATA("Nb de paris",$A$3,"Championnat","Bundesliga")/Nb_journées_Bundesliga_écoulées</f>
        <v>6</v>
      </c>
      <c r="F7" s="37">
        <f>GETPIVOTDATA("Bénéf/perte nette",$A$3,"Championnat","Bundesliga")/((GETPIVOTDATA("Nb de paris",$A$3,"Championnat","Bundesliga")*SIMU_Mise_par_bet))</f>
        <v>-5.6666666666666664E-2</v>
      </c>
    </row>
    <row r="8" spans="1:7" ht="15.75" thickBot="1" x14ac:dyDescent="0.3">
      <c r="A8" s="44" t="s">
        <v>63</v>
      </c>
      <c r="B8" s="9">
        <v>2</v>
      </c>
      <c r="C8" s="4">
        <v>1.9500000000000002</v>
      </c>
      <c r="D8" s="53">
        <v>200</v>
      </c>
      <c r="E8" s="4">
        <f>GETPIVOTDATA("Nb de paris",$A$3,"Championnat","Premier League")/Nb_journées_PL_écoulées</f>
        <v>5</v>
      </c>
      <c r="F8" s="37">
        <f>GETPIVOTDATA("Bénéf/perte nette",$A$3,"Championnat","Premier League")/((GETPIVOTDATA("Nb de paris",$A$3,"Championnat","Premier League")*SIMU_Mise_par_bet))</f>
        <v>0.05</v>
      </c>
    </row>
    <row r="9" spans="1:7" ht="21.75" thickBot="1" x14ac:dyDescent="0.4">
      <c r="A9" s="44" t="s">
        <v>119</v>
      </c>
      <c r="B9" s="9">
        <v>13</v>
      </c>
      <c r="C9" s="4">
        <v>1.986923076923077</v>
      </c>
      <c r="D9" s="53">
        <v>1960</v>
      </c>
      <c r="E9" s="6">
        <f>AVERAGE(E4:E8)</f>
        <v>8.533333333333335</v>
      </c>
      <c r="F9" s="55">
        <f>AVERAGE(F4:F8)</f>
        <v>6.433333333333334E-2</v>
      </c>
      <c r="G9" s="1"/>
    </row>
    <row r="10" spans="1:7" ht="15.75" thickBot="1" x14ac:dyDescent="0.3"/>
    <row r="11" spans="1:7" x14ac:dyDescent="0.25">
      <c r="A11" s="65" t="s">
        <v>158</v>
      </c>
      <c r="B11" s="66"/>
      <c r="C11" s="50">
        <v>30000</v>
      </c>
      <c r="D11" s="49" t="s">
        <v>159</v>
      </c>
      <c r="E11" s="36"/>
      <c r="F11" s="36"/>
    </row>
    <row r="12" spans="1:7" x14ac:dyDescent="0.25">
      <c r="A12" s="45" t="s">
        <v>160</v>
      </c>
      <c r="B12" s="46"/>
      <c r="C12" s="47">
        <v>6.6666666666666666E-2</v>
      </c>
      <c r="D12" s="49" t="s">
        <v>159</v>
      </c>
      <c r="E12" s="36"/>
      <c r="F12" s="36"/>
    </row>
    <row r="13" spans="1:7" x14ac:dyDescent="0.25">
      <c r="A13" s="67" t="s">
        <v>162</v>
      </c>
      <c r="B13" s="68"/>
      <c r="C13" s="51">
        <f>C11*C12</f>
        <v>2000</v>
      </c>
      <c r="D13" s="36"/>
      <c r="E13" s="36"/>
      <c r="F13" s="36"/>
    </row>
    <row r="14" spans="1:7" x14ac:dyDescent="0.25">
      <c r="A14" s="67" t="s">
        <v>132</v>
      </c>
      <c r="B14" s="68"/>
      <c r="C14" s="51">
        <f>SIMU_Mise_par_bet*GETPIVOTDATA("Nb de paris",$A$3)</f>
        <v>26000</v>
      </c>
      <c r="D14" s="36"/>
      <c r="E14" s="36"/>
      <c r="F14" s="36"/>
    </row>
    <row r="15" spans="1:7" ht="15.75" thickBot="1" x14ac:dyDescent="0.3">
      <c r="A15" s="67" t="s">
        <v>133</v>
      </c>
      <c r="B15" s="68"/>
      <c r="C15" s="52">
        <f>GETPIVOTDATA("Bénéf/perte nette",$A$3)</f>
        <v>1960</v>
      </c>
      <c r="D15" s="36"/>
      <c r="E15" s="36"/>
      <c r="F15" s="36"/>
    </row>
    <row r="16" spans="1:7" ht="21.75" thickBot="1" x14ac:dyDescent="0.4">
      <c r="A16" s="69" t="s">
        <v>125</v>
      </c>
      <c r="B16" s="70"/>
      <c r="C16" s="56">
        <f ca="1">C15/Nb_mois_écoulés*Nb_mois_dans_une_saison/Nb_mois_dans_une_année</f>
        <v>-668.18181818181813</v>
      </c>
      <c r="D16" s="36"/>
      <c r="E16" s="36"/>
      <c r="F16" s="36"/>
    </row>
    <row r="17" spans="1:6" ht="15.75" thickBot="1" x14ac:dyDescent="0.3">
      <c r="A17" s="63" t="s">
        <v>161</v>
      </c>
      <c r="B17" s="64"/>
      <c r="C17" s="48">
        <f>SIMU_Résultat_net/SIMU_Montant_capital</f>
        <v>6.5333333333333327E-2</v>
      </c>
      <c r="D17" s="36"/>
      <c r="E17" s="36"/>
      <c r="F17" s="36"/>
    </row>
  </sheetData>
  <mergeCells count="6">
    <mergeCell ref="A17:B17"/>
    <mergeCell ref="A11:B11"/>
    <mergeCell ref="A13:B13"/>
    <mergeCell ref="A14:B14"/>
    <mergeCell ref="A15:B15"/>
    <mergeCell ref="A16:B16"/>
  </mergeCells>
  <conditionalFormatting sqref="F4:F9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{5364CD91-D36A-4818-841D-67089B6BE851}</x14:id>
        </ext>
      </extLst>
    </cfRule>
  </conditionalFormatting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364CD91-D36A-4818-841D-67089B6BE851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F4:F9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C000"/>
  </sheetPr>
  <dimension ref="A3:G16"/>
  <sheetViews>
    <sheetView zoomScale="90" zoomScaleNormal="90" workbookViewId="0">
      <selection activeCell="D23" sqref="D23"/>
    </sheetView>
  </sheetViews>
  <sheetFormatPr baseColWidth="10" defaultColWidth="11.140625" defaultRowHeight="15" x14ac:dyDescent="0.25"/>
  <cols>
    <col min="1" max="1" width="14.28515625" style="12" customWidth="1"/>
    <col min="2" max="2" width="10.28515625" style="12" customWidth="1"/>
    <col min="3" max="3" width="12.85546875" style="12" customWidth="1"/>
    <col min="4" max="4" width="16" style="12" bestFit="1" customWidth="1"/>
    <col min="5" max="5" width="18" style="12" bestFit="1" customWidth="1"/>
    <col min="6" max="6" width="7.42578125" style="12" customWidth="1"/>
    <col min="7" max="16384" width="11.140625" style="12"/>
  </cols>
  <sheetData>
    <row r="3" spans="1:7" x14ac:dyDescent="0.25">
      <c r="A3" s="8" t="s">
        <v>64</v>
      </c>
      <c r="B3" s="43" t="s">
        <v>134</v>
      </c>
      <c r="C3" s="43" t="s">
        <v>135</v>
      </c>
      <c r="D3" s="43" t="s">
        <v>136</v>
      </c>
      <c r="E3" s="32" t="s">
        <v>139</v>
      </c>
      <c r="F3" s="33" t="s">
        <v>140</v>
      </c>
      <c r="G3" s="1" t="s">
        <v>141</v>
      </c>
    </row>
    <row r="4" spans="1:7" x14ac:dyDescent="0.25">
      <c r="A4" s="44" t="s">
        <v>44</v>
      </c>
      <c r="B4" s="9">
        <v>2</v>
      </c>
      <c r="C4" s="4">
        <v>2.25</v>
      </c>
      <c r="D4" s="53">
        <v>80.000000000000114</v>
      </c>
      <c r="E4" s="12">
        <f>GETPIVOTDATA("Nb de paris",$A$3,"Championnat","Ligue 1")/Nb_journées_L1_écoulées</f>
        <v>10</v>
      </c>
      <c r="F4" s="37">
        <f>GETPIVOTDATA("Bénéf/perte nette",$A$3,"Championnat","Ligue 1")/((GETPIVOTDATA("Nb de paris",$A$3,"Championnat","Ligue 1")*REEL_Mise_par_bet))</f>
        <v>0.10000000000000014</v>
      </c>
    </row>
    <row r="5" spans="1:7" ht="15.75" thickBot="1" x14ac:dyDescent="0.3">
      <c r="A5" s="44" t="s">
        <v>63</v>
      </c>
      <c r="B5" s="9">
        <v>2</v>
      </c>
      <c r="C5" s="4">
        <v>1.9500000000000002</v>
      </c>
      <c r="D5" s="53">
        <v>40</v>
      </c>
      <c r="E5" s="12">
        <f>GETPIVOTDATA("Nb de paris",$A$3,"Championnat","Premier League")/Nb_journées_PL_écoulées</f>
        <v>5</v>
      </c>
      <c r="F5" s="37">
        <f>GETPIVOTDATA("Bénéf/perte nette",$A$3,"Championnat","Premier League")/((GETPIVOTDATA("Nb de paris",$A$3,"Championnat","Premier League")*REEL_Mise_par_bet))</f>
        <v>0.05</v>
      </c>
    </row>
    <row r="6" spans="1:7" ht="21.75" thickBot="1" x14ac:dyDescent="0.4">
      <c r="A6" s="44" t="s">
        <v>119</v>
      </c>
      <c r="B6" s="9">
        <v>4</v>
      </c>
      <c r="C6" s="4">
        <v>2.1</v>
      </c>
      <c r="D6" s="53">
        <v>120.00000000000011</v>
      </c>
      <c r="E6" s="1">
        <f>AVERAGE(E4:E5)</f>
        <v>7.5</v>
      </c>
      <c r="F6" s="55">
        <f>AVERAGE(F4:F5)</f>
        <v>7.5000000000000067E-2</v>
      </c>
    </row>
    <row r="7" spans="1:7" ht="15.75" thickBot="1" x14ac:dyDescent="0.3">
      <c r="A7"/>
      <c r="B7"/>
      <c r="C7"/>
      <c r="D7"/>
    </row>
    <row r="8" spans="1:7" x14ac:dyDescent="0.25">
      <c r="A8" s="65" t="s">
        <v>158</v>
      </c>
      <c r="B8" s="66"/>
      <c r="C8" s="50">
        <v>5000</v>
      </c>
      <c r="D8" s="49" t="s">
        <v>159</v>
      </c>
      <c r="E8" s="43"/>
      <c r="F8" s="43"/>
      <c r="G8" s="43"/>
    </row>
    <row r="9" spans="1:7" x14ac:dyDescent="0.25">
      <c r="A9" s="45" t="s">
        <v>160</v>
      </c>
      <c r="B9" s="46"/>
      <c r="C9" s="47">
        <v>0.08</v>
      </c>
      <c r="D9" s="49" t="s">
        <v>159</v>
      </c>
      <c r="E9" s="43"/>
      <c r="F9" s="43"/>
      <c r="G9" s="43"/>
    </row>
    <row r="10" spans="1:7" x14ac:dyDescent="0.25">
      <c r="A10" s="67" t="s">
        <v>162</v>
      </c>
      <c r="B10" s="68"/>
      <c r="C10" s="51">
        <f>C8*C9</f>
        <v>400</v>
      </c>
      <c r="D10" s="43"/>
      <c r="E10" s="43"/>
      <c r="F10" s="43"/>
      <c r="G10" s="43"/>
    </row>
    <row r="11" spans="1:7" x14ac:dyDescent="0.25">
      <c r="A11" s="67" t="s">
        <v>132</v>
      </c>
      <c r="B11" s="68"/>
      <c r="C11" s="51">
        <f>SIMU_Mise_par_bet*GETPIVOTDATA("Nb de paris",$A$3)</f>
        <v>8000</v>
      </c>
      <c r="D11" s="43"/>
      <c r="E11" s="43"/>
      <c r="F11" s="43"/>
      <c r="G11" s="43"/>
    </row>
    <row r="12" spans="1:7" ht="15.75" thickBot="1" x14ac:dyDescent="0.3">
      <c r="A12" s="67" t="s">
        <v>133</v>
      </c>
      <c r="B12" s="68"/>
      <c r="C12" s="52">
        <f>GETPIVOTDATA("Bénéf/perte nette",$A$3)</f>
        <v>120.00000000000011</v>
      </c>
      <c r="D12" s="43"/>
      <c r="E12" s="43"/>
      <c r="F12" s="43"/>
      <c r="G12" s="43"/>
    </row>
    <row r="13" spans="1:7" ht="21.75" thickBot="1" x14ac:dyDescent="0.4">
      <c r="A13" s="69" t="s">
        <v>125</v>
      </c>
      <c r="B13" s="70"/>
      <c r="C13" s="56">
        <f ca="1">C12/Nb_mois_écoulés*Nb_mois_dans_une_saison/Nb_mois_dans_une_année</f>
        <v>-40.909090909090942</v>
      </c>
      <c r="D13" s="43"/>
      <c r="E13" s="43"/>
      <c r="F13" s="43"/>
      <c r="G13" s="43"/>
    </row>
    <row r="14" spans="1:7" ht="15.75" thickBot="1" x14ac:dyDescent="0.3">
      <c r="A14" s="63" t="s">
        <v>161</v>
      </c>
      <c r="B14" s="64"/>
      <c r="C14" s="48">
        <f>SIMU_Résultat_net/SIMU_Montant_capital</f>
        <v>6.5333333333333327E-2</v>
      </c>
      <c r="D14" s="43"/>
      <c r="E14" s="43"/>
      <c r="F14" s="43"/>
      <c r="G14" s="43"/>
    </row>
    <row r="15" spans="1:7" x14ac:dyDescent="0.25">
      <c r="A15" s="43"/>
      <c r="B15" s="43"/>
      <c r="C15" s="43"/>
      <c r="D15" s="43"/>
      <c r="E15" s="43"/>
      <c r="F15" s="43"/>
      <c r="G15" s="43"/>
    </row>
    <row r="16" spans="1:7" x14ac:dyDescent="0.25">
      <c r="A16" s="43"/>
      <c r="B16" s="43"/>
      <c r="C16" s="43"/>
      <c r="D16" s="43"/>
      <c r="E16" s="43"/>
      <c r="F16" s="43"/>
      <c r="G16" s="43"/>
    </row>
  </sheetData>
  <mergeCells count="6">
    <mergeCell ref="A14:B14"/>
    <mergeCell ref="A8:B8"/>
    <mergeCell ref="A10:B10"/>
    <mergeCell ref="A11:B11"/>
    <mergeCell ref="A12:B12"/>
    <mergeCell ref="A13:B13"/>
  </mergeCells>
  <conditionalFormatting sqref="F4:F6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{167E37D8-5506-4E22-A641-B581A6406398}</x14:id>
        </ext>
      </extLst>
    </cfRule>
  </conditionalFormatting>
  <pageMargins left="0.7" right="0.7" top="0.75" bottom="0.75" header="0.3" footer="0.3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67E37D8-5506-4E22-A641-B581A6406398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F4:F6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L21"/>
  <sheetViews>
    <sheetView zoomScale="90" zoomScaleNormal="90" workbookViewId="0">
      <selection activeCell="E8" sqref="E8"/>
    </sheetView>
  </sheetViews>
  <sheetFormatPr baseColWidth="10" defaultRowHeight="15" x14ac:dyDescent="0.25"/>
  <cols>
    <col min="1" max="1" width="13.5703125" bestFit="1" customWidth="1"/>
    <col min="2" max="2" width="1.140625" style="19" customWidth="1"/>
    <col min="3" max="3" width="16.7109375" bestFit="1" customWidth="1"/>
    <col min="4" max="4" width="11.85546875" bestFit="1" customWidth="1"/>
    <col min="5" max="5" width="13.28515625" bestFit="1" customWidth="1"/>
    <col min="6" max="6" width="18" bestFit="1" customWidth="1"/>
    <col min="7" max="7" width="9.5703125" bestFit="1" customWidth="1"/>
    <col min="8" max="8" width="1.28515625" style="19" customWidth="1"/>
    <col min="10" max="10" width="1.28515625" style="19" customWidth="1"/>
    <col min="11" max="11" width="34.85546875" bestFit="1" customWidth="1"/>
  </cols>
  <sheetData>
    <row r="1" spans="1:12" s="1" customFormat="1" x14ac:dyDescent="0.25">
      <c r="A1" s="20" t="s">
        <v>64</v>
      </c>
      <c r="B1" s="18"/>
      <c r="C1" s="20" t="s">
        <v>63</v>
      </c>
      <c r="D1" s="20" t="s">
        <v>44</v>
      </c>
      <c r="E1" s="20" t="s">
        <v>53</v>
      </c>
      <c r="F1" s="22" t="s">
        <v>66</v>
      </c>
      <c r="G1" s="20" t="s">
        <v>67</v>
      </c>
      <c r="H1" s="18"/>
      <c r="I1" s="20" t="s">
        <v>7</v>
      </c>
      <c r="J1" s="18"/>
      <c r="K1" s="25" t="s">
        <v>147</v>
      </c>
      <c r="L1" s="26">
        <v>42951</v>
      </c>
    </row>
    <row r="2" spans="1:12" x14ac:dyDescent="0.25">
      <c r="A2" s="21" t="s">
        <v>63</v>
      </c>
      <c r="C2" s="21" t="s">
        <v>68</v>
      </c>
      <c r="D2" s="21" t="s">
        <v>45</v>
      </c>
      <c r="E2" s="21" t="s">
        <v>33</v>
      </c>
      <c r="F2" s="23" t="s">
        <v>85</v>
      </c>
      <c r="G2" s="21" t="s">
        <v>101</v>
      </c>
      <c r="I2" s="24" t="s">
        <v>11</v>
      </c>
      <c r="K2" s="21" t="s">
        <v>148</v>
      </c>
      <c r="L2" s="26">
        <f ca="1">TODAY()</f>
        <v>42885</v>
      </c>
    </row>
    <row r="3" spans="1:12" x14ac:dyDescent="0.25">
      <c r="A3" s="21" t="s">
        <v>44</v>
      </c>
      <c r="C3" s="21" t="s">
        <v>69</v>
      </c>
      <c r="D3" s="21" t="s">
        <v>10</v>
      </c>
      <c r="E3" s="21" t="s">
        <v>35</v>
      </c>
      <c r="F3" s="23" t="s">
        <v>86</v>
      </c>
      <c r="G3" s="21" t="s">
        <v>102</v>
      </c>
      <c r="I3" s="24" t="s">
        <v>22</v>
      </c>
      <c r="K3" s="21" t="s">
        <v>149</v>
      </c>
      <c r="L3" s="27">
        <f ca="1">L2-L1</f>
        <v>-66</v>
      </c>
    </row>
    <row r="4" spans="1:12" x14ac:dyDescent="0.25">
      <c r="A4" s="21" t="s">
        <v>53</v>
      </c>
      <c r="C4" s="21" t="s">
        <v>70</v>
      </c>
      <c r="D4" s="21" t="s">
        <v>20</v>
      </c>
      <c r="E4" s="21" t="s">
        <v>54</v>
      </c>
      <c r="F4" s="23" t="s">
        <v>87</v>
      </c>
      <c r="G4" s="21" t="s">
        <v>103</v>
      </c>
      <c r="I4" s="24" t="s">
        <v>23</v>
      </c>
      <c r="K4" s="21" t="s">
        <v>126</v>
      </c>
      <c r="L4" s="27">
        <v>30</v>
      </c>
    </row>
    <row r="5" spans="1:12" x14ac:dyDescent="0.25">
      <c r="A5" s="21" t="s">
        <v>66</v>
      </c>
      <c r="C5" s="21" t="s">
        <v>71</v>
      </c>
      <c r="D5" s="21" t="s">
        <v>15</v>
      </c>
      <c r="E5" s="21" t="s">
        <v>41</v>
      </c>
      <c r="F5" s="23" t="s">
        <v>88</v>
      </c>
      <c r="G5" s="21" t="s">
        <v>104</v>
      </c>
      <c r="I5" s="24" t="s">
        <v>24</v>
      </c>
      <c r="K5" s="21" t="s">
        <v>127</v>
      </c>
      <c r="L5" s="28">
        <f ca="1">L3/L4</f>
        <v>-2.2000000000000002</v>
      </c>
    </row>
    <row r="6" spans="1:12" x14ac:dyDescent="0.25">
      <c r="A6" s="21" t="s">
        <v>67</v>
      </c>
      <c r="C6" s="21" t="s">
        <v>72</v>
      </c>
      <c r="D6" s="21" t="s">
        <v>9</v>
      </c>
      <c r="E6" s="21" t="s">
        <v>55</v>
      </c>
      <c r="F6" s="23" t="s">
        <v>89</v>
      </c>
      <c r="G6" s="21" t="s">
        <v>105</v>
      </c>
      <c r="K6" s="21" t="s">
        <v>128</v>
      </c>
      <c r="L6" s="29">
        <v>9</v>
      </c>
    </row>
    <row r="7" spans="1:12" x14ac:dyDescent="0.25">
      <c r="C7" s="21" t="s">
        <v>79</v>
      </c>
      <c r="D7" s="21" t="s">
        <v>16</v>
      </c>
      <c r="E7" s="21" t="s">
        <v>56</v>
      </c>
      <c r="F7" s="23" t="s">
        <v>93</v>
      </c>
      <c r="G7" s="21" t="s">
        <v>106</v>
      </c>
      <c r="K7" s="21" t="s">
        <v>129</v>
      </c>
      <c r="L7" s="29">
        <v>12</v>
      </c>
    </row>
    <row r="8" spans="1:12" x14ac:dyDescent="0.25">
      <c r="C8" s="21" t="s">
        <v>73</v>
      </c>
      <c r="D8" s="21" t="s">
        <v>46</v>
      </c>
      <c r="E8" s="21" t="s">
        <v>57</v>
      </c>
      <c r="F8" s="23" t="s">
        <v>94</v>
      </c>
      <c r="G8" s="21" t="s">
        <v>107</v>
      </c>
      <c r="K8" s="30" t="s">
        <v>151</v>
      </c>
      <c r="L8" s="31">
        <f>COUNTIF(Fictif!B:B,"Premier League")/10</f>
        <v>0.4</v>
      </c>
    </row>
    <row r="9" spans="1:12" x14ac:dyDescent="0.25">
      <c r="C9" s="21" t="s">
        <v>74</v>
      </c>
      <c r="D9" s="21" t="s">
        <v>47</v>
      </c>
      <c r="E9" s="21" t="s">
        <v>43</v>
      </c>
      <c r="F9" s="23" t="s">
        <v>95</v>
      </c>
      <c r="G9" s="21" t="s">
        <v>108</v>
      </c>
      <c r="K9" s="30" t="s">
        <v>150</v>
      </c>
      <c r="L9" s="31">
        <f>COUNTIF(Fictif!B:B,"Ligue 1")/10</f>
        <v>0.2</v>
      </c>
    </row>
    <row r="10" spans="1:12" x14ac:dyDescent="0.25">
      <c r="C10" s="21" t="s">
        <v>75</v>
      </c>
      <c r="D10" s="21" t="s">
        <v>48</v>
      </c>
      <c r="E10" s="21" t="s">
        <v>58</v>
      </c>
      <c r="F10" s="23" t="s">
        <v>90</v>
      </c>
      <c r="G10" s="21" t="s">
        <v>109</v>
      </c>
      <c r="K10" s="30" t="s">
        <v>130</v>
      </c>
      <c r="L10" s="31">
        <f>COUNTIF(Fictif!B:B,"Liga")/10</f>
        <v>0.3</v>
      </c>
    </row>
    <row r="11" spans="1:12" x14ac:dyDescent="0.25">
      <c r="C11" s="21" t="s">
        <v>76</v>
      </c>
      <c r="D11" s="21" t="s">
        <v>18</v>
      </c>
      <c r="E11" s="21" t="s">
        <v>38</v>
      </c>
      <c r="F11" s="23" t="s">
        <v>91</v>
      </c>
      <c r="G11" s="21" t="s">
        <v>110</v>
      </c>
      <c r="K11" s="30" t="s">
        <v>137</v>
      </c>
      <c r="L11" s="31">
        <f>COUNTIF(Fictif!B:B,"Bundesliga")/10</f>
        <v>0.5</v>
      </c>
    </row>
    <row r="12" spans="1:12" x14ac:dyDescent="0.25">
      <c r="C12" s="21" t="s">
        <v>77</v>
      </c>
      <c r="D12" s="21" t="s">
        <v>13</v>
      </c>
      <c r="E12" s="21" t="s">
        <v>39</v>
      </c>
      <c r="F12" s="23" t="s">
        <v>92</v>
      </c>
      <c r="G12" s="21" t="s">
        <v>111</v>
      </c>
      <c r="K12" s="30" t="s">
        <v>138</v>
      </c>
      <c r="L12" s="31">
        <f>COUNTIF(Fictif!B:B,"Serie A")/10</f>
        <v>0.3</v>
      </c>
    </row>
    <row r="13" spans="1:12" x14ac:dyDescent="0.25">
      <c r="C13" s="21" t="s">
        <v>78</v>
      </c>
      <c r="D13" s="21" t="s">
        <v>19</v>
      </c>
      <c r="E13" s="21" t="s">
        <v>36</v>
      </c>
      <c r="F13" s="23" t="s">
        <v>96</v>
      </c>
      <c r="G13" s="21" t="s">
        <v>112</v>
      </c>
      <c r="K13" s="21" t="s">
        <v>131</v>
      </c>
      <c r="L13" s="31">
        <f>AVERAGE(L8:L12)</f>
        <v>0.34</v>
      </c>
    </row>
    <row r="14" spans="1:12" x14ac:dyDescent="0.25">
      <c r="C14" s="21" t="s">
        <v>80</v>
      </c>
      <c r="D14" s="21" t="s">
        <v>49</v>
      </c>
      <c r="E14" s="21" t="s">
        <v>40</v>
      </c>
      <c r="F14" s="23" t="s">
        <v>97</v>
      </c>
      <c r="G14" s="21" t="s">
        <v>113</v>
      </c>
    </row>
    <row r="15" spans="1:12" x14ac:dyDescent="0.25">
      <c r="C15" s="21" t="s">
        <v>81</v>
      </c>
      <c r="D15" s="21" t="s">
        <v>50</v>
      </c>
      <c r="E15" s="21" t="s">
        <v>34</v>
      </c>
      <c r="F15" s="23" t="s">
        <v>98</v>
      </c>
      <c r="G15" s="21" t="s">
        <v>114</v>
      </c>
    </row>
    <row r="16" spans="1:12" x14ac:dyDescent="0.25">
      <c r="C16" s="21" t="s">
        <v>82</v>
      </c>
      <c r="D16" s="21" t="s">
        <v>51</v>
      </c>
      <c r="E16" s="21" t="s">
        <v>42</v>
      </c>
      <c r="F16" s="23" t="s">
        <v>99</v>
      </c>
      <c r="G16" s="21" t="s">
        <v>115</v>
      </c>
    </row>
    <row r="17" spans="3:7" x14ac:dyDescent="0.25">
      <c r="C17" s="21" t="s">
        <v>83</v>
      </c>
      <c r="D17" s="21" t="s">
        <v>21</v>
      </c>
      <c r="E17" s="21" t="s">
        <v>37</v>
      </c>
      <c r="F17" s="23" t="s">
        <v>100</v>
      </c>
      <c r="G17" s="21" t="s">
        <v>116</v>
      </c>
    </row>
    <row r="18" spans="3:7" x14ac:dyDescent="0.25">
      <c r="C18" s="21" t="s">
        <v>84</v>
      </c>
      <c r="D18" s="21" t="s">
        <v>12</v>
      </c>
      <c r="E18" s="21" t="s">
        <v>59</v>
      </c>
      <c r="F18" s="23" t="s">
        <v>123</v>
      </c>
      <c r="G18" s="21" t="s">
        <v>117</v>
      </c>
    </row>
    <row r="19" spans="3:7" x14ac:dyDescent="0.25">
      <c r="C19" s="21" t="s">
        <v>121</v>
      </c>
      <c r="D19" s="21" t="s">
        <v>14</v>
      </c>
      <c r="E19" s="21" t="s">
        <v>60</v>
      </c>
      <c r="F19" s="23" t="s">
        <v>124</v>
      </c>
      <c r="G19" s="21" t="s">
        <v>118</v>
      </c>
    </row>
    <row r="20" spans="3:7" x14ac:dyDescent="0.25">
      <c r="C20" s="21" t="s">
        <v>122</v>
      </c>
      <c r="D20" s="21" t="s">
        <v>17</v>
      </c>
      <c r="E20" s="21" t="s">
        <v>61</v>
      </c>
      <c r="F20" s="23"/>
      <c r="G20" s="21"/>
    </row>
    <row r="21" spans="3:7" x14ac:dyDescent="0.25">
      <c r="C21" s="21"/>
      <c r="D21" s="21" t="s">
        <v>52</v>
      </c>
      <c r="E21" s="21" t="s">
        <v>62</v>
      </c>
      <c r="G21" s="2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45</vt:i4>
      </vt:variant>
    </vt:vector>
  </HeadingPairs>
  <TitlesOfParts>
    <vt:vector size="52" baseType="lpstr">
      <vt:lpstr>Fictif</vt:lpstr>
      <vt:lpstr>Simulation</vt:lpstr>
      <vt:lpstr>Réel</vt:lpstr>
      <vt:lpstr>Stats Fictif</vt:lpstr>
      <vt:lpstr>Stats Simulation</vt:lpstr>
      <vt:lpstr>Stats Réel</vt:lpstr>
      <vt:lpstr>Data</vt:lpstr>
      <vt:lpstr>Championnat</vt:lpstr>
      <vt:lpstr>Date_actuelle_ou_fin_exercice_20172018</vt:lpstr>
      <vt:lpstr>Date_début_exercice_20172018</vt:lpstr>
      <vt:lpstr>Equipes_Bundes</vt:lpstr>
      <vt:lpstr>Equipes_Bundesliga</vt:lpstr>
      <vt:lpstr>Equipes_L1</vt:lpstr>
      <vt:lpstr>Equipes_Liga</vt:lpstr>
      <vt:lpstr>Equipes_PL</vt:lpstr>
      <vt:lpstr>Equipes_SerieA</vt:lpstr>
      <vt:lpstr>FICTIF_Mise_par_bet</vt:lpstr>
      <vt:lpstr>FICTIF_Montant_total_engagé</vt:lpstr>
      <vt:lpstr>FICTIF_Résultat_net</vt:lpstr>
      <vt:lpstr>FICTIF_Résultat_net_par_mois</vt:lpstr>
      <vt:lpstr>Mise_par_bet</vt:lpstr>
      <vt:lpstr>Montant_total_engagé</vt:lpstr>
      <vt:lpstr>Nb_journées_Bundesliga_écoulées</vt:lpstr>
      <vt:lpstr>Nb_journées_L1_écoulées</vt:lpstr>
      <vt:lpstr>Nb_journées_Liga_écoulées</vt:lpstr>
      <vt:lpstr>Nb_journées_PL_écoulées</vt:lpstr>
      <vt:lpstr>Nb_journées_SerieA_écoulées</vt:lpstr>
      <vt:lpstr>Nb_jours_écoulés</vt:lpstr>
      <vt:lpstr>Nb_jours_par_mois</vt:lpstr>
      <vt:lpstr>Nb_mois_dans_une_année</vt:lpstr>
      <vt:lpstr>Nb_mois_dans_une_saison</vt:lpstr>
      <vt:lpstr>Nb_mois_écoulés</vt:lpstr>
      <vt:lpstr>Premier_League</vt:lpstr>
      <vt:lpstr>REEL_Mise_par_bet</vt:lpstr>
      <vt:lpstr>REEL_Montant_capital</vt:lpstr>
      <vt:lpstr>REEL_Montant_total_engagé</vt:lpstr>
      <vt:lpstr>REEL_Pourcentage_K_investi_par_pari</vt:lpstr>
      <vt:lpstr>REEL_Résultat_net</vt:lpstr>
      <vt:lpstr>REEL_Résultat_net_par_mois</vt:lpstr>
      <vt:lpstr>REEL_Retour_sur_K_départ</vt:lpstr>
      <vt:lpstr>Résultat_net</vt:lpstr>
      <vt:lpstr>Résultat_net_par_mois</vt:lpstr>
      <vt:lpstr>SIMU_</vt:lpstr>
      <vt:lpstr>SIMU_capital_départ</vt:lpstr>
      <vt:lpstr>SIMU_Mise_par_bet</vt:lpstr>
      <vt:lpstr>SIMU_Montant_capital</vt:lpstr>
      <vt:lpstr>SIMU_Montant_total_engagé</vt:lpstr>
      <vt:lpstr>SIMU_Pourcentage_K_investi_par_pari</vt:lpstr>
      <vt:lpstr>SIMU_Résultat_net</vt:lpstr>
      <vt:lpstr>SIMU_Résultat_net_par_mois</vt:lpstr>
      <vt:lpstr>SIMU_retour_sur_capital_départ</vt:lpstr>
      <vt:lpstr>Typeofbet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</dc:creator>
  <cp:lastModifiedBy>gmb</cp:lastModifiedBy>
  <dcterms:created xsi:type="dcterms:W3CDTF">2017-05-12T21:29:28Z</dcterms:created>
  <dcterms:modified xsi:type="dcterms:W3CDTF">2017-05-30T07:30:56Z</dcterms:modified>
</cp:coreProperties>
</file>