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755" tabRatio="624"/>
  </bookViews>
  <sheets>
    <sheet name="Latest" sheetId="3" r:id="rId1"/>
    <sheet name="Progression" sheetId="1" r:id="rId2"/>
    <sheet name="Levels" sheetId="2" r:id="rId3"/>
    <sheet name="Portals" sheetId="4" r:id="rId4"/>
  </sheets>
  <definedNames>
    <definedName name="AP">Latest!$D$10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Z29" i="1" l="1"/>
  <c r="AY29" i="1"/>
  <c r="AX29" i="1"/>
  <c r="AW29" i="1"/>
  <c r="AV29" i="1"/>
  <c r="AU29" i="1"/>
  <c r="AT29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G29" i="1"/>
  <c r="H29" i="1"/>
  <c r="F29" i="1"/>
  <c r="E29" i="1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5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5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5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5" i="3"/>
  <c r="J28" i="2"/>
  <c r="J29" i="2"/>
  <c r="J30" i="2"/>
  <c r="J31" i="2"/>
  <c r="J32" i="2"/>
  <c r="C33" i="2"/>
  <c r="J33" i="2"/>
  <c r="C34" i="2"/>
  <c r="J34" i="2"/>
  <c r="C35" i="2"/>
  <c r="J35" i="2"/>
  <c r="C36" i="2"/>
  <c r="J36" i="2"/>
  <c r="J37" i="2"/>
  <c r="J38" i="2"/>
  <c r="J39" i="2"/>
  <c r="J40" i="2"/>
  <c r="J41" i="2"/>
  <c r="J42" i="2"/>
  <c r="J43" i="2"/>
  <c r="D3" i="3"/>
  <c r="M10" i="3"/>
  <c r="C38" i="3"/>
  <c r="D37" i="3"/>
  <c r="D38" i="3"/>
  <c r="G12" i="3"/>
  <c r="F12" i="3"/>
  <c r="M12" i="3"/>
  <c r="G13" i="3"/>
  <c r="F13" i="3"/>
  <c r="M13" i="3"/>
  <c r="G14" i="3"/>
  <c r="F14" i="3"/>
  <c r="M14" i="3"/>
  <c r="G15" i="3"/>
  <c r="F15" i="3"/>
  <c r="M15" i="3"/>
  <c r="G16" i="3"/>
  <c r="F16" i="3"/>
  <c r="M16" i="3"/>
  <c r="G17" i="3"/>
  <c r="F17" i="3"/>
  <c r="M17" i="3"/>
  <c r="G18" i="3"/>
  <c r="F18" i="3"/>
  <c r="M18" i="3"/>
  <c r="G19" i="3"/>
  <c r="F19" i="3"/>
  <c r="M19" i="3"/>
  <c r="G20" i="3"/>
  <c r="F20" i="3"/>
  <c r="M20" i="3"/>
  <c r="G21" i="3"/>
  <c r="F21" i="3"/>
  <c r="M21" i="3"/>
  <c r="G22" i="3"/>
  <c r="F22" i="3"/>
  <c r="M22" i="3"/>
  <c r="G23" i="3"/>
  <c r="F23" i="3"/>
  <c r="M23" i="3"/>
  <c r="G24" i="3"/>
  <c r="F24" i="3"/>
  <c r="M24" i="3"/>
  <c r="G25" i="3"/>
  <c r="F25" i="3"/>
  <c r="M25" i="3"/>
  <c r="G26" i="3"/>
  <c r="F26" i="3"/>
  <c r="M26" i="3"/>
  <c r="G27" i="3"/>
  <c r="F27" i="3"/>
  <c r="M27" i="3"/>
  <c r="G28" i="3"/>
  <c r="F28" i="3"/>
  <c r="M28" i="3"/>
  <c r="G29" i="3"/>
  <c r="F29" i="3"/>
  <c r="M29" i="3"/>
  <c r="G30" i="3"/>
  <c r="F30" i="3"/>
  <c r="M30" i="3"/>
  <c r="G31" i="3"/>
  <c r="F31" i="3"/>
  <c r="M31" i="3"/>
  <c r="G32" i="3"/>
  <c r="F32" i="3"/>
  <c r="M32" i="3"/>
  <c r="G33" i="3"/>
  <c r="F33" i="3"/>
  <c r="M33" i="3"/>
  <c r="G34" i="3"/>
  <c r="F34" i="3"/>
  <c r="M34" i="3"/>
  <c r="G11" i="3"/>
  <c r="F11" i="3"/>
  <c r="M11" i="3"/>
  <c r="E34" i="3"/>
  <c r="P34" i="3"/>
  <c r="E33" i="3"/>
  <c r="P33" i="3"/>
  <c r="E32" i="3"/>
  <c r="P32" i="3"/>
  <c r="E31" i="3"/>
  <c r="P31" i="3"/>
  <c r="E30" i="3"/>
  <c r="P30" i="3"/>
  <c r="E28" i="3"/>
  <c r="P28" i="3"/>
  <c r="E27" i="3"/>
  <c r="P27" i="3"/>
  <c r="E26" i="3"/>
  <c r="P26" i="3"/>
  <c r="E25" i="3"/>
  <c r="P25" i="3"/>
  <c r="E24" i="3"/>
  <c r="AT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AG43" i="1"/>
  <c r="AH43" i="1"/>
  <c r="AI43" i="1"/>
  <c r="AJ43" i="1"/>
  <c r="AK43" i="1"/>
  <c r="AL43" i="1"/>
  <c r="AM43" i="1"/>
  <c r="AN43" i="1"/>
  <c r="AO43" i="1"/>
  <c r="AP43" i="1"/>
  <c r="AQ43" i="1"/>
  <c r="AR43" i="1"/>
  <c r="AS43" i="1"/>
  <c r="P24" i="3"/>
  <c r="E23" i="3"/>
  <c r="AT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AF42" i="1"/>
  <c r="AG42" i="1"/>
  <c r="AH42" i="1"/>
  <c r="AI42" i="1"/>
  <c r="AJ42" i="1"/>
  <c r="AK42" i="1"/>
  <c r="AL42" i="1"/>
  <c r="AM42" i="1"/>
  <c r="AN42" i="1"/>
  <c r="AO42" i="1"/>
  <c r="AP42" i="1"/>
  <c r="AQ42" i="1"/>
  <c r="AR42" i="1"/>
  <c r="AS42" i="1"/>
  <c r="P23" i="3"/>
  <c r="E22" i="3"/>
  <c r="AT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AF41" i="1"/>
  <c r="AG41" i="1"/>
  <c r="AH41" i="1"/>
  <c r="AI41" i="1"/>
  <c r="AJ41" i="1"/>
  <c r="AK41" i="1"/>
  <c r="AL41" i="1"/>
  <c r="AM41" i="1"/>
  <c r="AN41" i="1"/>
  <c r="AO41" i="1"/>
  <c r="AP41" i="1"/>
  <c r="AQ41" i="1"/>
  <c r="AR41" i="1"/>
  <c r="AS41" i="1"/>
  <c r="P22" i="3"/>
  <c r="E21" i="3"/>
  <c r="AT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P21" i="3"/>
  <c r="E20" i="3"/>
  <c r="P20" i="3"/>
  <c r="E19" i="3"/>
  <c r="P19" i="3"/>
  <c r="E18" i="3"/>
  <c r="P18" i="3"/>
  <c r="E17" i="3"/>
  <c r="AT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P17" i="3"/>
  <c r="E16" i="3"/>
  <c r="AT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P16" i="3"/>
  <c r="E15" i="3"/>
  <c r="AT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P15" i="3"/>
  <c r="E14" i="3"/>
  <c r="AT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P14" i="3"/>
  <c r="E13" i="3"/>
  <c r="P13" i="3"/>
  <c r="AT31" i="1"/>
  <c r="E12" i="3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P12" i="3"/>
  <c r="E11" i="3"/>
  <c r="AT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P11" i="3"/>
  <c r="P10" i="3"/>
  <c r="O34" i="3"/>
  <c r="O33" i="3"/>
  <c r="O32" i="3"/>
  <c r="O31" i="3"/>
  <c r="O30" i="3"/>
  <c r="AT48" i="1"/>
  <c r="E29" i="3"/>
  <c r="AN48" i="1"/>
  <c r="AO48" i="1"/>
  <c r="AP48" i="1"/>
  <c r="AQ48" i="1"/>
  <c r="AR48" i="1"/>
  <c r="AS48" i="1"/>
  <c r="O29" i="3"/>
  <c r="O28" i="3"/>
  <c r="O27" i="3"/>
  <c r="O26" i="3"/>
  <c r="O25" i="3"/>
  <c r="O24" i="3"/>
  <c r="O23" i="3"/>
  <c r="O22" i="3"/>
  <c r="O21" i="3"/>
  <c r="O20" i="3"/>
  <c r="O19" i="3"/>
  <c r="O18" i="3"/>
  <c r="O17" i="3"/>
  <c r="O16" i="3"/>
  <c r="O15" i="3"/>
  <c r="O14" i="3"/>
  <c r="O13" i="3"/>
  <c r="O12" i="3"/>
  <c r="O11" i="3"/>
  <c r="Q29" i="3"/>
  <c r="P29" i="3"/>
  <c r="D2" i="3"/>
  <c r="AU31" i="1"/>
  <c r="AV31" i="1"/>
  <c r="E31" i="1"/>
  <c r="F31" i="1"/>
  <c r="G31" i="1"/>
  <c r="H31" i="1"/>
  <c r="I31" i="1"/>
  <c r="J31" i="1"/>
  <c r="K31" i="1"/>
  <c r="L31" i="1"/>
  <c r="M31" i="1"/>
  <c r="N31" i="1"/>
  <c r="O31" i="1"/>
  <c r="AW31" i="1"/>
  <c r="AX31" i="1"/>
  <c r="AY31" i="1"/>
  <c r="AZ31" i="1"/>
  <c r="Q12" i="3"/>
  <c r="Q13" i="3"/>
  <c r="AU33" i="1"/>
  <c r="AV33" i="1"/>
  <c r="E33" i="1"/>
  <c r="F33" i="1"/>
  <c r="G33" i="1"/>
  <c r="H33" i="1"/>
  <c r="I33" i="1"/>
  <c r="J33" i="1"/>
  <c r="K33" i="1"/>
  <c r="L33" i="1"/>
  <c r="M33" i="1"/>
  <c r="N33" i="1"/>
  <c r="O33" i="1"/>
  <c r="AW33" i="1"/>
  <c r="AX33" i="1"/>
  <c r="AY33" i="1"/>
  <c r="AZ33" i="1"/>
  <c r="Q14" i="3"/>
  <c r="AU34" i="1"/>
  <c r="AV34" i="1"/>
  <c r="E34" i="1"/>
  <c r="F34" i="1"/>
  <c r="G34" i="1"/>
  <c r="H34" i="1"/>
  <c r="I34" i="1"/>
  <c r="J34" i="1"/>
  <c r="K34" i="1"/>
  <c r="L34" i="1"/>
  <c r="M34" i="1"/>
  <c r="N34" i="1"/>
  <c r="O34" i="1"/>
  <c r="AW34" i="1"/>
  <c r="AX34" i="1"/>
  <c r="AY34" i="1"/>
  <c r="AZ34" i="1"/>
  <c r="Q15" i="3"/>
  <c r="AU35" i="1"/>
  <c r="AV35" i="1"/>
  <c r="E35" i="1"/>
  <c r="F35" i="1"/>
  <c r="G35" i="1"/>
  <c r="H35" i="1"/>
  <c r="I35" i="1"/>
  <c r="J35" i="1"/>
  <c r="K35" i="1"/>
  <c r="L35" i="1"/>
  <c r="M35" i="1"/>
  <c r="N35" i="1"/>
  <c r="O35" i="1"/>
  <c r="AW35" i="1"/>
  <c r="AX35" i="1"/>
  <c r="AY35" i="1"/>
  <c r="AZ35" i="1"/>
  <c r="Q16" i="3"/>
  <c r="AU36" i="1"/>
  <c r="AV36" i="1"/>
  <c r="E36" i="1"/>
  <c r="F36" i="1"/>
  <c r="G36" i="1"/>
  <c r="H36" i="1"/>
  <c r="I36" i="1"/>
  <c r="J36" i="1"/>
  <c r="K36" i="1"/>
  <c r="L36" i="1"/>
  <c r="M36" i="1"/>
  <c r="N36" i="1"/>
  <c r="O36" i="1"/>
  <c r="AW36" i="1"/>
  <c r="AX36" i="1"/>
  <c r="AY36" i="1"/>
  <c r="AZ36" i="1"/>
  <c r="Q17" i="3"/>
  <c r="Q18" i="3"/>
  <c r="Q19" i="3"/>
  <c r="Q20" i="3"/>
  <c r="AU40" i="1"/>
  <c r="AV40" i="1"/>
  <c r="E40" i="1"/>
  <c r="F40" i="1"/>
  <c r="G40" i="1"/>
  <c r="H40" i="1"/>
  <c r="I40" i="1"/>
  <c r="J40" i="1"/>
  <c r="K40" i="1"/>
  <c r="L40" i="1"/>
  <c r="M40" i="1"/>
  <c r="N40" i="1"/>
  <c r="O40" i="1"/>
  <c r="AW40" i="1"/>
  <c r="AX40" i="1"/>
  <c r="AY40" i="1"/>
  <c r="AZ40" i="1"/>
  <c r="Q21" i="3"/>
  <c r="AU41" i="1"/>
  <c r="AV41" i="1"/>
  <c r="E41" i="1"/>
  <c r="F41" i="1"/>
  <c r="G41" i="1"/>
  <c r="H41" i="1"/>
  <c r="I41" i="1"/>
  <c r="J41" i="1"/>
  <c r="K41" i="1"/>
  <c r="L41" i="1"/>
  <c r="M41" i="1"/>
  <c r="N41" i="1"/>
  <c r="O41" i="1"/>
  <c r="AW41" i="1"/>
  <c r="AX41" i="1"/>
  <c r="AY41" i="1"/>
  <c r="AZ41" i="1"/>
  <c r="Q22" i="3"/>
  <c r="AU42" i="1"/>
  <c r="AV42" i="1"/>
  <c r="E42" i="1"/>
  <c r="F42" i="1"/>
  <c r="G42" i="1"/>
  <c r="H42" i="1"/>
  <c r="I42" i="1"/>
  <c r="J42" i="1"/>
  <c r="K42" i="1"/>
  <c r="L42" i="1"/>
  <c r="M42" i="1"/>
  <c r="N42" i="1"/>
  <c r="O42" i="1"/>
  <c r="AW42" i="1"/>
  <c r="AX42" i="1"/>
  <c r="AY42" i="1"/>
  <c r="AZ42" i="1"/>
  <c r="Q23" i="3"/>
  <c r="AU43" i="1"/>
  <c r="AV43" i="1"/>
  <c r="E43" i="1"/>
  <c r="F43" i="1"/>
  <c r="G43" i="1"/>
  <c r="H43" i="1"/>
  <c r="I43" i="1"/>
  <c r="J43" i="1"/>
  <c r="K43" i="1"/>
  <c r="L43" i="1"/>
  <c r="M43" i="1"/>
  <c r="N43" i="1"/>
  <c r="O43" i="1"/>
  <c r="AW43" i="1"/>
  <c r="AX43" i="1"/>
  <c r="AY43" i="1"/>
  <c r="AZ43" i="1"/>
  <c r="Q24" i="3"/>
  <c r="Q25" i="3"/>
  <c r="Q26" i="3"/>
  <c r="Q27" i="3"/>
  <c r="Q28" i="3"/>
  <c r="Q30" i="3"/>
  <c r="Q31" i="3"/>
  <c r="Q32" i="3"/>
  <c r="Q33" i="3"/>
  <c r="Q34" i="3"/>
  <c r="AU30" i="1"/>
  <c r="AV30" i="1"/>
  <c r="E30" i="1"/>
  <c r="F30" i="1"/>
  <c r="G30" i="1"/>
  <c r="H30" i="1"/>
  <c r="I30" i="1"/>
  <c r="J30" i="1"/>
  <c r="K30" i="1"/>
  <c r="L30" i="1"/>
  <c r="M30" i="1"/>
  <c r="N30" i="1"/>
  <c r="O30" i="1"/>
  <c r="AW30" i="1"/>
  <c r="AX30" i="1"/>
  <c r="AY30" i="1"/>
  <c r="AZ30" i="1"/>
  <c r="Q11" i="3"/>
  <c r="Q10" i="3"/>
  <c r="A17" i="3"/>
  <c r="A36" i="1"/>
  <c r="B17" i="3"/>
  <c r="B36" i="1"/>
  <c r="C36" i="1"/>
  <c r="AM48" i="1"/>
  <c r="E28" i="4"/>
  <c r="F28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7" i="4"/>
  <c r="C27" i="1"/>
  <c r="C1" i="4"/>
  <c r="C5" i="4"/>
  <c r="AL48" i="1"/>
  <c r="AG48" i="1"/>
  <c r="AH48" i="1"/>
  <c r="AI48" i="1"/>
  <c r="AJ48" i="1"/>
  <c r="AK48" i="1"/>
  <c r="N29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30" i="3"/>
  <c r="N31" i="3"/>
  <c r="N32" i="3"/>
  <c r="N33" i="3"/>
  <c r="N34" i="3"/>
  <c r="N11" i="3"/>
  <c r="A11" i="3"/>
  <c r="A30" i="1"/>
  <c r="B11" i="3"/>
  <c r="B30" i="1"/>
  <c r="C30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AU48" i="1"/>
  <c r="AV48" i="1"/>
  <c r="AW48" i="1"/>
  <c r="AX48" i="1"/>
  <c r="AY48" i="1"/>
  <c r="AZ48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AL32" i="1"/>
  <c r="AL37" i="1"/>
  <c r="AL38" i="1"/>
  <c r="AL39" i="1"/>
  <c r="AL44" i="1"/>
  <c r="AL45" i="1"/>
  <c r="AL46" i="1"/>
  <c r="AL47" i="1"/>
  <c r="AL49" i="1"/>
  <c r="AL50" i="1"/>
  <c r="AL51" i="1"/>
  <c r="AL52" i="1"/>
  <c r="AL53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AG39" i="1"/>
  <c r="AH39" i="1"/>
  <c r="AI39" i="1"/>
  <c r="AJ39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AG44" i="1"/>
  <c r="AH44" i="1"/>
  <c r="AI44" i="1"/>
  <c r="AJ44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AG45" i="1"/>
  <c r="AH45" i="1"/>
  <c r="AI45" i="1"/>
  <c r="AJ45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AG46" i="1"/>
  <c r="AH46" i="1"/>
  <c r="AI46" i="1"/>
  <c r="AJ46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AG47" i="1"/>
  <c r="AH47" i="1"/>
  <c r="AI47" i="1"/>
  <c r="AJ47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E49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AG50" i="1"/>
  <c r="AH50" i="1"/>
  <c r="AI50" i="1"/>
  <c r="AJ50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AG51" i="1"/>
  <c r="AH51" i="1"/>
  <c r="AI51" i="1"/>
  <c r="AJ51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0" i="1"/>
  <c r="AK51" i="1"/>
  <c r="AK52" i="1"/>
  <c r="AK53" i="1"/>
  <c r="AK46" i="1"/>
  <c r="AK47" i="1"/>
  <c r="AK49" i="1"/>
  <c r="AK44" i="1"/>
  <c r="AK45" i="1"/>
  <c r="AK37" i="1"/>
  <c r="AK38" i="1"/>
  <c r="AK39" i="1"/>
  <c r="AK32" i="1"/>
  <c r="A31" i="3"/>
  <c r="B31" i="3"/>
  <c r="C31" i="3"/>
  <c r="A30" i="3"/>
  <c r="B30" i="3"/>
  <c r="C30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2" i="3"/>
  <c r="C33" i="3"/>
  <c r="C11" i="3"/>
  <c r="D42" i="3"/>
  <c r="D41" i="3"/>
  <c r="D40" i="3"/>
  <c r="D39" i="3"/>
  <c r="C4" i="4"/>
  <c r="C3" i="4"/>
  <c r="C2" i="4"/>
  <c r="G35" i="3"/>
  <c r="B34" i="3"/>
  <c r="B33" i="3"/>
  <c r="B32" i="3"/>
  <c r="B29" i="3"/>
  <c r="B28" i="3"/>
  <c r="B27" i="3"/>
  <c r="B26" i="3"/>
  <c r="B25" i="3"/>
  <c r="B24" i="3"/>
  <c r="B23" i="3"/>
  <c r="B22" i="3"/>
  <c r="B21" i="3"/>
  <c r="B20" i="3"/>
  <c r="B19" i="3"/>
  <c r="B18" i="3"/>
  <c r="B16" i="3"/>
  <c r="B15" i="3"/>
  <c r="B14" i="3"/>
  <c r="B13" i="3"/>
  <c r="B12" i="3"/>
  <c r="A12" i="3"/>
  <c r="A13" i="3"/>
  <c r="A14" i="3"/>
  <c r="A15" i="3"/>
  <c r="A16" i="3"/>
  <c r="A18" i="3"/>
  <c r="A19" i="3"/>
  <c r="A20" i="3"/>
  <c r="A21" i="3"/>
  <c r="A22" i="3"/>
  <c r="A23" i="3"/>
  <c r="A24" i="3"/>
  <c r="A25" i="3"/>
  <c r="A26" i="3"/>
  <c r="A27" i="3"/>
  <c r="A28" i="3"/>
  <c r="A29" i="3"/>
  <c r="A32" i="3"/>
  <c r="A33" i="3"/>
  <c r="A34" i="3"/>
  <c r="C45" i="1"/>
  <c r="C46" i="1"/>
  <c r="C47" i="1"/>
  <c r="C48" i="1"/>
  <c r="C49" i="1"/>
  <c r="C50" i="1"/>
  <c r="C51" i="1"/>
  <c r="C52" i="1"/>
  <c r="C31" i="1"/>
  <c r="C32" i="1"/>
  <c r="C33" i="1"/>
  <c r="C34" i="1"/>
  <c r="C35" i="1"/>
  <c r="C37" i="1"/>
  <c r="C38" i="1"/>
  <c r="C39" i="1"/>
  <c r="C40" i="1"/>
  <c r="C41" i="1"/>
  <c r="C42" i="1"/>
  <c r="C43" i="1"/>
  <c r="C44" i="1"/>
  <c r="C53" i="1"/>
  <c r="C26" i="1"/>
  <c r="B26" i="1"/>
  <c r="B53" i="1"/>
  <c r="A53" i="1"/>
  <c r="B52" i="1"/>
  <c r="A52" i="1"/>
  <c r="B51" i="1"/>
  <c r="A51" i="1"/>
  <c r="B50" i="1"/>
  <c r="A50" i="1"/>
  <c r="B49" i="1"/>
  <c r="A49" i="1"/>
  <c r="B48" i="1"/>
  <c r="A48" i="1"/>
  <c r="B47" i="1"/>
  <c r="A47" i="1"/>
  <c r="B46" i="1"/>
  <c r="A46" i="1"/>
  <c r="B45" i="1"/>
  <c r="A45" i="1"/>
  <c r="B44" i="1"/>
  <c r="A44" i="1"/>
  <c r="B43" i="1"/>
  <c r="A43" i="1"/>
  <c r="B42" i="1"/>
  <c r="A42" i="1"/>
  <c r="B41" i="1"/>
  <c r="A41" i="1"/>
  <c r="B40" i="1"/>
  <c r="A40" i="1"/>
  <c r="B39" i="1"/>
  <c r="A39" i="1"/>
  <c r="B38" i="1"/>
  <c r="A38" i="1"/>
  <c r="B37" i="1"/>
  <c r="A37" i="1"/>
  <c r="B35" i="1"/>
  <c r="A35" i="1"/>
  <c r="B34" i="1"/>
  <c r="A34" i="1"/>
  <c r="B33" i="1"/>
  <c r="A33" i="1"/>
  <c r="B32" i="1"/>
  <c r="A32" i="1"/>
  <c r="B31" i="1"/>
  <c r="A31" i="1"/>
  <c r="A26" i="1"/>
  <c r="B25" i="1"/>
  <c r="A25" i="1"/>
  <c r="B24" i="1"/>
  <c r="A24" i="1"/>
  <c r="B23" i="1"/>
  <c r="A23" i="1"/>
  <c r="B22" i="1"/>
  <c r="A22" i="1"/>
  <c r="B21" i="1"/>
  <c r="A21" i="1"/>
  <c r="B20" i="1"/>
  <c r="A20" i="1"/>
  <c r="B19" i="1"/>
  <c r="A19" i="1"/>
  <c r="B18" i="1"/>
  <c r="A18" i="1"/>
  <c r="B17" i="1"/>
  <c r="A17" i="1"/>
  <c r="B16" i="1"/>
  <c r="A16" i="1"/>
  <c r="B15" i="1"/>
  <c r="A15" i="1"/>
  <c r="B14" i="1"/>
  <c r="A14" i="1"/>
  <c r="B13" i="1"/>
  <c r="A13" i="1"/>
  <c r="B12" i="1"/>
  <c r="A12" i="1"/>
  <c r="B11" i="1"/>
  <c r="A11" i="1"/>
  <c r="B10" i="1"/>
  <c r="A10" i="1"/>
  <c r="B9" i="1"/>
  <c r="A9" i="1"/>
  <c r="B8" i="1"/>
  <c r="A8" i="1"/>
  <c r="B7" i="1"/>
  <c r="A7" i="1"/>
  <c r="B6" i="1"/>
  <c r="A6" i="1"/>
  <c r="B5" i="1"/>
  <c r="A5" i="1"/>
  <c r="B4" i="1"/>
  <c r="A4" i="1"/>
  <c r="B3" i="1"/>
  <c r="A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3" i="1"/>
  <c r="H34" i="3"/>
  <c r="I34" i="3"/>
  <c r="J34" i="3"/>
  <c r="K34" i="3"/>
  <c r="D8" i="3"/>
  <c r="D7" i="3"/>
  <c r="D6" i="3"/>
  <c r="D5" i="3"/>
  <c r="D4" i="3"/>
</calcChain>
</file>

<file path=xl/sharedStrings.xml><?xml version="1.0" encoding="utf-8"?>
<sst xmlns="http://schemas.openxmlformats.org/spreadsheetml/2006/main" count="173" uniqueCount="106">
  <si>
    <t>Medals</t>
  </si>
  <si>
    <t>Actions</t>
  </si>
  <si>
    <t>Bronze</t>
  </si>
  <si>
    <t>Silver</t>
  </si>
  <si>
    <t>Gold</t>
  </si>
  <si>
    <t>Platinum</t>
  </si>
  <si>
    <t>Black</t>
  </si>
  <si>
    <t>Discovery</t>
  </si>
  <si>
    <t>Explorer</t>
  </si>
  <si>
    <t>Unique portals visited</t>
  </si>
  <si>
    <t>Seer</t>
  </si>
  <si>
    <t>New portails submitted</t>
  </si>
  <si>
    <t>XM collected</t>
  </si>
  <si>
    <t>Building</t>
  </si>
  <si>
    <t>Hacker</t>
  </si>
  <si>
    <t>Hacks</t>
  </si>
  <si>
    <t>Builder</t>
  </si>
  <si>
    <t>Resonators deployed</t>
  </si>
  <si>
    <t>Connector</t>
  </si>
  <si>
    <t>Links created</t>
  </si>
  <si>
    <t>Mind Controller</t>
  </si>
  <si>
    <t>Control fields created</t>
  </si>
  <si>
    <t>Mind Units captured</t>
  </si>
  <si>
    <t>Longest link ever created</t>
  </si>
  <si>
    <t>Largest field control</t>
  </si>
  <si>
    <t>Recharger</t>
  </si>
  <si>
    <t>XM recharged</t>
  </si>
  <si>
    <t>Liberator</t>
  </si>
  <si>
    <t>Portails captured</t>
  </si>
  <si>
    <t>Pioneer</t>
  </si>
  <si>
    <t>Unique portails captured</t>
  </si>
  <si>
    <t>Combat</t>
  </si>
  <si>
    <t>Purifier</t>
  </si>
  <si>
    <t>Resonators destroyed</t>
  </si>
  <si>
    <t>Portals neutralized</t>
  </si>
  <si>
    <t>Enemy links destroyed</t>
  </si>
  <si>
    <t>Enemy control fields destroyed</t>
  </si>
  <si>
    <t>Health</t>
  </si>
  <si>
    <t>Distance walked</t>
  </si>
  <si>
    <t>Defense</t>
  </si>
  <si>
    <t>Guardian</t>
  </si>
  <si>
    <t>Max time portal held</t>
  </si>
  <si>
    <t>Max time link Maintened</t>
  </si>
  <si>
    <t>Max link lenght x days</t>
  </si>
  <si>
    <t>Max time Field Held</t>
  </si>
  <si>
    <t>Largest field MUxDays</t>
  </si>
  <si>
    <t>Mission</t>
  </si>
  <si>
    <t>Unique Mission Completed</t>
  </si>
  <si>
    <t>Level</t>
  </si>
  <si>
    <t>AP</t>
  </si>
  <si>
    <t>Date</t>
  </si>
  <si>
    <t>Médaille</t>
  </si>
  <si>
    <t>Progression quotidienne</t>
  </si>
  <si>
    <t>Actual level</t>
  </si>
  <si>
    <t>Medals collected</t>
  </si>
  <si>
    <t>Required for lvl up</t>
  </si>
  <si>
    <t>Next level</t>
  </si>
  <si>
    <t>Missing AP</t>
  </si>
  <si>
    <t>Missing Silver Medals</t>
  </si>
  <si>
    <t>Missing Gold Medals</t>
  </si>
  <si>
    <t>Missing Platinum Medals</t>
  </si>
  <si>
    <t>Missing Black Medals</t>
  </si>
  <si>
    <t>Missing</t>
  </si>
  <si>
    <t>Controling medals &amp; AP</t>
  </si>
  <si>
    <t>Ingress Portal Submitted</t>
  </si>
  <si>
    <t>Ingress Portal Waiting</t>
  </si>
  <si>
    <t>Ingress Portal Live</t>
  </si>
  <si>
    <t>Ingress Portal Rejected</t>
  </si>
  <si>
    <t>Date submitted</t>
  </si>
  <si>
    <t>Name</t>
  </si>
  <si>
    <t>Status</t>
  </si>
  <si>
    <t>Passage de l'ancre</t>
  </si>
  <si>
    <t>Paris 03 : Façade Sculptée</t>
  </si>
  <si>
    <t>Paris 3 : Hermès</t>
  </si>
  <si>
    <t>Paris 03 : La Maison Natale De George Sand</t>
  </si>
  <si>
    <t>Paris Entrée Métro Réaumur Sébastopol</t>
  </si>
  <si>
    <t>Pont-Audemer Fontaines</t>
  </si>
  <si>
    <t>Paris, Façade Quartier De L'Horloge</t>
  </si>
  <si>
    <t>Pont-Audemer : A. Canel</t>
  </si>
  <si>
    <t>Paris 4 Anges Saint Nicolas Des champs</t>
  </si>
  <si>
    <t>Paris 03 Métro république</t>
  </si>
  <si>
    <t>Paris 03 .Tetar.Max</t>
  </si>
  <si>
    <t>Paris 03 Tête De mort</t>
  </si>
  <si>
    <t>No - Reponse Ultime</t>
  </si>
  <si>
    <t>Paris 03 Anges Saint Nicolas Des Champs</t>
  </si>
  <si>
    <t>Pont Audemer : Poste</t>
  </si>
  <si>
    <t>Pont Audemer : Salle Publique Des Carmes</t>
  </si>
  <si>
    <t>Pont Audemer : Palais De Justice</t>
  </si>
  <si>
    <t>Pont Audemer : Place Charles De Gaulle</t>
  </si>
  <si>
    <t>Last day</t>
  </si>
  <si>
    <t>Est next lvl</t>
  </si>
  <si>
    <t>Last week</t>
  </si>
  <si>
    <t>Last month</t>
  </si>
  <si>
    <t>All Time</t>
  </si>
  <si>
    <t>Pont Audemer : Au Printemps</t>
  </si>
  <si>
    <t>Pont Audemer : Vieux Cadran Solaire</t>
  </si>
  <si>
    <t>Pont Audemer : Les Théâtres</t>
  </si>
  <si>
    <t>Iddle T.</t>
  </si>
  <si>
    <t>Time to action</t>
  </si>
  <si>
    <t>Average delay 4 approval</t>
  </si>
  <si>
    <t>Niantic feedback</t>
  </si>
  <si>
    <t>Paris 3 : Hôtel De Sauroy</t>
  </si>
  <si>
    <t>Registration date</t>
  </si>
  <si>
    <t># of played days</t>
  </si>
  <si>
    <t>Opé APx2</t>
  </si>
  <si>
    <t>http://forum.excel-pratique.com/excel/calculer-une-moyenne-sur-une-plage-de-colonnes-flottante-t57485.html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</si>
</sst>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&quot; XM&quot;"/>
    <numFmt numFmtId="165" formatCode="#\ ###&quot; km&quot;"/>
    <numFmt numFmtId="166" formatCode="#0&quot;/11&quot;"/>
    <numFmt numFmtId="167" formatCode="00&quot; d.&quot;"/>
    <numFmt numFmtId="168" formatCode="0.0%"/>
    <numFmt numFmtId="169" formatCode="0#&quot; d.&quot;"/>
  </numFmts>
  <fonts count="14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FFFF"/>
      <name val="Calibri"/>
      <family val="2"/>
      <scheme val="minor"/>
    </font>
    <font>
      <sz val="12"/>
      <color rgb="FF000000"/>
      <name val="Calibri"/>
      <family val="2"/>
      <scheme val="minor"/>
    </font>
    <font>
      <sz val="16"/>
      <color theme="1"/>
      <name val="Calibri"/>
      <scheme val="minor"/>
    </font>
    <font>
      <i/>
      <sz val="1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6" tint="-0.499984740745262"/>
      <name val="Calibri"/>
      <scheme val="minor"/>
    </font>
    <font>
      <sz val="12"/>
      <color theme="0" tint="-0.34998626667073579"/>
      <name val="Calibri"/>
      <scheme val="minor"/>
    </font>
    <font>
      <sz val="12"/>
      <color rgb="FFFFFF00"/>
      <name val="Calibri"/>
      <scheme val="minor"/>
    </font>
    <font>
      <b/>
      <sz val="12"/>
      <color theme="0" tint="-0.14999847407452621"/>
      <name val="Calibri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C06B35"/>
        <bgColor indexed="64"/>
      </patternFill>
    </fill>
    <fill>
      <patternFill patternType="solid">
        <fgColor rgb="FFB3B3B3"/>
        <bgColor indexed="64"/>
      </patternFill>
    </fill>
    <fill>
      <patternFill patternType="solid">
        <fgColor rgb="FFFEC423"/>
        <bgColor indexed="64"/>
      </patternFill>
    </fill>
    <fill>
      <patternFill patternType="solid">
        <fgColor rgb="FFF9EEB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9BBB59"/>
        <bgColor rgb="FF000000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</borders>
  <cellStyleXfs count="158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98">
    <xf numFmtId="0" fontId="0" fillId="0" borderId="0" xfId="0"/>
    <xf numFmtId="0" fontId="2" fillId="0" borderId="1" xfId="0" applyFont="1" applyBorder="1"/>
    <xf numFmtId="3" fontId="2" fillId="0" borderId="1" xfId="0" applyNumberFormat="1" applyFont="1" applyBorder="1"/>
    <xf numFmtId="3" fontId="2" fillId="2" borderId="1" xfId="0" applyNumberFormat="1" applyFont="1" applyFill="1" applyBorder="1"/>
    <xf numFmtId="3" fontId="2" fillId="3" borderId="1" xfId="0" applyNumberFormat="1" applyFont="1" applyFill="1" applyBorder="1"/>
    <xf numFmtId="3" fontId="2" fillId="4" borderId="1" xfId="0" applyNumberFormat="1" applyFont="1" applyFill="1" applyBorder="1"/>
    <xf numFmtId="3" fontId="2" fillId="5" borderId="1" xfId="0" applyNumberFormat="1" applyFont="1" applyFill="1" applyBorder="1"/>
    <xf numFmtId="3" fontId="1" fillId="6" borderId="1" xfId="0" applyNumberFormat="1" applyFont="1" applyFill="1" applyBorder="1"/>
    <xf numFmtId="0" fontId="1" fillId="7" borderId="2" xfId="0" applyFont="1" applyFill="1" applyBorder="1" applyAlignment="1"/>
    <xf numFmtId="0" fontId="0" fillId="0" borderId="3" xfId="0" applyBorder="1"/>
    <xf numFmtId="0" fontId="0" fillId="0" borderId="4" xfId="0" applyBorder="1"/>
    <xf numFmtId="3" fontId="0" fillId="0" borderId="5" xfId="0" applyNumberFormat="1" applyBorder="1"/>
    <xf numFmtId="0" fontId="1" fillId="7" borderId="6" xfId="0" applyFont="1" applyFill="1" applyBorder="1" applyAlignment="1"/>
    <xf numFmtId="0" fontId="0" fillId="0" borderId="1" xfId="0" applyBorder="1"/>
    <xf numFmtId="0" fontId="0" fillId="0" borderId="7" xfId="0" applyBorder="1"/>
    <xf numFmtId="3" fontId="0" fillId="0" borderId="8" xfId="0" applyNumberFormat="1" applyBorder="1"/>
    <xf numFmtId="0" fontId="1" fillId="7" borderId="9" xfId="0" applyFont="1" applyFill="1" applyBorder="1" applyAlignment="1"/>
    <xf numFmtId="0" fontId="0" fillId="0" borderId="10" xfId="0" applyBorder="1"/>
    <xf numFmtId="3" fontId="0" fillId="0" borderId="12" xfId="0" applyNumberFormat="1" applyBorder="1"/>
    <xf numFmtId="164" fontId="0" fillId="0" borderId="8" xfId="0" applyNumberFormat="1" applyFill="1" applyBorder="1"/>
    <xf numFmtId="0" fontId="3" fillId="8" borderId="6" xfId="0" applyFont="1" applyFill="1" applyBorder="1"/>
    <xf numFmtId="0" fontId="3" fillId="8" borderId="9" xfId="0" applyFont="1" applyFill="1" applyBorder="1"/>
    <xf numFmtId="0" fontId="3" fillId="8" borderId="13" xfId="0" applyFont="1" applyFill="1" applyBorder="1"/>
    <xf numFmtId="0" fontId="0" fillId="0" borderId="14" xfId="0" applyBorder="1"/>
    <xf numFmtId="0" fontId="0" fillId="0" borderId="15" xfId="0" applyBorder="1"/>
    <xf numFmtId="3" fontId="0" fillId="0" borderId="16" xfId="0" applyNumberFormat="1" applyBorder="1"/>
    <xf numFmtId="3" fontId="0" fillId="0" borderId="12" xfId="0" applyNumberFormat="1" applyFill="1" applyBorder="1"/>
    <xf numFmtId="0" fontId="0" fillId="9" borderId="1" xfId="0" applyFill="1" applyBorder="1"/>
    <xf numFmtId="3" fontId="0" fillId="9" borderId="1" xfId="0" applyNumberFormat="1" applyFill="1" applyBorder="1"/>
    <xf numFmtId="3" fontId="0" fillId="0" borderId="1" xfId="0" applyNumberFormat="1" applyBorder="1"/>
    <xf numFmtId="14" fontId="0" fillId="0" borderId="16" xfId="0" applyNumberFormat="1" applyFont="1" applyBorder="1"/>
    <xf numFmtId="14" fontId="0" fillId="0" borderId="17" xfId="0" applyNumberFormat="1" applyBorder="1"/>
    <xf numFmtId="14" fontId="4" fillId="0" borderId="17" xfId="0" applyNumberFormat="1" applyFont="1" applyBorder="1"/>
    <xf numFmtId="0" fontId="3" fillId="8" borderId="18" xfId="0" applyFont="1" applyFill="1" applyBorder="1"/>
    <xf numFmtId="0" fontId="0" fillId="10" borderId="14" xfId="0" applyFill="1" applyBorder="1"/>
    <xf numFmtId="3" fontId="0" fillId="0" borderId="15" xfId="0" applyNumberFormat="1" applyBorder="1"/>
    <xf numFmtId="3" fontId="4" fillId="0" borderId="15" xfId="0" applyNumberFormat="1" applyFont="1" applyBorder="1"/>
    <xf numFmtId="0" fontId="0" fillId="11" borderId="3" xfId="0" applyFill="1" applyBorder="1"/>
    <xf numFmtId="3" fontId="0" fillId="0" borderId="19" xfId="0" applyNumberFormat="1" applyFill="1" applyBorder="1"/>
    <xf numFmtId="3" fontId="2" fillId="3" borderId="20" xfId="0" applyNumberFormat="1" applyFont="1" applyFill="1" applyBorder="1"/>
    <xf numFmtId="0" fontId="0" fillId="0" borderId="19" xfId="0" applyFill="1" applyBorder="1"/>
    <xf numFmtId="0" fontId="0" fillId="11" borderId="1" xfId="0" applyFill="1" applyBorder="1"/>
    <xf numFmtId="3" fontId="0" fillId="0" borderId="21" xfId="0" applyNumberFormat="1" applyFill="1" applyBorder="1"/>
    <xf numFmtId="3" fontId="0" fillId="0" borderId="22" xfId="0" applyNumberFormat="1" applyBorder="1"/>
    <xf numFmtId="3" fontId="0" fillId="0" borderId="22" xfId="0" applyNumberFormat="1" applyFill="1" applyBorder="1"/>
    <xf numFmtId="164" fontId="0" fillId="0" borderId="22" xfId="0" applyNumberFormat="1" applyFill="1" applyBorder="1"/>
    <xf numFmtId="3" fontId="0" fillId="0" borderId="19" xfId="0" applyNumberFormat="1" applyBorder="1"/>
    <xf numFmtId="3" fontId="0" fillId="0" borderId="21" xfId="0" applyNumberFormat="1" applyBorder="1"/>
    <xf numFmtId="3" fontId="2" fillId="3" borderId="0" xfId="0" applyNumberFormat="1" applyFont="1" applyFill="1" applyBorder="1"/>
    <xf numFmtId="3" fontId="2" fillId="3" borderId="23" xfId="0" applyNumberFormat="1" applyFont="1" applyFill="1" applyBorder="1"/>
    <xf numFmtId="165" fontId="0" fillId="0" borderId="21" xfId="0" applyNumberFormat="1" applyBorder="1"/>
    <xf numFmtId="164" fontId="0" fillId="0" borderId="21" xfId="0" applyNumberFormat="1" applyFill="1" applyBorder="1"/>
    <xf numFmtId="3" fontId="2" fillId="4" borderId="24" xfId="0" applyNumberFormat="1" applyFont="1" applyFill="1" applyBorder="1"/>
    <xf numFmtId="3" fontId="2" fillId="3" borderId="24" xfId="0" applyNumberFormat="1" applyFont="1" applyFill="1" applyBorder="1"/>
    <xf numFmtId="0" fontId="0" fillId="11" borderId="10" xfId="0" applyFill="1" applyBorder="1"/>
    <xf numFmtId="3" fontId="2" fillId="2" borderId="25" xfId="0" applyNumberFormat="1" applyFont="1" applyFill="1" applyBorder="1"/>
    <xf numFmtId="3" fontId="2" fillId="2" borderId="20" xfId="0" applyNumberFormat="1" applyFont="1" applyFill="1" applyBorder="1"/>
    <xf numFmtId="3" fontId="0" fillId="0" borderId="16" xfId="0" applyNumberFormat="1" applyFill="1" applyBorder="1"/>
    <xf numFmtId="3" fontId="2" fillId="4" borderId="20" xfId="0" applyNumberFormat="1" applyFont="1" applyFill="1" applyBorder="1"/>
    <xf numFmtId="0" fontId="0" fillId="10" borderId="26" xfId="0" applyFill="1" applyBorder="1"/>
    <xf numFmtId="3" fontId="0" fillId="10" borderId="16" xfId="0" applyNumberFormat="1" applyFill="1" applyBorder="1"/>
    <xf numFmtId="3" fontId="0" fillId="11" borderId="5" xfId="0" applyNumberFormat="1" applyFill="1" applyBorder="1"/>
    <xf numFmtId="3" fontId="0" fillId="11" borderId="8" xfId="0" applyNumberFormat="1" applyFill="1" applyBorder="1"/>
    <xf numFmtId="165" fontId="0" fillId="0" borderId="8" xfId="0" applyNumberFormat="1" applyBorder="1"/>
    <xf numFmtId="164" fontId="0" fillId="11" borderId="8" xfId="0" applyNumberFormat="1" applyFill="1" applyBorder="1"/>
    <xf numFmtId="3" fontId="0" fillId="11" borderId="12" xfId="0" applyNumberFormat="1" applyFill="1" applyBorder="1"/>
    <xf numFmtId="0" fontId="5" fillId="0" borderId="0" xfId="0" applyFont="1"/>
    <xf numFmtId="0" fontId="1" fillId="7" borderId="18" xfId="0" applyFont="1" applyFill="1" applyBorder="1" applyAlignment="1"/>
    <xf numFmtId="0" fontId="0" fillId="0" borderId="28" xfId="0" applyBorder="1"/>
    <xf numFmtId="0" fontId="1" fillId="7" borderId="29" xfId="0" applyFont="1" applyFill="1" applyBorder="1" applyAlignment="1"/>
    <xf numFmtId="0" fontId="0" fillId="0" borderId="30" xfId="0" applyBorder="1"/>
    <xf numFmtId="166" fontId="0" fillId="0" borderId="4" xfId="0" applyNumberFormat="1" applyBorder="1"/>
    <xf numFmtId="0" fontId="1" fillId="7" borderId="31" xfId="0" applyFont="1" applyFill="1" applyBorder="1" applyAlignment="1"/>
    <xf numFmtId="0" fontId="0" fillId="0" borderId="32" xfId="0" applyBorder="1"/>
    <xf numFmtId="166" fontId="0" fillId="0" borderId="7" xfId="0" applyNumberFormat="1" applyBorder="1"/>
    <xf numFmtId="0" fontId="1" fillId="7" borderId="33" xfId="0" applyFont="1" applyFill="1" applyBorder="1" applyAlignment="1"/>
    <xf numFmtId="0" fontId="0" fillId="0" borderId="34" xfId="0" applyBorder="1"/>
    <xf numFmtId="166" fontId="0" fillId="0" borderId="35" xfId="0" applyNumberFormat="1" applyBorder="1"/>
    <xf numFmtId="0" fontId="0" fillId="0" borderId="26" xfId="0" applyBorder="1"/>
    <xf numFmtId="0" fontId="0" fillId="12" borderId="19" xfId="0" applyFill="1" applyBorder="1"/>
    <xf numFmtId="3" fontId="0" fillId="12" borderId="21" xfId="0" applyNumberFormat="1" applyFill="1" applyBorder="1"/>
    <xf numFmtId="164" fontId="0" fillId="12" borderId="22" xfId="0" applyNumberFormat="1" applyFill="1" applyBorder="1"/>
    <xf numFmtId="3" fontId="0" fillId="12" borderId="19" xfId="0" applyNumberFormat="1" applyFill="1" applyBorder="1"/>
    <xf numFmtId="165" fontId="0" fillId="12" borderId="21" xfId="0" applyNumberFormat="1" applyFill="1" applyBorder="1"/>
    <xf numFmtId="164" fontId="0" fillId="12" borderId="21" xfId="0" applyNumberFormat="1" applyFill="1" applyBorder="1"/>
    <xf numFmtId="3" fontId="0" fillId="12" borderId="22" xfId="0" applyNumberFormat="1" applyFill="1" applyBorder="1"/>
    <xf numFmtId="0" fontId="0" fillId="0" borderId="16" xfId="0" applyBorder="1"/>
    <xf numFmtId="3" fontId="0" fillId="12" borderId="12" xfId="0" applyNumberFormat="1" applyFill="1" applyBorder="1"/>
    <xf numFmtId="0" fontId="1" fillId="7" borderId="13" xfId="0" applyFont="1" applyFill="1" applyBorder="1" applyAlignment="1"/>
    <xf numFmtId="0" fontId="1" fillId="7" borderId="26" xfId="0" applyFont="1" applyFill="1" applyBorder="1" applyAlignment="1"/>
    <xf numFmtId="3" fontId="0" fillId="7" borderId="27" xfId="0" applyNumberFormat="1" applyFill="1" applyBorder="1"/>
    <xf numFmtId="3" fontId="0" fillId="0" borderId="7" xfId="0" applyNumberFormat="1" applyBorder="1"/>
    <xf numFmtId="0" fontId="0" fillId="0" borderId="36" xfId="0" applyBorder="1"/>
    <xf numFmtId="3" fontId="0" fillId="0" borderId="0" xfId="0" applyNumberFormat="1"/>
    <xf numFmtId="3" fontId="6" fillId="0" borderId="2" xfId="0" applyNumberFormat="1" applyFont="1" applyFill="1" applyBorder="1" applyAlignment="1">
      <alignment horizontal="right"/>
    </xf>
    <xf numFmtId="3" fontId="6" fillId="0" borderId="37" xfId="0" applyNumberFormat="1" applyFont="1" applyFill="1" applyBorder="1" applyAlignment="1">
      <alignment horizontal="right"/>
    </xf>
    <xf numFmtId="3" fontId="0" fillId="0" borderId="38" xfId="0" applyNumberFormat="1" applyBorder="1"/>
    <xf numFmtId="3" fontId="0" fillId="0" borderId="3" xfId="0" applyNumberFormat="1" applyBorder="1"/>
    <xf numFmtId="3" fontId="6" fillId="0" borderId="6" xfId="0" applyNumberFormat="1" applyFont="1" applyFill="1" applyBorder="1" applyAlignment="1">
      <alignment horizontal="right"/>
    </xf>
    <xf numFmtId="3" fontId="6" fillId="0" borderId="23" xfId="0" applyNumberFormat="1" applyFont="1" applyFill="1" applyBorder="1" applyAlignment="1">
      <alignment horizontal="right"/>
    </xf>
    <xf numFmtId="3" fontId="0" fillId="0" borderId="39" xfId="0" applyNumberFormat="1" applyBorder="1"/>
    <xf numFmtId="3" fontId="6" fillId="0" borderId="9" xfId="0" applyNumberFormat="1" applyFont="1" applyFill="1" applyBorder="1" applyAlignment="1">
      <alignment horizontal="right"/>
    </xf>
    <xf numFmtId="3" fontId="6" fillId="0" borderId="40" xfId="0" applyNumberFormat="1" applyFont="1" applyFill="1" applyBorder="1" applyAlignment="1">
      <alignment horizontal="right"/>
    </xf>
    <xf numFmtId="3" fontId="0" fillId="0" borderId="41" xfId="0" applyNumberFormat="1" applyBorder="1"/>
    <xf numFmtId="3" fontId="0" fillId="0" borderId="10" xfId="0" applyNumberFormat="1" applyBorder="1"/>
    <xf numFmtId="3" fontId="0" fillId="0" borderId="11" xfId="0" applyNumberFormat="1" applyBorder="1"/>
    <xf numFmtId="3" fontId="0" fillId="0" borderId="4" xfId="0" applyNumberFormat="1" applyBorder="1"/>
    <xf numFmtId="3" fontId="6" fillId="0" borderId="13" xfId="0" applyNumberFormat="1" applyFont="1" applyFill="1" applyBorder="1" applyAlignment="1">
      <alignment horizontal="right"/>
    </xf>
    <xf numFmtId="3" fontId="6" fillId="0" borderId="27" xfId="0" applyNumberFormat="1" applyFont="1" applyFill="1" applyBorder="1" applyAlignment="1">
      <alignment horizontal="right"/>
    </xf>
    <xf numFmtId="3" fontId="0" fillId="0" borderId="42" xfId="0" applyNumberFormat="1" applyBorder="1"/>
    <xf numFmtId="0" fontId="1" fillId="7" borderId="45" xfId="0" applyFont="1" applyFill="1" applyBorder="1" applyAlignment="1">
      <alignment horizontal="center"/>
    </xf>
    <xf numFmtId="0" fontId="1" fillId="7" borderId="17" xfId="0" applyFont="1" applyFill="1" applyBorder="1" applyAlignment="1">
      <alignment horizontal="center"/>
    </xf>
    <xf numFmtId="3" fontId="0" fillId="0" borderId="14" xfId="0" applyNumberFormat="1" applyBorder="1"/>
    <xf numFmtId="3" fontId="6" fillId="0" borderId="26" xfId="0" applyNumberFormat="1" applyFont="1" applyFill="1" applyBorder="1" applyAlignment="1">
      <alignment horizontal="right"/>
    </xf>
    <xf numFmtId="0" fontId="0" fillId="11" borderId="30" xfId="0" applyFill="1" applyBorder="1"/>
    <xf numFmtId="0" fontId="0" fillId="11" borderId="32" xfId="0" applyFill="1" applyBorder="1"/>
    <xf numFmtId="0" fontId="0" fillId="11" borderId="36" xfId="0" applyFill="1" applyBorder="1"/>
    <xf numFmtId="0" fontId="0" fillId="10" borderId="28" xfId="0" applyFill="1" applyBorder="1" applyAlignment="1">
      <alignment horizontal="left"/>
    </xf>
    <xf numFmtId="14" fontId="0" fillId="12" borderId="46" xfId="0" applyNumberFormat="1" applyFill="1" applyBorder="1"/>
    <xf numFmtId="3" fontId="0" fillId="12" borderId="28" xfId="0" applyNumberFormat="1" applyFill="1" applyBorder="1"/>
    <xf numFmtId="0" fontId="1" fillId="7" borderId="47" xfId="0" applyFont="1" applyFill="1" applyBorder="1" applyAlignment="1">
      <alignment horizontal="center"/>
    </xf>
    <xf numFmtId="0" fontId="1" fillId="7" borderId="48" xfId="0" applyFont="1" applyFill="1" applyBorder="1" applyAlignment="1">
      <alignment horizontal="center"/>
    </xf>
    <xf numFmtId="0" fontId="1" fillId="7" borderId="43" xfId="0" applyFont="1" applyFill="1" applyBorder="1" applyAlignment="1">
      <alignment horizontal="center"/>
    </xf>
    <xf numFmtId="0" fontId="1" fillId="7" borderId="44" xfId="0" applyFont="1" applyFill="1" applyBorder="1" applyAlignment="1">
      <alignment horizontal="center"/>
    </xf>
    <xf numFmtId="14" fontId="0" fillId="0" borderId="46" xfId="0" applyNumberFormat="1" applyFill="1" applyBorder="1"/>
    <xf numFmtId="3" fontId="0" fillId="0" borderId="28" xfId="0" applyNumberFormat="1" applyFill="1" applyBorder="1"/>
    <xf numFmtId="165" fontId="0" fillId="0" borderId="21" xfId="0" applyNumberFormat="1" applyFill="1" applyBorder="1"/>
    <xf numFmtId="14" fontId="0" fillId="0" borderId="0" xfId="0" applyNumberFormat="1"/>
    <xf numFmtId="3" fontId="0" fillId="0" borderId="0" xfId="0" applyNumberFormat="1" applyBorder="1"/>
    <xf numFmtId="0" fontId="0" fillId="0" borderId="15" xfId="0" applyNumberFormat="1" applyBorder="1" applyAlignment="1">
      <alignment wrapText="1"/>
    </xf>
    <xf numFmtId="167" fontId="0" fillId="0" borderId="0" xfId="0" applyNumberFormat="1"/>
    <xf numFmtId="0" fontId="2" fillId="0" borderId="0" xfId="0" applyFont="1"/>
    <xf numFmtId="0" fontId="9" fillId="0" borderId="0" xfId="0" applyFont="1"/>
    <xf numFmtId="0" fontId="0" fillId="0" borderId="19" xfId="0" applyBorder="1"/>
    <xf numFmtId="0" fontId="1" fillId="7" borderId="19" xfId="0" applyFont="1" applyFill="1" applyBorder="1" applyAlignment="1"/>
    <xf numFmtId="0" fontId="0" fillId="0" borderId="21" xfId="0" applyBorder="1"/>
    <xf numFmtId="0" fontId="3" fillId="8" borderId="21" xfId="0" applyFont="1" applyFill="1" applyBorder="1"/>
    <xf numFmtId="0" fontId="0" fillId="0" borderId="22" xfId="0" applyBorder="1"/>
    <xf numFmtId="0" fontId="3" fillId="8" borderId="22" xfId="0" applyFont="1" applyFill="1" applyBorder="1"/>
    <xf numFmtId="167" fontId="1" fillId="7" borderId="16" xfId="0" applyNumberFormat="1" applyFont="1" applyFill="1" applyBorder="1" applyAlignment="1"/>
    <xf numFmtId="0" fontId="10" fillId="0" borderId="0" xfId="0" applyFont="1"/>
    <xf numFmtId="0" fontId="11" fillId="0" borderId="0" xfId="0" applyFont="1"/>
    <xf numFmtId="0" fontId="0" fillId="0" borderId="32" xfId="0" applyBorder="1" applyAlignment="1">
      <alignment horizontal="right"/>
    </xf>
    <xf numFmtId="3" fontId="0" fillId="0" borderId="18" xfId="0" applyNumberFormat="1" applyFont="1" applyBorder="1"/>
    <xf numFmtId="3" fontId="0" fillId="0" borderId="14" xfId="0" applyNumberFormat="1" applyFont="1" applyBorder="1"/>
    <xf numFmtId="3" fontId="0" fillId="0" borderId="15" xfId="0" applyNumberFormat="1" applyFont="1" applyBorder="1"/>
    <xf numFmtId="14" fontId="0" fillId="12" borderId="5" xfId="0" applyNumberFormat="1" applyFill="1" applyBorder="1"/>
    <xf numFmtId="3" fontId="0" fillId="12" borderId="16" xfId="0" applyNumberFormat="1" applyFill="1" applyBorder="1"/>
    <xf numFmtId="168" fontId="0" fillId="0" borderId="0" xfId="0" applyNumberFormat="1"/>
    <xf numFmtId="3" fontId="12" fillId="9" borderId="1" xfId="0" applyNumberFormat="1" applyFont="1" applyFill="1" applyBorder="1"/>
    <xf numFmtId="169" fontId="0" fillId="0" borderId="16" xfId="0" applyNumberFormat="1" applyBorder="1"/>
    <xf numFmtId="169" fontId="0" fillId="0" borderId="19" xfId="0" applyNumberFormat="1" applyBorder="1" applyAlignment="1">
      <alignment horizontal="right" wrapText="1"/>
    </xf>
    <xf numFmtId="169" fontId="0" fillId="0" borderId="21" xfId="0" applyNumberFormat="1" applyBorder="1"/>
    <xf numFmtId="169" fontId="0" fillId="0" borderId="22" xfId="0" applyNumberFormat="1" applyBorder="1"/>
    <xf numFmtId="169" fontId="0" fillId="0" borderId="19" xfId="0" applyNumberFormat="1" applyBorder="1"/>
    <xf numFmtId="169" fontId="0" fillId="0" borderId="49" xfId="0" applyNumberFormat="1" applyBorder="1"/>
    <xf numFmtId="14" fontId="0" fillId="0" borderId="15" xfId="0" applyNumberFormat="1" applyBorder="1" applyAlignment="1">
      <alignment wrapText="1"/>
    </xf>
    <xf numFmtId="169" fontId="0" fillId="0" borderId="15" xfId="0" applyNumberFormat="1" applyBorder="1" applyAlignment="1">
      <alignment wrapText="1"/>
    </xf>
    <xf numFmtId="0" fontId="0" fillId="0" borderId="53" xfId="0" applyBorder="1"/>
    <xf numFmtId="14" fontId="0" fillId="12" borderId="17" xfId="0" applyNumberFormat="1" applyFill="1" applyBorder="1"/>
    <xf numFmtId="3" fontId="0" fillId="12" borderId="15" xfId="0" applyNumberFormat="1" applyFill="1" applyBorder="1"/>
    <xf numFmtId="0" fontId="0" fillId="12" borderId="4" xfId="0" applyFill="1" applyBorder="1"/>
    <xf numFmtId="3" fontId="0" fillId="12" borderId="7" xfId="0" applyNumberFormat="1" applyFill="1" applyBorder="1"/>
    <xf numFmtId="164" fontId="0" fillId="12" borderId="11" xfId="0" applyNumberFormat="1" applyFill="1" applyBorder="1"/>
    <xf numFmtId="3" fontId="0" fillId="12" borderId="4" xfId="0" applyNumberFormat="1" applyFill="1" applyBorder="1"/>
    <xf numFmtId="165" fontId="0" fillId="12" borderId="7" xfId="0" applyNumberFormat="1" applyFill="1" applyBorder="1"/>
    <xf numFmtId="164" fontId="0" fillId="12" borderId="7" xfId="0" applyNumberFormat="1" applyFill="1" applyBorder="1"/>
    <xf numFmtId="3" fontId="0" fillId="12" borderId="11" xfId="0" applyNumberFormat="1" applyFill="1" applyBorder="1"/>
    <xf numFmtId="3" fontId="0" fillId="12" borderId="44" xfId="0" applyNumberFormat="1" applyFill="1" applyBorder="1"/>
    <xf numFmtId="3" fontId="2" fillId="2" borderId="0" xfId="0" applyNumberFormat="1" applyFont="1" applyFill="1" applyBorder="1"/>
    <xf numFmtId="3" fontId="2" fillId="4" borderId="0" xfId="0" applyNumberFormat="1" applyFont="1" applyFill="1" applyBorder="1"/>
    <xf numFmtId="3" fontId="6" fillId="0" borderId="19" xfId="0" applyNumberFormat="1" applyFont="1" applyFill="1" applyBorder="1" applyAlignment="1">
      <alignment horizontal="right"/>
    </xf>
    <xf numFmtId="3" fontId="6" fillId="0" borderId="21" xfId="0" applyNumberFormat="1" applyFont="1" applyFill="1" applyBorder="1" applyAlignment="1">
      <alignment horizontal="right"/>
    </xf>
    <xf numFmtId="3" fontId="6" fillId="0" borderId="22" xfId="0" applyNumberFormat="1" applyFont="1" applyFill="1" applyBorder="1" applyAlignment="1">
      <alignment horizontal="right"/>
    </xf>
    <xf numFmtId="3" fontId="6" fillId="0" borderId="16" xfId="0" applyNumberFormat="1" applyFont="1" applyFill="1" applyBorder="1" applyAlignment="1">
      <alignment horizontal="right"/>
    </xf>
    <xf numFmtId="169" fontId="0" fillId="0" borderId="8" xfId="0" applyNumberFormat="1" applyBorder="1" applyAlignment="1">
      <alignment horizontal="right" wrapText="1"/>
    </xf>
    <xf numFmtId="0" fontId="0" fillId="7" borderId="48" xfId="0" applyFill="1" applyBorder="1"/>
    <xf numFmtId="3" fontId="0" fillId="0" borderId="0" xfId="0" applyNumberFormat="1" applyFill="1" applyBorder="1"/>
    <xf numFmtId="0" fontId="0" fillId="0" borderId="56" xfId="0" applyBorder="1"/>
    <xf numFmtId="0" fontId="0" fillId="0" borderId="57" xfId="0" applyBorder="1"/>
    <xf numFmtId="0" fontId="7" fillId="0" borderId="0" xfId="157"/>
    <xf numFmtId="0" fontId="0" fillId="0" borderId="0" xfId="0" applyAlignment="1">
      <alignment horizontal="center"/>
    </xf>
    <xf numFmtId="0" fontId="1" fillId="7" borderId="47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13" fillId="7" borderId="50" xfId="0" applyFont="1" applyFill="1" applyBorder="1" applyAlignment="1">
      <alignment horizontal="center"/>
    </xf>
    <xf numFmtId="0" fontId="13" fillId="7" borderId="51" xfId="0" applyFont="1" applyFill="1" applyBorder="1" applyAlignment="1">
      <alignment horizontal="center"/>
    </xf>
    <xf numFmtId="0" fontId="1" fillId="7" borderId="54" xfId="0" applyFont="1" applyFill="1" applyBorder="1" applyAlignment="1">
      <alignment horizontal="center"/>
    </xf>
    <xf numFmtId="0" fontId="1" fillId="7" borderId="55" xfId="0" applyFont="1" applyFill="1" applyBorder="1" applyAlignment="1">
      <alignment horizontal="center"/>
    </xf>
    <xf numFmtId="0" fontId="1" fillId="7" borderId="56" xfId="0" applyFont="1" applyFill="1" applyBorder="1" applyAlignment="1">
      <alignment horizontal="center"/>
    </xf>
    <xf numFmtId="0" fontId="0" fillId="13" borderId="52" xfId="0" applyFill="1" applyBorder="1" applyAlignment="1">
      <alignment horizontal="center"/>
    </xf>
    <xf numFmtId="0" fontId="0" fillId="0" borderId="58" xfId="0" applyBorder="1" applyAlignment="1">
      <alignment horizontal="left"/>
    </xf>
    <xf numFmtId="0" fontId="0" fillId="0" borderId="51" xfId="0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59" xfId="0" applyBorder="1" applyAlignment="1">
      <alignment horizontal="left"/>
    </xf>
    <xf numFmtId="0" fontId="0" fillId="0" borderId="57" xfId="0" applyBorder="1" applyAlignment="1">
      <alignment horizontal="left"/>
    </xf>
    <xf numFmtId="0" fontId="0" fillId="0" borderId="46" xfId="0" applyBorder="1" applyAlignment="1">
      <alignment horizontal="left"/>
    </xf>
    <xf numFmtId="0" fontId="0" fillId="0" borderId="56" xfId="0" applyBorder="1" applyAlignment="1">
      <alignment horizontal="left"/>
    </xf>
  </cellXfs>
  <cellStyles count="158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Normal" xfId="0" builtinId="0"/>
  </cellStyles>
  <dxfs count="16">
    <dxf>
      <font>
        <color auto="1"/>
      </font>
      <fill>
        <patternFill patternType="solid">
          <fgColor indexed="64"/>
          <bgColor theme="0" tint="-0.499984740745262"/>
        </patternFill>
      </fill>
    </dxf>
    <dxf>
      <font>
        <color rgb="FFC06B35"/>
      </font>
      <fill>
        <patternFill patternType="none">
          <fgColor indexed="64"/>
          <bgColor auto="1"/>
        </patternFill>
      </fill>
    </dxf>
    <dxf>
      <font>
        <color rgb="FFB3B3B3"/>
      </font>
      <fill>
        <patternFill patternType="none">
          <fgColor indexed="64"/>
          <bgColor auto="1"/>
        </patternFill>
      </fill>
    </dxf>
    <dxf>
      <font>
        <color rgb="FFFEC423"/>
      </font>
      <fill>
        <patternFill patternType="none">
          <fgColor indexed="64"/>
          <bgColor auto="1"/>
        </patternFill>
      </fill>
    </dxf>
    <dxf>
      <font>
        <color rgb="FFF9EEB9"/>
      </font>
      <fill>
        <patternFill patternType="solid">
          <fgColor indexed="64"/>
          <bgColor theme="0" tint="-0.249977111117893"/>
        </patternFill>
      </fill>
    </dxf>
    <dxf>
      <font>
        <b/>
        <i val="0"/>
        <strike val="0"/>
        <color auto="1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u val="none"/>
        <color rgb="FFCD7F32"/>
      </font>
      <fill>
        <patternFill patternType="none">
          <fgColor indexed="64"/>
          <bgColor auto="1"/>
        </patternFill>
      </fill>
    </dxf>
    <dxf>
      <font>
        <color rgb="FFC06B35"/>
      </font>
      <fill>
        <patternFill patternType="none">
          <fgColor indexed="64"/>
          <bgColor auto="1"/>
        </patternFill>
      </fill>
    </dxf>
    <dxf>
      <font>
        <color rgb="FFB3B3B3"/>
      </font>
      <fill>
        <patternFill patternType="none">
          <fgColor indexed="64"/>
          <bgColor auto="1"/>
        </patternFill>
      </fill>
    </dxf>
    <dxf>
      <font>
        <color rgb="FFFEC423"/>
      </font>
      <fill>
        <patternFill patternType="none">
          <fgColor indexed="64"/>
          <bgColor auto="1"/>
        </patternFill>
      </fill>
    </dxf>
    <dxf>
      <font>
        <color rgb="FFF9EEB9"/>
      </font>
      <fill>
        <patternFill patternType="solid">
          <fgColor indexed="64"/>
          <bgColor theme="0" tint="-0.249977111117893"/>
        </patternFill>
      </fill>
    </dxf>
    <dxf>
      <font>
        <b/>
        <i val="0"/>
        <strike val="0"/>
        <color auto="1"/>
      </font>
      <fill>
        <patternFill patternType="none">
          <fgColor indexed="64"/>
          <bgColor auto="1"/>
        </patternFill>
      </fill>
    </dxf>
    <dxf>
      <font>
        <color auto="1"/>
      </font>
      <fill>
        <patternFill patternType="none">
          <fgColor indexed="64"/>
          <bgColor auto="1"/>
        </patternFill>
      </fill>
    </dxf>
    <dxf>
      <font>
        <b/>
        <i val="0"/>
        <strike val="0"/>
        <u val="none"/>
        <color rgb="FFF9EEB9"/>
      </font>
      <fill>
        <patternFill patternType="solid">
          <fgColor auto="1"/>
          <bgColor theme="0" tint="-0.249977111117893"/>
        </patternFill>
      </fill>
    </dxf>
    <dxf>
      <font>
        <color rgb="FFFFCD00"/>
      </font>
      <fill>
        <patternFill patternType="none">
          <fgColor indexed="64"/>
          <bgColor auto="1"/>
        </patternFill>
      </fill>
    </dxf>
    <dxf>
      <font>
        <color rgb="FFC0C0C0"/>
      </font>
      <fill>
        <patternFill patternType="none">
          <fgColor indexed="64"/>
          <bgColor auto="1"/>
        </patternFill>
      </fill>
    </dxf>
  </dxfs>
  <tableStyles count="0" defaultTableStyle="TableStyleMedium9" defaultPivotStyle="PivotStyleMedium4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247650</xdr:colOff>
      <xdr:row>4</xdr:row>
      <xdr:rowOff>9525</xdr:rowOff>
    </xdr:from>
    <xdr:to>
      <xdr:col>14</xdr:col>
      <xdr:colOff>485775</xdr:colOff>
      <xdr:row>6</xdr:row>
      <xdr:rowOff>19050</xdr:rowOff>
    </xdr:to>
    <xdr:sp macro="[0]!MiseAjour" textlink="">
      <xdr:nvSpPr>
        <xdr:cNvPr id="2" name="ZoneTexte 1"/>
        <xdr:cNvSpPr txBox="1"/>
      </xdr:nvSpPr>
      <xdr:spPr>
        <a:xfrm>
          <a:off x="11811000" y="838200"/>
          <a:ext cx="1076325" cy="4095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alculer-une-moyenne-sur-une-plage-de-colonnes-flottante-t5748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42"/>
  <sheetViews>
    <sheetView tabSelected="1" topLeftCell="E1" workbookViewId="0">
      <selection activeCell="Q5" sqref="Q5"/>
    </sheetView>
  </sheetViews>
  <sheetFormatPr baseColWidth="10" defaultRowHeight="15.75" x14ac:dyDescent="0.25"/>
  <cols>
    <col min="1" max="1" width="16.625" bestFit="1" customWidth="1"/>
    <col min="2" max="2" width="26.5" bestFit="1" customWidth="1"/>
    <col min="3" max="3" width="14.125" bestFit="1" customWidth="1"/>
    <col min="4" max="4" width="14.5" bestFit="1" customWidth="1"/>
    <col min="6" max="6" width="4.625" bestFit="1" customWidth="1"/>
    <col min="12" max="12" width="3.875" customWidth="1"/>
    <col min="13" max="13" width="5.5" bestFit="1" customWidth="1"/>
    <col min="15" max="15" width="12.125" bestFit="1" customWidth="1"/>
  </cols>
  <sheetData>
    <row r="1" spans="1:17" ht="16.5" thickBot="1" x14ac:dyDescent="0.3">
      <c r="A1" s="67" t="s">
        <v>102</v>
      </c>
      <c r="B1" s="23"/>
      <c r="C1" s="68"/>
      <c r="D1" s="156">
        <v>41835</v>
      </c>
    </row>
    <row r="2" spans="1:17" ht="16.5" thickBot="1" x14ac:dyDescent="0.3">
      <c r="A2" s="67" t="s">
        <v>103</v>
      </c>
      <c r="B2" s="23"/>
      <c r="C2" s="68"/>
      <c r="D2" s="157">
        <f ca="1">TODAY()-D1</f>
        <v>123</v>
      </c>
    </row>
    <row r="3" spans="1:17" ht="16.5" thickBot="1" x14ac:dyDescent="0.3">
      <c r="A3" s="67" t="s">
        <v>53</v>
      </c>
      <c r="B3" s="23"/>
      <c r="C3" s="68"/>
      <c r="D3" s="129">
        <f>SUM(Levels!J28:J43)</f>
        <v>10</v>
      </c>
    </row>
    <row r="4" spans="1:17" x14ac:dyDescent="0.25">
      <c r="A4" s="69" t="s">
        <v>54</v>
      </c>
      <c r="B4" s="9" t="s">
        <v>2</v>
      </c>
      <c r="C4" s="70"/>
      <c r="D4" s="71">
        <f>G35</f>
        <v>10</v>
      </c>
    </row>
    <row r="5" spans="1:17" x14ac:dyDescent="0.25">
      <c r="A5" s="72"/>
      <c r="B5" s="13" t="s">
        <v>3</v>
      </c>
      <c r="C5" s="73"/>
      <c r="D5" s="74">
        <f>H35</f>
        <v>9</v>
      </c>
      <c r="O5" s="93"/>
    </row>
    <row r="6" spans="1:17" x14ac:dyDescent="0.25">
      <c r="A6" s="72"/>
      <c r="B6" s="13" t="s">
        <v>4</v>
      </c>
      <c r="C6" s="73"/>
      <c r="D6" s="74">
        <f>I35</f>
        <v>2</v>
      </c>
    </row>
    <row r="7" spans="1:17" ht="16.5" thickBot="1" x14ac:dyDescent="0.3">
      <c r="A7" s="72"/>
      <c r="B7" s="13" t="s">
        <v>5</v>
      </c>
      <c r="C7" s="73"/>
      <c r="D7" s="74">
        <f>J35</f>
        <v>1</v>
      </c>
    </row>
    <row r="8" spans="1:17" ht="16.5" thickBot="1" x14ac:dyDescent="0.3">
      <c r="A8" s="75"/>
      <c r="B8" s="17" t="s">
        <v>6</v>
      </c>
      <c r="C8" s="76"/>
      <c r="D8" s="77">
        <f>K35</f>
        <v>0</v>
      </c>
      <c r="M8" s="186" t="s">
        <v>90</v>
      </c>
      <c r="N8" s="187"/>
      <c r="O8" s="187"/>
      <c r="P8" s="187"/>
      <c r="Q8" s="188"/>
    </row>
    <row r="9" spans="1:17" ht="16.5" thickBot="1" x14ac:dyDescent="0.3">
      <c r="A9" s="88" t="s">
        <v>50</v>
      </c>
      <c r="B9" s="78"/>
      <c r="C9" s="78"/>
      <c r="D9" s="159">
        <v>41956</v>
      </c>
      <c r="E9" s="182" t="s">
        <v>62</v>
      </c>
      <c r="F9" s="183"/>
      <c r="G9" s="120" t="s">
        <v>2</v>
      </c>
      <c r="H9" s="110" t="s">
        <v>3</v>
      </c>
      <c r="I9" s="110" t="s">
        <v>4</v>
      </c>
      <c r="J9" s="110" t="s">
        <v>5</v>
      </c>
      <c r="K9" s="111" t="s">
        <v>6</v>
      </c>
      <c r="M9" s="176"/>
      <c r="N9" s="122" t="s">
        <v>89</v>
      </c>
      <c r="O9" s="122" t="s">
        <v>91</v>
      </c>
      <c r="P9" s="122" t="s">
        <v>92</v>
      </c>
      <c r="Q9" s="123" t="s">
        <v>93</v>
      </c>
    </row>
    <row r="10" spans="1:17" ht="16.5" thickBot="1" x14ac:dyDescent="0.3">
      <c r="A10" s="88" t="s">
        <v>49</v>
      </c>
      <c r="B10" s="78"/>
      <c r="C10" s="78"/>
      <c r="D10" s="160">
        <v>10300012</v>
      </c>
      <c r="E10" s="184"/>
      <c r="F10" s="185"/>
      <c r="G10" s="121"/>
      <c r="H10" s="122"/>
      <c r="I10" s="122"/>
      <c r="J10" s="122"/>
      <c r="K10" s="123"/>
      <c r="L10" s="93"/>
      <c r="M10" s="15">
        <f>INDEX(Levels!B28:B43,MATCH(Latest!D10,Levels!C28:C43))</f>
        <v>12</v>
      </c>
      <c r="N10" s="151">
        <v>4.7012125263309263</v>
      </c>
      <c r="O10" s="175">
        <v>6.8662959827980572</v>
      </c>
      <c r="P10" s="175">
        <f>D38/AVERAGE(Progression!P29:AT29)</f>
        <v>6.4950196281618151</v>
      </c>
      <c r="Q10" s="175">
        <f ca="1">D38/(SUM(Progression!D2,Progression!D29:XFD29)/Latest!D$2)</f>
        <v>19.938809450146973</v>
      </c>
    </row>
    <row r="11" spans="1:17" x14ac:dyDescent="0.25">
      <c r="A11" s="8" t="str">
        <f>Levels!A2</f>
        <v>Discovery</v>
      </c>
      <c r="B11" s="70" t="str">
        <f>Levels!C2</f>
        <v>Unique portals visited</v>
      </c>
      <c r="C11" s="70" t="str">
        <f>IF(Levels!B2&lt;&gt;"",Levels!B2,"")</f>
        <v>Explorer</v>
      </c>
      <c r="D11" s="161">
        <v>1739</v>
      </c>
      <c r="E11" s="94">
        <f t="shared" ref="E11:E34" si="0">IF(G11&lt;&gt;"",
 IF(G11&lt;&gt;"GG",G11,
  IF(H11&lt;&gt;"GG",H11,
   IF(I11&lt;&gt;"GG",I11,
    IF(J11&lt;&gt;"GG",J11,
     IF(K11&lt;&gt;"GG",K11,"n/a"
     )
    )
   )
  )
 ),
"-")</f>
        <v>261</v>
      </c>
      <c r="F11" s="95" t="str">
        <f t="shared" ref="F11:F34" si="1">IF(G11&lt;&gt;"",
 IF(G11&lt;&gt;"GG",CONCATENATE(" [",LEFT(G$9,2),"]"),
 IF(H11&lt;&gt;"GG",CONCATENATE(" [",LEFT(H$9,1),"]"),
 IF(I11&lt;&gt;"GG",CONCATENATE(" [",LEFT(I$9,1),"]"),
 IF(J11&lt;&gt;"GG",CONCATENATE(" [",LEFT(J$9,1),"]"),
 IF(K11&lt;&gt;"GG",CONCATENATE(" [",LEFT(K$9,2),"]"),"n/a"))))),"-")</f>
        <v xml:space="preserve"> [G]</v>
      </c>
      <c r="G11" s="96" t="str">
        <f>IF(Levels!E2&lt;&gt;"",IF(SUM(Levels!E2-$D11)&lt;=0,"GG",SUM(Levels!E2-$D11)),"")</f>
        <v>GG</v>
      </c>
      <c r="H11" s="97" t="str">
        <f>IF(Levels!F2&lt;&gt;"",IF(SUM(Levels!F2-$D11)&lt;=0,"GG",SUM(Levels!F2-$D11)),"")</f>
        <v>GG</v>
      </c>
      <c r="I11" s="97">
        <f>IF(Levels!G2&lt;&gt;"",IF(SUM(Levels!G2-$D11)&lt;=0,"GG",SUM(Levels!G2-$D11)),"")</f>
        <v>261</v>
      </c>
      <c r="J11" s="97">
        <f>IF(Levels!H2&lt;&gt;"",IF(SUM(Levels!H2-$D11)&lt;0,"GG",SUM(Levels!H2-$D11)),"")</f>
        <v>8261</v>
      </c>
      <c r="K11" s="106">
        <f>IF(Levels!I2&lt;&gt;"",IF(SUM(Levels!I2-$D11)&lt;0,"GG",SUM(Levels!I2-$D11)),"")</f>
        <v>28261</v>
      </c>
      <c r="M11" s="171" t="str">
        <f>F11</f>
        <v xml:space="preserve"> [G]</v>
      </c>
      <c r="N11" s="151">
        <f>IF(E11&lt;&gt;"-",IF(INDEX(Progression!$E30:$XFD30,MATCH(-1,Progression!$E30:$XFD30,-1))&lt;&gt;0,E11/INDEX(Progression!$E30:$XFD30,MATCH(-1,Progression!$E30:$XFD30,-1)),"n/a"),"-")</f>
        <v>3.48</v>
      </c>
      <c r="O11" s="151">
        <f>IF(E11&lt;&gt;"-",IF(AVERAGE(Progression!AN30:AT30)&gt;0,E11/AVERAGE(Progression!AN30:AT30),"-"),"-")</f>
        <v>6.6923076923076925</v>
      </c>
      <c r="P11" s="151">
        <f>IF(E11&lt;&gt;"-",E11/AVERAGE(Progression!P30:AT30),"-")</f>
        <v>8.6534759358288778</v>
      </c>
      <c r="Q11" s="151">
        <f ca="1">IF(E11&lt;&gt;"-",E11/(SUM(Progression!D3,Progression!D30:XFD30)/D$2),"-")</f>
        <v>18.460609545715929</v>
      </c>
    </row>
    <row r="12" spans="1:17" x14ac:dyDescent="0.25">
      <c r="A12" s="12" t="str">
        <f>Levels!A3</f>
        <v>Discovery</v>
      </c>
      <c r="B12" s="73" t="str">
        <f>Levels!C3</f>
        <v>New portails submitted</v>
      </c>
      <c r="C12" s="73" t="str">
        <f>IF(Levels!B3&lt;&gt;"",Levels!B3,"")</f>
        <v>Seer</v>
      </c>
      <c r="D12" s="162">
        <v>6</v>
      </c>
      <c r="E12" s="98">
        <f t="shared" si="0"/>
        <v>4</v>
      </c>
      <c r="F12" s="99" t="str">
        <f t="shared" si="1"/>
        <v xml:space="preserve"> [Br]</v>
      </c>
      <c r="G12" s="100">
        <f>IF(Levels!E3&lt;&gt;"",IF(SUM(Levels!E3-$D12)&lt;=0,"GG",SUM(Levels!E3-$D12)),"")</f>
        <v>4</v>
      </c>
      <c r="H12" s="29">
        <f>IF(Levels!F3&lt;&gt;"",IF(SUM(Levels!F3-$D12)&lt;=0,"GG",SUM(Levels!F3-$D12)),"")</f>
        <v>44</v>
      </c>
      <c r="I12" s="29">
        <f>IF(Levels!G3&lt;&gt;"",IF(SUM(Levels!G3-$D12)&lt;=0,"GG",SUM(Levels!G3-$D12)),"")</f>
        <v>194</v>
      </c>
      <c r="J12" s="29">
        <f>IF(Levels!H3&lt;&gt;"",IF(SUM(Levels!H3-$D12)&lt;0,"GG",SUM(Levels!H3-$D12)),"")</f>
        <v>494</v>
      </c>
      <c r="K12" s="91">
        <f>IF(Levels!I3&lt;&gt;"",IF(SUM(Levels!I3-$D12)&lt;0,"GG",SUM(Levels!I3-$D12)),"")</f>
        <v>4994</v>
      </c>
      <c r="M12" s="172" t="str">
        <f t="shared" ref="M12:M34" si="2">F12</f>
        <v xml:space="preserve"> [Br]</v>
      </c>
      <c r="N12" s="152" t="str">
        <f>IF(E12&lt;&gt;"-",IF(INDEX(Progression!$E31:$XFD31,MATCH(-1,Progression!$E31:$XFD31,-1))&lt;&gt;0,E12/INDEX(Progression!$E31:$XFD31,MATCH(-1,Progression!$E31:$XFD31,-1)),"n/a"),"-")</f>
        <v>n/a</v>
      </c>
      <c r="O12" s="152" t="str">
        <f>IF(E12&lt;&gt;"-",IF(AVERAGE(Progression!AN31:AT31)&gt;0,E12/AVERAGE(Progression!AN31:AT31),"-"),"-")</f>
        <v>-</v>
      </c>
      <c r="P12" s="152">
        <f>IF(E12&lt;&gt;"-",E12/AVERAGE(Progression!P31:AT31),"-")</f>
        <v>20.666666666666668</v>
      </c>
      <c r="Q12" s="152">
        <f ca="1">IF(E12&lt;&gt;"-",E12/(SUM(Progression!D4,Progression!D31:XFD31)/D$2),"-")</f>
        <v>82</v>
      </c>
    </row>
    <row r="13" spans="1:17" ht="16.5" thickBot="1" x14ac:dyDescent="0.3">
      <c r="A13" s="16" t="str">
        <f>Levels!A4</f>
        <v>Discovery</v>
      </c>
      <c r="B13" s="92" t="str">
        <f>Levels!C4</f>
        <v>XM collected</v>
      </c>
      <c r="C13" s="92" t="str">
        <f>IF(Levels!B4&lt;&gt;"",Levels!B4,"")</f>
        <v/>
      </c>
      <c r="D13" s="163">
        <v>22782171</v>
      </c>
      <c r="E13" s="101" t="str">
        <f t="shared" si="0"/>
        <v>-</v>
      </c>
      <c r="F13" s="102" t="str">
        <f t="shared" si="1"/>
        <v>-</v>
      </c>
      <c r="G13" s="103" t="str">
        <f>IF(Levels!E4&lt;&gt;"",IF(SUM(Levels!E4-$D13)&lt;=0,"GG",SUM(Levels!E4-$D13)),"")</f>
        <v/>
      </c>
      <c r="H13" s="104" t="str">
        <f>IF(Levels!F4&lt;&gt;"",IF(SUM(Levels!F4-$D13)&lt;=0,"GG",SUM(Levels!F4-$D13)),"")</f>
        <v/>
      </c>
      <c r="I13" s="104" t="str">
        <f>IF(Levels!G4&lt;&gt;"",IF(SUM(Levels!G4-$D13)&lt;=0,"GG",SUM(Levels!G4-$D13)),"")</f>
        <v/>
      </c>
      <c r="J13" s="104" t="str">
        <f>IF(Levels!H4&lt;&gt;"",IF(SUM(Levels!H4-$D13)&lt;0,"GG",SUM(Levels!H4-$D13)),"")</f>
        <v/>
      </c>
      <c r="K13" s="105" t="str">
        <f>IF(Levels!I4&lt;&gt;"",IF(SUM(Levels!I4-$D13)&lt;0,"GG",SUM(Levels!I4-$D13)),"")</f>
        <v/>
      </c>
      <c r="M13" s="173" t="str">
        <f t="shared" si="2"/>
        <v>-</v>
      </c>
      <c r="N13" s="153" t="str">
        <f>IF(E13&lt;&gt;"-",IF(INDEX(Progression!$E32:$XFD32,MATCH(-1,Progression!$E32:$XFD32,-1))&lt;&gt;0,E13/INDEX(Progression!$E32:$XFD32,MATCH(-1,Progression!$E32:$XFD32,-1)),"n/a"),"-")</f>
        <v>-</v>
      </c>
      <c r="O13" s="153" t="str">
        <f>IF(E13&lt;&gt;"-",IF(AVERAGE(Progression!AN32:AT32)&gt;0,E13/AVERAGE(Progression!AN32:AT32),"-"),"-")</f>
        <v>-</v>
      </c>
      <c r="P13" s="153" t="str">
        <f>IF(E13&lt;&gt;"-",E13/AVERAGE(Progression!P32:AT32),"-")</f>
        <v>-</v>
      </c>
      <c r="Q13" s="153" t="str">
        <f>IF(E13&lt;&gt;"-",E13/(SUM(Progression!D5,Progression!D32:XFD32)/D$2),"-")</f>
        <v>-</v>
      </c>
    </row>
    <row r="14" spans="1:17" x14ac:dyDescent="0.25">
      <c r="A14" s="8" t="str">
        <f>Levels!A5</f>
        <v>Building</v>
      </c>
      <c r="B14" s="70" t="str">
        <f>Levels!C5</f>
        <v>Hacks</v>
      </c>
      <c r="C14" s="70" t="str">
        <f>IF(Levels!B5&lt;&gt;"",Levels!B5,"")</f>
        <v>Hacker</v>
      </c>
      <c r="D14" s="164">
        <v>9218</v>
      </c>
      <c r="E14" s="94">
        <f t="shared" si="0"/>
        <v>782</v>
      </c>
      <c r="F14" s="95" t="str">
        <f t="shared" si="1"/>
        <v xml:space="preserve"> [S]</v>
      </c>
      <c r="G14" s="96" t="str">
        <f>IF(Levels!E5&lt;&gt;"",IF(SUM(Levels!E5-$D14)&lt;=0,"GG",SUM(Levels!E5-$D14)),"")</f>
        <v>GG</v>
      </c>
      <c r="H14" s="97">
        <f>IF(Levels!F5&lt;&gt;"",IF(SUM(Levels!F5-$D14)&lt;=0,"GG",SUM(Levels!F5-$D14)),"")</f>
        <v>782</v>
      </c>
      <c r="I14" s="97">
        <f>IF(Levels!G5&lt;&gt;"",IF(SUM(Levels!G5-$D14)&lt;=0,"GG",SUM(Levels!G5-$D14)),"")</f>
        <v>20782</v>
      </c>
      <c r="J14" s="97">
        <f>IF(Levels!H5&lt;&gt;"",IF(SUM(Levels!H5-$D14)&lt;0,"GG",SUM(Levels!H5-$D14)),"")</f>
        <v>90782</v>
      </c>
      <c r="K14" s="106">
        <f>IF(Levels!I5&lt;&gt;"",IF(SUM(Levels!I5-$D14)&lt;0,"GG",SUM(Levels!I5-$D14)),"")</f>
        <v>190782</v>
      </c>
      <c r="M14" s="171" t="str">
        <f t="shared" si="2"/>
        <v xml:space="preserve"> [S]</v>
      </c>
      <c r="N14" s="154">
        <f>IF(E14&lt;&gt;"-",IF(INDEX(Progression!$E33:$XFD33,MATCH(-1,Progression!$E33:$XFD33,-1))&lt;&gt;0,E14/INDEX(Progression!$E33:$XFD33,MATCH(-1,Progression!$E33:$XFD33,-1)),"n/a"),"-")</f>
        <v>4.1818181818181817</v>
      </c>
      <c r="O14" s="154">
        <f>IF(E14&lt;&gt;"-",IF(AVERAGE(Progression!AN33:AT33)&gt;0,E14/AVERAGE(Progression!AN33:AT33),"-"),"-")</f>
        <v>4.4359805510534844</v>
      </c>
      <c r="P14" s="154">
        <f>IF(E14&lt;&gt;"-",E14/AVERAGE(Progression!P33:AT33),"-")</f>
        <v>4.620163903182771</v>
      </c>
      <c r="Q14" s="154">
        <f ca="1">IF(E14&lt;&gt;"-",E14/(SUM(Progression!D6,Progression!D33:XFD33)/D$2),"-")</f>
        <v>10.43458450857019</v>
      </c>
    </row>
    <row r="15" spans="1:17" x14ac:dyDescent="0.25">
      <c r="A15" s="12" t="str">
        <f>Levels!A6</f>
        <v>Building</v>
      </c>
      <c r="B15" s="73" t="str">
        <f>Levels!C6</f>
        <v>Resonators deployed</v>
      </c>
      <c r="C15" s="73" t="str">
        <f>IF(Levels!B6&lt;&gt;"",Levels!B6,"")</f>
        <v>Builder</v>
      </c>
      <c r="D15" s="162">
        <v>15886</v>
      </c>
      <c r="E15" s="98">
        <f t="shared" si="0"/>
        <v>14114</v>
      </c>
      <c r="F15" s="99" t="str">
        <f t="shared" si="1"/>
        <v xml:space="preserve"> [G]</v>
      </c>
      <c r="G15" s="100" t="str">
        <f>IF(Levels!E6&lt;&gt;"",IF(SUM(Levels!E6-$D15)&lt;=0,"GG",SUM(Levels!E6-$D15)),"")</f>
        <v>GG</v>
      </c>
      <c r="H15" s="29" t="str">
        <f>IF(Levels!F6&lt;&gt;"",IF(SUM(Levels!F6-$D15)&lt;=0,"GG",SUM(Levels!F6-$D15)),"")</f>
        <v>GG</v>
      </c>
      <c r="I15" s="29">
        <f>IF(Levels!G6&lt;&gt;"",IF(SUM(Levels!G6-$D15)&lt;=0,"GG",SUM(Levels!G6-$D15)),"")</f>
        <v>14114</v>
      </c>
      <c r="J15" s="29">
        <f>IF(Levels!H6&lt;&gt;"",IF(SUM(Levels!H6-$D15)&lt;0,"GG",SUM(Levels!H6-$D15)),"")</f>
        <v>84114</v>
      </c>
      <c r="K15" s="91">
        <f>IF(Levels!I6&lt;&gt;"",IF(SUM(Levels!I6-$D15)&lt;0,"GG",SUM(Levels!I6-$D15)),"")</f>
        <v>184114</v>
      </c>
      <c r="M15" s="172" t="str">
        <f t="shared" si="2"/>
        <v xml:space="preserve"> [G]</v>
      </c>
      <c r="N15" s="152">
        <f>IF(E15&lt;&gt;"-",IF(INDEX(Progression!$E34:$XFD34,MATCH(-1,Progression!$E34:$XFD34,-1))&lt;&gt;0,E15/INDEX(Progression!$E34:$XFD34,MATCH(-1,Progression!$E34:$XFD34,-1)),"n/a"),"-")</f>
        <v>19.281420765027324</v>
      </c>
      <c r="O15" s="152">
        <f>IF(E15&lt;&gt;"-",IF(AVERAGE(Progression!AN34:AT34)&gt;0,E15/AVERAGE(Progression!AN34:AT34),"-"),"-")</f>
        <v>26.644552319309604</v>
      </c>
      <c r="P15" s="152">
        <f>IF(E15&lt;&gt;"-",E15/AVERAGE(Progression!P34:AT34),"-")</f>
        <v>41.311868567651779</v>
      </c>
      <c r="Q15" s="152">
        <f ca="1">IF(E15&lt;&gt;"-",E15/(SUM(Progression!D7,Progression!D34:XFD34)/D$2),"-")</f>
        <v>109.27999496411935</v>
      </c>
    </row>
    <row r="16" spans="1:17" x14ac:dyDescent="0.25">
      <c r="A16" s="12" t="str">
        <f>Levels!A7</f>
        <v>Building</v>
      </c>
      <c r="B16" s="73" t="str">
        <f>Levels!C7</f>
        <v>Links created</v>
      </c>
      <c r="C16" s="73" t="str">
        <f>IF(Levels!B7&lt;&gt;"",Levels!B7,"")</f>
        <v>Connector</v>
      </c>
      <c r="D16" s="162">
        <v>1739</v>
      </c>
      <c r="E16" s="98">
        <f t="shared" si="0"/>
        <v>3261</v>
      </c>
      <c r="F16" s="99" t="str">
        <f t="shared" si="1"/>
        <v xml:space="preserve"> [G]</v>
      </c>
      <c r="G16" s="100" t="str">
        <f>IF(Levels!E7&lt;&gt;"",IF(SUM(Levels!E7-$D16)&lt;=0,"GG",SUM(Levels!E7-$D16)),"")</f>
        <v>GG</v>
      </c>
      <c r="H16" s="29" t="str">
        <f>IF(Levels!F7&lt;&gt;"",IF(SUM(Levels!F7-$D16)&lt;=0,"GG",SUM(Levels!F7-$D16)),"")</f>
        <v>GG</v>
      </c>
      <c r="I16" s="29">
        <f>IF(Levels!G7&lt;&gt;"",IF(SUM(Levels!G7-$D16)&lt;=0,"GG",SUM(Levels!G7-$D16)),"")</f>
        <v>3261</v>
      </c>
      <c r="J16" s="29">
        <f>IF(Levels!H7&lt;&gt;"",IF(SUM(Levels!H7-$D16)&lt;0,"GG",SUM(Levels!H7-$D16)),"")</f>
        <v>23261</v>
      </c>
      <c r="K16" s="91">
        <f>IF(Levels!I7&lt;&gt;"",IF(SUM(Levels!I7-$D16)&lt;0,"GG",SUM(Levels!I7-$D16)),"")</f>
        <v>98261</v>
      </c>
      <c r="M16" s="172" t="str">
        <f t="shared" si="2"/>
        <v xml:space="preserve"> [G]</v>
      </c>
      <c r="N16" s="152">
        <f>IF(E16&lt;&gt;"-",IF(INDEX(Progression!$E35:$XFD35,MATCH(-1,Progression!$E35:$XFD35,-1))&lt;&gt;0,E16/INDEX(Progression!$E35:$XFD35,MATCH(-1,Progression!$E35:$XFD35,-1)),"n/a"),"-")</f>
        <v>171.63157894736841</v>
      </c>
      <c r="O16" s="152">
        <f>IF(E16&lt;&gt;"-",IF(AVERAGE(Progression!AN35:AT35)&gt;0,E16/AVERAGE(Progression!AN35:AT35),"-"),"-")</f>
        <v>56.50247524752475</v>
      </c>
      <c r="P16" s="152">
        <f>IF(E16&lt;&gt;"-",E16/AVERAGE(Progression!P35:AT35),"-")</f>
        <v>86.922613929492698</v>
      </c>
      <c r="Q16" s="152">
        <f ca="1">IF(E16&lt;&gt;"-",E16/(SUM(Progression!D8,Progression!D35:XFD35)/D$2),"-")</f>
        <v>230.65152386428983</v>
      </c>
    </row>
    <row r="17" spans="1:17" x14ac:dyDescent="0.25">
      <c r="A17" s="12" t="str">
        <f>Levels!A8</f>
        <v>Building</v>
      </c>
      <c r="B17" s="73" t="str">
        <f>Levels!C8</f>
        <v>Control fields created</v>
      </c>
      <c r="C17" s="73" t="str">
        <f>IF(Levels!B8&lt;&gt;"",Levels!B8,"")</f>
        <v>Mind Controller</v>
      </c>
      <c r="D17" s="162">
        <v>914</v>
      </c>
      <c r="E17" s="98">
        <f t="shared" si="0"/>
        <v>1086</v>
      </c>
      <c r="F17" s="99" t="str">
        <f t="shared" si="1"/>
        <v xml:space="preserve"> [G]</v>
      </c>
      <c r="G17" s="100" t="str">
        <f>IF(Levels!E8&lt;&gt;"",IF(SUM(Levels!E8-$D17)&lt;=0,"GG",SUM(Levels!E8-$D17)),"")</f>
        <v>GG</v>
      </c>
      <c r="H17" s="29" t="str">
        <f>IF(Levels!F8&lt;&gt;"",IF(SUM(Levels!F8-$D17)&lt;=0,"GG",SUM(Levels!F8-$D17)),"")</f>
        <v>GG</v>
      </c>
      <c r="I17" s="29">
        <f>IF(Levels!G8&lt;&gt;"",IF(SUM(Levels!G8-$D17)&lt;=0,"GG",SUM(Levels!G8-$D17)),"")</f>
        <v>1086</v>
      </c>
      <c r="J17" s="29">
        <f>IF(Levels!H8&lt;&gt;"",IF(SUM(Levels!H8-$D17)&lt;0,"GG",SUM(Levels!H8-$D17)),"")</f>
        <v>9086</v>
      </c>
      <c r="K17" s="91">
        <f>IF(Levels!I8&lt;&gt;"",IF(SUM(Levels!I8-$D17)&lt;0,"GG",SUM(Levels!I8-$D17)),"")</f>
        <v>39086</v>
      </c>
      <c r="M17" s="172" t="str">
        <f t="shared" si="2"/>
        <v xml:space="preserve"> [G]</v>
      </c>
      <c r="N17" s="152">
        <f>IF(E17&lt;&gt;"-",IF(INDEX(Progression!$E36:$XFD36,MATCH(-1,Progression!$E36:$XFD36,-1))&lt;&gt;0,E17/INDEX(Progression!$E36:$XFD36,MATCH(-1,Progression!$E36:$XFD36,-1)),"n/a"),"-")</f>
        <v>90.5</v>
      </c>
      <c r="O17" s="152">
        <f>IF(E17&lt;&gt;"-",IF(AVERAGE(Progression!AN36:AT36)&gt;0,E17/AVERAGE(Progression!AN36:AT36),"-"),"-")</f>
        <v>38.393939393939398</v>
      </c>
      <c r="P17" s="152">
        <f>IF(E17&lt;&gt;"-",E17/AVERAGE(Progression!P36:AT36),"-")</f>
        <v>56.297658862876254</v>
      </c>
      <c r="Q17" s="152">
        <f ca="1">IF(E17&lt;&gt;"-",E17/(SUM(Progression!D9,Progression!D36:XFD36)/D$2),"-")</f>
        <v>146.14660831509846</v>
      </c>
    </row>
    <row r="18" spans="1:17" x14ac:dyDescent="0.25">
      <c r="A18" s="12" t="str">
        <f>Levels!A9</f>
        <v>Building</v>
      </c>
      <c r="B18" s="73" t="str">
        <f>Levels!C9</f>
        <v>Mind Units captured</v>
      </c>
      <c r="C18" s="73" t="str">
        <f>IF(Levels!B9&lt;&gt;"",Levels!B9,"")</f>
        <v/>
      </c>
      <c r="D18" s="162">
        <v>29515</v>
      </c>
      <c r="E18" s="98" t="str">
        <f t="shared" si="0"/>
        <v>-</v>
      </c>
      <c r="F18" s="99" t="str">
        <f t="shared" si="1"/>
        <v>-</v>
      </c>
      <c r="G18" s="100" t="str">
        <f>IF(Levels!E9&lt;&gt;"",IF(SUM(Levels!E9-$D18)&lt;=0,"GG",SUM(Levels!E9-$D18)),"")</f>
        <v/>
      </c>
      <c r="H18" s="29" t="str">
        <f>IF(Levels!F9&lt;&gt;"",IF(SUM(Levels!F9-$D18)&lt;=0,"GG",SUM(Levels!F9-$D18)),"")</f>
        <v/>
      </c>
      <c r="I18" s="29" t="str">
        <f>IF(Levels!G9&lt;&gt;"",IF(SUM(Levels!G9-$D18)&lt;=0,"GG",SUM(Levels!G9-$D18)),"")</f>
        <v/>
      </c>
      <c r="J18" s="29" t="str">
        <f>IF(Levels!H9&lt;&gt;"",IF(SUM(Levels!H9-$D18)&lt;0,"GG",SUM(Levels!H9-$D18)),"")</f>
        <v/>
      </c>
      <c r="K18" s="91" t="str">
        <f>IF(Levels!I9&lt;&gt;"",IF(SUM(Levels!I9-$D18)&lt;0,"GG",SUM(Levels!I9-$D18)),"")</f>
        <v/>
      </c>
      <c r="M18" s="172" t="str">
        <f t="shared" si="2"/>
        <v>-</v>
      </c>
      <c r="N18" s="152" t="str">
        <f>IF(E18&lt;&gt;"-",IF(INDEX(Progression!$E37:$XFD37,MATCH(-1,Progression!$E37:$XFD37,-1))&lt;&gt;0,E18/INDEX(Progression!$E37:$XFD37,MATCH(-1,Progression!$E37:$XFD37,-1)),"n/a"),"-")</f>
        <v>-</v>
      </c>
      <c r="O18" s="152" t="str">
        <f>IF(E18&lt;&gt;"-",IF(AVERAGE(Progression!AN37:AT37)&gt;0,E18/AVERAGE(Progression!AN37:AT37),"-"),"-")</f>
        <v>-</v>
      </c>
      <c r="P18" s="152" t="str">
        <f>IF(E18&lt;&gt;"-",E18/AVERAGE(Progression!P37:AT37),"-")</f>
        <v>-</v>
      </c>
      <c r="Q18" s="152" t="str">
        <f>IF(E18&lt;&gt;"-",E18/(SUM(Progression!D10,Progression!D37:XFD37)/D$2),"-")</f>
        <v>-</v>
      </c>
    </row>
    <row r="19" spans="1:17" x14ac:dyDescent="0.25">
      <c r="A19" s="12" t="str">
        <f>Levels!A10</f>
        <v>Building</v>
      </c>
      <c r="B19" s="73" t="str">
        <f>Levels!C10</f>
        <v>Longest link ever created</v>
      </c>
      <c r="C19" s="73" t="str">
        <f>IF(Levels!B10&lt;&gt;"",Levels!B10,"")</f>
        <v/>
      </c>
      <c r="D19" s="165">
        <v>11</v>
      </c>
      <c r="E19" s="98" t="str">
        <f t="shared" si="0"/>
        <v>-</v>
      </c>
      <c r="F19" s="99" t="str">
        <f t="shared" si="1"/>
        <v>-</v>
      </c>
      <c r="G19" s="100" t="str">
        <f>IF(Levels!E10&lt;&gt;"",IF(SUM(Levels!E10-$D19)&lt;=0,"GG",SUM(Levels!E10-$D19)),"")</f>
        <v/>
      </c>
      <c r="H19" s="29" t="str">
        <f>IF(Levels!F10&lt;&gt;"",IF(SUM(Levels!F10-$D19)&lt;=0,"GG",SUM(Levels!F10-$D19)),"")</f>
        <v/>
      </c>
      <c r="I19" s="29" t="str">
        <f>IF(Levels!G10&lt;&gt;"",IF(SUM(Levels!G10-$D19)&lt;=0,"GG",SUM(Levels!G10-$D19)),"")</f>
        <v/>
      </c>
      <c r="J19" s="29" t="str">
        <f>IF(Levels!H10&lt;&gt;"",IF(SUM(Levels!H10-$D19)&lt;0,"GG",SUM(Levels!H10-$D19)),"")</f>
        <v/>
      </c>
      <c r="K19" s="91" t="str">
        <f>IF(Levels!I10&lt;&gt;"",IF(SUM(Levels!I10-$D19)&lt;0,"GG",SUM(Levels!I10-$D19)),"")</f>
        <v/>
      </c>
      <c r="M19" s="172" t="str">
        <f t="shared" si="2"/>
        <v>-</v>
      </c>
      <c r="N19" s="152" t="str">
        <f>IF(E19&lt;&gt;"-",IF(INDEX(Progression!$E38:$XFD38,MATCH(-1,Progression!$E38:$XFD38,-1))&lt;&gt;0,E19/INDEX(Progression!$E38:$XFD38,MATCH(-1,Progression!$E38:$XFD38,-1)),"n/a"),"-")</f>
        <v>-</v>
      </c>
      <c r="O19" s="152" t="str">
        <f>IF(E19&lt;&gt;"-",IF(AVERAGE(Progression!AN38:AT38)&gt;0,E19/AVERAGE(Progression!AN38:AT38),"-"),"-")</f>
        <v>-</v>
      </c>
      <c r="P19" s="152" t="str">
        <f>IF(E19&lt;&gt;"-",E19/AVERAGE(Progression!P38:AT38),"-")</f>
        <v>-</v>
      </c>
      <c r="Q19" s="152" t="str">
        <f>IF(E19&lt;&gt;"-",E19/(SUM(Progression!D11,Progression!D38:XFD38)/D$2),"-")</f>
        <v>-</v>
      </c>
    </row>
    <row r="20" spans="1:17" x14ac:dyDescent="0.25">
      <c r="A20" s="12" t="str">
        <f>Levels!A11</f>
        <v>Building</v>
      </c>
      <c r="B20" s="73" t="str">
        <f>Levels!C11</f>
        <v>Largest field control</v>
      </c>
      <c r="C20" s="73" t="str">
        <f>IF(Levels!B11&lt;&gt;"",Levels!B11,"")</f>
        <v/>
      </c>
      <c r="D20" s="162">
        <v>472</v>
      </c>
      <c r="E20" s="98" t="str">
        <f t="shared" si="0"/>
        <v>-</v>
      </c>
      <c r="F20" s="99" t="str">
        <f t="shared" si="1"/>
        <v>-</v>
      </c>
      <c r="G20" s="100" t="str">
        <f>IF(Levels!E11&lt;&gt;"",IF(SUM(Levels!E11-$D20)&lt;=0,"GG",SUM(Levels!E11-$D20)),"")</f>
        <v/>
      </c>
      <c r="H20" s="29" t="str">
        <f>IF(Levels!F11&lt;&gt;"",IF(SUM(Levels!F11-$D20)&lt;=0,"GG",SUM(Levels!F11-$D20)),"")</f>
        <v/>
      </c>
      <c r="I20" s="29" t="str">
        <f>IF(Levels!G11&lt;&gt;"",IF(SUM(Levels!G11-$D20)&lt;=0,"GG",SUM(Levels!G11-$D20)),"")</f>
        <v/>
      </c>
      <c r="J20" s="29" t="str">
        <f>IF(Levels!H11&lt;&gt;"",IF(SUM(Levels!H11-$D20)&lt;0,"GG",SUM(Levels!H11-$D20)),"")</f>
        <v/>
      </c>
      <c r="K20" s="91" t="str">
        <f>IF(Levels!I11&lt;&gt;"",IF(SUM(Levels!I11-$D20)&lt;0,"GG",SUM(Levels!I11-$D20)),"")</f>
        <v/>
      </c>
      <c r="M20" s="172" t="str">
        <f t="shared" si="2"/>
        <v>-</v>
      </c>
      <c r="N20" s="152" t="str">
        <f>IF(E20&lt;&gt;"-",IF(INDEX(Progression!$E39:$XFD39,MATCH(-1,Progression!$E39:$XFD39,-1))&lt;&gt;0,E20/INDEX(Progression!$E39:$XFD39,MATCH(-1,Progression!$E39:$XFD39,-1)),"n/a"),"-")</f>
        <v>-</v>
      </c>
      <c r="O20" s="152" t="str">
        <f>IF(E20&lt;&gt;"-",IF(AVERAGE(Progression!AN39:AT39)&gt;0,E20/AVERAGE(Progression!AN39:AT39),"-"),"-")</f>
        <v>-</v>
      </c>
      <c r="P20" s="152" t="str">
        <f>IF(E20&lt;&gt;"-",E20/AVERAGE(Progression!P39:AT39),"-")</f>
        <v>-</v>
      </c>
      <c r="Q20" s="152" t="str">
        <f>IF(E20&lt;&gt;"-",E20/(SUM(Progression!D12,Progression!D39:XFD39)/D$2),"-")</f>
        <v>-</v>
      </c>
    </row>
    <row r="21" spans="1:17" x14ac:dyDescent="0.25">
      <c r="A21" s="12" t="str">
        <f>Levels!A12</f>
        <v>Building</v>
      </c>
      <c r="B21" s="73" t="str">
        <f>Levels!C12</f>
        <v>XM recharged</v>
      </c>
      <c r="C21" s="73" t="str">
        <f>IF(Levels!B12&lt;&gt;"",Levels!B12,"")</f>
        <v>Recharger</v>
      </c>
      <c r="D21" s="166">
        <v>11238023</v>
      </c>
      <c r="E21" s="98">
        <f t="shared" si="0"/>
        <v>13761977</v>
      </c>
      <c r="F21" s="99" t="str">
        <f t="shared" si="1"/>
        <v xml:space="preserve"> [Bl]</v>
      </c>
      <c r="G21" s="100" t="str">
        <f>IF(Levels!E12&lt;&gt;"",IF(SUM(Levels!E12-$D21)&lt;=0,"GG",SUM(Levels!E12-$D21)),"")</f>
        <v>GG</v>
      </c>
      <c r="H21" s="29" t="str">
        <f>IF(Levels!F12&lt;&gt;"",IF(SUM(Levels!F12-$D21)&lt;=0,"GG",SUM(Levels!F12-$D21)),"")</f>
        <v>GG</v>
      </c>
      <c r="I21" s="29" t="str">
        <f>IF(Levels!G12&lt;&gt;"",IF(SUM(Levels!G12-$D21)&lt;=0,"GG",SUM(Levels!G12-$D21)),"")</f>
        <v>GG</v>
      </c>
      <c r="J21" s="29" t="str">
        <f>IF(Levels!H12&lt;&gt;"",IF(SUM(Levels!H12-$D21)&lt;0,"GG",SUM(Levels!H12-$D21)),"")</f>
        <v>GG</v>
      </c>
      <c r="K21" s="91">
        <f>IF(Levels!I12&lt;&gt;"",IF(SUM(Levels!I12-$D21)&lt;0,"GG",SUM(Levels!I12-$D21)),"")</f>
        <v>13761977</v>
      </c>
      <c r="M21" s="172" t="str">
        <f t="shared" si="2"/>
        <v xml:space="preserve"> [Bl]</v>
      </c>
      <c r="N21" s="152">
        <f>IF(E21&lt;&gt;"-",IF(INDEX(Progression!$E40:$XFD40,MATCH(-1,Progression!$E40:$XFD40,-1))&lt;&gt;0,E21/INDEX(Progression!$E40:$XFD40,MATCH(-1,Progression!$E40:$XFD40,-1)),"n/a"),"-")</f>
        <v>156.73519429638742</v>
      </c>
      <c r="O21" s="152">
        <f>IF(E21&lt;&gt;"-",IF(AVERAGE(Progression!AN40:AT40)&gt;0,E21/AVERAGE(Progression!AN40:AT40),"-"),"-")</f>
        <v>64.341720199142145</v>
      </c>
      <c r="P21" s="152">
        <f>IF(E21&lt;&gt;"-",E21/AVERAGE(Progression!P40:AT40),"-")</f>
        <v>54.719871197953942</v>
      </c>
      <c r="Q21" s="152">
        <f ca="1">IF(E21&lt;&gt;"-",E21/(SUM(Progression!D13,Progression!D40:XFD40)/D$2),"-")</f>
        <v>150.62464020584403</v>
      </c>
    </row>
    <row r="22" spans="1:17" x14ac:dyDescent="0.25">
      <c r="A22" s="12" t="str">
        <f>Levels!A13</f>
        <v>Building</v>
      </c>
      <c r="B22" s="73" t="str">
        <f>Levels!C13</f>
        <v>Portails captured</v>
      </c>
      <c r="C22" s="73" t="str">
        <f>IF(Levels!B13&lt;&gt;"",Levels!B13,"")</f>
        <v>Liberator</v>
      </c>
      <c r="D22" s="162">
        <v>2154</v>
      </c>
      <c r="E22" s="98">
        <f t="shared" si="0"/>
        <v>2846</v>
      </c>
      <c r="F22" s="99" t="str">
        <f t="shared" si="1"/>
        <v xml:space="preserve"> [G]</v>
      </c>
      <c r="G22" s="100" t="str">
        <f>IF(Levels!E13&lt;&gt;"",IF(SUM(Levels!E13-$D22)&lt;=0,"GG",SUM(Levels!E13-$D22)),"")</f>
        <v>GG</v>
      </c>
      <c r="H22" s="29" t="str">
        <f>IF(Levels!F13&lt;&gt;"",IF(SUM(Levels!F13-$D22)&lt;=0,"GG",SUM(Levels!F13-$D22)),"")</f>
        <v>GG</v>
      </c>
      <c r="I22" s="29">
        <f>IF(Levels!G13&lt;&gt;"",IF(SUM(Levels!G13-$D22)&lt;=0,"GG",SUM(Levels!G13-$D22)),"")</f>
        <v>2846</v>
      </c>
      <c r="J22" s="29">
        <f>IF(Levels!H13&lt;&gt;"",IF(SUM(Levels!H13-$D22)&lt;0,"GG",SUM(Levels!H13-$D22)),"")</f>
        <v>12846</v>
      </c>
      <c r="K22" s="91">
        <f>IF(Levels!I13&lt;&gt;"",IF(SUM(Levels!I13-$D22)&lt;0,"GG",SUM(Levels!I13-$D22)),"")</f>
        <v>37846</v>
      </c>
      <c r="M22" s="172" t="str">
        <f t="shared" si="2"/>
        <v xml:space="preserve"> [G]</v>
      </c>
      <c r="N22" s="152">
        <f>IF(E22&lt;&gt;"-",IF(INDEX(Progression!$E41:$XFD41,MATCH(-1,Progression!$E41:$XFD41,-1))&lt;&gt;0,E22/INDEX(Progression!$E41:$XFD41,MATCH(-1,Progression!$E41:$XFD41,-1)),"n/a"),"-")</f>
        <v>31.977528089887642</v>
      </c>
      <c r="O22" s="152">
        <f>IF(E22&lt;&gt;"-",IF(AVERAGE(Progression!AN41:AT41)&gt;0,E22/AVERAGE(Progression!AN41:AT41),"-"),"-")</f>
        <v>43.881057268722465</v>
      </c>
      <c r="P22" s="152">
        <f>IF(E22&lt;&gt;"-",E22/AVERAGE(Progression!P41:AT41),"-")</f>
        <v>58.54412740544128</v>
      </c>
      <c r="Q22" s="152">
        <f ca="1">IF(E22&lt;&gt;"-",E22/(SUM(Progression!D14,Progression!D41:XFD41)/D$2),"-")</f>
        <v>162.51532033426184</v>
      </c>
    </row>
    <row r="23" spans="1:17" ht="16.5" thickBot="1" x14ac:dyDescent="0.3">
      <c r="A23" s="16" t="str">
        <f>Levels!A14</f>
        <v>Building</v>
      </c>
      <c r="B23" s="92" t="str">
        <f>Levels!C14</f>
        <v>Unique portails captured</v>
      </c>
      <c r="C23" s="92" t="str">
        <f>IF(Levels!B14&lt;&gt;"",Levels!B14,"")</f>
        <v>Pioneer</v>
      </c>
      <c r="D23" s="167">
        <v>664</v>
      </c>
      <c r="E23" s="101">
        <f t="shared" si="0"/>
        <v>336</v>
      </c>
      <c r="F23" s="102" t="str">
        <f t="shared" si="1"/>
        <v xml:space="preserve"> [G]</v>
      </c>
      <c r="G23" s="103" t="str">
        <f>IF(Levels!E14&lt;&gt;"",IF(SUM(Levels!E14-$D23)&lt;=0,"GG",SUM(Levels!E14-$D23)),"")</f>
        <v>GG</v>
      </c>
      <c r="H23" s="104" t="str">
        <f>IF(Levels!F14&lt;&gt;"",IF(SUM(Levels!F14-$D23)&lt;=0,"GG",SUM(Levels!F14-$D23)),"")</f>
        <v>GG</v>
      </c>
      <c r="I23" s="104">
        <f>IF(Levels!G14&lt;&gt;"",IF(SUM(Levels!G14-$D23)&lt;=0,"GG",SUM(Levels!G14-$D23)),"")</f>
        <v>336</v>
      </c>
      <c r="J23" s="104">
        <f>IF(Levels!H14&lt;&gt;"",IF(SUM(Levels!H14-$D23)&lt;0,"GG",SUM(Levels!H14-$D23)),"")</f>
        <v>4336</v>
      </c>
      <c r="K23" s="105">
        <f>IF(Levels!I14&lt;&gt;"",IF(SUM(Levels!I14-$D23)&lt;0,"GG",SUM(Levels!I14-$D23)),"")</f>
        <v>19336</v>
      </c>
      <c r="M23" s="173" t="str">
        <f t="shared" si="2"/>
        <v xml:space="preserve"> [G]</v>
      </c>
      <c r="N23" s="153">
        <f>IF(E23&lt;&gt;"-",IF(INDEX(Progression!$E42:$XFD42,MATCH(-1,Progression!$E42:$XFD42,-1))&lt;&gt;0,E23/INDEX(Progression!$E42:$XFD42,MATCH(-1,Progression!$E42:$XFD42,-1)),"n/a"),"-")</f>
        <v>6.8571428571428568</v>
      </c>
      <c r="O23" s="153">
        <f>IF(E23&lt;&gt;"-",IF(AVERAGE(Progression!AN42:AT42)&gt;0,E23/AVERAGE(Progression!AN42:AT42),"-"),"-")</f>
        <v>15.174193548387096</v>
      </c>
      <c r="P23" s="153">
        <f>IF(E23&lt;&gt;"-",E23/AVERAGE(Progression!P42:AT42),"-")</f>
        <v>25.718518518518518</v>
      </c>
      <c r="Q23" s="153">
        <f ca="1">IF(E23&lt;&gt;"-",E23/(SUM(Progression!D15,Progression!D42:XFD42)/D$2),"-")</f>
        <v>62.240963855421683</v>
      </c>
    </row>
    <row r="24" spans="1:17" x14ac:dyDescent="0.25">
      <c r="A24" s="8" t="str">
        <f>Levels!A15</f>
        <v>Combat</v>
      </c>
      <c r="B24" s="70" t="str">
        <f>Levels!C15</f>
        <v>Resonators destroyed</v>
      </c>
      <c r="C24" s="70" t="str">
        <f>IF(Levels!B15&lt;&gt;"",Levels!B15,"")</f>
        <v>Purifier</v>
      </c>
      <c r="D24" s="164">
        <v>10670</v>
      </c>
      <c r="E24" s="94">
        <f t="shared" si="0"/>
        <v>19330</v>
      </c>
      <c r="F24" s="95" t="str">
        <f t="shared" si="1"/>
        <v xml:space="preserve"> [G]</v>
      </c>
      <c r="G24" s="96" t="str">
        <f>IF(Levels!E15&lt;&gt;"",IF(SUM(Levels!E15-$D24)&lt;=0,"GG",SUM(Levels!E15-$D24)),"")</f>
        <v>GG</v>
      </c>
      <c r="H24" s="97" t="str">
        <f>IF(Levels!F15&lt;&gt;"",IF(SUM(Levels!F15-$D24)&lt;=0,"GG",SUM(Levels!F15-$D24)),"")</f>
        <v>GG</v>
      </c>
      <c r="I24" s="97">
        <f>IF(Levels!G15&lt;&gt;"",IF(SUM(Levels!G15-$D24)&lt;=0,"GG",SUM(Levels!G15-$D24)),"")</f>
        <v>19330</v>
      </c>
      <c r="J24" s="97">
        <f>IF(Levels!H15&lt;&gt;"",IF(SUM(Levels!H15-$D24)&lt;0,"GG",SUM(Levels!H15-$D24)),"")</f>
        <v>89330</v>
      </c>
      <c r="K24" s="106">
        <f>IF(Levels!I15&lt;&gt;"",IF(SUM(Levels!I15-$D24)&lt;0,"GG",SUM(Levels!I15-$D24)),"")</f>
        <v>289330</v>
      </c>
      <c r="M24" s="171" t="str">
        <f t="shared" si="2"/>
        <v xml:space="preserve"> [G]</v>
      </c>
      <c r="N24" s="154">
        <f>IF(E24&lt;&gt;"-",IF(INDEX(Progression!$E43:$XFD43,MATCH(-1,Progression!$E43:$XFD43,-1))&lt;&gt;0,E24/INDEX(Progression!$E43:$XFD43,MATCH(-1,Progression!$E43:$XFD43,-1)),"n/a"),"-")</f>
        <v>42.86031042128603</v>
      </c>
      <c r="O24" s="154">
        <f>IF(E24&lt;&gt;"-",IF(AVERAGE(Progression!AN43:AT43)&gt;0,E24/AVERAGE(Progression!AN43:AT43),"-"),"-")</f>
        <v>56.90075693860387</v>
      </c>
      <c r="P24" s="154">
        <f>IF(E24&lt;&gt;"-",E24/AVERAGE(Progression!P43:AT43),"-")</f>
        <v>72.563574715427464</v>
      </c>
      <c r="Q24" s="154">
        <f ca="1">IF(E24&lt;&gt;"-",E24/(SUM(Progression!D16,Progression!D43:XFD43)/D$2),"-")</f>
        <v>222.82942830365511</v>
      </c>
    </row>
    <row r="25" spans="1:17" x14ac:dyDescent="0.25">
      <c r="A25" s="20" t="str">
        <f>Levels!A16</f>
        <v>Combat</v>
      </c>
      <c r="B25" s="73" t="str">
        <f>Levels!C16</f>
        <v>Portals neutralized</v>
      </c>
      <c r="C25" s="73" t="str">
        <f>IF(Levels!B16&lt;&gt;"",Levels!B16,"")</f>
        <v/>
      </c>
      <c r="D25" s="162">
        <v>1727</v>
      </c>
      <c r="E25" s="98" t="str">
        <f t="shared" si="0"/>
        <v>-</v>
      </c>
      <c r="F25" s="99" t="str">
        <f t="shared" si="1"/>
        <v>-</v>
      </c>
      <c r="G25" s="100" t="str">
        <f>IF(Levels!E16&lt;&gt;"",IF(SUM(Levels!E16-$D25)&lt;=0,"GG",SUM(Levels!E16-$D25)),"")</f>
        <v/>
      </c>
      <c r="H25" s="29" t="str">
        <f>IF(Levels!F16&lt;&gt;"",IF(SUM(Levels!F16-$D25)&lt;=0,"GG",SUM(Levels!F16-$D25)),"")</f>
        <v/>
      </c>
      <c r="I25" s="29" t="str">
        <f>IF(Levels!G16&lt;&gt;"",IF(SUM(Levels!G16-$D25)&lt;=0,"GG",SUM(Levels!G16-$D25)),"")</f>
        <v/>
      </c>
      <c r="J25" s="29" t="str">
        <f>IF(Levels!H16&lt;&gt;"",IF(SUM(Levels!H16-$D25)&lt;0,"GG",SUM(Levels!H16-$D25)),"")</f>
        <v/>
      </c>
      <c r="K25" s="91" t="str">
        <f>IF(Levels!I16&lt;&gt;"",IF(SUM(Levels!I16-$D25)&lt;0,"GG",SUM(Levels!I16-$D25)),"")</f>
        <v/>
      </c>
      <c r="M25" s="172" t="str">
        <f t="shared" si="2"/>
        <v>-</v>
      </c>
      <c r="N25" s="152" t="str">
        <f>IF(E25&lt;&gt;"-",IF(INDEX(Progression!$E44:$XFD44,MATCH(-1,Progression!$E44:$XFD44,-1))&lt;&gt;0,E25/INDEX(Progression!$E44:$XFD44,MATCH(-1,Progression!$E44:$XFD44,-1)),"n/a"),"-")</f>
        <v>-</v>
      </c>
      <c r="O25" s="152" t="str">
        <f>IF(E25&lt;&gt;"-",IF(AVERAGE(Progression!AN44:AT44)&gt;0,E25/AVERAGE(Progression!AN44:AT44),"-"),"-")</f>
        <v>-</v>
      </c>
      <c r="P25" s="152" t="str">
        <f>IF(E25&lt;&gt;"-",E25/AVERAGE(Progression!P44:AT44),"-")</f>
        <v>-</v>
      </c>
      <c r="Q25" s="152" t="str">
        <f>IF(E25&lt;&gt;"-",E25/(SUM(Progression!D17,Progression!D44:XFD44)/D$2),"-")</f>
        <v>-</v>
      </c>
    </row>
    <row r="26" spans="1:17" x14ac:dyDescent="0.25">
      <c r="A26" s="20" t="str">
        <f>Levels!A17</f>
        <v>Combat</v>
      </c>
      <c r="B26" s="73" t="str">
        <f>Levels!C17</f>
        <v>Enemy links destroyed</v>
      </c>
      <c r="C26" s="73" t="str">
        <f>IF(Levels!B17&lt;&gt;"",Levels!B17,"")</f>
        <v/>
      </c>
      <c r="D26" s="162">
        <v>1273</v>
      </c>
      <c r="E26" s="98" t="str">
        <f t="shared" si="0"/>
        <v>-</v>
      </c>
      <c r="F26" s="99" t="str">
        <f t="shared" si="1"/>
        <v>-</v>
      </c>
      <c r="G26" s="100" t="str">
        <f>IF(Levels!E17&lt;&gt;"",IF(SUM(Levels!E17-$D26)&lt;=0,"GG",SUM(Levels!E17-$D26)),"")</f>
        <v/>
      </c>
      <c r="H26" s="29" t="str">
        <f>IF(Levels!F17&lt;&gt;"",IF(SUM(Levels!F17-$D26)&lt;=0,"GG",SUM(Levels!F17-$D26)),"")</f>
        <v/>
      </c>
      <c r="I26" s="29" t="str">
        <f>IF(Levels!G17&lt;&gt;"",IF(SUM(Levels!G17-$D26)&lt;=0,"GG",SUM(Levels!G17-$D26)),"")</f>
        <v/>
      </c>
      <c r="J26" s="29" t="str">
        <f>IF(Levels!H17&lt;&gt;"",IF(SUM(Levels!H17-$D26)&lt;0,"GG",SUM(Levels!H17-$D26)),"")</f>
        <v/>
      </c>
      <c r="K26" s="91" t="str">
        <f>IF(Levels!I17&lt;&gt;"",IF(SUM(Levels!I17-$D26)&lt;0,"GG",SUM(Levels!I17-$D26)),"")</f>
        <v/>
      </c>
      <c r="M26" s="172" t="str">
        <f t="shared" si="2"/>
        <v>-</v>
      </c>
      <c r="N26" s="152" t="str">
        <f>IF(E26&lt;&gt;"-",IF(INDEX(Progression!$E45:$XFD45,MATCH(-1,Progression!$E45:$XFD45,-1))&lt;&gt;0,E26/INDEX(Progression!$E45:$XFD45,MATCH(-1,Progression!$E45:$XFD45,-1)),"n/a"),"-")</f>
        <v>-</v>
      </c>
      <c r="O26" s="152" t="str">
        <f>IF(E26&lt;&gt;"-",IF(AVERAGE(Progression!AN45:AT45)&gt;0,E26/AVERAGE(Progression!AN45:AT45),"-"),"-")</f>
        <v>-</v>
      </c>
      <c r="P26" s="152" t="str">
        <f>IF(E26&lt;&gt;"-",E26/AVERAGE(Progression!P45:AT45),"-")</f>
        <v>-</v>
      </c>
      <c r="Q26" s="152" t="str">
        <f>IF(E26&lt;&gt;"-",E26/(SUM(Progression!D18,Progression!D45:XFD45)/D$2),"-")</f>
        <v>-</v>
      </c>
    </row>
    <row r="27" spans="1:17" ht="16.5" thickBot="1" x14ac:dyDescent="0.3">
      <c r="A27" s="21" t="str">
        <f>Levels!A18</f>
        <v>Combat</v>
      </c>
      <c r="B27" s="92" t="str">
        <f>Levels!C18</f>
        <v>Enemy control fields destroyed</v>
      </c>
      <c r="C27" s="92" t="str">
        <f>IF(Levels!B18&lt;&gt;"",Levels!B18,"")</f>
        <v/>
      </c>
      <c r="D27" s="167">
        <v>490</v>
      </c>
      <c r="E27" s="101" t="str">
        <f t="shared" si="0"/>
        <v>-</v>
      </c>
      <c r="F27" s="102" t="str">
        <f t="shared" si="1"/>
        <v>-</v>
      </c>
      <c r="G27" s="103" t="str">
        <f>IF(Levels!E18&lt;&gt;"",IF(SUM(Levels!E18-$D27)&lt;=0,"GG",SUM(Levels!E18-$D27)),"")</f>
        <v/>
      </c>
      <c r="H27" s="104" t="str">
        <f>IF(Levels!F18&lt;&gt;"",IF(SUM(Levels!F18-$D27)&lt;=0,"GG",SUM(Levels!F18-$D27)),"")</f>
        <v/>
      </c>
      <c r="I27" s="104" t="str">
        <f>IF(Levels!G18&lt;&gt;"",IF(SUM(Levels!G18-$D27)&lt;=0,"GG",SUM(Levels!G18-$D27)),"")</f>
        <v/>
      </c>
      <c r="J27" s="104" t="str">
        <f>IF(Levels!H18&lt;&gt;"",IF(SUM(Levels!H18-$D27)&lt;0,"GG",SUM(Levels!H18-$D27)),"")</f>
        <v/>
      </c>
      <c r="K27" s="105" t="str">
        <f>IF(Levels!I18&lt;&gt;"",IF(SUM(Levels!I18-$D27)&lt;0,"GG",SUM(Levels!I18-$D27)),"")</f>
        <v/>
      </c>
      <c r="M27" s="173" t="str">
        <f t="shared" si="2"/>
        <v>-</v>
      </c>
      <c r="N27" s="155" t="str">
        <f>IF(E27&lt;&gt;"-",IF(INDEX(Progression!$E46:$XFD46,MATCH(-1,Progression!$E46:$XFD46,-1))&lt;&gt;0,E27/INDEX(Progression!$E46:$XFD46,MATCH(-1,Progression!$E46:$XFD46,-1)),"n/a"),"-")</f>
        <v>-</v>
      </c>
      <c r="O27" s="155" t="str">
        <f>IF(E27&lt;&gt;"-",IF(AVERAGE(Progression!AN46:AT46)&gt;0,E27/AVERAGE(Progression!AN46:AT46),"-"),"-")</f>
        <v>-</v>
      </c>
      <c r="P27" s="155" t="str">
        <f>IF(E27&lt;&gt;"-",E27/AVERAGE(Progression!P46:AT46),"-")</f>
        <v>-</v>
      </c>
      <c r="Q27" s="155" t="str">
        <f>IF(E27&lt;&gt;"-",E27/(SUM(Progression!D19,Progression!D46:XFD46)/D$2),"-")</f>
        <v>-</v>
      </c>
    </row>
    <row r="28" spans="1:17" ht="16.5" thickBot="1" x14ac:dyDescent="0.3">
      <c r="A28" s="22" t="str">
        <f>Levels!A19</f>
        <v>Health</v>
      </c>
      <c r="B28" s="70" t="str">
        <f>Levels!C19</f>
        <v>Distance walked</v>
      </c>
      <c r="C28" s="68" t="str">
        <f>IF(Levels!B19&lt;&gt;"",Levels!B19,"")</f>
        <v/>
      </c>
      <c r="D28" s="168">
        <v>560</v>
      </c>
      <c r="E28" s="107" t="str">
        <f t="shared" si="0"/>
        <v>-</v>
      </c>
      <c r="F28" s="108" t="str">
        <f t="shared" si="1"/>
        <v>-</v>
      </c>
      <c r="G28" s="109" t="str">
        <f>IF(Levels!E19&lt;&gt;"",IF(SUM(Levels!E19-$D28)&lt;=0,"GG",SUM(Levels!E19-$D28)),"")</f>
        <v/>
      </c>
      <c r="H28" s="112" t="str">
        <f>IF(Levels!F19&lt;&gt;"",IF(SUM(Levels!F19-$D28)&lt;=0,"GG",SUM(Levels!F19-$D28)),"")</f>
        <v/>
      </c>
      <c r="I28" s="112" t="str">
        <f>IF(Levels!G19&lt;&gt;"",IF(SUM(Levels!G19-$D28)&lt;=0,"GG",SUM(Levels!G19-$D28)),"")</f>
        <v/>
      </c>
      <c r="J28" s="112" t="str">
        <f>IF(Levels!H19&lt;&gt;"",IF(SUM(Levels!H19-$D28)&lt;0,"GG",SUM(Levels!H19-$D28)),"")</f>
        <v/>
      </c>
      <c r="K28" s="35" t="str">
        <f>IF(Levels!I19&lt;&gt;"",IF(SUM(Levels!I19-$D28)&lt;0,"GG",SUM(Levels!I19-$D28)),"")</f>
        <v/>
      </c>
      <c r="M28" s="174" t="str">
        <f t="shared" si="2"/>
        <v>-</v>
      </c>
      <c r="N28" s="150" t="str">
        <f>IF(E28&lt;&gt;"-",IF(INDEX(Progression!$E47:$XFD47,MATCH(-1,Progression!$E47:$XFD47,-1))&lt;&gt;0,E28/INDEX(Progression!$E47:$XFD47,MATCH(-1,Progression!$E47:$XFD47,-1)),"n/a"),"-")</f>
        <v>-</v>
      </c>
      <c r="O28" s="150" t="str">
        <f>IF(E28&lt;&gt;"-",IF(AVERAGE(Progression!AN47:AT47)&gt;0,E28/AVERAGE(Progression!AN47:AT47),"-"),"-")</f>
        <v>-</v>
      </c>
      <c r="P28" s="150" t="str">
        <f>IF(E28&lt;&gt;"-",E28/AVERAGE(Progression!P47:AT47),"-")</f>
        <v>-</v>
      </c>
      <c r="Q28" s="150" t="str">
        <f>IF(E28&lt;&gt;"-",E28/(SUM(Progression!D20,Progression!D47:XFD47)/D$2),"-")</f>
        <v>-</v>
      </c>
    </row>
    <row r="29" spans="1:17" x14ac:dyDescent="0.25">
      <c r="A29" s="8" t="str">
        <f>Levels!A20</f>
        <v>Defense</v>
      </c>
      <c r="B29" s="70" t="str">
        <f>Levels!C20</f>
        <v>Max time portal held</v>
      </c>
      <c r="C29" s="158" t="str">
        <f>IF(Levels!B20&lt;&gt;"",Levels!B20,"")</f>
        <v>Guardian</v>
      </c>
      <c r="D29" s="164">
        <v>85</v>
      </c>
      <c r="E29" s="94">
        <f t="shared" si="0"/>
        <v>5</v>
      </c>
      <c r="F29" s="95" t="str">
        <f t="shared" si="1"/>
        <v xml:space="preserve"> [P]</v>
      </c>
      <c r="G29" s="96" t="str">
        <f>IF(Levels!E20&lt;&gt;"",IF(SUM(Levels!E20-$D29)&lt;=0,"GG",SUM(Levels!E20-$D29)),"")</f>
        <v>GG</v>
      </c>
      <c r="H29" s="97" t="str">
        <f>IF(Levels!F20&lt;&gt;"",IF(SUM(Levels!F20-$D29)&lt;=0,"GG",SUM(Levels!F20-$D29)),"")</f>
        <v>GG</v>
      </c>
      <c r="I29" s="97" t="str">
        <f>IF(Levels!G20&lt;&gt;"",IF(SUM(Levels!G20-$D29)&lt;=0,"GG",SUM(Levels!G20-$D29)),"")</f>
        <v>GG</v>
      </c>
      <c r="J29" s="97">
        <f>IF(Levels!H20&lt;&gt;"",IF(SUM(Levels!H20-$D29)&lt;0,"GG",SUM(Levels!H20-$D29)),"")</f>
        <v>5</v>
      </c>
      <c r="K29" s="106">
        <f>IF(Levels!I20&lt;&gt;"",IF(SUM(Levels!I20-$D29)&lt;0,"GG",SUM(Levels!I20-$D29)),"")</f>
        <v>65</v>
      </c>
      <c r="M29" s="171" t="str">
        <f t="shared" si="2"/>
        <v xml:space="preserve"> [P]</v>
      </c>
      <c r="N29" s="154">
        <f>E29</f>
        <v>5</v>
      </c>
      <c r="O29" s="154">
        <f>IF(E29&lt;&gt;"-",IF(AVERAGE(Progression!AN48:AT48)&gt;0,E29/AVERAGE(Progression!AN48:AT48),"-"),"-")</f>
        <v>5</v>
      </c>
      <c r="P29" s="154">
        <f>E29</f>
        <v>5</v>
      </c>
      <c r="Q29" s="154">
        <f>E29</f>
        <v>5</v>
      </c>
    </row>
    <row r="30" spans="1:17" x14ac:dyDescent="0.25">
      <c r="A30" s="20" t="str">
        <f>Levels!A21</f>
        <v>Defense</v>
      </c>
      <c r="B30" s="73" t="str">
        <f>Levels!C21</f>
        <v>Max time link Maintened</v>
      </c>
      <c r="C30" s="73" t="str">
        <f>IF(Levels!B21&lt;&gt;"",Levels!B21,"")</f>
        <v/>
      </c>
      <c r="D30" s="162">
        <v>85</v>
      </c>
      <c r="E30" s="98" t="str">
        <f t="shared" si="0"/>
        <v>-</v>
      </c>
      <c r="F30" s="99" t="str">
        <f t="shared" si="1"/>
        <v>-</v>
      </c>
      <c r="G30" s="100" t="str">
        <f>IF(Levels!E21&lt;&gt;"",IF(SUM(Levels!E21-$D30)&lt;=0,"GG",SUM(Levels!E21-$D30)),"")</f>
        <v/>
      </c>
      <c r="H30" s="29" t="str">
        <f>IF(Levels!F21&lt;&gt;"",IF(SUM(Levels!F21-$D30)&lt;=0,"GG",SUM(Levels!F21-$D30)),"")</f>
        <v/>
      </c>
      <c r="I30" s="29" t="str">
        <f>IF(Levels!G21&lt;&gt;"",IF(SUM(Levels!G21-$D30)&lt;=0,"GG",SUM(Levels!G21-$D30)),"")</f>
        <v/>
      </c>
      <c r="J30" s="29" t="str">
        <f>IF(Levels!H21&lt;&gt;"",IF(SUM(Levels!H21-$D30)&lt;0,"GG",SUM(Levels!H21-$D30)),"")</f>
        <v/>
      </c>
      <c r="K30" s="91" t="str">
        <f>IF(Levels!I21&lt;&gt;"",IF(SUM(Levels!I21-$D30)&lt;0,"GG",SUM(Levels!I21-$D30)),"")</f>
        <v/>
      </c>
      <c r="M30" s="172" t="str">
        <f t="shared" si="2"/>
        <v>-</v>
      </c>
      <c r="N30" s="152" t="str">
        <f>IF(E30&lt;&gt;"-",IF(INDEX(Progression!$E49:$XFD49,MATCH(-1,Progression!$E49:$XFD49,-1))&lt;&gt;0,E30/INDEX(Progression!$E49:$XFD49,MATCH(-1,Progression!$E49:$XFD49,-1)),"n/a"),"-")</f>
        <v>-</v>
      </c>
      <c r="O30" s="152" t="str">
        <f>IF(E30&lt;&gt;"-",IF(AVERAGE(Progression!AN49:AT49)&gt;0,E30/AVERAGE(Progression!AN49:AT49),"-"),"-")</f>
        <v>-</v>
      </c>
      <c r="P30" s="152" t="str">
        <f>IF(E30&lt;&gt;"-",E30/AVERAGE(Progression!P49:AT49),"-")</f>
        <v>-</v>
      </c>
      <c r="Q30" s="152" t="str">
        <f>IF(E30&lt;&gt;"-",E30/(SUM(Progression!D22,Progression!D49:XFD49)/D$2),"-")</f>
        <v>-</v>
      </c>
    </row>
    <row r="31" spans="1:17" x14ac:dyDescent="0.25">
      <c r="A31" s="20" t="str">
        <f>Levels!A22</f>
        <v>Defense</v>
      </c>
      <c r="B31" s="73" t="str">
        <f>Levels!C22</f>
        <v>Max link lenght x days</v>
      </c>
      <c r="C31" s="73" t="str">
        <f>IF(Levels!B22&lt;&gt;"",Levels!B22,"")</f>
        <v/>
      </c>
      <c r="D31" s="162">
        <v>200</v>
      </c>
      <c r="E31" s="98" t="str">
        <f t="shared" si="0"/>
        <v>-</v>
      </c>
      <c r="F31" s="99" t="str">
        <f t="shared" si="1"/>
        <v>-</v>
      </c>
      <c r="G31" s="100" t="str">
        <f>IF(Levels!E22&lt;&gt;"",IF(SUM(Levels!E22-$D31)&lt;=0,"GG",SUM(Levels!E22-$D31)),"")</f>
        <v/>
      </c>
      <c r="H31" s="29" t="str">
        <f>IF(Levels!F22&lt;&gt;"",IF(SUM(Levels!F22-$D31)&lt;=0,"GG",SUM(Levels!F22-$D31)),"")</f>
        <v/>
      </c>
      <c r="I31" s="29" t="str">
        <f>IF(Levels!G22&lt;&gt;"",IF(SUM(Levels!G22-$D31)&lt;=0,"GG",SUM(Levels!G22-$D31)),"")</f>
        <v/>
      </c>
      <c r="J31" s="29" t="str">
        <f>IF(Levels!H22&lt;&gt;"",IF(SUM(Levels!H22-$D31)&lt;0,"GG",SUM(Levels!H22-$D31)),"")</f>
        <v/>
      </c>
      <c r="K31" s="91" t="str">
        <f>IF(Levels!I22&lt;&gt;"",IF(SUM(Levels!I22-$D31)&lt;0,"GG",SUM(Levels!I22-$D31)),"")</f>
        <v/>
      </c>
      <c r="M31" s="172" t="str">
        <f t="shared" si="2"/>
        <v>-</v>
      </c>
      <c r="N31" s="152" t="str">
        <f>IF(E31&lt;&gt;"-",IF(INDEX(Progression!$E50:$XFD50,MATCH(-1,Progression!$E50:$XFD50,-1))&lt;&gt;0,E31/INDEX(Progression!$E50:$XFD50,MATCH(-1,Progression!$E50:$XFD50,-1)),"n/a"),"-")</f>
        <v>-</v>
      </c>
      <c r="O31" s="152" t="str">
        <f>IF(E31&lt;&gt;"-",IF(AVERAGE(Progression!AN50:AT50)&gt;0,E31/AVERAGE(Progression!AN50:AT50),"-"),"-")</f>
        <v>-</v>
      </c>
      <c r="P31" s="152" t="str">
        <f>IF(E31&lt;&gt;"-",E31/AVERAGE(Progression!P50:AT50),"-")</f>
        <v>-</v>
      </c>
      <c r="Q31" s="152" t="str">
        <f>IF(E31&lt;&gt;"-",E31/(SUM(Progression!D23,Progression!D50:XFD50)/D$2),"-")</f>
        <v>-</v>
      </c>
    </row>
    <row r="32" spans="1:17" x14ac:dyDescent="0.25">
      <c r="A32" s="20" t="str">
        <f>Levels!A23</f>
        <v>Defense</v>
      </c>
      <c r="B32" s="73" t="str">
        <f>Levels!C23</f>
        <v>Max time Field Held</v>
      </c>
      <c r="C32" s="73" t="str">
        <f>IF(Levels!B23&lt;&gt;"",Levels!B23,"")</f>
        <v/>
      </c>
      <c r="D32" s="162">
        <v>60</v>
      </c>
      <c r="E32" s="98" t="str">
        <f t="shared" si="0"/>
        <v>-</v>
      </c>
      <c r="F32" s="99" t="str">
        <f t="shared" si="1"/>
        <v>-</v>
      </c>
      <c r="G32" s="100" t="str">
        <f>IF(Levels!E23&lt;&gt;"",IF(SUM(Levels!E23-$D32)&lt;=0,"GG",SUM(Levels!E23-$D32)),"")</f>
        <v/>
      </c>
      <c r="H32" s="29" t="str">
        <f>IF(Levels!F23&lt;&gt;"",IF(SUM(Levels!F23-$D32)&lt;=0,"GG",SUM(Levels!F23-$D32)),"")</f>
        <v/>
      </c>
      <c r="I32" s="29" t="str">
        <f>IF(Levels!G23&lt;&gt;"",IF(SUM(Levels!G23-$D32)&lt;=0,"GG",SUM(Levels!G23-$D32)),"")</f>
        <v/>
      </c>
      <c r="J32" s="29" t="str">
        <f>IF(Levels!H23&lt;&gt;"",IF(SUM(Levels!H23-$D32)&lt;0,"GG",SUM(Levels!H23-$D32)),"")</f>
        <v/>
      </c>
      <c r="K32" s="91" t="str">
        <f>IF(Levels!I23&lt;&gt;"",IF(SUM(Levels!I23-$D32)&lt;0,"GG",SUM(Levels!I23-$D32)),"")</f>
        <v/>
      </c>
      <c r="M32" s="172" t="str">
        <f t="shared" si="2"/>
        <v>-</v>
      </c>
      <c r="N32" s="152" t="str">
        <f>IF(E32&lt;&gt;"-",IF(INDEX(Progression!$E51:$XFD51,MATCH(-1,Progression!$E51:$XFD51,-1))&lt;&gt;0,E32/INDEX(Progression!$E51:$XFD51,MATCH(-1,Progression!$E51:$XFD51,-1)),"n/a"),"-")</f>
        <v>-</v>
      </c>
      <c r="O32" s="152" t="str">
        <f>IF(E32&lt;&gt;"-",IF(AVERAGE(Progression!AN51:AT51)&gt;0,E32/AVERAGE(Progression!AN51:AT51),"-"),"-")</f>
        <v>-</v>
      </c>
      <c r="P32" s="152" t="str">
        <f>IF(E32&lt;&gt;"-",E32/AVERAGE(Progression!P51:AT51),"-")</f>
        <v>-</v>
      </c>
      <c r="Q32" s="152" t="str">
        <f>IF(E32&lt;&gt;"-",E32/(SUM(Progression!D24,Progression!D51:XFD51)/D$2),"-")</f>
        <v>-</v>
      </c>
    </row>
    <row r="33" spans="1:17" ht="16.5" thickBot="1" x14ac:dyDescent="0.3">
      <c r="A33" s="21" t="str">
        <f>Levels!A24</f>
        <v>Defense</v>
      </c>
      <c r="B33" s="92" t="str">
        <f>Levels!C24</f>
        <v>Largest field MUxDays</v>
      </c>
      <c r="C33" s="92" t="str">
        <f>IF(Levels!B24&lt;&gt;"",Levels!B24,"")</f>
        <v/>
      </c>
      <c r="D33" s="167">
        <v>587</v>
      </c>
      <c r="E33" s="101" t="str">
        <f t="shared" si="0"/>
        <v>-</v>
      </c>
      <c r="F33" s="102" t="str">
        <f t="shared" si="1"/>
        <v>-</v>
      </c>
      <c r="G33" s="103" t="str">
        <f>IF(Levels!E24&lt;&gt;"",IF(SUM(Levels!E24-$D33)&lt;=0,"GG",SUM(Levels!E24-$D33)),"")</f>
        <v/>
      </c>
      <c r="H33" s="104" t="str">
        <f>IF(Levels!F24&lt;&gt;"",IF(SUM(Levels!F24-$D33)&lt;=0,"GG",SUM(Levels!F24-$D33)),"")</f>
        <v/>
      </c>
      <c r="I33" s="104" t="str">
        <f>IF(Levels!G24&lt;&gt;"",IF(SUM(Levels!G24-$D33)&lt;=0,"GG",SUM(Levels!G24-$D33)),"")</f>
        <v/>
      </c>
      <c r="J33" s="104" t="str">
        <f>IF(Levels!H24&lt;&gt;"",IF(SUM(Levels!H24-$D33)&lt;0,"GG",SUM(Levels!H24-$D33)),"")</f>
        <v/>
      </c>
      <c r="K33" s="105" t="str">
        <f>IF(Levels!I24&lt;&gt;"",IF(SUM(Levels!I24-$D33)&lt;0,"GG",SUM(Levels!I24-$D33)),"")</f>
        <v/>
      </c>
      <c r="M33" s="173" t="str">
        <f t="shared" si="2"/>
        <v>-</v>
      </c>
      <c r="N33" s="153" t="str">
        <f>IF(E33&lt;&gt;"-",IF(INDEX(Progression!$E52:$XFD52,MATCH(-1,Progression!$E52:$XFD52,-1))&lt;&gt;0,E33/INDEX(Progression!$E52:$XFD52,MATCH(-1,Progression!$E52:$XFD52,-1)),"n/a"),"-")</f>
        <v>-</v>
      </c>
      <c r="O33" s="153" t="str">
        <f>IF(E33&lt;&gt;"-",IF(AVERAGE(Progression!AN52:AT52)&gt;0,E33/AVERAGE(Progression!AN52:AT52),"-"),"-")</f>
        <v>-</v>
      </c>
      <c r="P33" s="153" t="str">
        <f>IF(E33&lt;&gt;"-",E33/AVERAGE(Progression!P52:AT52),"-")</f>
        <v>-</v>
      </c>
      <c r="Q33" s="153" t="str">
        <f>IF(E33&lt;&gt;"-",E33/(SUM(Progression!D25,Progression!D52:XFD52)/D$2),"-")</f>
        <v>-</v>
      </c>
    </row>
    <row r="34" spans="1:17" ht="16.5" thickBot="1" x14ac:dyDescent="0.3">
      <c r="A34" s="22" t="str">
        <f>Levels!A25</f>
        <v>Mission</v>
      </c>
      <c r="B34" s="70" t="str">
        <f>Levels!C25</f>
        <v>Unique Mission Completed</v>
      </c>
      <c r="C34" s="68"/>
      <c r="D34" s="168">
        <v>2</v>
      </c>
      <c r="E34" s="107" t="str">
        <f t="shared" si="0"/>
        <v>-</v>
      </c>
      <c r="F34" s="108" t="str">
        <f t="shared" si="1"/>
        <v>-</v>
      </c>
      <c r="G34" s="103" t="str">
        <f>IF(Levels!E25&lt;&gt;"",IF(SUM(Levels!E25-$D34)&lt;=0,"GG",SUM(Levels!E25-$D34)),"")</f>
        <v/>
      </c>
      <c r="H34" s="112" t="str">
        <f>IF(Levels!F25&lt;&gt;"",IF(SUM(Levels!F25-$D34)&lt;=0,"GG",SUM(Levels!F25-$D34)),"")</f>
        <v/>
      </c>
      <c r="I34" s="112" t="str">
        <f>IF(Levels!G25&lt;&gt;"",IF(SUM(Levels!G25-$D34)&lt;=0,"GG",SUM(Levels!G25-$D34)),"")</f>
        <v/>
      </c>
      <c r="J34" s="112" t="str">
        <f>IF(Levels!H25&lt;&gt;"",IF(SUM(Levels!H25-$D34)&lt;0,"GG",SUM(Levels!H25-$D34)),"")</f>
        <v/>
      </c>
      <c r="K34" s="35" t="str">
        <f>IF(Levels!I25&lt;&gt;"",IF(SUM(Levels!I25-$D34)&lt;0,"GG",SUM(Levels!I25-$D34)),"")</f>
        <v/>
      </c>
      <c r="M34" s="174" t="str">
        <f t="shared" si="2"/>
        <v>-</v>
      </c>
      <c r="N34" s="150" t="str">
        <f>IF(E34&lt;&gt;"-",IF(INDEX(Progression!$E53:$XFD53,MATCH(-1,Progression!$E53:$XFD53,-1))&lt;&gt;0,E34/INDEX(Progression!$E53:$XFD53,MATCH(-1,Progression!$E53:$XFD53,-1)),"n/a"),"-")</f>
        <v>-</v>
      </c>
      <c r="O34" s="150" t="str">
        <f>IF(E34&lt;&gt;"-",IF(AVERAGE(Progression!AN53:AT53)&gt;0,E34/AVERAGE(Progression!AN53:AT53),"-"),"-")</f>
        <v>-</v>
      </c>
      <c r="P34" s="150" t="str">
        <f>IF(E34&lt;&gt;"-",E34/AVERAGE(Progression!P53:AT53),"-")</f>
        <v>-</v>
      </c>
      <c r="Q34" s="150" t="str">
        <f>IF(E34&lt;&gt;"-",E34/(SUM(Progression!D26,Progression!D53:XFD53)/D$2),"-")</f>
        <v>-</v>
      </c>
    </row>
    <row r="35" spans="1:17" ht="16.5" thickBot="1" x14ac:dyDescent="0.3">
      <c r="A35" s="88" t="s">
        <v>54</v>
      </c>
      <c r="B35" s="89"/>
      <c r="C35" s="89"/>
      <c r="D35" s="90"/>
      <c r="E35" s="107"/>
      <c r="F35" s="113"/>
      <c r="G35" s="143">
        <f>COUNTIF(G11:G33,"GG")</f>
        <v>10</v>
      </c>
      <c r="H35" s="144">
        <f>COUNTIF(H11:H33,"GG")</f>
        <v>9</v>
      </c>
      <c r="I35" s="144">
        <f t="shared" ref="I35:K35" si="3">COUNTIF(I11:I33,"GG")</f>
        <v>2</v>
      </c>
      <c r="J35" s="144">
        <f t="shared" si="3"/>
        <v>1</v>
      </c>
      <c r="K35" s="145">
        <f t="shared" si="3"/>
        <v>0</v>
      </c>
    </row>
    <row r="36" spans="1:17" ht="16.5" thickBot="1" x14ac:dyDescent="0.3">
      <c r="G36" s="128"/>
      <c r="H36" s="128"/>
      <c r="I36" s="128"/>
      <c r="J36" s="128"/>
      <c r="K36" s="128"/>
    </row>
    <row r="37" spans="1:17" x14ac:dyDescent="0.25">
      <c r="A37" s="69" t="s">
        <v>55</v>
      </c>
      <c r="B37" s="9" t="s">
        <v>56</v>
      </c>
      <c r="C37" s="70"/>
      <c r="D37" s="10">
        <f>IF(D3+1&gt;MAX(Levels!B28:B67),"GG",D3+1)</f>
        <v>11</v>
      </c>
    </row>
    <row r="38" spans="1:17" x14ac:dyDescent="0.25">
      <c r="A38" s="72" t="s">
        <v>55</v>
      </c>
      <c r="B38" s="13" t="s">
        <v>57</v>
      </c>
      <c r="C38" s="142" t="str">
        <f>IF(D3&lt;M10,CONCATENATE("(lvl ",M10+1,")"),"")</f>
        <v>(lvl 13)</v>
      </c>
      <c r="D38" s="91">
        <f>IF(D3+1&gt;MAX(Levels!B28:B67),"GG",IF(D37&lt;&gt;"GG",VLOOKUP(M10+1,Levels!B28:C43,2,FALSE)-AP,"n/a"))</f>
        <v>1699988</v>
      </c>
      <c r="F38" s="93"/>
    </row>
    <row r="39" spans="1:17" x14ac:dyDescent="0.25">
      <c r="A39" s="72" t="s">
        <v>55</v>
      </c>
      <c r="B39" s="13" t="s">
        <v>58</v>
      </c>
      <c r="C39" s="73"/>
      <c r="D39" s="91" t="str">
        <f>IF(H$35&lt;VLOOKUP(D$3,Levels!B28:H43,4,FALSE),VLOOKUP(D$3,Levels!B28:H43,4,FALSE)-H$35,IF(VLOOKUP(D$37,Levels!B28:H43,4,FALSE)&lt;H$35,"ok",VLOOKUP(D$37,Levels!B28:H43,4,FALSE)-H$35))</f>
        <v>ok</v>
      </c>
      <c r="E39" s="93"/>
    </row>
    <row r="40" spans="1:17" x14ac:dyDescent="0.25">
      <c r="A40" s="72" t="s">
        <v>55</v>
      </c>
      <c r="B40" s="13" t="s">
        <v>59</v>
      </c>
      <c r="C40" s="73"/>
      <c r="D40" s="91">
        <f>IF(I$35&lt;VLOOKUP(D$3,Levels!B28:H43,5,FALSE),VLOOKUP(D$3,Levels!B28:H43,5,FALSE)-I$35,IF(VLOOKUP(D$37,Levels!B28:H43,5,FALSE)&lt;I$35,"ok",VLOOKUP(D$37,Levels!B28:H43,5,FALSE)-I$35))</f>
        <v>2</v>
      </c>
    </row>
    <row r="41" spans="1:17" x14ac:dyDescent="0.25">
      <c r="A41" s="72" t="s">
        <v>55</v>
      </c>
      <c r="B41" s="13" t="s">
        <v>60</v>
      </c>
      <c r="C41" s="73"/>
      <c r="D41" s="91" t="str">
        <f>IF(J$35&lt;VLOOKUP(D$3,Levels!B28:H43,6,FALSE),VLOOKUP(D$3,Levels!B28:H43,6,FALSE)-J$35,IF(VLOOKUP(D$37,Levels!B28:H43,6,FALSE)&lt;J$35,"ok",VLOOKUP(D$37,Levels!B28:H43,6,FALSE)-J$35))</f>
        <v>ok</v>
      </c>
    </row>
    <row r="42" spans="1:17" ht="16.5" thickBot="1" x14ac:dyDescent="0.3">
      <c r="A42" s="75" t="s">
        <v>55</v>
      </c>
      <c r="B42" s="17" t="s">
        <v>61</v>
      </c>
      <c r="C42" s="92"/>
      <c r="D42" s="105">
        <f>IF(K$35&lt;VLOOKUP(D$3,Levels!B28:H43,7,FALSE),VLOOKUP(D$3,Levels!B28:H43,7,FALSE)-K$35,IF(VLOOKUP(D$37,Levels!B28:H43,7,FALSE)&lt;K$35,"ok",VLOOKUP(D$37,Levels!B28:H43,7,FALSE)-K$35))</f>
        <v>0</v>
      </c>
    </row>
  </sheetData>
  <mergeCells count="3">
    <mergeCell ref="E9:F9"/>
    <mergeCell ref="E10:F10"/>
    <mergeCell ref="M8:Q8"/>
  </mergeCells>
  <conditionalFormatting sqref="H11:H34">
    <cfRule type="containsText" dxfId="15" priority="43" operator="containsText" text="GG">
      <formula>NOT(ISERROR(SEARCH("GG",H11)))</formula>
    </cfRule>
    <cfRule type="colorScale" priority="48">
      <colorScale>
        <cfvo type="min"/>
        <cfvo type="percentile" val="0.5"/>
        <cfvo type="max"/>
        <color theme="6" tint="0.79998168889431442"/>
        <color theme="0" tint="-4.9989318521683403E-2"/>
        <color theme="5" tint="0.79998168889431442"/>
      </colorScale>
    </cfRule>
  </conditionalFormatting>
  <conditionalFormatting sqref="I11:I34">
    <cfRule type="containsText" dxfId="14" priority="42" operator="containsText" text="GG">
      <formula>NOT(ISERROR(SEARCH("GG",I11)))</formula>
    </cfRule>
    <cfRule type="colorScale" priority="47">
      <colorScale>
        <cfvo type="min"/>
        <cfvo type="percentile" val="0.5"/>
        <cfvo type="max"/>
        <color theme="6" tint="0.79998168889431442"/>
        <color theme="0" tint="-4.9989318521683403E-2"/>
        <color theme="5" tint="0.79998168889431442"/>
      </colorScale>
    </cfRule>
  </conditionalFormatting>
  <conditionalFormatting sqref="J11:J34">
    <cfRule type="containsText" dxfId="13" priority="41" operator="containsText" text="GG">
      <formula>NOT(ISERROR(SEARCH("GG",J11)))</formula>
    </cfRule>
    <cfRule type="colorScale" priority="46">
      <colorScale>
        <cfvo type="min"/>
        <cfvo type="percent" val="0.5"/>
        <cfvo type="max"/>
        <color theme="6" tint="0.79998168889431442"/>
        <color theme="0" tint="-4.9989318521683403E-2"/>
        <color theme="5" tint="0.79998168889431442"/>
      </colorScale>
    </cfRule>
  </conditionalFormatting>
  <conditionalFormatting sqref="K11:K34">
    <cfRule type="containsText" dxfId="12" priority="40" operator="containsText" text="GG">
      <formula>NOT(ISERROR(SEARCH("GG",K11)))</formula>
    </cfRule>
    <cfRule type="colorScale" priority="45">
      <colorScale>
        <cfvo type="min"/>
        <cfvo type="percentile" val="0.5"/>
        <cfvo type="max"/>
        <color theme="6" tint="0.79998168889431442"/>
        <color theme="0" tint="-4.9989318521683403E-2"/>
        <color theme="5" tint="0.79998168889431442"/>
      </colorScale>
    </cfRule>
  </conditionalFormatting>
  <conditionalFormatting sqref="F11:F34">
    <cfRule type="containsText" dxfId="11" priority="35" operator="containsText" text="Bl">
      <formula>NOT(ISERROR(SEARCH("Bl",F11)))</formula>
    </cfRule>
    <cfRule type="containsText" dxfId="10" priority="36" operator="containsText" text="P">
      <formula>NOT(ISERROR(SEARCH("P",F11)))</formula>
    </cfRule>
    <cfRule type="containsText" dxfId="9" priority="37" operator="containsText" text="G">
      <formula>NOT(ISERROR(SEARCH("G",F11)))</formula>
    </cfRule>
    <cfRule type="containsText" dxfId="8" priority="38" operator="containsText" text="S">
      <formula>NOT(ISERROR(SEARCH("S",F11)))</formula>
    </cfRule>
    <cfRule type="containsText" dxfId="7" priority="39" operator="containsText" text="Br">
      <formula>NOT(ISERROR(SEARCH("Br",F11)))</formula>
    </cfRule>
  </conditionalFormatting>
  <conditionalFormatting sqref="G11:G34">
    <cfRule type="containsText" dxfId="6" priority="30" operator="containsText" text="GG">
      <formula>NOT(ISERROR(SEARCH("GG",G11)))</formula>
    </cfRule>
    <cfRule type="colorScale" priority="31">
      <colorScale>
        <cfvo type="min"/>
        <cfvo type="max"/>
        <color theme="6" tint="0.79998168889431442"/>
        <color theme="5" tint="0.79998168889431442"/>
      </colorScale>
    </cfRule>
  </conditionalFormatting>
  <conditionalFormatting sqref="P10:P34">
    <cfRule type="colorScale" priority="10">
      <colorScale>
        <cfvo type="min"/>
        <cfvo type="max"/>
        <color theme="6" tint="0.59999389629810485"/>
        <color theme="6" tint="-0.499984740745262"/>
      </colorScale>
    </cfRule>
  </conditionalFormatting>
  <conditionalFormatting sqref="O10:O34">
    <cfRule type="colorScale" priority="8">
      <colorScale>
        <cfvo type="min"/>
        <cfvo type="max"/>
        <color theme="6" tint="0.59999389629810485"/>
        <color theme="6" tint="-0.499984740745262"/>
      </colorScale>
    </cfRule>
  </conditionalFormatting>
  <conditionalFormatting sqref="N10:N34">
    <cfRule type="colorScale" priority="7">
      <colorScale>
        <cfvo type="min"/>
        <cfvo type="max"/>
        <color theme="6" tint="0.59999389629810485"/>
        <color theme="6" tint="-0.499984740745262"/>
      </colorScale>
    </cfRule>
    <cfRule type="colorScale" priority="22">
      <colorScale>
        <cfvo type="min"/>
        <cfvo type="max"/>
        <color theme="6" tint="0.59999389629810485"/>
        <color theme="6" tint="-0.499984740745262"/>
      </colorScale>
    </cfRule>
  </conditionalFormatting>
  <conditionalFormatting sqref="Q10:Q34">
    <cfRule type="colorScale" priority="6">
      <colorScale>
        <cfvo type="min"/>
        <cfvo type="max"/>
        <color theme="6" tint="0.59999389629810485"/>
        <color theme="6" tint="-0.499984740745262"/>
      </colorScale>
    </cfRule>
  </conditionalFormatting>
  <conditionalFormatting sqref="M11:M34">
    <cfRule type="containsText" dxfId="5" priority="1" operator="containsText" text="Bl">
      <formula>NOT(ISERROR(SEARCH("Bl",M11)))</formula>
    </cfRule>
    <cfRule type="containsText" dxfId="4" priority="2" operator="containsText" text="P">
      <formula>NOT(ISERROR(SEARCH("P",M11)))</formula>
    </cfRule>
    <cfRule type="containsText" dxfId="3" priority="3" operator="containsText" text="G">
      <formula>NOT(ISERROR(SEARCH("G",M11)))</formula>
    </cfRule>
    <cfRule type="containsText" dxfId="2" priority="4" operator="containsText" text="S">
      <formula>NOT(ISERROR(SEARCH("S",M11)))</formula>
    </cfRule>
    <cfRule type="containsText" dxfId="1" priority="5" operator="containsText" text="Br">
      <formula>NOT(ISERROR(SEARCH("Br",M11)))</formula>
    </cfRule>
  </conditionalFormatting>
  <pageMargins left="0.75" right="0.75" top="1" bottom="1" header="0.5" footer="0.5"/>
  <pageSetup paperSize="0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Z56"/>
  <sheetViews>
    <sheetView workbookViewId="0">
      <pane xSplit="3" ySplit="1" topLeftCell="AO10" activePane="bottomRight" state="frozenSplit"/>
      <selection activeCell="B50" activeCellId="1" sqref="A1:XFD1 B50"/>
      <selection pane="topRight" activeCell="B50" activeCellId="1" sqref="A1:XFD1 B50"/>
      <selection pane="bottomLeft" activeCell="B50" activeCellId="1" sqref="A1:XFD1 B50"/>
      <selection pane="bottomRight" activeCell="AY19" sqref="AY19"/>
    </sheetView>
  </sheetViews>
  <sheetFormatPr baseColWidth="10" defaultRowHeight="15.75" x14ac:dyDescent="0.25"/>
  <cols>
    <col min="1" max="1" width="9.375" bestFit="1" customWidth="1"/>
    <col min="2" max="2" width="26.5" bestFit="1" customWidth="1"/>
    <col min="3" max="3" width="14.125" bestFit="1" customWidth="1"/>
    <col min="4" max="10" width="12.5" bestFit="1" customWidth="1"/>
    <col min="11" max="11" width="11" bestFit="1" customWidth="1"/>
    <col min="12" max="30" width="12.5" bestFit="1" customWidth="1"/>
    <col min="31" max="35" width="13.5" bestFit="1" customWidth="1"/>
    <col min="36" max="36" width="14" customWidth="1"/>
    <col min="37" max="45" width="13.5" bestFit="1" customWidth="1"/>
    <col min="46" max="46" width="14.5" bestFit="1" customWidth="1"/>
  </cols>
  <sheetData>
    <row r="1" spans="1:48" ht="16.5" thickBot="1" x14ac:dyDescent="0.3">
      <c r="B1" t="s">
        <v>50</v>
      </c>
      <c r="D1" s="30">
        <v>41887</v>
      </c>
      <c r="E1" s="30">
        <v>41891</v>
      </c>
      <c r="F1" s="30">
        <v>41892</v>
      </c>
      <c r="G1" s="30">
        <v>41896</v>
      </c>
      <c r="H1" s="30">
        <v>41897</v>
      </c>
      <c r="I1" s="30">
        <v>41901</v>
      </c>
      <c r="J1" s="30">
        <v>41904</v>
      </c>
      <c r="K1" s="31">
        <v>41906</v>
      </c>
      <c r="L1" s="31">
        <v>41907</v>
      </c>
      <c r="N1" s="31">
        <v>41910</v>
      </c>
      <c r="O1" s="31">
        <v>41911</v>
      </c>
      <c r="P1" s="31">
        <v>41918</v>
      </c>
      <c r="Q1" s="31">
        <v>41921</v>
      </c>
      <c r="R1" s="31">
        <v>41922</v>
      </c>
      <c r="S1" s="31">
        <v>41924</v>
      </c>
      <c r="T1" s="31">
        <v>41925</v>
      </c>
      <c r="U1" s="31">
        <v>41926</v>
      </c>
      <c r="V1" s="32">
        <v>41927</v>
      </c>
      <c r="W1" s="31">
        <v>41928</v>
      </c>
      <c r="X1" s="31">
        <v>41929</v>
      </c>
      <c r="Y1" s="31">
        <v>41930</v>
      </c>
      <c r="Z1" s="31">
        <v>41932</v>
      </c>
      <c r="AA1" s="31">
        <v>41934</v>
      </c>
      <c r="AB1" s="31">
        <v>41936</v>
      </c>
      <c r="AC1" s="31">
        <v>41938</v>
      </c>
      <c r="AD1" s="31">
        <v>41939</v>
      </c>
      <c r="AE1" s="31">
        <v>41940</v>
      </c>
      <c r="AF1" s="31">
        <v>41941</v>
      </c>
      <c r="AG1" s="31">
        <v>41942</v>
      </c>
      <c r="AH1" s="31">
        <v>41943</v>
      </c>
      <c r="AI1" s="124">
        <v>41944</v>
      </c>
      <c r="AJ1" s="118">
        <v>41946</v>
      </c>
      <c r="AK1" s="146">
        <v>41947</v>
      </c>
      <c r="AL1" s="146">
        <v>41948</v>
      </c>
      <c r="AM1" s="146">
        <v>41949</v>
      </c>
      <c r="AN1" s="146">
        <v>41950</v>
      </c>
      <c r="AO1" s="146">
        <v>41951</v>
      </c>
      <c r="AP1" s="146">
        <v>41952</v>
      </c>
      <c r="AQ1" s="146">
        <v>41953</v>
      </c>
      <c r="AR1" s="146">
        <v>41954</v>
      </c>
      <c r="AS1" s="159">
        <v>41955</v>
      </c>
      <c r="AT1" s="159">
        <v>41956</v>
      </c>
      <c r="AU1" s="127">
        <v>41957</v>
      </c>
      <c r="AV1" s="127">
        <v>41958</v>
      </c>
    </row>
    <row r="2" spans="1:48" ht="16.5" thickBot="1" x14ac:dyDescent="0.3">
      <c r="A2" s="33"/>
      <c r="B2" s="34" t="s">
        <v>49</v>
      </c>
      <c r="C2" s="117"/>
      <c r="D2" s="25">
        <v>1269161</v>
      </c>
      <c r="E2" s="25">
        <v>1418383</v>
      </c>
      <c r="F2" s="25">
        <v>1432604</v>
      </c>
      <c r="G2" s="25">
        <v>1609543</v>
      </c>
      <c r="H2" s="25">
        <v>1609543</v>
      </c>
      <c r="I2" s="25">
        <v>1806603</v>
      </c>
      <c r="J2" s="25">
        <v>1898487</v>
      </c>
      <c r="K2" s="35">
        <v>2013708</v>
      </c>
      <c r="L2" s="35">
        <v>2042000</v>
      </c>
      <c r="M2" s="35">
        <v>2072570</v>
      </c>
      <c r="N2" s="35">
        <v>2157956</v>
      </c>
      <c r="O2" s="35">
        <v>2186160</v>
      </c>
      <c r="P2" s="35">
        <v>2444161</v>
      </c>
      <c r="Q2" s="35">
        <v>2575869</v>
      </c>
      <c r="R2" s="35">
        <v>2646731</v>
      </c>
      <c r="S2" s="35">
        <v>2828994</v>
      </c>
      <c r="T2" s="35">
        <v>2918598</v>
      </c>
      <c r="U2" s="35">
        <v>2918598</v>
      </c>
      <c r="V2" s="36">
        <v>3067927</v>
      </c>
      <c r="W2" s="35">
        <v>3249580</v>
      </c>
      <c r="X2" s="35">
        <v>3345752</v>
      </c>
      <c r="Y2" s="35">
        <v>3440488</v>
      </c>
      <c r="Z2" s="35">
        <v>3486739</v>
      </c>
      <c r="AA2" s="35">
        <v>3548077</v>
      </c>
      <c r="AB2" s="35">
        <v>3700504</v>
      </c>
      <c r="AC2" s="35">
        <v>4179478</v>
      </c>
      <c r="AD2" s="35">
        <v>4409588</v>
      </c>
      <c r="AE2" s="35">
        <v>4851588</v>
      </c>
      <c r="AF2" s="35">
        <v>5140120</v>
      </c>
      <c r="AG2" s="35">
        <v>5313276</v>
      </c>
      <c r="AH2" s="35">
        <v>5524036</v>
      </c>
      <c r="AI2" s="125">
        <v>5766664</v>
      </c>
      <c r="AJ2" s="119">
        <v>6209500</v>
      </c>
      <c r="AK2" s="147">
        <v>6429556</v>
      </c>
      <c r="AL2" s="147">
        <v>6900380</v>
      </c>
      <c r="AM2" s="147">
        <v>7340450</v>
      </c>
      <c r="AN2" s="147">
        <v>7890158</v>
      </c>
      <c r="AO2" s="147">
        <v>8306562</v>
      </c>
      <c r="AP2" s="147">
        <v>8519180</v>
      </c>
      <c r="AQ2" s="147">
        <v>9133630</v>
      </c>
      <c r="AR2" s="147">
        <v>9452392</v>
      </c>
      <c r="AS2" s="160">
        <v>9880710</v>
      </c>
      <c r="AT2" s="160">
        <v>10300012</v>
      </c>
    </row>
    <row r="3" spans="1:48" x14ac:dyDescent="0.25">
      <c r="A3" s="8" t="str">
        <f>Latest!A11</f>
        <v>Discovery</v>
      </c>
      <c r="B3" s="37" t="str">
        <f>Latest!B11</f>
        <v>Unique portals visited</v>
      </c>
      <c r="C3" s="114" t="str">
        <f>IF(Levels!B2&lt;&gt;"",Levels!B2,"")</f>
        <v>Explorer</v>
      </c>
      <c r="D3" s="38">
        <v>679</v>
      </c>
      <c r="E3" s="38">
        <v>689</v>
      </c>
      <c r="F3" s="38">
        <v>690</v>
      </c>
      <c r="G3" s="38">
        <v>708</v>
      </c>
      <c r="H3" s="38">
        <v>727</v>
      </c>
      <c r="I3" s="38">
        <v>762</v>
      </c>
      <c r="J3" s="38">
        <v>784</v>
      </c>
      <c r="K3" s="38">
        <v>789</v>
      </c>
      <c r="L3" s="38">
        <v>790</v>
      </c>
      <c r="M3" s="38">
        <v>790</v>
      </c>
      <c r="N3" s="38">
        <v>804</v>
      </c>
      <c r="O3" s="38">
        <v>804</v>
      </c>
      <c r="P3" s="38">
        <v>835</v>
      </c>
      <c r="Q3" s="38">
        <v>844</v>
      </c>
      <c r="R3" s="38">
        <v>857</v>
      </c>
      <c r="S3" s="38">
        <v>963</v>
      </c>
      <c r="T3" s="38">
        <v>990</v>
      </c>
      <c r="U3" s="39">
        <v>1021</v>
      </c>
      <c r="V3" s="38">
        <v>1024</v>
      </c>
      <c r="W3" s="38">
        <v>1034</v>
      </c>
      <c r="X3" s="38">
        <v>1052</v>
      </c>
      <c r="Y3" s="38">
        <v>1052</v>
      </c>
      <c r="Z3" s="38">
        <v>1130</v>
      </c>
      <c r="AA3" s="38">
        <v>1146</v>
      </c>
      <c r="AB3" s="38">
        <v>1175</v>
      </c>
      <c r="AC3" s="38">
        <v>1231</v>
      </c>
      <c r="AD3" s="38">
        <v>1253</v>
      </c>
      <c r="AE3" s="40">
        <v>1261</v>
      </c>
      <c r="AF3" s="40">
        <v>1263</v>
      </c>
      <c r="AG3" s="40">
        <v>1263</v>
      </c>
      <c r="AH3" s="40">
        <v>1282</v>
      </c>
      <c r="AI3" s="40">
        <v>1284</v>
      </c>
      <c r="AJ3" s="79">
        <v>1287</v>
      </c>
      <c r="AK3" s="79">
        <v>1396</v>
      </c>
      <c r="AL3" s="79">
        <v>1430</v>
      </c>
      <c r="AM3" s="79">
        <v>1466</v>
      </c>
      <c r="AN3" s="79">
        <v>1468</v>
      </c>
      <c r="AO3" s="79">
        <v>1639</v>
      </c>
      <c r="AP3" s="79">
        <v>1642</v>
      </c>
      <c r="AQ3" s="79">
        <v>1644</v>
      </c>
      <c r="AR3" s="79">
        <v>1663</v>
      </c>
      <c r="AS3" s="161">
        <v>1664</v>
      </c>
      <c r="AT3" s="161">
        <v>1739</v>
      </c>
    </row>
    <row r="4" spans="1:48" x14ac:dyDescent="0.25">
      <c r="A4" s="20" t="str">
        <f>Latest!A12</f>
        <v>Discovery</v>
      </c>
      <c r="B4" s="41" t="str">
        <f>Latest!B12</f>
        <v>New portails submitted</v>
      </c>
      <c r="C4" s="115" t="str">
        <f>IF(Levels!B3&lt;&gt;"",Levels!B3,"")</f>
        <v>Seer</v>
      </c>
      <c r="D4" s="42">
        <v>0</v>
      </c>
      <c r="E4" s="42">
        <v>0</v>
      </c>
      <c r="F4" s="42">
        <v>0</v>
      </c>
      <c r="G4" s="42">
        <v>0</v>
      </c>
      <c r="H4" s="42">
        <v>0</v>
      </c>
      <c r="I4" s="42">
        <v>0</v>
      </c>
      <c r="J4" s="42">
        <v>0</v>
      </c>
      <c r="K4" s="42">
        <v>0</v>
      </c>
      <c r="L4" s="42">
        <v>0</v>
      </c>
      <c r="M4" s="42">
        <v>0</v>
      </c>
      <c r="N4" s="42">
        <v>0</v>
      </c>
      <c r="O4" s="42">
        <v>0</v>
      </c>
      <c r="P4" s="42">
        <v>0</v>
      </c>
      <c r="Q4" s="42">
        <v>0</v>
      </c>
      <c r="R4" s="42">
        <v>3</v>
      </c>
      <c r="S4" s="42">
        <v>4</v>
      </c>
      <c r="T4" s="42">
        <v>4</v>
      </c>
      <c r="U4" s="42">
        <v>6</v>
      </c>
      <c r="V4" s="42">
        <v>6</v>
      </c>
      <c r="W4" s="42">
        <v>6</v>
      </c>
      <c r="X4" s="42">
        <v>6</v>
      </c>
      <c r="Y4" s="42">
        <v>6</v>
      </c>
      <c r="Z4" s="42">
        <v>6</v>
      </c>
      <c r="AA4" s="42">
        <v>6</v>
      </c>
      <c r="AB4" s="42">
        <v>6</v>
      </c>
      <c r="AC4" s="42">
        <v>6</v>
      </c>
      <c r="AD4" s="42">
        <v>6</v>
      </c>
      <c r="AE4" s="42">
        <v>6</v>
      </c>
      <c r="AF4" s="42">
        <v>6</v>
      </c>
      <c r="AG4" s="42">
        <v>6</v>
      </c>
      <c r="AH4" s="42">
        <v>6</v>
      </c>
      <c r="AI4" s="42">
        <v>6</v>
      </c>
      <c r="AJ4" s="80">
        <v>6</v>
      </c>
      <c r="AK4" s="80">
        <v>6</v>
      </c>
      <c r="AL4" s="80">
        <v>6</v>
      </c>
      <c r="AM4" s="80">
        <v>6</v>
      </c>
      <c r="AN4" s="80">
        <v>6</v>
      </c>
      <c r="AO4" s="80">
        <v>6</v>
      </c>
      <c r="AP4" s="80">
        <v>6</v>
      </c>
      <c r="AQ4" s="80">
        <v>6</v>
      </c>
      <c r="AR4" s="80">
        <v>6</v>
      </c>
      <c r="AS4" s="162">
        <v>6</v>
      </c>
      <c r="AT4" s="162">
        <v>6</v>
      </c>
    </row>
    <row r="5" spans="1:48" ht="16.5" thickBot="1" x14ac:dyDescent="0.3">
      <c r="A5" s="21" t="str">
        <f>Latest!A13</f>
        <v>Discovery</v>
      </c>
      <c r="B5" s="17" t="str">
        <f>Latest!B13</f>
        <v>XM collected</v>
      </c>
      <c r="C5" s="92" t="str">
        <f>IF(Levels!B4&lt;&gt;"",Levels!B4,"")</f>
        <v/>
      </c>
      <c r="D5" s="43">
        <v>4102154</v>
      </c>
      <c r="E5" s="43">
        <v>4650218</v>
      </c>
      <c r="F5" s="43">
        <v>4703708</v>
      </c>
      <c r="G5" s="43">
        <v>5247140</v>
      </c>
      <c r="H5" s="43">
        <v>5376254</v>
      </c>
      <c r="I5" s="43">
        <v>6046747</v>
      </c>
      <c r="J5" s="43">
        <v>6425273</v>
      </c>
      <c r="K5" s="43">
        <v>6898165</v>
      </c>
      <c r="L5" s="43">
        <v>7034996</v>
      </c>
      <c r="M5" s="43">
        <v>7138124</v>
      </c>
      <c r="N5" s="43">
        <v>7436591</v>
      </c>
      <c r="O5" s="43">
        <v>7557971</v>
      </c>
      <c r="P5" s="43">
        <v>8954108</v>
      </c>
      <c r="Q5" s="43">
        <v>9547422</v>
      </c>
      <c r="R5" s="43">
        <v>9802221</v>
      </c>
      <c r="S5" s="43">
        <v>10445107</v>
      </c>
      <c r="T5" s="43">
        <v>10708871</v>
      </c>
      <c r="U5" s="44">
        <v>10949323</v>
      </c>
      <c r="V5" s="44">
        <v>11303215</v>
      </c>
      <c r="W5" s="44">
        <v>11623849</v>
      </c>
      <c r="X5" s="44">
        <v>11985000</v>
      </c>
      <c r="Y5" s="44">
        <v>12342911</v>
      </c>
      <c r="Z5" s="44">
        <v>12784223</v>
      </c>
      <c r="AA5" s="44">
        <v>13034941</v>
      </c>
      <c r="AB5" s="44">
        <v>14058239</v>
      </c>
      <c r="AC5" s="44">
        <v>14640569</v>
      </c>
      <c r="AD5" s="44">
        <v>14839901</v>
      </c>
      <c r="AE5" s="45">
        <v>15594812</v>
      </c>
      <c r="AF5" s="45">
        <v>16079849</v>
      </c>
      <c r="AG5" s="45">
        <v>16324223</v>
      </c>
      <c r="AH5" s="45">
        <v>16656481</v>
      </c>
      <c r="AI5" s="45">
        <v>16843291</v>
      </c>
      <c r="AJ5" s="81">
        <v>17616562</v>
      </c>
      <c r="AK5" s="81">
        <v>18107264</v>
      </c>
      <c r="AL5" s="81">
        <v>18674234</v>
      </c>
      <c r="AM5" s="81">
        <v>19075094</v>
      </c>
      <c r="AN5" s="81">
        <v>19721086</v>
      </c>
      <c r="AO5" s="81">
        <v>20257127</v>
      </c>
      <c r="AP5" s="81">
        <v>20612194</v>
      </c>
      <c r="AQ5" s="81">
        <v>21168390</v>
      </c>
      <c r="AR5" s="81">
        <v>21668988</v>
      </c>
      <c r="AS5" s="163">
        <v>22350852</v>
      </c>
      <c r="AT5" s="163">
        <v>22782171</v>
      </c>
    </row>
    <row r="6" spans="1:48" x14ac:dyDescent="0.25">
      <c r="A6" s="8" t="str">
        <f>Latest!A14</f>
        <v>Building</v>
      </c>
      <c r="B6" s="37" t="str">
        <f>Latest!B14</f>
        <v>Hacks</v>
      </c>
      <c r="C6" s="114" t="str">
        <f>IF(Levels!B5&lt;&gt;"",Levels!B5,"")</f>
        <v>Hacker</v>
      </c>
      <c r="D6" s="38">
        <v>2487</v>
      </c>
      <c r="E6" s="38">
        <v>2696</v>
      </c>
      <c r="F6" s="38">
        <v>2737</v>
      </c>
      <c r="G6" s="38">
        <v>2961</v>
      </c>
      <c r="H6" s="38">
        <v>3008</v>
      </c>
      <c r="I6" s="38">
        <v>3265</v>
      </c>
      <c r="J6" s="38">
        <v>3430</v>
      </c>
      <c r="K6" s="38">
        <v>3603</v>
      </c>
      <c r="L6" s="38">
        <v>3685</v>
      </c>
      <c r="M6" s="38">
        <v>3740</v>
      </c>
      <c r="N6" s="38">
        <v>3897</v>
      </c>
      <c r="O6" s="38">
        <v>3971</v>
      </c>
      <c r="P6" s="38">
        <v>4405</v>
      </c>
      <c r="Q6" s="38">
        <v>4567</v>
      </c>
      <c r="R6" s="38">
        <v>4663</v>
      </c>
      <c r="S6" s="38">
        <v>4981</v>
      </c>
      <c r="T6" s="38">
        <v>5117</v>
      </c>
      <c r="U6" s="38">
        <v>5236</v>
      </c>
      <c r="V6" s="38">
        <v>5345</v>
      </c>
      <c r="W6" s="38">
        <v>5509</v>
      </c>
      <c r="X6" s="38">
        <v>5665</v>
      </c>
      <c r="Y6" s="38">
        <v>5795</v>
      </c>
      <c r="Z6" s="38">
        <v>5954</v>
      </c>
      <c r="AA6" s="38">
        <v>6051</v>
      </c>
      <c r="AB6" s="38">
        <v>6252</v>
      </c>
      <c r="AC6" s="38">
        <v>6511</v>
      </c>
      <c r="AD6" s="38">
        <v>6589</v>
      </c>
      <c r="AE6" s="46">
        <v>6795</v>
      </c>
      <c r="AF6" s="46">
        <v>6940</v>
      </c>
      <c r="AG6" s="46">
        <v>7020</v>
      </c>
      <c r="AH6" s="46">
        <v>7124</v>
      </c>
      <c r="AI6" s="38">
        <v>7218</v>
      </c>
      <c r="AJ6" s="82">
        <v>7377</v>
      </c>
      <c r="AK6" s="82">
        <v>7637</v>
      </c>
      <c r="AL6" s="82">
        <v>7818</v>
      </c>
      <c r="AM6" s="82">
        <v>7984</v>
      </c>
      <c r="AN6" s="82">
        <v>8174</v>
      </c>
      <c r="AO6" s="82">
        <v>8431</v>
      </c>
      <c r="AP6" s="82">
        <v>8499</v>
      </c>
      <c r="AQ6" s="82">
        <v>8672</v>
      </c>
      <c r="AR6" s="82">
        <v>8895</v>
      </c>
      <c r="AS6" s="164">
        <v>9031</v>
      </c>
      <c r="AT6" s="164">
        <v>9218</v>
      </c>
    </row>
    <row r="7" spans="1:48" x14ac:dyDescent="0.25">
      <c r="A7" s="12" t="str">
        <f>Latest!A15</f>
        <v>Building</v>
      </c>
      <c r="B7" s="41" t="str">
        <f>Latest!B15</f>
        <v>Resonators deployed</v>
      </c>
      <c r="C7" s="115" t="str">
        <f>IF(Levels!B6&lt;&gt;"",Levels!B6,"")</f>
        <v>Builder</v>
      </c>
      <c r="D7" s="42">
        <v>3148</v>
      </c>
      <c r="E7" s="42">
        <v>3499</v>
      </c>
      <c r="F7" s="42">
        <v>3553</v>
      </c>
      <c r="G7" s="42">
        <v>3997</v>
      </c>
      <c r="H7" s="42">
        <v>4175</v>
      </c>
      <c r="I7" s="42">
        <v>4473</v>
      </c>
      <c r="J7" s="42">
        <v>4629</v>
      </c>
      <c r="K7" s="42">
        <v>4905</v>
      </c>
      <c r="L7" s="42">
        <v>4986</v>
      </c>
      <c r="M7" s="42">
        <v>5075</v>
      </c>
      <c r="N7" s="42">
        <v>5228</v>
      </c>
      <c r="O7" s="42">
        <v>5295</v>
      </c>
      <c r="P7" s="42">
        <v>5757</v>
      </c>
      <c r="Q7" s="42">
        <v>6159</v>
      </c>
      <c r="R7" s="42">
        <v>6282</v>
      </c>
      <c r="S7" s="42">
        <v>6693</v>
      </c>
      <c r="T7" s="42">
        <v>6841</v>
      </c>
      <c r="U7" s="42">
        <v>6992</v>
      </c>
      <c r="V7" s="42">
        <v>7117</v>
      </c>
      <c r="W7" s="42">
        <v>7365</v>
      </c>
      <c r="X7" s="42">
        <v>7521</v>
      </c>
      <c r="Y7" s="42">
        <v>7718</v>
      </c>
      <c r="Z7" s="42">
        <v>7775</v>
      </c>
      <c r="AA7" s="42">
        <v>7857</v>
      </c>
      <c r="AB7" s="42">
        <v>8241</v>
      </c>
      <c r="AC7" s="42">
        <v>8862</v>
      </c>
      <c r="AD7" s="42">
        <v>9032</v>
      </c>
      <c r="AE7" s="47">
        <v>9617</v>
      </c>
      <c r="AF7" s="47">
        <v>9909</v>
      </c>
      <c r="AG7" s="48">
        <v>10162</v>
      </c>
      <c r="AH7" s="47">
        <v>10419</v>
      </c>
      <c r="AI7" s="42">
        <v>10682</v>
      </c>
      <c r="AJ7" s="80">
        <v>11089</v>
      </c>
      <c r="AK7" s="80">
        <v>11424</v>
      </c>
      <c r="AL7" s="80">
        <v>11744</v>
      </c>
      <c r="AM7" s="80">
        <v>12178</v>
      </c>
      <c r="AN7" s="80">
        <v>12727</v>
      </c>
      <c r="AO7" s="80">
        <v>13212</v>
      </c>
      <c r="AP7" s="80">
        <v>13441</v>
      </c>
      <c r="AQ7" s="80">
        <v>14100</v>
      </c>
      <c r="AR7" s="80">
        <v>14631</v>
      </c>
      <c r="AS7" s="162">
        <v>15154</v>
      </c>
      <c r="AT7" s="162">
        <v>15886</v>
      </c>
    </row>
    <row r="8" spans="1:48" x14ac:dyDescent="0.25">
      <c r="A8" s="12" t="str">
        <f>Latest!A16</f>
        <v>Building</v>
      </c>
      <c r="B8" s="41" t="str">
        <f>Latest!B16</f>
        <v>Links created</v>
      </c>
      <c r="C8" s="115" t="str">
        <f>IF(Levels!B7&lt;&gt;"",Levels!B7,"")</f>
        <v>Connector</v>
      </c>
      <c r="D8" s="42">
        <v>391</v>
      </c>
      <c r="E8" s="42">
        <v>416</v>
      </c>
      <c r="F8" s="42">
        <v>418</v>
      </c>
      <c r="G8" s="42">
        <v>448</v>
      </c>
      <c r="H8" s="42">
        <v>456</v>
      </c>
      <c r="I8" s="42">
        <v>499</v>
      </c>
      <c r="J8" s="42">
        <v>504</v>
      </c>
      <c r="K8" s="42">
        <v>521</v>
      </c>
      <c r="L8" s="42">
        <v>530</v>
      </c>
      <c r="M8" s="42">
        <v>530</v>
      </c>
      <c r="N8" s="42">
        <v>563</v>
      </c>
      <c r="O8" s="42">
        <v>576</v>
      </c>
      <c r="P8" s="42">
        <v>636</v>
      </c>
      <c r="Q8" s="42">
        <v>639</v>
      </c>
      <c r="R8" s="42">
        <v>660</v>
      </c>
      <c r="S8" s="42">
        <v>704</v>
      </c>
      <c r="T8" s="42">
        <v>704</v>
      </c>
      <c r="U8" s="42">
        <v>721</v>
      </c>
      <c r="V8" s="42">
        <v>728</v>
      </c>
      <c r="W8" s="42">
        <v>745</v>
      </c>
      <c r="X8" s="42">
        <v>778</v>
      </c>
      <c r="Y8" s="42">
        <v>803</v>
      </c>
      <c r="Z8" s="42">
        <v>812</v>
      </c>
      <c r="AA8" s="42">
        <v>814</v>
      </c>
      <c r="AB8" s="42">
        <v>847</v>
      </c>
      <c r="AC8" s="42">
        <v>912</v>
      </c>
      <c r="AD8" s="42">
        <v>941</v>
      </c>
      <c r="AE8" s="48">
        <v>1007</v>
      </c>
      <c r="AF8" s="47">
        <v>1047</v>
      </c>
      <c r="AG8" s="47">
        <v>1089</v>
      </c>
      <c r="AH8" s="47">
        <v>1131</v>
      </c>
      <c r="AI8" s="42">
        <v>1169</v>
      </c>
      <c r="AJ8" s="80">
        <v>1212</v>
      </c>
      <c r="AK8" s="80">
        <v>1227</v>
      </c>
      <c r="AL8" s="80">
        <v>1281</v>
      </c>
      <c r="AM8" s="80">
        <v>1335</v>
      </c>
      <c r="AN8" s="80">
        <v>1424</v>
      </c>
      <c r="AO8" s="80">
        <v>1492</v>
      </c>
      <c r="AP8" s="80">
        <v>1543</v>
      </c>
      <c r="AQ8" s="80">
        <v>1604</v>
      </c>
      <c r="AR8" s="80">
        <v>1640</v>
      </c>
      <c r="AS8" s="162">
        <v>1720</v>
      </c>
      <c r="AT8" s="162">
        <v>1739</v>
      </c>
    </row>
    <row r="9" spans="1:48" x14ac:dyDescent="0.25">
      <c r="A9" s="12" t="str">
        <f>Latest!A17</f>
        <v>Building</v>
      </c>
      <c r="B9" s="41" t="str">
        <f>Latest!B17</f>
        <v>Control fields created</v>
      </c>
      <c r="C9" s="115" t="str">
        <f>IF(Levels!B8&lt;&gt;"",Levels!B8,"")</f>
        <v>Mind Controller</v>
      </c>
      <c r="D9" s="42">
        <v>231</v>
      </c>
      <c r="E9" s="42">
        <v>246</v>
      </c>
      <c r="F9" s="42">
        <v>246</v>
      </c>
      <c r="G9" s="42">
        <v>263</v>
      </c>
      <c r="H9" s="42">
        <v>265</v>
      </c>
      <c r="I9" s="42">
        <v>283</v>
      </c>
      <c r="J9" s="42">
        <v>286</v>
      </c>
      <c r="K9" s="42">
        <v>298</v>
      </c>
      <c r="L9" s="42">
        <v>299</v>
      </c>
      <c r="M9" s="42">
        <v>299</v>
      </c>
      <c r="N9" s="42">
        <v>311</v>
      </c>
      <c r="O9" s="42">
        <v>316</v>
      </c>
      <c r="P9" s="42">
        <v>352</v>
      </c>
      <c r="Q9" s="42">
        <v>353</v>
      </c>
      <c r="R9" s="42">
        <v>368</v>
      </c>
      <c r="S9" s="42">
        <v>401</v>
      </c>
      <c r="T9" s="42">
        <v>401</v>
      </c>
      <c r="U9" s="42">
        <v>410</v>
      </c>
      <c r="V9" s="42">
        <v>414</v>
      </c>
      <c r="W9" s="42">
        <v>423</v>
      </c>
      <c r="X9" s="42">
        <v>445</v>
      </c>
      <c r="Y9" s="42">
        <v>458</v>
      </c>
      <c r="Z9" s="42">
        <v>462</v>
      </c>
      <c r="AA9" s="42">
        <v>463</v>
      </c>
      <c r="AB9" s="42">
        <v>479</v>
      </c>
      <c r="AC9" s="42">
        <v>493</v>
      </c>
      <c r="AD9" s="49">
        <v>517</v>
      </c>
      <c r="AE9" s="47">
        <v>541</v>
      </c>
      <c r="AF9" s="47">
        <v>566</v>
      </c>
      <c r="AG9" s="47">
        <v>590</v>
      </c>
      <c r="AH9" s="47">
        <v>609</v>
      </c>
      <c r="AI9" s="42">
        <v>626</v>
      </c>
      <c r="AJ9" s="80">
        <v>650</v>
      </c>
      <c r="AK9" s="80">
        <v>655</v>
      </c>
      <c r="AL9" s="80">
        <v>682</v>
      </c>
      <c r="AM9" s="80">
        <v>716</v>
      </c>
      <c r="AN9" s="80">
        <v>766</v>
      </c>
      <c r="AO9" s="80">
        <v>796</v>
      </c>
      <c r="AP9" s="80">
        <v>822</v>
      </c>
      <c r="AQ9" s="80">
        <v>849</v>
      </c>
      <c r="AR9" s="80">
        <v>860</v>
      </c>
      <c r="AS9" s="162">
        <v>902</v>
      </c>
      <c r="AT9" s="162">
        <v>914</v>
      </c>
    </row>
    <row r="10" spans="1:48" x14ac:dyDescent="0.25">
      <c r="A10" s="12" t="str">
        <f>Latest!A18</f>
        <v>Building</v>
      </c>
      <c r="B10" s="13" t="str">
        <f>Latest!B18</f>
        <v>Mind Units captured</v>
      </c>
      <c r="C10" s="73" t="str">
        <f>IF(Levels!B9&lt;&gt;"",Levels!B9,"")</f>
        <v/>
      </c>
      <c r="D10" s="47">
        <v>10295</v>
      </c>
      <c r="E10" s="47">
        <v>10990</v>
      </c>
      <c r="F10" s="47">
        <v>10990</v>
      </c>
      <c r="G10" s="47">
        <v>11673</v>
      </c>
      <c r="H10" s="47">
        <v>11814</v>
      </c>
      <c r="I10" s="47">
        <v>13050</v>
      </c>
      <c r="J10" s="47">
        <v>13172</v>
      </c>
      <c r="K10" s="47">
        <v>14015</v>
      </c>
      <c r="L10" s="47">
        <v>14134</v>
      </c>
      <c r="M10" s="47">
        <v>14134</v>
      </c>
      <c r="N10" s="47">
        <v>14422</v>
      </c>
      <c r="O10" s="47">
        <v>14611</v>
      </c>
      <c r="P10" s="47">
        <v>16354</v>
      </c>
      <c r="Q10" s="47">
        <v>16366</v>
      </c>
      <c r="R10" s="47">
        <v>16927</v>
      </c>
      <c r="S10" s="47">
        <v>17979</v>
      </c>
      <c r="T10" s="47">
        <v>17979</v>
      </c>
      <c r="U10" s="47">
        <v>18241</v>
      </c>
      <c r="V10" s="47">
        <v>18422</v>
      </c>
      <c r="W10" s="47">
        <v>19033</v>
      </c>
      <c r="X10" s="47">
        <v>19947</v>
      </c>
      <c r="Y10" s="47">
        <v>20373</v>
      </c>
      <c r="Z10" s="47">
        <v>20464</v>
      </c>
      <c r="AA10" s="47">
        <v>20495</v>
      </c>
      <c r="AB10" s="47">
        <v>20971</v>
      </c>
      <c r="AC10" s="47">
        <v>21496</v>
      </c>
      <c r="AD10" s="47">
        <v>21865</v>
      </c>
      <c r="AE10" s="47">
        <v>22629</v>
      </c>
      <c r="AF10" s="47">
        <v>23375</v>
      </c>
      <c r="AG10" s="47">
        <v>23751</v>
      </c>
      <c r="AH10" s="47">
        <v>23953</v>
      </c>
      <c r="AI10" s="42">
        <v>14126</v>
      </c>
      <c r="AJ10" s="80">
        <v>24490</v>
      </c>
      <c r="AK10" s="80">
        <v>24615</v>
      </c>
      <c r="AL10" s="80">
        <v>24956</v>
      </c>
      <c r="AM10" s="80">
        <v>25453</v>
      </c>
      <c r="AN10" s="80">
        <v>26306</v>
      </c>
      <c r="AO10" s="80">
        <v>26798</v>
      </c>
      <c r="AP10" s="80">
        <v>27392</v>
      </c>
      <c r="AQ10" s="80">
        <v>27999</v>
      </c>
      <c r="AR10" s="80">
        <v>28482</v>
      </c>
      <c r="AS10" s="162">
        <v>29360</v>
      </c>
      <c r="AT10" s="162">
        <v>29515</v>
      </c>
    </row>
    <row r="11" spans="1:48" x14ac:dyDescent="0.25">
      <c r="A11" s="12" t="str">
        <f>Latest!A19</f>
        <v>Building</v>
      </c>
      <c r="B11" s="13" t="str">
        <f>Latest!B19</f>
        <v>Longest link ever created</v>
      </c>
      <c r="C11" s="73" t="str">
        <f>IF(Levels!B10&lt;&gt;"",Levels!B10,"")</f>
        <v/>
      </c>
      <c r="D11" s="50">
        <v>11</v>
      </c>
      <c r="E11" s="50">
        <v>11</v>
      </c>
      <c r="F11" s="50">
        <v>11</v>
      </c>
      <c r="G11" s="50">
        <v>11</v>
      </c>
      <c r="H11" s="50">
        <v>11</v>
      </c>
      <c r="I11" s="50">
        <v>11</v>
      </c>
      <c r="J11" s="50">
        <v>11</v>
      </c>
      <c r="K11" s="50">
        <v>11</v>
      </c>
      <c r="L11" s="50">
        <v>11</v>
      </c>
      <c r="M11" s="50">
        <v>11</v>
      </c>
      <c r="N11" s="50">
        <v>11</v>
      </c>
      <c r="O11" s="50">
        <v>11</v>
      </c>
      <c r="P11" s="50">
        <v>11</v>
      </c>
      <c r="Q11" s="50">
        <v>11</v>
      </c>
      <c r="R11" s="50">
        <v>11</v>
      </c>
      <c r="S11" s="50">
        <v>11</v>
      </c>
      <c r="T11" s="50">
        <v>11</v>
      </c>
      <c r="U11" s="50">
        <v>11</v>
      </c>
      <c r="V11" s="50">
        <v>11</v>
      </c>
      <c r="W11" s="50">
        <v>11</v>
      </c>
      <c r="X11" s="50">
        <v>11</v>
      </c>
      <c r="Y11" s="50">
        <v>11</v>
      </c>
      <c r="Z11" s="50">
        <v>11</v>
      </c>
      <c r="AA11" s="50">
        <v>11</v>
      </c>
      <c r="AB11" s="50">
        <v>11</v>
      </c>
      <c r="AC11" s="50">
        <v>11</v>
      </c>
      <c r="AD11" s="50">
        <v>11</v>
      </c>
      <c r="AE11" s="50">
        <v>11</v>
      </c>
      <c r="AF11" s="50">
        <v>11</v>
      </c>
      <c r="AG11" s="50">
        <v>11</v>
      </c>
      <c r="AH11" s="50">
        <v>11</v>
      </c>
      <c r="AI11" s="126">
        <v>11</v>
      </c>
      <c r="AJ11" s="83">
        <v>11</v>
      </c>
      <c r="AK11" s="83">
        <v>11</v>
      </c>
      <c r="AL11" s="83">
        <v>11</v>
      </c>
      <c r="AM11" s="83">
        <v>11</v>
      </c>
      <c r="AN11" s="83">
        <v>11</v>
      </c>
      <c r="AO11" s="83">
        <v>11</v>
      </c>
      <c r="AP11" s="83">
        <v>11</v>
      </c>
      <c r="AQ11" s="83">
        <v>11</v>
      </c>
      <c r="AR11" s="83">
        <v>11</v>
      </c>
      <c r="AS11" s="165">
        <v>11</v>
      </c>
      <c r="AT11" s="165">
        <v>11</v>
      </c>
    </row>
    <row r="12" spans="1:48" x14ac:dyDescent="0.25">
      <c r="A12" s="12" t="str">
        <f>Latest!A20</f>
        <v>Building</v>
      </c>
      <c r="B12" s="13" t="str">
        <f>Latest!B20</f>
        <v>Largest field control</v>
      </c>
      <c r="C12" s="73" t="str">
        <f>IF(Levels!B11&lt;&gt;"",Levels!B11,"")</f>
        <v/>
      </c>
      <c r="D12" s="47">
        <v>472</v>
      </c>
      <c r="E12" s="47">
        <v>472</v>
      </c>
      <c r="F12" s="47">
        <v>472</v>
      </c>
      <c r="G12" s="47">
        <v>472</v>
      </c>
      <c r="H12" s="47">
        <v>472</v>
      </c>
      <c r="I12" s="47">
        <v>472</v>
      </c>
      <c r="J12" s="47">
        <v>472</v>
      </c>
      <c r="K12" s="47">
        <v>472</v>
      </c>
      <c r="L12" s="47">
        <v>472</v>
      </c>
      <c r="M12" s="47">
        <v>472</v>
      </c>
      <c r="N12" s="47">
        <v>472</v>
      </c>
      <c r="O12" s="47">
        <v>472</v>
      </c>
      <c r="P12" s="47">
        <v>472</v>
      </c>
      <c r="Q12" s="47">
        <v>472</v>
      </c>
      <c r="R12" s="47">
        <v>472</v>
      </c>
      <c r="S12" s="47">
        <v>472</v>
      </c>
      <c r="T12" s="47">
        <v>472</v>
      </c>
      <c r="U12" s="47">
        <v>472</v>
      </c>
      <c r="V12" s="47">
        <v>472</v>
      </c>
      <c r="W12" s="47">
        <v>472</v>
      </c>
      <c r="X12" s="47">
        <v>472</v>
      </c>
      <c r="Y12" s="47">
        <v>472</v>
      </c>
      <c r="Z12" s="47">
        <v>472</v>
      </c>
      <c r="AA12" s="47">
        <v>472</v>
      </c>
      <c r="AB12" s="47">
        <v>472</v>
      </c>
      <c r="AC12" s="47">
        <v>472</v>
      </c>
      <c r="AD12" s="47">
        <v>472</v>
      </c>
      <c r="AE12" s="47">
        <v>472</v>
      </c>
      <c r="AF12" s="47">
        <v>472</v>
      </c>
      <c r="AG12" s="47">
        <v>472</v>
      </c>
      <c r="AH12" s="47">
        <v>472</v>
      </c>
      <c r="AI12" s="42">
        <v>472</v>
      </c>
      <c r="AJ12" s="80">
        <v>472</v>
      </c>
      <c r="AK12" s="80">
        <v>472</v>
      </c>
      <c r="AL12" s="80">
        <v>472</v>
      </c>
      <c r="AM12" s="80">
        <v>472</v>
      </c>
      <c r="AN12" s="80">
        <v>472</v>
      </c>
      <c r="AO12" s="80">
        <v>472</v>
      </c>
      <c r="AP12" s="80">
        <v>472</v>
      </c>
      <c r="AQ12" s="80">
        <v>472</v>
      </c>
      <c r="AR12" s="80">
        <v>472</v>
      </c>
      <c r="AS12" s="162">
        <v>472</v>
      </c>
      <c r="AT12" s="162">
        <v>472</v>
      </c>
    </row>
    <row r="13" spans="1:48" x14ac:dyDescent="0.25">
      <c r="A13" s="12" t="str">
        <f>Latest!A21</f>
        <v>Building</v>
      </c>
      <c r="B13" s="41" t="str">
        <f>Latest!B21</f>
        <v>XM recharged</v>
      </c>
      <c r="C13" s="115" t="str">
        <f>IF(Levels!B12&lt;&gt;"",Levels!B12,"")</f>
        <v>Recharger</v>
      </c>
      <c r="D13" s="51">
        <v>1716090</v>
      </c>
      <c r="E13" s="51">
        <v>1937092</v>
      </c>
      <c r="F13" s="51">
        <v>1958995</v>
      </c>
      <c r="G13" s="51">
        <v>2218945</v>
      </c>
      <c r="H13" s="51">
        <v>2237291</v>
      </c>
      <c r="I13" s="51">
        <v>2640191</v>
      </c>
      <c r="J13" s="51">
        <v>2901609</v>
      </c>
      <c r="K13" s="52">
        <v>3137882</v>
      </c>
      <c r="L13" s="51">
        <v>3236842</v>
      </c>
      <c r="M13" s="51">
        <v>3264347</v>
      </c>
      <c r="N13" s="51">
        <v>3384591</v>
      </c>
      <c r="O13" s="51">
        <v>3441563</v>
      </c>
      <c r="P13" s="51">
        <v>4380618</v>
      </c>
      <c r="Q13" s="51">
        <v>4719214</v>
      </c>
      <c r="R13" s="51">
        <v>4906734</v>
      </c>
      <c r="S13" s="51">
        <v>5316029</v>
      </c>
      <c r="T13" s="51">
        <v>5419943</v>
      </c>
      <c r="U13" s="51">
        <v>5534150</v>
      </c>
      <c r="V13" s="51">
        <v>5752739</v>
      </c>
      <c r="W13" s="51">
        <v>5891052</v>
      </c>
      <c r="X13" s="51">
        <v>6145053</v>
      </c>
      <c r="Y13" s="51">
        <v>6304463</v>
      </c>
      <c r="Z13" s="51">
        <v>6641153</v>
      </c>
      <c r="AA13" s="51">
        <v>6769075</v>
      </c>
      <c r="AB13" s="51">
        <v>7526118</v>
      </c>
      <c r="AC13" s="51">
        <v>7815264</v>
      </c>
      <c r="AD13" s="51">
        <v>7903499</v>
      </c>
      <c r="AE13" s="51">
        <v>8276504</v>
      </c>
      <c r="AF13" s="51">
        <v>8505757</v>
      </c>
      <c r="AG13" s="51">
        <v>8549123</v>
      </c>
      <c r="AH13" s="51">
        <v>8734234</v>
      </c>
      <c r="AI13" s="51">
        <v>8790355</v>
      </c>
      <c r="AJ13" s="84">
        <v>8992362</v>
      </c>
      <c r="AK13" s="84">
        <v>9371178</v>
      </c>
      <c r="AL13" s="84">
        <v>9623657</v>
      </c>
      <c r="AM13" s="84">
        <v>9740801</v>
      </c>
      <c r="AN13" s="84">
        <v>9873435</v>
      </c>
      <c r="AO13" s="149">
        <v>10103636</v>
      </c>
      <c r="AP13" s="84">
        <v>10335609</v>
      </c>
      <c r="AQ13" s="84">
        <v>10623513</v>
      </c>
      <c r="AR13" s="84">
        <v>10799575</v>
      </c>
      <c r="AS13" s="166">
        <v>11150219</v>
      </c>
      <c r="AT13" s="166">
        <v>11238023</v>
      </c>
    </row>
    <row r="14" spans="1:48" x14ac:dyDescent="0.25">
      <c r="A14" s="12" t="str">
        <f>Latest!A22</f>
        <v>Building</v>
      </c>
      <c r="B14" s="41" t="str">
        <f>Latest!B22</f>
        <v>Portails captured</v>
      </c>
      <c r="C14" s="115" t="str">
        <f>IF(Levels!B13&lt;&gt;"",Levels!B13,"")</f>
        <v>Liberator</v>
      </c>
      <c r="D14" s="42">
        <v>289</v>
      </c>
      <c r="E14" s="42">
        <v>331</v>
      </c>
      <c r="F14" s="42">
        <v>337</v>
      </c>
      <c r="G14" s="42">
        <v>391</v>
      </c>
      <c r="H14" s="42">
        <v>408</v>
      </c>
      <c r="I14" s="42">
        <v>457</v>
      </c>
      <c r="J14" s="42">
        <v>503</v>
      </c>
      <c r="K14" s="42">
        <v>556</v>
      </c>
      <c r="L14" s="42">
        <v>571</v>
      </c>
      <c r="M14" s="42">
        <v>589</v>
      </c>
      <c r="N14" s="42">
        <v>638</v>
      </c>
      <c r="O14" s="42">
        <v>647</v>
      </c>
      <c r="P14" s="42">
        <v>729</v>
      </c>
      <c r="Q14" s="42">
        <v>804</v>
      </c>
      <c r="R14" s="42">
        <v>844</v>
      </c>
      <c r="S14" s="42">
        <v>911</v>
      </c>
      <c r="T14" s="42">
        <v>993</v>
      </c>
      <c r="U14" s="53">
        <v>1049</v>
      </c>
      <c r="V14" s="42">
        <v>1080</v>
      </c>
      <c r="W14" s="42">
        <v>1122</v>
      </c>
      <c r="X14" s="42">
        <v>1152</v>
      </c>
      <c r="Y14" s="42">
        <v>1183</v>
      </c>
      <c r="Z14" s="42">
        <v>1212</v>
      </c>
      <c r="AA14" s="42">
        <v>1239</v>
      </c>
      <c r="AB14" s="42">
        <v>1268</v>
      </c>
      <c r="AC14" s="42">
        <v>1326</v>
      </c>
      <c r="AD14" s="42">
        <v>1349</v>
      </c>
      <c r="AE14" s="47">
        <v>1403</v>
      </c>
      <c r="AF14" s="47">
        <v>1424</v>
      </c>
      <c r="AG14" s="47">
        <v>1462</v>
      </c>
      <c r="AH14" s="47">
        <v>1485</v>
      </c>
      <c r="AI14" s="42">
        <v>1527</v>
      </c>
      <c r="AJ14" s="80">
        <v>1585</v>
      </c>
      <c r="AK14" s="80">
        <v>1615</v>
      </c>
      <c r="AL14" s="80">
        <v>1647</v>
      </c>
      <c r="AM14" s="80">
        <v>1700</v>
      </c>
      <c r="AN14" s="80">
        <v>1760</v>
      </c>
      <c r="AO14" s="80">
        <v>1825</v>
      </c>
      <c r="AP14" s="80">
        <v>1844</v>
      </c>
      <c r="AQ14" s="80">
        <v>1914</v>
      </c>
      <c r="AR14" s="80">
        <v>2007</v>
      </c>
      <c r="AS14" s="162">
        <v>2065</v>
      </c>
      <c r="AT14" s="162">
        <v>2154</v>
      </c>
    </row>
    <row r="15" spans="1:48" ht="16.5" thickBot="1" x14ac:dyDescent="0.3">
      <c r="A15" s="16" t="str">
        <f>Latest!A23</f>
        <v>Building</v>
      </c>
      <c r="B15" s="54" t="str">
        <f>Latest!B23</f>
        <v>Unique portails captured</v>
      </c>
      <c r="C15" s="116" t="str">
        <f>IF(Levels!B14&lt;&gt;"",Levels!B14,"")</f>
        <v>Pioneer</v>
      </c>
      <c r="D15" s="44">
        <v>188</v>
      </c>
      <c r="E15" s="44">
        <v>190</v>
      </c>
      <c r="F15" s="44">
        <v>192</v>
      </c>
      <c r="G15" s="55">
        <v>207</v>
      </c>
      <c r="H15" s="44">
        <v>210</v>
      </c>
      <c r="I15" s="44">
        <v>220</v>
      </c>
      <c r="J15" s="44">
        <v>230</v>
      </c>
      <c r="K15" s="44">
        <v>240</v>
      </c>
      <c r="L15" s="44">
        <v>240</v>
      </c>
      <c r="M15" s="44">
        <v>240</v>
      </c>
      <c r="N15" s="44">
        <v>259</v>
      </c>
      <c r="O15" s="44">
        <v>259</v>
      </c>
      <c r="P15" s="44">
        <v>278</v>
      </c>
      <c r="Q15" s="44">
        <v>285</v>
      </c>
      <c r="R15" s="44">
        <v>295</v>
      </c>
      <c r="S15" s="44">
        <v>333</v>
      </c>
      <c r="T15" s="44">
        <v>362</v>
      </c>
      <c r="U15" s="44">
        <v>383</v>
      </c>
      <c r="V15" s="44">
        <v>384</v>
      </c>
      <c r="W15" s="44">
        <v>405</v>
      </c>
      <c r="X15" s="44">
        <v>411</v>
      </c>
      <c r="Y15" s="44">
        <v>414</v>
      </c>
      <c r="Z15" s="44">
        <v>427</v>
      </c>
      <c r="AA15" s="44">
        <v>438</v>
      </c>
      <c r="AB15" s="44">
        <v>442</v>
      </c>
      <c r="AC15" s="44">
        <v>470</v>
      </c>
      <c r="AD15" s="44">
        <v>481</v>
      </c>
      <c r="AE15" s="43">
        <v>485</v>
      </c>
      <c r="AF15" s="43">
        <v>487</v>
      </c>
      <c r="AG15" s="43">
        <v>487</v>
      </c>
      <c r="AH15" s="43">
        <v>489</v>
      </c>
      <c r="AI15" s="44">
        <v>491</v>
      </c>
      <c r="AJ15" s="85">
        <v>494</v>
      </c>
      <c r="AK15" s="85">
        <v>501</v>
      </c>
      <c r="AL15" s="85">
        <v>502</v>
      </c>
      <c r="AM15" s="85">
        <v>509</v>
      </c>
      <c r="AN15" s="85">
        <v>511</v>
      </c>
      <c r="AO15" s="85">
        <v>555</v>
      </c>
      <c r="AP15" s="85">
        <v>559</v>
      </c>
      <c r="AQ15" s="85">
        <v>565</v>
      </c>
      <c r="AR15" s="85">
        <v>608</v>
      </c>
      <c r="AS15" s="167">
        <v>615</v>
      </c>
      <c r="AT15" s="167">
        <v>664</v>
      </c>
    </row>
    <row r="16" spans="1:48" x14ac:dyDescent="0.25">
      <c r="A16" s="8" t="str">
        <f>Latest!A24</f>
        <v>Combat</v>
      </c>
      <c r="B16" s="37" t="str">
        <f>Latest!B24</f>
        <v>Resonators destroyed</v>
      </c>
      <c r="C16" s="114" t="str">
        <f>IF(Levels!B15&lt;&gt;"",Levels!B15,"")</f>
        <v>Purifier</v>
      </c>
      <c r="D16" s="38">
        <v>1082</v>
      </c>
      <c r="E16" s="38">
        <v>1374</v>
      </c>
      <c r="F16" s="38">
        <v>1384</v>
      </c>
      <c r="G16" s="38">
        <v>1659</v>
      </c>
      <c r="H16" s="38">
        <v>1716</v>
      </c>
      <c r="I16" s="38">
        <v>1969</v>
      </c>
      <c r="J16" s="56">
        <v>2166</v>
      </c>
      <c r="K16" s="38">
        <v>2277</v>
      </c>
      <c r="L16" s="38">
        <v>2284</v>
      </c>
      <c r="M16" s="38">
        <v>2335</v>
      </c>
      <c r="N16" s="38">
        <v>2392</v>
      </c>
      <c r="O16" s="38">
        <v>2412</v>
      </c>
      <c r="P16" s="38">
        <v>2846</v>
      </c>
      <c r="Q16" s="38">
        <v>3130</v>
      </c>
      <c r="R16" s="38">
        <v>3167</v>
      </c>
      <c r="S16" s="38">
        <v>3415</v>
      </c>
      <c r="T16" s="38">
        <v>3706</v>
      </c>
      <c r="U16" s="38">
        <v>3873</v>
      </c>
      <c r="V16" s="38">
        <v>3966</v>
      </c>
      <c r="W16" s="38">
        <v>4355</v>
      </c>
      <c r="X16" s="38">
        <v>4483</v>
      </c>
      <c r="Y16" s="38">
        <v>4637</v>
      </c>
      <c r="Z16" s="38">
        <v>4717</v>
      </c>
      <c r="AA16" s="38">
        <v>4932</v>
      </c>
      <c r="AB16" s="38">
        <v>5153</v>
      </c>
      <c r="AC16" s="38">
        <v>5532</v>
      </c>
      <c r="AD16" s="38">
        <v>5673</v>
      </c>
      <c r="AE16" s="46">
        <v>6071</v>
      </c>
      <c r="AF16" s="46">
        <v>6231</v>
      </c>
      <c r="AG16" s="46">
        <v>6376</v>
      </c>
      <c r="AH16" s="46">
        <v>6518</v>
      </c>
      <c r="AI16" s="38">
        <v>6675</v>
      </c>
      <c r="AJ16" s="82">
        <v>7144</v>
      </c>
      <c r="AK16" s="82">
        <v>7417</v>
      </c>
      <c r="AL16" s="82">
        <v>7766</v>
      </c>
      <c r="AM16" s="82">
        <v>8292</v>
      </c>
      <c r="AN16" s="82">
        <v>8720</v>
      </c>
      <c r="AO16" s="82">
        <v>9042</v>
      </c>
      <c r="AP16" s="82">
        <v>9180</v>
      </c>
      <c r="AQ16" s="82">
        <v>9563</v>
      </c>
      <c r="AR16" s="82">
        <v>9841</v>
      </c>
      <c r="AS16" s="48">
        <v>10219</v>
      </c>
      <c r="AT16" s="164">
        <v>10670</v>
      </c>
    </row>
    <row r="17" spans="1:52" x14ac:dyDescent="0.25">
      <c r="A17" s="20" t="str">
        <f>Latest!A25</f>
        <v>Combat</v>
      </c>
      <c r="B17" s="13" t="str">
        <f>Latest!B25</f>
        <v>Portals neutralized</v>
      </c>
      <c r="C17" s="73" t="str">
        <f>IF(Levels!B16&lt;&gt;"",Levels!B16,"")</f>
        <v/>
      </c>
      <c r="D17" s="47">
        <v>207</v>
      </c>
      <c r="E17" s="47">
        <v>256</v>
      </c>
      <c r="F17" s="47">
        <v>258</v>
      </c>
      <c r="G17" s="47">
        <v>305</v>
      </c>
      <c r="H17" s="47">
        <v>321</v>
      </c>
      <c r="I17" s="47">
        <v>354</v>
      </c>
      <c r="J17" s="47">
        <v>390</v>
      </c>
      <c r="K17" s="47">
        <v>423</v>
      </c>
      <c r="L17" s="42">
        <v>427</v>
      </c>
      <c r="M17" s="42">
        <v>436</v>
      </c>
      <c r="N17" s="42">
        <v>463</v>
      </c>
      <c r="O17" s="42">
        <v>468</v>
      </c>
      <c r="P17" s="42">
        <v>531</v>
      </c>
      <c r="Q17" s="42">
        <v>575</v>
      </c>
      <c r="R17" s="42">
        <v>591</v>
      </c>
      <c r="S17" s="42">
        <v>649</v>
      </c>
      <c r="T17" s="42">
        <v>699</v>
      </c>
      <c r="U17" s="42">
        <v>739</v>
      </c>
      <c r="V17" s="42">
        <v>760</v>
      </c>
      <c r="W17" s="42">
        <v>801</v>
      </c>
      <c r="X17" s="42">
        <v>819</v>
      </c>
      <c r="Y17" s="42">
        <v>842</v>
      </c>
      <c r="Z17" s="42">
        <v>864</v>
      </c>
      <c r="AA17" s="42">
        <v>888</v>
      </c>
      <c r="AB17" s="42">
        <v>911</v>
      </c>
      <c r="AC17" s="42">
        <v>956</v>
      </c>
      <c r="AD17" s="42">
        <v>973</v>
      </c>
      <c r="AE17" s="47">
        <v>1028</v>
      </c>
      <c r="AF17" s="47">
        <v>1043</v>
      </c>
      <c r="AG17" s="47">
        <v>1071</v>
      </c>
      <c r="AH17" s="47">
        <v>1088</v>
      </c>
      <c r="AI17" s="42">
        <v>1119</v>
      </c>
      <c r="AJ17" s="80">
        <v>1181</v>
      </c>
      <c r="AK17" s="80">
        <v>1218</v>
      </c>
      <c r="AL17" s="80">
        <v>1262</v>
      </c>
      <c r="AM17" s="80">
        <v>1320</v>
      </c>
      <c r="AN17" s="80">
        <v>1378</v>
      </c>
      <c r="AO17" s="80">
        <v>1440</v>
      </c>
      <c r="AP17" s="80">
        <v>1452</v>
      </c>
      <c r="AQ17" s="80">
        <v>1514</v>
      </c>
      <c r="AR17" s="80">
        <v>1576</v>
      </c>
      <c r="AS17" s="162">
        <v>1631</v>
      </c>
      <c r="AT17" s="162">
        <v>1727</v>
      </c>
    </row>
    <row r="18" spans="1:52" x14ac:dyDescent="0.25">
      <c r="A18" s="20" t="str">
        <f>Latest!A26</f>
        <v>Combat</v>
      </c>
      <c r="B18" s="13" t="str">
        <f>Latest!B26</f>
        <v>Enemy links destroyed</v>
      </c>
      <c r="C18" s="73" t="str">
        <f>IF(Levels!B17&lt;&gt;"",Levels!B17,"")</f>
        <v/>
      </c>
      <c r="D18" s="47">
        <v>144</v>
      </c>
      <c r="E18" s="47">
        <v>170</v>
      </c>
      <c r="F18" s="47">
        <v>170</v>
      </c>
      <c r="G18" s="47">
        <v>202</v>
      </c>
      <c r="H18" s="47">
        <v>209</v>
      </c>
      <c r="I18" s="47">
        <v>228</v>
      </c>
      <c r="J18" s="47">
        <v>260</v>
      </c>
      <c r="K18" s="47">
        <v>275</v>
      </c>
      <c r="L18" s="42">
        <v>275</v>
      </c>
      <c r="M18" s="42">
        <v>275</v>
      </c>
      <c r="N18" s="42">
        <v>276</v>
      </c>
      <c r="O18" s="42">
        <v>276</v>
      </c>
      <c r="P18" s="42">
        <v>318</v>
      </c>
      <c r="Q18" s="42">
        <v>340</v>
      </c>
      <c r="R18" s="42">
        <v>342</v>
      </c>
      <c r="S18" s="42">
        <v>365</v>
      </c>
      <c r="T18" s="42">
        <v>382</v>
      </c>
      <c r="U18" s="42">
        <v>399</v>
      </c>
      <c r="V18" s="42">
        <v>408</v>
      </c>
      <c r="W18" s="42">
        <v>500</v>
      </c>
      <c r="X18" s="42">
        <v>514</v>
      </c>
      <c r="Y18" s="42">
        <v>532</v>
      </c>
      <c r="Z18" s="42">
        <v>539</v>
      </c>
      <c r="AA18" s="42">
        <v>555</v>
      </c>
      <c r="AB18" s="42">
        <v>594</v>
      </c>
      <c r="AC18" s="42">
        <v>656</v>
      </c>
      <c r="AD18" s="42">
        <v>669</v>
      </c>
      <c r="AE18" s="47">
        <v>714</v>
      </c>
      <c r="AF18" s="47">
        <v>731</v>
      </c>
      <c r="AG18" s="47">
        <v>737</v>
      </c>
      <c r="AH18" s="47">
        <v>766</v>
      </c>
      <c r="AI18" s="42">
        <v>786</v>
      </c>
      <c r="AJ18" s="80">
        <v>863</v>
      </c>
      <c r="AK18" s="80">
        <v>887</v>
      </c>
      <c r="AL18" s="80">
        <v>949</v>
      </c>
      <c r="AM18" s="80">
        <v>1002</v>
      </c>
      <c r="AN18" s="80">
        <v>1097</v>
      </c>
      <c r="AO18" s="80">
        <v>1140</v>
      </c>
      <c r="AP18" s="80">
        <v>1148</v>
      </c>
      <c r="AQ18" s="80">
        <v>1194</v>
      </c>
      <c r="AR18" s="80">
        <v>1206</v>
      </c>
      <c r="AS18" s="162">
        <v>1252</v>
      </c>
      <c r="AT18" s="162">
        <v>1273</v>
      </c>
    </row>
    <row r="19" spans="1:52" ht="16.5" thickBot="1" x14ac:dyDescent="0.3">
      <c r="A19" s="21" t="str">
        <f>Latest!A27</f>
        <v>Combat</v>
      </c>
      <c r="B19" s="17" t="str">
        <f>Latest!B27</f>
        <v>Enemy control fields destroyed</v>
      </c>
      <c r="C19" s="92" t="str">
        <f>IF(Levels!B18&lt;&gt;"",Levels!B18,"")</f>
        <v/>
      </c>
      <c r="D19" s="43">
        <v>57</v>
      </c>
      <c r="E19" s="43">
        <v>70</v>
      </c>
      <c r="F19" s="43">
        <v>70</v>
      </c>
      <c r="G19" s="43">
        <v>86</v>
      </c>
      <c r="H19" s="43">
        <v>88</v>
      </c>
      <c r="I19" s="43">
        <v>91</v>
      </c>
      <c r="J19" s="43">
        <v>102</v>
      </c>
      <c r="K19" s="43">
        <v>106</v>
      </c>
      <c r="L19" s="44">
        <v>106</v>
      </c>
      <c r="M19" s="44">
        <v>106</v>
      </c>
      <c r="N19" s="44">
        <v>106</v>
      </c>
      <c r="O19" s="44">
        <v>106</v>
      </c>
      <c r="P19" s="44">
        <v>122</v>
      </c>
      <c r="Q19" s="44">
        <v>128</v>
      </c>
      <c r="R19" s="44">
        <v>128</v>
      </c>
      <c r="S19" s="44">
        <v>133</v>
      </c>
      <c r="T19" s="44">
        <v>137</v>
      </c>
      <c r="U19" s="44">
        <v>141</v>
      </c>
      <c r="V19" s="44">
        <v>143</v>
      </c>
      <c r="W19" s="44">
        <v>194</v>
      </c>
      <c r="X19" s="44">
        <v>197</v>
      </c>
      <c r="Y19" s="44">
        <v>200</v>
      </c>
      <c r="Z19" s="44">
        <v>201</v>
      </c>
      <c r="AA19" s="44">
        <v>209</v>
      </c>
      <c r="AB19" s="44">
        <v>232</v>
      </c>
      <c r="AC19" s="44">
        <v>268</v>
      </c>
      <c r="AD19" s="44">
        <v>272</v>
      </c>
      <c r="AE19" s="43">
        <v>285</v>
      </c>
      <c r="AF19" s="43">
        <v>289</v>
      </c>
      <c r="AG19" s="43">
        <v>290</v>
      </c>
      <c r="AH19" s="43">
        <v>301</v>
      </c>
      <c r="AI19" s="44">
        <v>310</v>
      </c>
      <c r="AJ19" s="85">
        <v>345</v>
      </c>
      <c r="AK19" s="85">
        <v>350</v>
      </c>
      <c r="AL19" s="85">
        <v>392</v>
      </c>
      <c r="AM19" s="85">
        <v>401</v>
      </c>
      <c r="AN19" s="85">
        <v>447</v>
      </c>
      <c r="AO19" s="85">
        <v>456</v>
      </c>
      <c r="AP19" s="85">
        <v>456</v>
      </c>
      <c r="AQ19" s="85">
        <v>474</v>
      </c>
      <c r="AR19" s="85">
        <v>476</v>
      </c>
      <c r="AS19" s="167">
        <v>484</v>
      </c>
      <c r="AT19" s="167">
        <v>490</v>
      </c>
    </row>
    <row r="20" spans="1:52" ht="16.5" thickBot="1" x14ac:dyDescent="0.3">
      <c r="A20" s="22" t="str">
        <f>Latest!A28</f>
        <v>Health</v>
      </c>
      <c r="B20" s="23" t="str">
        <f>Latest!B28</f>
        <v>Distance walked</v>
      </c>
      <c r="C20" s="68" t="str">
        <f>IF(Levels!B19&lt;&gt;"",Levels!B19,"")</f>
        <v/>
      </c>
      <c r="D20" s="25">
        <v>167</v>
      </c>
      <c r="E20" s="25">
        <v>183</v>
      </c>
      <c r="F20" s="25">
        <v>185</v>
      </c>
      <c r="G20" s="25">
        <v>201</v>
      </c>
      <c r="H20" s="25">
        <v>205</v>
      </c>
      <c r="I20" s="25">
        <v>221</v>
      </c>
      <c r="J20" s="25">
        <v>230</v>
      </c>
      <c r="K20" s="25">
        <v>241</v>
      </c>
      <c r="L20" s="57">
        <v>245</v>
      </c>
      <c r="M20" s="57">
        <v>249</v>
      </c>
      <c r="N20" s="57">
        <v>259</v>
      </c>
      <c r="O20" s="57">
        <v>263</v>
      </c>
      <c r="P20" s="57">
        <v>290</v>
      </c>
      <c r="Q20" s="57">
        <v>302</v>
      </c>
      <c r="R20" s="57">
        <v>308</v>
      </c>
      <c r="S20" s="57">
        <v>326</v>
      </c>
      <c r="T20" s="57">
        <v>332</v>
      </c>
      <c r="U20" s="57">
        <v>340</v>
      </c>
      <c r="V20" s="57">
        <v>346</v>
      </c>
      <c r="W20" s="57">
        <v>356</v>
      </c>
      <c r="X20" s="57">
        <v>363</v>
      </c>
      <c r="Y20" s="57">
        <v>370</v>
      </c>
      <c r="Z20" s="57">
        <v>377</v>
      </c>
      <c r="AA20" s="57">
        <v>383</v>
      </c>
      <c r="AB20" s="57">
        <v>394</v>
      </c>
      <c r="AC20" s="57">
        <v>407</v>
      </c>
      <c r="AD20" s="57">
        <v>413</v>
      </c>
      <c r="AE20" s="18">
        <v>424</v>
      </c>
      <c r="AF20" s="18">
        <v>435</v>
      </c>
      <c r="AG20" s="18">
        <v>439</v>
      </c>
      <c r="AH20" s="18">
        <v>445</v>
      </c>
      <c r="AI20" s="26">
        <v>450</v>
      </c>
      <c r="AJ20" s="87">
        <v>460</v>
      </c>
      <c r="AK20" s="87">
        <v>472</v>
      </c>
      <c r="AL20" s="87">
        <v>481</v>
      </c>
      <c r="AM20" s="87">
        <v>490</v>
      </c>
      <c r="AN20" s="87">
        <v>501</v>
      </c>
      <c r="AO20" s="87">
        <v>515</v>
      </c>
      <c r="AP20" s="87">
        <v>520</v>
      </c>
      <c r="AQ20" s="87">
        <v>529</v>
      </c>
      <c r="AR20" s="87">
        <v>541</v>
      </c>
      <c r="AS20" s="168">
        <v>551</v>
      </c>
      <c r="AT20" s="168">
        <v>560</v>
      </c>
    </row>
    <row r="21" spans="1:52" x14ac:dyDescent="0.25">
      <c r="A21" s="8" t="str">
        <f>Latest!A29</f>
        <v>Defense</v>
      </c>
      <c r="B21" s="37" t="str">
        <f>Latest!B29</f>
        <v>Max time portal held</v>
      </c>
      <c r="C21" s="114" t="str">
        <f>IF(Levels!B20&lt;&gt;"",Levels!B20,"")</f>
        <v>Guardian</v>
      </c>
      <c r="D21" s="38">
        <v>16</v>
      </c>
      <c r="E21" s="58">
        <v>20</v>
      </c>
      <c r="F21" s="38">
        <v>21</v>
      </c>
      <c r="G21" s="38">
        <v>26</v>
      </c>
      <c r="H21" s="38">
        <v>26</v>
      </c>
      <c r="I21" s="38">
        <v>30</v>
      </c>
      <c r="J21" s="38">
        <v>33</v>
      </c>
      <c r="K21" s="38">
        <v>35</v>
      </c>
      <c r="L21" s="38">
        <v>36</v>
      </c>
      <c r="M21" s="38">
        <v>37</v>
      </c>
      <c r="N21" s="38">
        <v>39</v>
      </c>
      <c r="O21" s="38">
        <v>40</v>
      </c>
      <c r="P21" s="38">
        <v>47</v>
      </c>
      <c r="Q21" s="38">
        <v>50</v>
      </c>
      <c r="R21" s="38">
        <v>51</v>
      </c>
      <c r="S21" s="38">
        <v>53</v>
      </c>
      <c r="T21" s="38">
        <v>54</v>
      </c>
      <c r="U21" s="38">
        <v>55</v>
      </c>
      <c r="V21" s="38">
        <v>56</v>
      </c>
      <c r="W21" s="38">
        <v>57</v>
      </c>
      <c r="X21" s="38">
        <v>57</v>
      </c>
      <c r="Y21" s="38">
        <v>59</v>
      </c>
      <c r="Z21" s="38">
        <v>62</v>
      </c>
      <c r="AA21" s="38">
        <v>63</v>
      </c>
      <c r="AB21" s="38">
        <v>65</v>
      </c>
      <c r="AC21" s="38">
        <v>68</v>
      </c>
      <c r="AD21" s="38">
        <v>68</v>
      </c>
      <c r="AE21" s="46">
        <v>69</v>
      </c>
      <c r="AF21" s="46">
        <v>70</v>
      </c>
      <c r="AG21" s="46">
        <v>71</v>
      </c>
      <c r="AH21" s="46">
        <v>72</v>
      </c>
      <c r="AI21" s="38">
        <v>73</v>
      </c>
      <c r="AJ21" s="82">
        <v>75</v>
      </c>
      <c r="AK21" s="82">
        <v>77</v>
      </c>
      <c r="AL21" s="82">
        <v>78</v>
      </c>
      <c r="AM21" s="82">
        <v>78</v>
      </c>
      <c r="AN21" s="82">
        <v>79</v>
      </c>
      <c r="AO21" s="82">
        <v>80</v>
      </c>
      <c r="AP21" s="82">
        <v>82</v>
      </c>
      <c r="AQ21" s="82">
        <v>82</v>
      </c>
      <c r="AR21" s="82">
        <v>83</v>
      </c>
      <c r="AS21" s="164">
        <v>85</v>
      </c>
      <c r="AT21" s="164">
        <v>85</v>
      </c>
    </row>
    <row r="22" spans="1:52" x14ac:dyDescent="0.25">
      <c r="A22" s="20" t="str">
        <f>Latest!A30</f>
        <v>Defense</v>
      </c>
      <c r="B22" s="13" t="str">
        <f>Latest!B30</f>
        <v>Max time link Maintened</v>
      </c>
      <c r="C22" s="73" t="str">
        <f>IF(Levels!B21&lt;&gt;"",Levels!B21,"")</f>
        <v/>
      </c>
      <c r="D22" s="47">
        <v>16</v>
      </c>
      <c r="E22" s="47">
        <v>20</v>
      </c>
      <c r="F22" s="47">
        <v>21</v>
      </c>
      <c r="G22" s="47">
        <v>26</v>
      </c>
      <c r="H22" s="47">
        <v>26</v>
      </c>
      <c r="I22" s="47">
        <v>30</v>
      </c>
      <c r="J22" s="47">
        <v>33</v>
      </c>
      <c r="K22" s="47">
        <v>35</v>
      </c>
      <c r="L22" s="47">
        <v>36</v>
      </c>
      <c r="M22" s="47">
        <v>37</v>
      </c>
      <c r="N22" s="47">
        <v>39</v>
      </c>
      <c r="O22" s="47">
        <v>40</v>
      </c>
      <c r="P22" s="47">
        <v>47</v>
      </c>
      <c r="Q22" s="47">
        <v>50</v>
      </c>
      <c r="R22" s="47">
        <v>51</v>
      </c>
      <c r="S22" s="47">
        <v>53</v>
      </c>
      <c r="T22" s="47">
        <v>54</v>
      </c>
      <c r="U22" s="47">
        <v>55</v>
      </c>
      <c r="V22" s="47">
        <v>56</v>
      </c>
      <c r="W22" s="47">
        <v>57</v>
      </c>
      <c r="X22" s="47">
        <v>57</v>
      </c>
      <c r="Y22" s="47">
        <v>59</v>
      </c>
      <c r="Z22" s="47">
        <v>62</v>
      </c>
      <c r="AA22" s="47">
        <v>63</v>
      </c>
      <c r="AB22" s="47">
        <v>65</v>
      </c>
      <c r="AC22" s="47">
        <v>68</v>
      </c>
      <c r="AD22" s="47">
        <v>68</v>
      </c>
      <c r="AE22" s="47">
        <v>69</v>
      </c>
      <c r="AF22" s="47">
        <v>70</v>
      </c>
      <c r="AG22" s="47">
        <v>71</v>
      </c>
      <c r="AH22" s="47">
        <v>72</v>
      </c>
      <c r="AI22" s="42">
        <v>73</v>
      </c>
      <c r="AJ22" s="80">
        <v>75</v>
      </c>
      <c r="AK22" s="80">
        <v>77</v>
      </c>
      <c r="AL22" s="80">
        <v>78</v>
      </c>
      <c r="AM22" s="80">
        <v>78</v>
      </c>
      <c r="AN22" s="80">
        <v>79</v>
      </c>
      <c r="AO22" s="80">
        <v>80</v>
      </c>
      <c r="AP22" s="80">
        <v>82</v>
      </c>
      <c r="AQ22" s="80">
        <v>82</v>
      </c>
      <c r="AR22" s="80">
        <v>83</v>
      </c>
      <c r="AS22" s="162">
        <v>85</v>
      </c>
      <c r="AT22" s="162">
        <v>85</v>
      </c>
    </row>
    <row r="23" spans="1:52" x14ac:dyDescent="0.25">
      <c r="A23" s="20" t="str">
        <f>Latest!A31</f>
        <v>Defense</v>
      </c>
      <c r="B23" s="13" t="str">
        <f>Latest!B31</f>
        <v>Max link lenght x days</v>
      </c>
      <c r="C23" s="73" t="str">
        <f>IF(Levels!B22&lt;&gt;"",Levels!B22,"")</f>
        <v/>
      </c>
      <c r="D23" s="47">
        <v>94</v>
      </c>
      <c r="E23" s="47">
        <v>128</v>
      </c>
      <c r="F23" s="47">
        <v>128</v>
      </c>
      <c r="G23" s="47">
        <v>132</v>
      </c>
      <c r="H23" s="47">
        <v>132</v>
      </c>
      <c r="I23" s="47">
        <v>156</v>
      </c>
      <c r="J23" s="47">
        <v>174</v>
      </c>
      <c r="K23" s="47">
        <v>185</v>
      </c>
      <c r="L23" s="47">
        <v>191</v>
      </c>
      <c r="M23" s="47">
        <v>200</v>
      </c>
      <c r="N23" s="47">
        <v>200</v>
      </c>
      <c r="O23" s="47">
        <v>200</v>
      </c>
      <c r="P23" s="47">
        <v>299</v>
      </c>
      <c r="Q23" s="47">
        <v>200</v>
      </c>
      <c r="R23" s="47">
        <v>200</v>
      </c>
      <c r="S23" s="47">
        <v>200</v>
      </c>
      <c r="T23" s="47">
        <v>200</v>
      </c>
      <c r="U23" s="47">
        <v>200</v>
      </c>
      <c r="V23" s="47">
        <v>200</v>
      </c>
      <c r="W23" s="47">
        <v>200</v>
      </c>
      <c r="X23" s="47">
        <v>200</v>
      </c>
      <c r="Y23" s="47">
        <v>200</v>
      </c>
      <c r="Z23" s="47">
        <v>200</v>
      </c>
      <c r="AA23" s="47">
        <v>200</v>
      </c>
      <c r="AB23" s="47">
        <v>200</v>
      </c>
      <c r="AC23" s="47">
        <v>200</v>
      </c>
      <c r="AD23" s="47">
        <v>200</v>
      </c>
      <c r="AE23" s="47">
        <v>200</v>
      </c>
      <c r="AF23" s="47">
        <v>200</v>
      </c>
      <c r="AG23" s="47">
        <v>200</v>
      </c>
      <c r="AH23" s="47">
        <v>200</v>
      </c>
      <c r="AI23" s="42">
        <v>200</v>
      </c>
      <c r="AJ23" s="80">
        <v>200</v>
      </c>
      <c r="AK23" s="80">
        <v>200</v>
      </c>
      <c r="AL23" s="80">
        <v>200</v>
      </c>
      <c r="AM23" s="80">
        <v>200</v>
      </c>
      <c r="AN23" s="80">
        <v>200</v>
      </c>
      <c r="AO23" s="80">
        <v>200</v>
      </c>
      <c r="AP23" s="80">
        <v>200</v>
      </c>
      <c r="AQ23" s="80">
        <v>200</v>
      </c>
      <c r="AR23" s="80">
        <v>200</v>
      </c>
      <c r="AS23" s="162">
        <v>200</v>
      </c>
      <c r="AT23" s="162">
        <v>200</v>
      </c>
    </row>
    <row r="24" spans="1:52" x14ac:dyDescent="0.25">
      <c r="A24" s="20" t="str">
        <f>Latest!A32</f>
        <v>Defense</v>
      </c>
      <c r="B24" s="13" t="str">
        <f>Latest!B32</f>
        <v>Max time Field Held</v>
      </c>
      <c r="C24" s="73" t="str">
        <f>IF(Levels!B23&lt;&gt;"",Levels!B23,"")</f>
        <v/>
      </c>
      <c r="D24" s="47">
        <v>19</v>
      </c>
      <c r="E24" s="47">
        <v>10</v>
      </c>
      <c r="F24" s="47">
        <v>10</v>
      </c>
      <c r="G24" s="47">
        <v>10</v>
      </c>
      <c r="H24" s="47">
        <v>10</v>
      </c>
      <c r="I24" s="47">
        <v>10</v>
      </c>
      <c r="J24" s="47">
        <v>10</v>
      </c>
      <c r="K24" s="47">
        <v>10</v>
      </c>
      <c r="L24" s="47">
        <v>11</v>
      </c>
      <c r="M24" s="47">
        <v>12</v>
      </c>
      <c r="N24" s="47">
        <v>14</v>
      </c>
      <c r="O24" s="47">
        <v>15</v>
      </c>
      <c r="P24" s="47">
        <v>22</v>
      </c>
      <c r="Q24" s="47">
        <v>25</v>
      </c>
      <c r="R24" s="47">
        <v>26</v>
      </c>
      <c r="S24" s="47">
        <v>38</v>
      </c>
      <c r="T24" s="47">
        <v>29</v>
      </c>
      <c r="U24" s="47">
        <v>30</v>
      </c>
      <c r="V24" s="47">
        <v>21</v>
      </c>
      <c r="W24" s="47">
        <v>32</v>
      </c>
      <c r="X24" s="47">
        <v>32</v>
      </c>
      <c r="Y24" s="47">
        <v>34</v>
      </c>
      <c r="Z24" s="47">
        <v>37</v>
      </c>
      <c r="AA24" s="47">
        <v>38</v>
      </c>
      <c r="AB24" s="47">
        <v>38</v>
      </c>
      <c r="AC24" s="47">
        <v>43</v>
      </c>
      <c r="AD24" s="47">
        <v>43</v>
      </c>
      <c r="AE24" s="47">
        <v>44</v>
      </c>
      <c r="AF24" s="47">
        <v>45</v>
      </c>
      <c r="AG24" s="47">
        <v>46</v>
      </c>
      <c r="AH24" s="47">
        <v>47</v>
      </c>
      <c r="AI24" s="42">
        <v>48</v>
      </c>
      <c r="AJ24" s="80">
        <v>50</v>
      </c>
      <c r="AK24" s="80">
        <v>51</v>
      </c>
      <c r="AL24" s="80">
        <v>53</v>
      </c>
      <c r="AM24" s="80">
        <v>53</v>
      </c>
      <c r="AN24" s="80">
        <v>54</v>
      </c>
      <c r="AO24" s="80">
        <v>55</v>
      </c>
      <c r="AP24" s="80">
        <v>57</v>
      </c>
      <c r="AQ24" s="80">
        <v>57</v>
      </c>
      <c r="AR24" s="80">
        <v>58</v>
      </c>
      <c r="AS24" s="162">
        <v>60</v>
      </c>
      <c r="AT24" s="162">
        <v>60</v>
      </c>
    </row>
    <row r="25" spans="1:52" ht="16.5" thickBot="1" x14ac:dyDescent="0.3">
      <c r="A25" s="21" t="str">
        <f>Latest!A33</f>
        <v>Defense</v>
      </c>
      <c r="B25" s="17" t="str">
        <f>Latest!B33</f>
        <v>Largest field MUxDays</v>
      </c>
      <c r="C25" s="92" t="str">
        <f>IF(Levels!B24&lt;&gt;"",Levels!B24,"")</f>
        <v/>
      </c>
      <c r="D25" s="44">
        <v>486</v>
      </c>
      <c r="E25" s="44">
        <v>486</v>
      </c>
      <c r="F25" s="44">
        <v>486</v>
      </c>
      <c r="G25" s="44">
        <v>486</v>
      </c>
      <c r="H25" s="44">
        <v>486</v>
      </c>
      <c r="I25" s="44">
        <v>486</v>
      </c>
      <c r="J25" s="44">
        <v>486</v>
      </c>
      <c r="K25" s="44">
        <v>486</v>
      </c>
      <c r="L25" s="44">
        <v>486</v>
      </c>
      <c r="M25" s="44">
        <v>580</v>
      </c>
      <c r="N25" s="44">
        <v>580</v>
      </c>
      <c r="O25" s="44">
        <v>580</v>
      </c>
      <c r="P25" s="44">
        <v>580</v>
      </c>
      <c r="Q25" s="44">
        <v>580</v>
      </c>
      <c r="R25" s="44">
        <v>580</v>
      </c>
      <c r="S25" s="44">
        <v>580</v>
      </c>
      <c r="T25" s="44">
        <v>580</v>
      </c>
      <c r="U25" s="44">
        <v>580</v>
      </c>
      <c r="V25" s="44">
        <v>580</v>
      </c>
      <c r="W25" s="44">
        <v>580</v>
      </c>
      <c r="X25" s="44">
        <v>580</v>
      </c>
      <c r="Y25" s="44">
        <v>580</v>
      </c>
      <c r="Z25" s="44">
        <v>587</v>
      </c>
      <c r="AA25" s="44">
        <v>587</v>
      </c>
      <c r="AB25" s="44">
        <v>587</v>
      </c>
      <c r="AC25" s="44">
        <v>587</v>
      </c>
      <c r="AD25" s="44">
        <v>587</v>
      </c>
      <c r="AE25" s="44">
        <v>587</v>
      </c>
      <c r="AF25" s="44">
        <v>587</v>
      </c>
      <c r="AG25" s="44">
        <v>587</v>
      </c>
      <c r="AH25" s="44">
        <v>587</v>
      </c>
      <c r="AI25" s="44">
        <v>587</v>
      </c>
      <c r="AJ25" s="85">
        <v>587</v>
      </c>
      <c r="AK25" s="85">
        <v>587</v>
      </c>
      <c r="AL25" s="85">
        <v>587</v>
      </c>
      <c r="AM25" s="85">
        <v>587</v>
      </c>
      <c r="AN25" s="85">
        <v>587</v>
      </c>
      <c r="AO25" s="85">
        <v>587</v>
      </c>
      <c r="AP25" s="85">
        <v>587</v>
      </c>
      <c r="AQ25" s="85">
        <v>587</v>
      </c>
      <c r="AR25" s="85">
        <v>587</v>
      </c>
      <c r="AS25" s="167">
        <v>587</v>
      </c>
      <c r="AT25" s="167">
        <v>587</v>
      </c>
    </row>
    <row r="26" spans="1:52" ht="16.5" thickBot="1" x14ac:dyDescent="0.3">
      <c r="A26" s="22" t="str">
        <f>Latest!A34</f>
        <v>Mission</v>
      </c>
      <c r="B26" s="23" t="str">
        <f>Latest!B34</f>
        <v>Unique Mission Completed</v>
      </c>
      <c r="C26" s="24" t="str">
        <f>IF(Levels!B25&lt;&gt;"",Levels!B25,"")</f>
        <v/>
      </c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>
        <v>1</v>
      </c>
      <c r="AE26" s="18">
        <v>1</v>
      </c>
      <c r="AF26" s="18">
        <v>1</v>
      </c>
      <c r="AG26" s="18">
        <v>1</v>
      </c>
      <c r="AH26" s="18">
        <v>1</v>
      </c>
      <c r="AI26" s="26">
        <v>1</v>
      </c>
      <c r="AJ26" s="87">
        <v>1</v>
      </c>
      <c r="AK26" s="87">
        <v>1</v>
      </c>
      <c r="AL26" s="87">
        <v>1</v>
      </c>
      <c r="AM26" s="87">
        <v>1</v>
      </c>
      <c r="AN26" s="87">
        <v>1</v>
      </c>
      <c r="AO26" s="87">
        <v>1</v>
      </c>
      <c r="AP26" s="87">
        <v>1</v>
      </c>
      <c r="AQ26" s="87">
        <v>1</v>
      </c>
      <c r="AR26" s="87">
        <v>1</v>
      </c>
      <c r="AS26" s="168">
        <v>1</v>
      </c>
      <c r="AT26" s="168">
        <v>2</v>
      </c>
      <c r="AU26" s="181"/>
      <c r="AW26" s="181"/>
    </row>
    <row r="27" spans="1:52" x14ac:dyDescent="0.25">
      <c r="C27" s="127" t="str">
        <f ca="1">OFFSET($D29:$XFD29,,COUNTA($D29:$XFD29)-2,,1)</f>
        <v/>
      </c>
      <c r="D27" s="127"/>
      <c r="O27" s="181"/>
      <c r="P27" s="181"/>
      <c r="Q27" s="181"/>
      <c r="R27" s="181"/>
      <c r="S27" s="181"/>
      <c r="T27" s="181"/>
      <c r="U27" s="181"/>
      <c r="V27" s="181"/>
      <c r="W27" s="181"/>
      <c r="X27" s="181"/>
      <c r="Y27" s="181"/>
      <c r="Z27" s="181"/>
      <c r="AA27" s="181"/>
      <c r="AB27" s="181"/>
      <c r="AC27" s="181"/>
      <c r="AD27" s="181"/>
      <c r="AE27" s="181"/>
      <c r="AF27" s="181"/>
      <c r="AG27" s="181"/>
      <c r="AH27" s="181"/>
      <c r="AI27" s="181"/>
      <c r="AJ27" s="181"/>
      <c r="AK27" s="181"/>
      <c r="AL27" s="181"/>
      <c r="AM27" s="181"/>
      <c r="AN27" s="181"/>
      <c r="AO27" s="181"/>
      <c r="AP27" s="181"/>
      <c r="AQ27" s="181"/>
      <c r="AR27" s="181"/>
      <c r="AS27" s="181"/>
      <c r="AT27" s="181"/>
      <c r="AU27" s="181"/>
      <c r="AV27" s="181"/>
      <c r="AW27" s="181"/>
    </row>
    <row r="28" spans="1:52" ht="21.75" thickBot="1" x14ac:dyDescent="0.4">
      <c r="B28" s="66" t="s">
        <v>52</v>
      </c>
      <c r="AB28" s="189" t="s">
        <v>104</v>
      </c>
      <c r="AC28" s="189"/>
      <c r="AD28" s="189"/>
      <c r="AE28" s="189"/>
      <c r="AF28" s="189"/>
      <c r="AG28" s="189"/>
      <c r="AH28" s="189"/>
      <c r="AI28" s="189"/>
      <c r="AJ28" s="189"/>
      <c r="AK28" s="189"/>
      <c r="AL28" s="189"/>
      <c r="AM28" s="189"/>
      <c r="AN28" s="189"/>
      <c r="AO28" s="189"/>
      <c r="AP28" s="189"/>
      <c r="AQ28" s="189"/>
      <c r="AR28" s="189"/>
      <c r="AS28" s="189"/>
      <c r="AT28" s="189"/>
      <c r="AU28" s="189"/>
      <c r="AV28" s="189"/>
    </row>
    <row r="29" spans="1:52" ht="16.5" thickBot="1" x14ac:dyDescent="0.3">
      <c r="A29" s="22"/>
      <c r="B29" s="59" t="s">
        <v>49</v>
      </c>
      <c r="C29" s="59"/>
      <c r="D29" s="60"/>
      <c r="E29" s="60">
        <f>IF(E2="","n/a",E2-D2)</f>
        <v>149222</v>
      </c>
      <c r="F29" s="60">
        <f>IF(F2="","n/a",F2-E2)</f>
        <v>14221</v>
      </c>
      <c r="G29" s="60">
        <f>IF(G2="","n/a",G2-F2)</f>
        <v>176939</v>
      </c>
      <c r="H29" s="60">
        <f>AVERAGE(G29,I29)</f>
        <v>186999.5</v>
      </c>
      <c r="I29" s="60">
        <f t="shared" ref="I29:AK29" si="0">IF(I2="","n/a",I2-H2)</f>
        <v>197060</v>
      </c>
      <c r="J29" s="60">
        <f t="shared" si="0"/>
        <v>91884</v>
      </c>
      <c r="K29" s="60">
        <f t="shared" si="0"/>
        <v>115221</v>
      </c>
      <c r="L29" s="60">
        <f t="shared" si="0"/>
        <v>28292</v>
      </c>
      <c r="M29" s="60">
        <f t="shared" si="0"/>
        <v>30570</v>
      </c>
      <c r="N29" s="60">
        <f t="shared" si="0"/>
        <v>85386</v>
      </c>
      <c r="O29" s="60">
        <f t="shared" si="0"/>
        <v>28204</v>
      </c>
      <c r="P29" s="60">
        <f t="shared" si="0"/>
        <v>258001</v>
      </c>
      <c r="Q29" s="60">
        <f t="shared" si="0"/>
        <v>131708</v>
      </c>
      <c r="R29" s="60">
        <f t="shared" si="0"/>
        <v>70862</v>
      </c>
      <c r="S29" s="60">
        <f t="shared" si="0"/>
        <v>182263</v>
      </c>
      <c r="T29" s="60">
        <f t="shared" si="0"/>
        <v>89604</v>
      </c>
      <c r="U29" s="60">
        <f t="shared" si="0"/>
        <v>0</v>
      </c>
      <c r="V29" s="60">
        <f t="shared" si="0"/>
        <v>149329</v>
      </c>
      <c r="W29" s="60">
        <f t="shared" si="0"/>
        <v>181653</v>
      </c>
      <c r="X29" s="60">
        <f t="shared" si="0"/>
        <v>96172</v>
      </c>
      <c r="Y29" s="60">
        <f t="shared" si="0"/>
        <v>94736</v>
      </c>
      <c r="Z29" s="60">
        <f t="shared" si="0"/>
        <v>46251</v>
      </c>
      <c r="AA29" s="60">
        <f t="shared" si="0"/>
        <v>61338</v>
      </c>
      <c r="AB29" s="60">
        <f t="shared" si="0"/>
        <v>152427</v>
      </c>
      <c r="AC29" s="60">
        <f t="shared" si="0"/>
        <v>478974</v>
      </c>
      <c r="AD29" s="60">
        <f t="shared" si="0"/>
        <v>230110</v>
      </c>
      <c r="AE29" s="60">
        <f t="shared" si="0"/>
        <v>442000</v>
      </c>
      <c r="AF29" s="60">
        <f t="shared" si="0"/>
        <v>288532</v>
      </c>
      <c r="AG29" s="60">
        <f t="shared" si="0"/>
        <v>173156</v>
      </c>
      <c r="AH29" s="60">
        <f t="shared" si="0"/>
        <v>210760</v>
      </c>
      <c r="AI29" s="60">
        <f t="shared" si="0"/>
        <v>242628</v>
      </c>
      <c r="AJ29" s="60">
        <f t="shared" si="0"/>
        <v>442836</v>
      </c>
      <c r="AK29" s="60">
        <f t="shared" si="0"/>
        <v>220056</v>
      </c>
      <c r="AL29" s="60">
        <f t="shared" ref="AL29:AZ29" si="1">IF(AL2="","",AL2-AK2)</f>
        <v>470824</v>
      </c>
      <c r="AM29" s="60">
        <f t="shared" si="1"/>
        <v>440070</v>
      </c>
      <c r="AN29" s="60">
        <f t="shared" si="1"/>
        <v>549708</v>
      </c>
      <c r="AO29" s="60">
        <f t="shared" si="1"/>
        <v>416404</v>
      </c>
      <c r="AP29" s="60">
        <f t="shared" si="1"/>
        <v>212618</v>
      </c>
      <c r="AQ29" s="60">
        <f t="shared" si="1"/>
        <v>614450</v>
      </c>
      <c r="AR29" s="60">
        <f t="shared" si="1"/>
        <v>318762</v>
      </c>
      <c r="AS29" s="60">
        <f t="shared" si="1"/>
        <v>428318</v>
      </c>
      <c r="AT29" s="60">
        <f t="shared" si="1"/>
        <v>419302</v>
      </c>
      <c r="AU29" s="60" t="str">
        <f t="shared" si="1"/>
        <v/>
      </c>
      <c r="AV29" s="60" t="str">
        <f t="shared" si="1"/>
        <v/>
      </c>
      <c r="AW29" s="60" t="str">
        <f t="shared" si="1"/>
        <v/>
      </c>
      <c r="AX29" s="60" t="str">
        <f t="shared" si="1"/>
        <v/>
      </c>
      <c r="AY29" s="60" t="str">
        <f t="shared" si="1"/>
        <v/>
      </c>
      <c r="AZ29" s="60" t="str">
        <f t="shared" si="1"/>
        <v/>
      </c>
    </row>
    <row r="30" spans="1:52" x14ac:dyDescent="0.25">
      <c r="A30" s="8" t="str">
        <f>Latest!A11</f>
        <v>Discovery</v>
      </c>
      <c r="B30" s="37" t="str">
        <f>Latest!B11</f>
        <v>Unique portals visited</v>
      </c>
      <c r="C30" s="37" t="str">
        <f>IF(Levels!B2&lt;&gt;"",Levels!B2,"")</f>
        <v>Explorer</v>
      </c>
      <c r="D30" s="61"/>
      <c r="E30" s="61">
        <f t="shared" ref="E30:AJ30" si="2">IF(E3="","n/a",E3-D3)</f>
        <v>10</v>
      </c>
      <c r="F30" s="61">
        <f t="shared" si="2"/>
        <v>1</v>
      </c>
      <c r="G30" s="61">
        <f t="shared" si="2"/>
        <v>18</v>
      </c>
      <c r="H30" s="61">
        <f t="shared" si="2"/>
        <v>19</v>
      </c>
      <c r="I30" s="61">
        <f t="shared" si="2"/>
        <v>35</v>
      </c>
      <c r="J30" s="61">
        <f t="shared" si="2"/>
        <v>22</v>
      </c>
      <c r="K30" s="61">
        <f t="shared" si="2"/>
        <v>5</v>
      </c>
      <c r="L30" s="61">
        <f t="shared" si="2"/>
        <v>1</v>
      </c>
      <c r="M30" s="61">
        <f t="shared" si="2"/>
        <v>0</v>
      </c>
      <c r="N30" s="61">
        <f t="shared" si="2"/>
        <v>14</v>
      </c>
      <c r="O30" s="61">
        <f t="shared" si="2"/>
        <v>0</v>
      </c>
      <c r="P30" s="61">
        <f t="shared" si="2"/>
        <v>31</v>
      </c>
      <c r="Q30" s="61">
        <f t="shared" si="2"/>
        <v>9</v>
      </c>
      <c r="R30" s="61">
        <f t="shared" si="2"/>
        <v>13</v>
      </c>
      <c r="S30" s="61">
        <f t="shared" si="2"/>
        <v>106</v>
      </c>
      <c r="T30" s="61">
        <f t="shared" si="2"/>
        <v>27</v>
      </c>
      <c r="U30" s="61">
        <f t="shared" si="2"/>
        <v>31</v>
      </c>
      <c r="V30" s="61">
        <f t="shared" si="2"/>
        <v>3</v>
      </c>
      <c r="W30" s="61">
        <f t="shared" si="2"/>
        <v>10</v>
      </c>
      <c r="X30" s="61">
        <f t="shared" si="2"/>
        <v>18</v>
      </c>
      <c r="Y30" s="61">
        <f t="shared" si="2"/>
        <v>0</v>
      </c>
      <c r="Z30" s="61">
        <f t="shared" si="2"/>
        <v>78</v>
      </c>
      <c r="AA30" s="61">
        <f t="shared" si="2"/>
        <v>16</v>
      </c>
      <c r="AB30" s="61">
        <f t="shared" si="2"/>
        <v>29</v>
      </c>
      <c r="AC30" s="61">
        <f t="shared" si="2"/>
        <v>56</v>
      </c>
      <c r="AD30" s="61">
        <f t="shared" si="2"/>
        <v>22</v>
      </c>
      <c r="AE30" s="61">
        <f t="shared" si="2"/>
        <v>8</v>
      </c>
      <c r="AF30" s="61">
        <f t="shared" si="2"/>
        <v>2</v>
      </c>
      <c r="AG30" s="61">
        <f t="shared" si="2"/>
        <v>0</v>
      </c>
      <c r="AH30" s="61">
        <f t="shared" si="2"/>
        <v>19</v>
      </c>
      <c r="AI30" s="61">
        <f t="shared" si="2"/>
        <v>2</v>
      </c>
      <c r="AJ30" s="61">
        <f t="shared" si="2"/>
        <v>3</v>
      </c>
      <c r="AK30" s="61">
        <f t="shared" ref="AK30" si="3">IF(AK3="","n/a",AK3-AJ3)</f>
        <v>109</v>
      </c>
      <c r="AL30" s="61">
        <f t="shared" ref="AL30:AO30" si="4">IF(AL3="","",AL3-AK3)</f>
        <v>34</v>
      </c>
      <c r="AM30" s="61">
        <f t="shared" si="4"/>
        <v>36</v>
      </c>
      <c r="AN30" s="61">
        <f t="shared" si="4"/>
        <v>2</v>
      </c>
      <c r="AO30" s="61">
        <f t="shared" si="4"/>
        <v>171</v>
      </c>
      <c r="AP30" s="61">
        <f t="shared" ref="AP30:AZ30" si="5">IF(AP3="","",AP3-AO3)</f>
        <v>3</v>
      </c>
      <c r="AQ30" s="61">
        <f t="shared" si="5"/>
        <v>2</v>
      </c>
      <c r="AR30" s="61">
        <f t="shared" si="5"/>
        <v>19</v>
      </c>
      <c r="AS30" s="61">
        <f t="shared" si="5"/>
        <v>1</v>
      </c>
      <c r="AT30" s="61">
        <f t="shared" si="5"/>
        <v>75</v>
      </c>
      <c r="AU30" s="61" t="str">
        <f t="shared" si="5"/>
        <v/>
      </c>
      <c r="AV30" s="61" t="str">
        <f t="shared" si="5"/>
        <v/>
      </c>
      <c r="AW30" s="61" t="str">
        <f t="shared" si="5"/>
        <v/>
      </c>
      <c r="AX30" s="61" t="str">
        <f t="shared" si="5"/>
        <v/>
      </c>
      <c r="AY30" s="61" t="str">
        <f t="shared" si="5"/>
        <v/>
      </c>
      <c r="AZ30" s="61" t="str">
        <f t="shared" si="5"/>
        <v/>
      </c>
    </row>
    <row r="31" spans="1:52" x14ac:dyDescent="0.25">
      <c r="A31" s="20" t="str">
        <f>Latest!A12</f>
        <v>Discovery</v>
      </c>
      <c r="B31" s="41" t="str">
        <f>Latest!B12</f>
        <v>New portails submitted</v>
      </c>
      <c r="C31" s="41" t="str">
        <f>IF(Levels!B3&lt;&gt;"",Levels!B3,"")</f>
        <v>Seer</v>
      </c>
      <c r="D31" s="62"/>
      <c r="E31" s="62">
        <f t="shared" ref="E31:AJ31" si="6">IF(E4="","n/a",E4-D4)</f>
        <v>0</v>
      </c>
      <c r="F31" s="62">
        <f t="shared" si="6"/>
        <v>0</v>
      </c>
      <c r="G31" s="62">
        <f t="shared" si="6"/>
        <v>0</v>
      </c>
      <c r="H31" s="62">
        <f t="shared" si="6"/>
        <v>0</v>
      </c>
      <c r="I31" s="62">
        <f t="shared" si="6"/>
        <v>0</v>
      </c>
      <c r="J31" s="62">
        <f t="shared" si="6"/>
        <v>0</v>
      </c>
      <c r="K31" s="62">
        <f t="shared" si="6"/>
        <v>0</v>
      </c>
      <c r="L31" s="62">
        <f t="shared" si="6"/>
        <v>0</v>
      </c>
      <c r="M31" s="62">
        <f t="shared" si="6"/>
        <v>0</v>
      </c>
      <c r="N31" s="62">
        <f t="shared" si="6"/>
        <v>0</v>
      </c>
      <c r="O31" s="62">
        <f t="shared" si="6"/>
        <v>0</v>
      </c>
      <c r="P31" s="62">
        <f t="shared" si="6"/>
        <v>0</v>
      </c>
      <c r="Q31" s="62">
        <f t="shared" si="6"/>
        <v>0</v>
      </c>
      <c r="R31" s="62">
        <f t="shared" si="6"/>
        <v>3</v>
      </c>
      <c r="S31" s="62">
        <f t="shared" si="6"/>
        <v>1</v>
      </c>
      <c r="T31" s="62">
        <f t="shared" si="6"/>
        <v>0</v>
      </c>
      <c r="U31" s="62">
        <f t="shared" si="6"/>
        <v>2</v>
      </c>
      <c r="V31" s="62">
        <f t="shared" si="6"/>
        <v>0</v>
      </c>
      <c r="W31" s="62">
        <f t="shared" si="6"/>
        <v>0</v>
      </c>
      <c r="X31" s="62">
        <f t="shared" si="6"/>
        <v>0</v>
      </c>
      <c r="Y31" s="62">
        <f t="shared" si="6"/>
        <v>0</v>
      </c>
      <c r="Z31" s="62">
        <f t="shared" si="6"/>
        <v>0</v>
      </c>
      <c r="AA31" s="62">
        <f t="shared" si="6"/>
        <v>0</v>
      </c>
      <c r="AB31" s="62">
        <f t="shared" si="6"/>
        <v>0</v>
      </c>
      <c r="AC31" s="62">
        <f t="shared" si="6"/>
        <v>0</v>
      </c>
      <c r="AD31" s="62">
        <f t="shared" si="6"/>
        <v>0</v>
      </c>
      <c r="AE31" s="62">
        <f t="shared" si="6"/>
        <v>0</v>
      </c>
      <c r="AF31" s="62">
        <f t="shared" si="6"/>
        <v>0</v>
      </c>
      <c r="AG31" s="62">
        <f t="shared" si="6"/>
        <v>0</v>
      </c>
      <c r="AH31" s="62">
        <f t="shared" si="6"/>
        <v>0</v>
      </c>
      <c r="AI31" s="62">
        <f t="shared" si="6"/>
        <v>0</v>
      </c>
      <c r="AJ31" s="62">
        <f t="shared" si="6"/>
        <v>0</v>
      </c>
      <c r="AK31" s="62">
        <f t="shared" ref="AK31" si="7">IF(AK4="","n/a",AK4-AJ4)</f>
        <v>0</v>
      </c>
      <c r="AL31" s="62">
        <f t="shared" ref="AL31:AZ36" si="8">IF(AL4="","",AL4-AK4)</f>
        <v>0</v>
      </c>
      <c r="AM31" s="62">
        <f t="shared" ref="AM31:AO36" si="9">IF(AM4="","",AM4-AL4)</f>
        <v>0</v>
      </c>
      <c r="AN31" s="62">
        <f t="shared" si="9"/>
        <v>0</v>
      </c>
      <c r="AO31" s="62">
        <f t="shared" si="9"/>
        <v>0</v>
      </c>
      <c r="AP31" s="62">
        <f t="shared" si="8"/>
        <v>0</v>
      </c>
      <c r="AQ31" s="62">
        <f t="shared" si="8"/>
        <v>0</v>
      </c>
      <c r="AR31" s="62">
        <f t="shared" si="8"/>
        <v>0</v>
      </c>
      <c r="AS31" s="62">
        <f t="shared" si="8"/>
        <v>0</v>
      </c>
      <c r="AT31" s="62">
        <f t="shared" si="8"/>
        <v>0</v>
      </c>
      <c r="AU31" s="62" t="str">
        <f t="shared" si="8"/>
        <v/>
      </c>
      <c r="AV31" s="62" t="str">
        <f t="shared" si="8"/>
        <v/>
      </c>
      <c r="AW31" s="62" t="str">
        <f t="shared" si="8"/>
        <v/>
      </c>
      <c r="AX31" s="62" t="str">
        <f t="shared" si="8"/>
        <v/>
      </c>
      <c r="AY31" s="62" t="str">
        <f t="shared" si="8"/>
        <v/>
      </c>
      <c r="AZ31" s="62" t="str">
        <f t="shared" si="8"/>
        <v/>
      </c>
    </row>
    <row r="32" spans="1:52" ht="16.5" thickBot="1" x14ac:dyDescent="0.3">
      <c r="A32" s="21" t="str">
        <f>Latest!A13</f>
        <v>Discovery</v>
      </c>
      <c r="B32" s="17" t="str">
        <f>Latest!B13</f>
        <v>XM collected</v>
      </c>
      <c r="C32" s="17" t="str">
        <f>IF(Levels!B4&lt;&gt;"",Levels!B4,"")</f>
        <v/>
      </c>
      <c r="D32" s="18"/>
      <c r="E32" s="18">
        <f t="shared" ref="E32:AJ32" si="10">IF(E5="","n/a",E5-D5)</f>
        <v>548064</v>
      </c>
      <c r="F32" s="18">
        <f t="shared" si="10"/>
        <v>53490</v>
      </c>
      <c r="G32" s="18">
        <f t="shared" si="10"/>
        <v>543432</v>
      </c>
      <c r="H32" s="18">
        <f t="shared" si="10"/>
        <v>129114</v>
      </c>
      <c r="I32" s="18">
        <f t="shared" si="10"/>
        <v>670493</v>
      </c>
      <c r="J32" s="18">
        <f t="shared" si="10"/>
        <v>378526</v>
      </c>
      <c r="K32" s="18">
        <f t="shared" si="10"/>
        <v>472892</v>
      </c>
      <c r="L32" s="18">
        <f t="shared" si="10"/>
        <v>136831</v>
      </c>
      <c r="M32" s="18">
        <f t="shared" si="10"/>
        <v>103128</v>
      </c>
      <c r="N32" s="18">
        <f t="shared" si="10"/>
        <v>298467</v>
      </c>
      <c r="O32" s="18">
        <f t="shared" si="10"/>
        <v>121380</v>
      </c>
      <c r="P32" s="18">
        <f t="shared" si="10"/>
        <v>1396137</v>
      </c>
      <c r="Q32" s="18">
        <f t="shared" si="10"/>
        <v>593314</v>
      </c>
      <c r="R32" s="18">
        <f t="shared" si="10"/>
        <v>254799</v>
      </c>
      <c r="S32" s="18">
        <f t="shared" si="10"/>
        <v>642886</v>
      </c>
      <c r="T32" s="18">
        <f t="shared" si="10"/>
        <v>263764</v>
      </c>
      <c r="U32" s="18">
        <f t="shared" si="10"/>
        <v>240452</v>
      </c>
      <c r="V32" s="18">
        <f t="shared" si="10"/>
        <v>353892</v>
      </c>
      <c r="W32" s="18">
        <f t="shared" si="10"/>
        <v>320634</v>
      </c>
      <c r="X32" s="18">
        <f t="shared" si="10"/>
        <v>361151</v>
      </c>
      <c r="Y32" s="18">
        <f t="shared" si="10"/>
        <v>357911</v>
      </c>
      <c r="Z32" s="18">
        <f t="shared" si="10"/>
        <v>441312</v>
      </c>
      <c r="AA32" s="18">
        <f t="shared" si="10"/>
        <v>250718</v>
      </c>
      <c r="AB32" s="18">
        <f t="shared" si="10"/>
        <v>1023298</v>
      </c>
      <c r="AC32" s="18">
        <f t="shared" si="10"/>
        <v>582330</v>
      </c>
      <c r="AD32" s="18">
        <f t="shared" si="10"/>
        <v>199332</v>
      </c>
      <c r="AE32" s="18">
        <f t="shared" si="10"/>
        <v>754911</v>
      </c>
      <c r="AF32" s="18">
        <f t="shared" si="10"/>
        <v>485037</v>
      </c>
      <c r="AG32" s="18">
        <f t="shared" si="10"/>
        <v>244374</v>
      </c>
      <c r="AH32" s="18">
        <f t="shared" si="10"/>
        <v>332258</v>
      </c>
      <c r="AI32" s="18">
        <f t="shared" si="10"/>
        <v>186810</v>
      </c>
      <c r="AJ32" s="18">
        <f t="shared" si="10"/>
        <v>773271</v>
      </c>
      <c r="AK32" s="18">
        <f>IF(AK5="","n/a",AK5-AJ5)</f>
        <v>490702</v>
      </c>
      <c r="AL32" s="18">
        <f t="shared" si="8"/>
        <v>566970</v>
      </c>
      <c r="AM32" s="18">
        <f t="shared" si="9"/>
        <v>400860</v>
      </c>
      <c r="AN32" s="18">
        <f t="shared" si="9"/>
        <v>645992</v>
      </c>
      <c r="AO32" s="18">
        <f t="shared" si="9"/>
        <v>536041</v>
      </c>
      <c r="AP32" s="18">
        <f t="shared" si="8"/>
        <v>355067</v>
      </c>
      <c r="AQ32" s="18">
        <f t="shared" si="8"/>
        <v>556196</v>
      </c>
      <c r="AR32" s="18">
        <f t="shared" si="8"/>
        <v>500598</v>
      </c>
      <c r="AS32" s="18">
        <f t="shared" si="8"/>
        <v>681864</v>
      </c>
      <c r="AT32" s="18">
        <f t="shared" si="8"/>
        <v>431319</v>
      </c>
      <c r="AU32" s="18" t="str">
        <f t="shared" si="8"/>
        <v/>
      </c>
      <c r="AV32" s="18" t="str">
        <f t="shared" si="8"/>
        <v/>
      </c>
      <c r="AW32" s="18" t="str">
        <f t="shared" si="8"/>
        <v/>
      </c>
      <c r="AX32" s="18" t="str">
        <f t="shared" si="8"/>
        <v/>
      </c>
      <c r="AY32" s="18" t="str">
        <f t="shared" si="8"/>
        <v/>
      </c>
      <c r="AZ32" s="18" t="str">
        <f t="shared" si="8"/>
        <v/>
      </c>
    </row>
    <row r="33" spans="1:52" x14ac:dyDescent="0.25">
      <c r="A33" s="8" t="str">
        <f>Latest!A14</f>
        <v>Building</v>
      </c>
      <c r="B33" s="37" t="str">
        <f>Latest!B14</f>
        <v>Hacks</v>
      </c>
      <c r="C33" s="37" t="str">
        <f>IF(Levels!B5&lt;&gt;"",Levels!B5,"")</f>
        <v>Hacker</v>
      </c>
      <c r="D33" s="61"/>
      <c r="E33" s="61">
        <f t="shared" ref="E33:AJ33" si="11">IF(E6="","n/a",E6-D6)</f>
        <v>209</v>
      </c>
      <c r="F33" s="61">
        <f t="shared" si="11"/>
        <v>41</v>
      </c>
      <c r="G33" s="61">
        <f t="shared" si="11"/>
        <v>224</v>
      </c>
      <c r="H33" s="61">
        <f t="shared" si="11"/>
        <v>47</v>
      </c>
      <c r="I33" s="61">
        <f t="shared" si="11"/>
        <v>257</v>
      </c>
      <c r="J33" s="61">
        <f t="shared" si="11"/>
        <v>165</v>
      </c>
      <c r="K33" s="61">
        <f t="shared" si="11"/>
        <v>173</v>
      </c>
      <c r="L33" s="61">
        <f t="shared" si="11"/>
        <v>82</v>
      </c>
      <c r="M33" s="61">
        <f t="shared" si="11"/>
        <v>55</v>
      </c>
      <c r="N33" s="61">
        <f t="shared" si="11"/>
        <v>157</v>
      </c>
      <c r="O33" s="61">
        <f t="shared" si="11"/>
        <v>74</v>
      </c>
      <c r="P33" s="61">
        <f t="shared" si="11"/>
        <v>434</v>
      </c>
      <c r="Q33" s="61">
        <f t="shared" si="11"/>
        <v>162</v>
      </c>
      <c r="R33" s="61">
        <f t="shared" si="11"/>
        <v>96</v>
      </c>
      <c r="S33" s="61">
        <f t="shared" si="11"/>
        <v>318</v>
      </c>
      <c r="T33" s="61">
        <f t="shared" si="11"/>
        <v>136</v>
      </c>
      <c r="U33" s="61">
        <f t="shared" si="11"/>
        <v>119</v>
      </c>
      <c r="V33" s="61">
        <f t="shared" si="11"/>
        <v>109</v>
      </c>
      <c r="W33" s="61">
        <f t="shared" si="11"/>
        <v>164</v>
      </c>
      <c r="X33" s="61">
        <f t="shared" si="11"/>
        <v>156</v>
      </c>
      <c r="Y33" s="61">
        <f t="shared" si="11"/>
        <v>130</v>
      </c>
      <c r="Z33" s="61">
        <f t="shared" si="11"/>
        <v>159</v>
      </c>
      <c r="AA33" s="61">
        <f t="shared" si="11"/>
        <v>97</v>
      </c>
      <c r="AB33" s="61">
        <f t="shared" si="11"/>
        <v>201</v>
      </c>
      <c r="AC33" s="61">
        <f t="shared" si="11"/>
        <v>259</v>
      </c>
      <c r="AD33" s="61">
        <f t="shared" si="11"/>
        <v>78</v>
      </c>
      <c r="AE33" s="61">
        <f t="shared" si="11"/>
        <v>206</v>
      </c>
      <c r="AF33" s="61">
        <f t="shared" si="11"/>
        <v>145</v>
      </c>
      <c r="AG33" s="61">
        <f t="shared" si="11"/>
        <v>80</v>
      </c>
      <c r="AH33" s="61">
        <f t="shared" si="11"/>
        <v>104</v>
      </c>
      <c r="AI33" s="61">
        <f t="shared" si="11"/>
        <v>94</v>
      </c>
      <c r="AJ33" s="61">
        <f t="shared" si="11"/>
        <v>159</v>
      </c>
      <c r="AK33" s="61">
        <f>IF(AK6="","n/a",AK6-AJ6)</f>
        <v>260</v>
      </c>
      <c r="AL33" s="61">
        <f t="shared" si="8"/>
        <v>181</v>
      </c>
      <c r="AM33" s="61">
        <f t="shared" si="9"/>
        <v>166</v>
      </c>
      <c r="AN33" s="61">
        <f t="shared" si="9"/>
        <v>190</v>
      </c>
      <c r="AO33" s="61">
        <f t="shared" si="9"/>
        <v>257</v>
      </c>
      <c r="AP33" s="61">
        <f t="shared" si="8"/>
        <v>68</v>
      </c>
      <c r="AQ33" s="61">
        <f t="shared" si="8"/>
        <v>173</v>
      </c>
      <c r="AR33" s="61">
        <f t="shared" si="8"/>
        <v>223</v>
      </c>
      <c r="AS33" s="61">
        <f t="shared" si="8"/>
        <v>136</v>
      </c>
      <c r="AT33" s="61">
        <f t="shared" si="8"/>
        <v>187</v>
      </c>
      <c r="AU33" s="61" t="str">
        <f t="shared" si="8"/>
        <v/>
      </c>
      <c r="AV33" s="61" t="str">
        <f t="shared" si="8"/>
        <v/>
      </c>
      <c r="AW33" s="61" t="str">
        <f t="shared" si="8"/>
        <v/>
      </c>
      <c r="AX33" s="61" t="str">
        <f t="shared" si="8"/>
        <v/>
      </c>
      <c r="AY33" s="61" t="str">
        <f t="shared" si="8"/>
        <v/>
      </c>
      <c r="AZ33" s="61" t="str">
        <f t="shared" si="8"/>
        <v/>
      </c>
    </row>
    <row r="34" spans="1:52" x14ac:dyDescent="0.25">
      <c r="A34" s="12" t="str">
        <f>Latest!A15</f>
        <v>Building</v>
      </c>
      <c r="B34" s="41" t="str">
        <f>Latest!B15</f>
        <v>Resonators deployed</v>
      </c>
      <c r="C34" s="41" t="str">
        <f>IF(Levels!B6&lt;&gt;"",Levels!B6,"")</f>
        <v>Builder</v>
      </c>
      <c r="D34" s="62"/>
      <c r="E34" s="62">
        <f t="shared" ref="E34:AJ34" si="12">IF(E7="","n/a",E7-D7)</f>
        <v>351</v>
      </c>
      <c r="F34" s="62">
        <f t="shared" si="12"/>
        <v>54</v>
      </c>
      <c r="G34" s="62">
        <f t="shared" si="12"/>
        <v>444</v>
      </c>
      <c r="H34" s="62">
        <f t="shared" si="12"/>
        <v>178</v>
      </c>
      <c r="I34" s="62">
        <f t="shared" si="12"/>
        <v>298</v>
      </c>
      <c r="J34" s="62">
        <f t="shared" si="12"/>
        <v>156</v>
      </c>
      <c r="K34" s="62">
        <f t="shared" si="12"/>
        <v>276</v>
      </c>
      <c r="L34" s="62">
        <f t="shared" si="12"/>
        <v>81</v>
      </c>
      <c r="M34" s="62">
        <f t="shared" si="12"/>
        <v>89</v>
      </c>
      <c r="N34" s="62">
        <f t="shared" si="12"/>
        <v>153</v>
      </c>
      <c r="O34" s="62">
        <f t="shared" si="12"/>
        <v>67</v>
      </c>
      <c r="P34" s="62">
        <f t="shared" si="12"/>
        <v>462</v>
      </c>
      <c r="Q34" s="62">
        <f t="shared" si="12"/>
        <v>402</v>
      </c>
      <c r="R34" s="62">
        <f t="shared" si="12"/>
        <v>123</v>
      </c>
      <c r="S34" s="62">
        <f t="shared" si="12"/>
        <v>411</v>
      </c>
      <c r="T34" s="62">
        <f t="shared" si="12"/>
        <v>148</v>
      </c>
      <c r="U34" s="62">
        <f t="shared" si="12"/>
        <v>151</v>
      </c>
      <c r="V34" s="62">
        <f t="shared" si="12"/>
        <v>125</v>
      </c>
      <c r="W34" s="62">
        <f t="shared" si="12"/>
        <v>248</v>
      </c>
      <c r="X34" s="62">
        <f t="shared" si="12"/>
        <v>156</v>
      </c>
      <c r="Y34" s="62">
        <f t="shared" si="12"/>
        <v>197</v>
      </c>
      <c r="Z34" s="62">
        <f t="shared" si="12"/>
        <v>57</v>
      </c>
      <c r="AA34" s="62">
        <f t="shared" si="12"/>
        <v>82</v>
      </c>
      <c r="AB34" s="62">
        <f t="shared" si="12"/>
        <v>384</v>
      </c>
      <c r="AC34" s="62">
        <f t="shared" si="12"/>
        <v>621</v>
      </c>
      <c r="AD34" s="62">
        <f t="shared" si="12"/>
        <v>170</v>
      </c>
      <c r="AE34" s="62">
        <f t="shared" si="12"/>
        <v>585</v>
      </c>
      <c r="AF34" s="62">
        <f t="shared" si="12"/>
        <v>292</v>
      </c>
      <c r="AG34" s="62">
        <f t="shared" si="12"/>
        <v>253</v>
      </c>
      <c r="AH34" s="62">
        <f t="shared" si="12"/>
        <v>257</v>
      </c>
      <c r="AI34" s="62">
        <f t="shared" si="12"/>
        <v>263</v>
      </c>
      <c r="AJ34" s="62">
        <f t="shared" si="12"/>
        <v>407</v>
      </c>
      <c r="AK34" s="62">
        <f>IF(AK7="","n/a",AK7-AJ7)</f>
        <v>335</v>
      </c>
      <c r="AL34" s="62">
        <f t="shared" si="8"/>
        <v>320</v>
      </c>
      <c r="AM34" s="62">
        <f t="shared" si="9"/>
        <v>434</v>
      </c>
      <c r="AN34" s="62">
        <f t="shared" si="9"/>
        <v>549</v>
      </c>
      <c r="AO34" s="62">
        <f t="shared" si="9"/>
        <v>485</v>
      </c>
      <c r="AP34" s="62">
        <f t="shared" si="8"/>
        <v>229</v>
      </c>
      <c r="AQ34" s="62">
        <f t="shared" si="8"/>
        <v>659</v>
      </c>
      <c r="AR34" s="62">
        <f t="shared" si="8"/>
        <v>531</v>
      </c>
      <c r="AS34" s="62">
        <f t="shared" si="8"/>
        <v>523</v>
      </c>
      <c r="AT34" s="62">
        <f t="shared" si="8"/>
        <v>732</v>
      </c>
      <c r="AU34" s="62" t="str">
        <f t="shared" si="8"/>
        <v/>
      </c>
      <c r="AV34" s="62" t="str">
        <f t="shared" si="8"/>
        <v/>
      </c>
      <c r="AW34" s="62" t="str">
        <f t="shared" si="8"/>
        <v/>
      </c>
      <c r="AX34" s="62" t="str">
        <f t="shared" si="8"/>
        <v/>
      </c>
      <c r="AY34" s="62" t="str">
        <f t="shared" si="8"/>
        <v/>
      </c>
      <c r="AZ34" s="62" t="str">
        <f t="shared" si="8"/>
        <v/>
      </c>
    </row>
    <row r="35" spans="1:52" x14ac:dyDescent="0.25">
      <c r="A35" s="12" t="str">
        <f>Latest!A16</f>
        <v>Building</v>
      </c>
      <c r="B35" s="41" t="str">
        <f>Latest!B16</f>
        <v>Links created</v>
      </c>
      <c r="C35" s="41" t="str">
        <f>IF(Levels!B7&lt;&gt;"",Levels!B7,"")</f>
        <v>Connector</v>
      </c>
      <c r="D35" s="62"/>
      <c r="E35" s="62">
        <f t="shared" ref="E35:AJ35" si="13">IF(E8="","n/a",E8-D8)</f>
        <v>25</v>
      </c>
      <c r="F35" s="62">
        <f t="shared" si="13"/>
        <v>2</v>
      </c>
      <c r="G35" s="62">
        <f t="shared" si="13"/>
        <v>30</v>
      </c>
      <c r="H35" s="62">
        <f t="shared" si="13"/>
        <v>8</v>
      </c>
      <c r="I35" s="62">
        <f t="shared" si="13"/>
        <v>43</v>
      </c>
      <c r="J35" s="62">
        <f t="shared" si="13"/>
        <v>5</v>
      </c>
      <c r="K35" s="62">
        <f t="shared" si="13"/>
        <v>17</v>
      </c>
      <c r="L35" s="62">
        <f t="shared" si="13"/>
        <v>9</v>
      </c>
      <c r="M35" s="62">
        <f t="shared" si="13"/>
        <v>0</v>
      </c>
      <c r="N35" s="62">
        <f t="shared" si="13"/>
        <v>33</v>
      </c>
      <c r="O35" s="62">
        <f t="shared" si="13"/>
        <v>13</v>
      </c>
      <c r="P35" s="62">
        <f t="shared" si="13"/>
        <v>60</v>
      </c>
      <c r="Q35" s="62">
        <f t="shared" si="13"/>
        <v>3</v>
      </c>
      <c r="R35" s="62">
        <f t="shared" si="13"/>
        <v>21</v>
      </c>
      <c r="S35" s="62">
        <f t="shared" si="13"/>
        <v>44</v>
      </c>
      <c r="T35" s="62">
        <f t="shared" si="13"/>
        <v>0</v>
      </c>
      <c r="U35" s="62">
        <f t="shared" si="13"/>
        <v>17</v>
      </c>
      <c r="V35" s="62">
        <f t="shared" si="13"/>
        <v>7</v>
      </c>
      <c r="W35" s="62">
        <f t="shared" si="13"/>
        <v>17</v>
      </c>
      <c r="X35" s="62">
        <f t="shared" si="13"/>
        <v>33</v>
      </c>
      <c r="Y35" s="62">
        <f t="shared" si="13"/>
        <v>25</v>
      </c>
      <c r="Z35" s="62">
        <f t="shared" si="13"/>
        <v>9</v>
      </c>
      <c r="AA35" s="62">
        <f t="shared" si="13"/>
        <v>2</v>
      </c>
      <c r="AB35" s="62">
        <f t="shared" si="13"/>
        <v>33</v>
      </c>
      <c r="AC35" s="62">
        <f t="shared" si="13"/>
        <v>65</v>
      </c>
      <c r="AD35" s="62">
        <f t="shared" si="13"/>
        <v>29</v>
      </c>
      <c r="AE35" s="62">
        <f t="shared" si="13"/>
        <v>66</v>
      </c>
      <c r="AF35" s="62">
        <f t="shared" si="13"/>
        <v>40</v>
      </c>
      <c r="AG35" s="62">
        <f t="shared" si="13"/>
        <v>42</v>
      </c>
      <c r="AH35" s="62">
        <f t="shared" si="13"/>
        <v>42</v>
      </c>
      <c r="AI35" s="62">
        <f t="shared" si="13"/>
        <v>38</v>
      </c>
      <c r="AJ35" s="62">
        <f t="shared" si="13"/>
        <v>43</v>
      </c>
      <c r="AK35" s="62">
        <f>IF(AK8="","n/a",AK8-AJ8)</f>
        <v>15</v>
      </c>
      <c r="AL35" s="62">
        <f t="shared" si="8"/>
        <v>54</v>
      </c>
      <c r="AM35" s="62">
        <f t="shared" si="9"/>
        <v>54</v>
      </c>
      <c r="AN35" s="62">
        <f t="shared" si="9"/>
        <v>89</v>
      </c>
      <c r="AO35" s="62">
        <f t="shared" si="9"/>
        <v>68</v>
      </c>
      <c r="AP35" s="62">
        <f t="shared" si="8"/>
        <v>51</v>
      </c>
      <c r="AQ35" s="62">
        <f t="shared" si="8"/>
        <v>61</v>
      </c>
      <c r="AR35" s="62">
        <f t="shared" si="8"/>
        <v>36</v>
      </c>
      <c r="AS35" s="62">
        <f t="shared" si="8"/>
        <v>80</v>
      </c>
      <c r="AT35" s="62">
        <f t="shared" si="8"/>
        <v>19</v>
      </c>
      <c r="AU35" s="62" t="str">
        <f t="shared" si="8"/>
        <v/>
      </c>
      <c r="AV35" s="62" t="str">
        <f t="shared" si="8"/>
        <v/>
      </c>
      <c r="AW35" s="62" t="str">
        <f t="shared" si="8"/>
        <v/>
      </c>
      <c r="AX35" s="62" t="str">
        <f t="shared" si="8"/>
        <v/>
      </c>
      <c r="AY35" s="62" t="str">
        <f t="shared" si="8"/>
        <v/>
      </c>
      <c r="AZ35" s="62" t="str">
        <f t="shared" si="8"/>
        <v/>
      </c>
    </row>
    <row r="36" spans="1:52" x14ac:dyDescent="0.25">
      <c r="A36" s="12" t="str">
        <f>Latest!A17</f>
        <v>Building</v>
      </c>
      <c r="B36" s="41" t="str">
        <f>Latest!B17</f>
        <v>Control fields created</v>
      </c>
      <c r="C36" s="41" t="str">
        <f>IF(Levels!B8&lt;&gt;"",Levels!B8,"")</f>
        <v>Mind Controller</v>
      </c>
      <c r="D36" s="62"/>
      <c r="E36" s="62">
        <f t="shared" ref="E36:AJ36" si="14">IF(E9="","n/a",E9-D9)</f>
        <v>15</v>
      </c>
      <c r="F36" s="62">
        <f t="shared" si="14"/>
        <v>0</v>
      </c>
      <c r="G36" s="62">
        <f t="shared" si="14"/>
        <v>17</v>
      </c>
      <c r="H36" s="62">
        <f t="shared" si="14"/>
        <v>2</v>
      </c>
      <c r="I36" s="62">
        <f t="shared" si="14"/>
        <v>18</v>
      </c>
      <c r="J36" s="62">
        <f t="shared" si="14"/>
        <v>3</v>
      </c>
      <c r="K36" s="62">
        <f t="shared" si="14"/>
        <v>12</v>
      </c>
      <c r="L36" s="62">
        <f t="shared" si="14"/>
        <v>1</v>
      </c>
      <c r="M36" s="62">
        <f t="shared" si="14"/>
        <v>0</v>
      </c>
      <c r="N36" s="62">
        <f t="shared" si="14"/>
        <v>12</v>
      </c>
      <c r="O36" s="62">
        <f t="shared" si="14"/>
        <v>5</v>
      </c>
      <c r="P36" s="62">
        <f t="shared" si="14"/>
        <v>36</v>
      </c>
      <c r="Q36" s="62">
        <f t="shared" si="14"/>
        <v>1</v>
      </c>
      <c r="R36" s="62">
        <f t="shared" si="14"/>
        <v>15</v>
      </c>
      <c r="S36" s="62">
        <f t="shared" si="14"/>
        <v>33</v>
      </c>
      <c r="T36" s="62">
        <f t="shared" si="14"/>
        <v>0</v>
      </c>
      <c r="U36" s="62">
        <f t="shared" si="14"/>
        <v>9</v>
      </c>
      <c r="V36" s="62">
        <f t="shared" si="14"/>
        <v>4</v>
      </c>
      <c r="W36" s="62">
        <f t="shared" si="14"/>
        <v>9</v>
      </c>
      <c r="X36" s="62">
        <f t="shared" si="14"/>
        <v>22</v>
      </c>
      <c r="Y36" s="62">
        <f t="shared" si="14"/>
        <v>13</v>
      </c>
      <c r="Z36" s="62">
        <f t="shared" si="14"/>
        <v>4</v>
      </c>
      <c r="AA36" s="62">
        <f t="shared" si="14"/>
        <v>1</v>
      </c>
      <c r="AB36" s="62">
        <f t="shared" si="14"/>
        <v>16</v>
      </c>
      <c r="AC36" s="62">
        <f t="shared" si="14"/>
        <v>14</v>
      </c>
      <c r="AD36" s="62">
        <f t="shared" si="14"/>
        <v>24</v>
      </c>
      <c r="AE36" s="62">
        <f t="shared" si="14"/>
        <v>24</v>
      </c>
      <c r="AF36" s="62">
        <f t="shared" si="14"/>
        <v>25</v>
      </c>
      <c r="AG36" s="62">
        <f t="shared" si="14"/>
        <v>24</v>
      </c>
      <c r="AH36" s="62">
        <f t="shared" si="14"/>
        <v>19</v>
      </c>
      <c r="AI36" s="62">
        <f t="shared" si="14"/>
        <v>17</v>
      </c>
      <c r="AJ36" s="62">
        <f t="shared" si="14"/>
        <v>24</v>
      </c>
      <c r="AK36" s="62">
        <f t="shared" ref="AK36" si="15">IF(AK9="","n/a",AK9-AJ9)</f>
        <v>5</v>
      </c>
      <c r="AL36" s="62">
        <f t="shared" si="8"/>
        <v>27</v>
      </c>
      <c r="AM36" s="62">
        <f t="shared" si="9"/>
        <v>34</v>
      </c>
      <c r="AN36" s="62">
        <f t="shared" si="9"/>
        <v>50</v>
      </c>
      <c r="AO36" s="62">
        <f t="shared" si="9"/>
        <v>30</v>
      </c>
      <c r="AP36" s="62">
        <f t="shared" si="8"/>
        <v>26</v>
      </c>
      <c r="AQ36" s="62">
        <f t="shared" si="8"/>
        <v>27</v>
      </c>
      <c r="AR36" s="62">
        <f t="shared" si="8"/>
        <v>11</v>
      </c>
      <c r="AS36" s="62">
        <f t="shared" si="8"/>
        <v>42</v>
      </c>
      <c r="AT36" s="62">
        <f t="shared" si="8"/>
        <v>12</v>
      </c>
      <c r="AU36" s="62" t="str">
        <f t="shared" si="8"/>
        <v/>
      </c>
      <c r="AV36" s="62" t="str">
        <f t="shared" si="8"/>
        <v/>
      </c>
      <c r="AW36" s="62" t="str">
        <f t="shared" si="8"/>
        <v/>
      </c>
      <c r="AX36" s="62" t="str">
        <f t="shared" si="8"/>
        <v/>
      </c>
      <c r="AY36" s="62" t="str">
        <f t="shared" si="8"/>
        <v/>
      </c>
      <c r="AZ36" s="62" t="str">
        <f t="shared" si="8"/>
        <v/>
      </c>
    </row>
    <row r="37" spans="1:52" x14ac:dyDescent="0.25">
      <c r="A37" s="12" t="str">
        <f>Latest!A18</f>
        <v>Building</v>
      </c>
      <c r="B37" s="13" t="str">
        <f>Latest!B18</f>
        <v>Mind Units captured</v>
      </c>
      <c r="C37" s="13" t="str">
        <f>IF(Levels!B9&lt;&gt;"",Levels!B9,"")</f>
        <v/>
      </c>
      <c r="D37" s="15"/>
      <c r="E37" s="15">
        <f t="shared" ref="E37:AJ37" si="16">IF(E10="","n/a",E10-D10)</f>
        <v>695</v>
      </c>
      <c r="F37" s="15">
        <f t="shared" si="16"/>
        <v>0</v>
      </c>
      <c r="G37" s="15">
        <f t="shared" si="16"/>
        <v>683</v>
      </c>
      <c r="H37" s="15">
        <f t="shared" si="16"/>
        <v>141</v>
      </c>
      <c r="I37" s="15">
        <f t="shared" si="16"/>
        <v>1236</v>
      </c>
      <c r="J37" s="15">
        <f t="shared" si="16"/>
        <v>122</v>
      </c>
      <c r="K37" s="15">
        <f t="shared" si="16"/>
        <v>843</v>
      </c>
      <c r="L37" s="15">
        <f t="shared" si="16"/>
        <v>119</v>
      </c>
      <c r="M37" s="15">
        <f t="shared" si="16"/>
        <v>0</v>
      </c>
      <c r="N37" s="15">
        <f t="shared" si="16"/>
        <v>288</v>
      </c>
      <c r="O37" s="15">
        <f t="shared" si="16"/>
        <v>189</v>
      </c>
      <c r="P37" s="15">
        <f t="shared" si="16"/>
        <v>1743</v>
      </c>
      <c r="Q37" s="15">
        <f t="shared" si="16"/>
        <v>12</v>
      </c>
      <c r="R37" s="15">
        <f t="shared" si="16"/>
        <v>561</v>
      </c>
      <c r="S37" s="15">
        <f t="shared" si="16"/>
        <v>1052</v>
      </c>
      <c r="T37" s="15">
        <f t="shared" si="16"/>
        <v>0</v>
      </c>
      <c r="U37" s="15">
        <f t="shared" si="16"/>
        <v>262</v>
      </c>
      <c r="V37" s="15">
        <f t="shared" si="16"/>
        <v>181</v>
      </c>
      <c r="W37" s="15">
        <f t="shared" si="16"/>
        <v>611</v>
      </c>
      <c r="X37" s="15">
        <f t="shared" si="16"/>
        <v>914</v>
      </c>
      <c r="Y37" s="15">
        <f t="shared" si="16"/>
        <v>426</v>
      </c>
      <c r="Z37" s="15">
        <f t="shared" si="16"/>
        <v>91</v>
      </c>
      <c r="AA37" s="15">
        <f t="shared" si="16"/>
        <v>31</v>
      </c>
      <c r="AB37" s="15">
        <f t="shared" si="16"/>
        <v>476</v>
      </c>
      <c r="AC37" s="15">
        <f t="shared" si="16"/>
        <v>525</v>
      </c>
      <c r="AD37" s="15">
        <f t="shared" si="16"/>
        <v>369</v>
      </c>
      <c r="AE37" s="15">
        <f t="shared" si="16"/>
        <v>764</v>
      </c>
      <c r="AF37" s="15">
        <f t="shared" si="16"/>
        <v>746</v>
      </c>
      <c r="AG37" s="15">
        <f t="shared" si="16"/>
        <v>376</v>
      </c>
      <c r="AH37" s="15">
        <f t="shared" si="16"/>
        <v>202</v>
      </c>
      <c r="AI37" s="15">
        <f t="shared" si="16"/>
        <v>-9827</v>
      </c>
      <c r="AJ37" s="15">
        <f t="shared" si="16"/>
        <v>10364</v>
      </c>
      <c r="AK37" s="15">
        <f>IF(AK10="","n/a",AK10-AJ10)</f>
        <v>125</v>
      </c>
      <c r="AL37" s="15">
        <f t="shared" ref="AL37:AZ37" si="17">IF(AL10="","",AL10-AK10)</f>
        <v>341</v>
      </c>
      <c r="AM37" s="15">
        <f t="shared" si="17"/>
        <v>497</v>
      </c>
      <c r="AN37" s="15">
        <f t="shared" si="17"/>
        <v>853</v>
      </c>
      <c r="AO37" s="15">
        <f t="shared" si="17"/>
        <v>492</v>
      </c>
      <c r="AP37" s="15">
        <f t="shared" si="17"/>
        <v>594</v>
      </c>
      <c r="AQ37" s="15">
        <f t="shared" si="17"/>
        <v>607</v>
      </c>
      <c r="AR37" s="15">
        <f t="shared" si="17"/>
        <v>483</v>
      </c>
      <c r="AS37" s="15">
        <f t="shared" si="17"/>
        <v>878</v>
      </c>
      <c r="AT37" s="15">
        <f t="shared" si="17"/>
        <v>155</v>
      </c>
      <c r="AU37" s="15" t="str">
        <f t="shared" si="17"/>
        <v/>
      </c>
      <c r="AV37" s="15" t="str">
        <f t="shared" si="17"/>
        <v/>
      </c>
      <c r="AW37" s="15" t="str">
        <f t="shared" si="17"/>
        <v/>
      </c>
      <c r="AX37" s="15" t="str">
        <f t="shared" si="17"/>
        <v/>
      </c>
      <c r="AY37" s="15" t="str">
        <f t="shared" si="17"/>
        <v/>
      </c>
      <c r="AZ37" s="15" t="str">
        <f t="shared" si="17"/>
        <v/>
      </c>
    </row>
    <row r="38" spans="1:52" x14ac:dyDescent="0.25">
      <c r="A38" s="12" t="str">
        <f>Latest!A19</f>
        <v>Building</v>
      </c>
      <c r="B38" s="13" t="str">
        <f>Latest!B19</f>
        <v>Longest link ever created</v>
      </c>
      <c r="C38" s="13" t="str">
        <f>IF(Levels!B10&lt;&gt;"",Levels!B10,"")</f>
        <v/>
      </c>
      <c r="D38" s="63"/>
      <c r="E38" s="63">
        <f t="shared" ref="E38:AJ38" si="18">IF(E11="","n/a",E11-D11)</f>
        <v>0</v>
      </c>
      <c r="F38" s="63">
        <f t="shared" si="18"/>
        <v>0</v>
      </c>
      <c r="G38" s="63">
        <f t="shared" si="18"/>
        <v>0</v>
      </c>
      <c r="H38" s="63">
        <f t="shared" si="18"/>
        <v>0</v>
      </c>
      <c r="I38" s="63">
        <f t="shared" si="18"/>
        <v>0</v>
      </c>
      <c r="J38" s="63">
        <f t="shared" si="18"/>
        <v>0</v>
      </c>
      <c r="K38" s="63">
        <f t="shared" si="18"/>
        <v>0</v>
      </c>
      <c r="L38" s="63">
        <f t="shared" si="18"/>
        <v>0</v>
      </c>
      <c r="M38" s="63">
        <f t="shared" si="18"/>
        <v>0</v>
      </c>
      <c r="N38" s="63">
        <f t="shared" si="18"/>
        <v>0</v>
      </c>
      <c r="O38" s="63">
        <f t="shared" si="18"/>
        <v>0</v>
      </c>
      <c r="P38" s="63">
        <f t="shared" si="18"/>
        <v>0</v>
      </c>
      <c r="Q38" s="63">
        <f t="shared" si="18"/>
        <v>0</v>
      </c>
      <c r="R38" s="63">
        <f t="shared" si="18"/>
        <v>0</v>
      </c>
      <c r="S38" s="63">
        <f t="shared" si="18"/>
        <v>0</v>
      </c>
      <c r="T38" s="63">
        <f t="shared" si="18"/>
        <v>0</v>
      </c>
      <c r="U38" s="63">
        <f t="shared" si="18"/>
        <v>0</v>
      </c>
      <c r="V38" s="63">
        <f t="shared" si="18"/>
        <v>0</v>
      </c>
      <c r="W38" s="63">
        <f t="shared" si="18"/>
        <v>0</v>
      </c>
      <c r="X38" s="63">
        <f t="shared" si="18"/>
        <v>0</v>
      </c>
      <c r="Y38" s="63">
        <f t="shared" si="18"/>
        <v>0</v>
      </c>
      <c r="Z38" s="63">
        <f t="shared" si="18"/>
        <v>0</v>
      </c>
      <c r="AA38" s="63">
        <f t="shared" si="18"/>
        <v>0</v>
      </c>
      <c r="AB38" s="63">
        <f t="shared" si="18"/>
        <v>0</v>
      </c>
      <c r="AC38" s="63">
        <f t="shared" si="18"/>
        <v>0</v>
      </c>
      <c r="AD38" s="63">
        <f t="shared" si="18"/>
        <v>0</v>
      </c>
      <c r="AE38" s="63">
        <f t="shared" si="18"/>
        <v>0</v>
      </c>
      <c r="AF38" s="63">
        <f t="shared" si="18"/>
        <v>0</v>
      </c>
      <c r="AG38" s="63">
        <f t="shared" si="18"/>
        <v>0</v>
      </c>
      <c r="AH38" s="63">
        <f t="shared" si="18"/>
        <v>0</v>
      </c>
      <c r="AI38" s="63">
        <f t="shared" si="18"/>
        <v>0</v>
      </c>
      <c r="AJ38" s="63">
        <f t="shared" si="18"/>
        <v>0</v>
      </c>
      <c r="AK38" s="63">
        <f t="shared" ref="AK38" si="19">IF(AK11="","n/a",AK11-AJ11)</f>
        <v>0</v>
      </c>
      <c r="AL38" s="63">
        <f t="shared" ref="AL38:AZ38" si="20">IF(AL11="","",AL11-AK11)</f>
        <v>0</v>
      </c>
      <c r="AM38" s="63">
        <f t="shared" si="20"/>
        <v>0</v>
      </c>
      <c r="AN38" s="63">
        <f t="shared" si="20"/>
        <v>0</v>
      </c>
      <c r="AO38" s="63">
        <f t="shared" si="20"/>
        <v>0</v>
      </c>
      <c r="AP38" s="63">
        <f t="shared" si="20"/>
        <v>0</v>
      </c>
      <c r="AQ38" s="63">
        <f t="shared" si="20"/>
        <v>0</v>
      </c>
      <c r="AR38" s="63">
        <f t="shared" si="20"/>
        <v>0</v>
      </c>
      <c r="AS38" s="63">
        <f t="shared" si="20"/>
        <v>0</v>
      </c>
      <c r="AT38" s="63">
        <f t="shared" si="20"/>
        <v>0</v>
      </c>
      <c r="AU38" s="63" t="str">
        <f t="shared" si="20"/>
        <v/>
      </c>
      <c r="AV38" s="63" t="str">
        <f t="shared" si="20"/>
        <v/>
      </c>
      <c r="AW38" s="63" t="str">
        <f t="shared" si="20"/>
        <v/>
      </c>
      <c r="AX38" s="63" t="str">
        <f t="shared" si="20"/>
        <v/>
      </c>
      <c r="AY38" s="63" t="str">
        <f t="shared" si="20"/>
        <v/>
      </c>
      <c r="AZ38" s="63" t="str">
        <f t="shared" si="20"/>
        <v/>
      </c>
    </row>
    <row r="39" spans="1:52" x14ac:dyDescent="0.25">
      <c r="A39" s="12" t="str">
        <f>Latest!A20</f>
        <v>Building</v>
      </c>
      <c r="B39" s="13" t="str">
        <f>Latest!B20</f>
        <v>Largest field control</v>
      </c>
      <c r="C39" s="13" t="str">
        <f>IF(Levels!B11&lt;&gt;"",Levels!B11,"")</f>
        <v/>
      </c>
      <c r="D39" s="15"/>
      <c r="E39" s="15">
        <f t="shared" ref="E39:AJ39" si="21">IF(E12="","n/a",E12-D12)</f>
        <v>0</v>
      </c>
      <c r="F39" s="15">
        <f t="shared" si="21"/>
        <v>0</v>
      </c>
      <c r="G39" s="15">
        <f t="shared" si="21"/>
        <v>0</v>
      </c>
      <c r="H39" s="15">
        <f t="shared" si="21"/>
        <v>0</v>
      </c>
      <c r="I39" s="15">
        <f t="shared" si="21"/>
        <v>0</v>
      </c>
      <c r="J39" s="15">
        <f t="shared" si="21"/>
        <v>0</v>
      </c>
      <c r="K39" s="15">
        <f t="shared" si="21"/>
        <v>0</v>
      </c>
      <c r="L39" s="15">
        <f t="shared" si="21"/>
        <v>0</v>
      </c>
      <c r="M39" s="15">
        <f t="shared" si="21"/>
        <v>0</v>
      </c>
      <c r="N39" s="15">
        <f t="shared" si="21"/>
        <v>0</v>
      </c>
      <c r="O39" s="15">
        <f t="shared" si="21"/>
        <v>0</v>
      </c>
      <c r="P39" s="15">
        <f t="shared" si="21"/>
        <v>0</v>
      </c>
      <c r="Q39" s="15">
        <f t="shared" si="21"/>
        <v>0</v>
      </c>
      <c r="R39" s="15">
        <f t="shared" si="21"/>
        <v>0</v>
      </c>
      <c r="S39" s="15">
        <f t="shared" si="21"/>
        <v>0</v>
      </c>
      <c r="T39" s="15">
        <f t="shared" si="21"/>
        <v>0</v>
      </c>
      <c r="U39" s="15">
        <f t="shared" si="21"/>
        <v>0</v>
      </c>
      <c r="V39" s="15">
        <f t="shared" si="21"/>
        <v>0</v>
      </c>
      <c r="W39" s="15">
        <f t="shared" si="21"/>
        <v>0</v>
      </c>
      <c r="X39" s="15">
        <f t="shared" si="21"/>
        <v>0</v>
      </c>
      <c r="Y39" s="15">
        <f t="shared" si="21"/>
        <v>0</v>
      </c>
      <c r="Z39" s="15">
        <f t="shared" si="21"/>
        <v>0</v>
      </c>
      <c r="AA39" s="15">
        <f t="shared" si="21"/>
        <v>0</v>
      </c>
      <c r="AB39" s="15">
        <f t="shared" si="21"/>
        <v>0</v>
      </c>
      <c r="AC39" s="15">
        <f t="shared" si="21"/>
        <v>0</v>
      </c>
      <c r="AD39" s="15">
        <f t="shared" si="21"/>
        <v>0</v>
      </c>
      <c r="AE39" s="15">
        <f t="shared" si="21"/>
        <v>0</v>
      </c>
      <c r="AF39" s="15">
        <f t="shared" si="21"/>
        <v>0</v>
      </c>
      <c r="AG39" s="15">
        <f t="shared" si="21"/>
        <v>0</v>
      </c>
      <c r="AH39" s="15">
        <f t="shared" si="21"/>
        <v>0</v>
      </c>
      <c r="AI39" s="15">
        <f t="shared" si="21"/>
        <v>0</v>
      </c>
      <c r="AJ39" s="15">
        <f t="shared" si="21"/>
        <v>0</v>
      </c>
      <c r="AK39" s="15">
        <f t="shared" ref="AK39" si="22">IF(AK12="","n/a",AK12-AJ12)</f>
        <v>0</v>
      </c>
      <c r="AL39" s="15">
        <f t="shared" ref="AL39:AZ39" si="23">IF(AL12="","",AL12-AK12)</f>
        <v>0</v>
      </c>
      <c r="AM39" s="15">
        <f t="shared" si="23"/>
        <v>0</v>
      </c>
      <c r="AN39" s="15">
        <f t="shared" si="23"/>
        <v>0</v>
      </c>
      <c r="AO39" s="15">
        <f t="shared" si="23"/>
        <v>0</v>
      </c>
      <c r="AP39" s="15">
        <f t="shared" si="23"/>
        <v>0</v>
      </c>
      <c r="AQ39" s="15">
        <f t="shared" si="23"/>
        <v>0</v>
      </c>
      <c r="AR39" s="15">
        <f t="shared" si="23"/>
        <v>0</v>
      </c>
      <c r="AS39" s="15">
        <f t="shared" si="23"/>
        <v>0</v>
      </c>
      <c r="AT39" s="15">
        <f t="shared" si="23"/>
        <v>0</v>
      </c>
      <c r="AU39" s="15" t="str">
        <f t="shared" si="23"/>
        <v/>
      </c>
      <c r="AV39" s="15" t="str">
        <f t="shared" si="23"/>
        <v/>
      </c>
      <c r="AW39" s="15" t="str">
        <f t="shared" si="23"/>
        <v/>
      </c>
      <c r="AX39" s="15" t="str">
        <f t="shared" si="23"/>
        <v/>
      </c>
      <c r="AY39" s="15" t="str">
        <f t="shared" si="23"/>
        <v/>
      </c>
      <c r="AZ39" s="15" t="str">
        <f t="shared" si="23"/>
        <v/>
      </c>
    </row>
    <row r="40" spans="1:52" x14ac:dyDescent="0.25">
      <c r="A40" s="12" t="str">
        <f>Latest!A21</f>
        <v>Building</v>
      </c>
      <c r="B40" s="41" t="str">
        <f>Latest!B21</f>
        <v>XM recharged</v>
      </c>
      <c r="C40" s="41" t="str">
        <f>IF(Levels!B12&lt;&gt;"",Levels!B12,"")</f>
        <v>Recharger</v>
      </c>
      <c r="D40" s="64"/>
      <c r="E40" s="64">
        <f t="shared" ref="E40:AJ40" si="24">IF(E13="","n/a",E13-D13)</f>
        <v>221002</v>
      </c>
      <c r="F40" s="64">
        <f t="shared" si="24"/>
        <v>21903</v>
      </c>
      <c r="G40" s="64">
        <f t="shared" si="24"/>
        <v>259950</v>
      </c>
      <c r="H40" s="64">
        <f t="shared" si="24"/>
        <v>18346</v>
      </c>
      <c r="I40" s="64">
        <f t="shared" si="24"/>
        <v>402900</v>
      </c>
      <c r="J40" s="64">
        <f t="shared" si="24"/>
        <v>261418</v>
      </c>
      <c r="K40" s="64">
        <f t="shared" si="24"/>
        <v>236273</v>
      </c>
      <c r="L40" s="64">
        <f t="shared" si="24"/>
        <v>98960</v>
      </c>
      <c r="M40" s="64">
        <f t="shared" si="24"/>
        <v>27505</v>
      </c>
      <c r="N40" s="64">
        <f t="shared" si="24"/>
        <v>120244</v>
      </c>
      <c r="O40" s="64">
        <f t="shared" si="24"/>
        <v>56972</v>
      </c>
      <c r="P40" s="64">
        <f t="shared" si="24"/>
        <v>939055</v>
      </c>
      <c r="Q40" s="64">
        <f t="shared" si="24"/>
        <v>338596</v>
      </c>
      <c r="R40" s="64">
        <f t="shared" si="24"/>
        <v>187520</v>
      </c>
      <c r="S40" s="64">
        <f t="shared" si="24"/>
        <v>409295</v>
      </c>
      <c r="T40" s="64">
        <f t="shared" si="24"/>
        <v>103914</v>
      </c>
      <c r="U40" s="64">
        <f t="shared" si="24"/>
        <v>114207</v>
      </c>
      <c r="V40" s="64">
        <f t="shared" si="24"/>
        <v>218589</v>
      </c>
      <c r="W40" s="64">
        <f t="shared" si="24"/>
        <v>138313</v>
      </c>
      <c r="X40" s="64">
        <f t="shared" si="24"/>
        <v>254001</v>
      </c>
      <c r="Y40" s="64">
        <f t="shared" si="24"/>
        <v>159410</v>
      </c>
      <c r="Z40" s="64">
        <f t="shared" si="24"/>
        <v>336690</v>
      </c>
      <c r="AA40" s="64">
        <f t="shared" si="24"/>
        <v>127922</v>
      </c>
      <c r="AB40" s="64">
        <f t="shared" si="24"/>
        <v>757043</v>
      </c>
      <c r="AC40" s="64">
        <f t="shared" si="24"/>
        <v>289146</v>
      </c>
      <c r="AD40" s="64">
        <f t="shared" si="24"/>
        <v>88235</v>
      </c>
      <c r="AE40" s="64">
        <f t="shared" si="24"/>
        <v>373005</v>
      </c>
      <c r="AF40" s="64">
        <f t="shared" si="24"/>
        <v>229253</v>
      </c>
      <c r="AG40" s="64">
        <f t="shared" si="24"/>
        <v>43366</v>
      </c>
      <c r="AH40" s="64">
        <f t="shared" si="24"/>
        <v>185111</v>
      </c>
      <c r="AI40" s="64">
        <f t="shared" si="24"/>
        <v>56121</v>
      </c>
      <c r="AJ40" s="64">
        <f t="shared" si="24"/>
        <v>202007</v>
      </c>
      <c r="AK40" s="64">
        <f>IF(AK13="","n/a",AK13-AJ13)</f>
        <v>378816</v>
      </c>
      <c r="AL40" s="64">
        <f t="shared" ref="AL40:AZ40" si="25">IF(AL13="","",AL13-AK13)</f>
        <v>252479</v>
      </c>
      <c r="AM40" s="64">
        <f t="shared" si="25"/>
        <v>117144</v>
      </c>
      <c r="AN40" s="64">
        <f t="shared" si="25"/>
        <v>132634</v>
      </c>
      <c r="AO40" s="64">
        <f t="shared" si="25"/>
        <v>230201</v>
      </c>
      <c r="AP40" s="64">
        <f t="shared" si="25"/>
        <v>231973</v>
      </c>
      <c r="AQ40" s="64">
        <f t="shared" si="25"/>
        <v>287904</v>
      </c>
      <c r="AR40" s="64">
        <f t="shared" si="25"/>
        <v>176062</v>
      </c>
      <c r="AS40" s="64">
        <f t="shared" si="25"/>
        <v>350644</v>
      </c>
      <c r="AT40" s="64">
        <f t="shared" si="25"/>
        <v>87804</v>
      </c>
      <c r="AU40" s="64" t="str">
        <f t="shared" si="25"/>
        <v/>
      </c>
      <c r="AV40" s="64" t="str">
        <f t="shared" si="25"/>
        <v/>
      </c>
      <c r="AW40" s="64" t="str">
        <f t="shared" si="25"/>
        <v/>
      </c>
      <c r="AX40" s="64" t="str">
        <f t="shared" si="25"/>
        <v/>
      </c>
      <c r="AY40" s="64" t="str">
        <f t="shared" si="25"/>
        <v/>
      </c>
      <c r="AZ40" s="64" t="str">
        <f t="shared" si="25"/>
        <v/>
      </c>
    </row>
    <row r="41" spans="1:52" x14ac:dyDescent="0.25">
      <c r="A41" s="12" t="str">
        <f>Latest!A22</f>
        <v>Building</v>
      </c>
      <c r="B41" s="41" t="str">
        <f>Latest!B22</f>
        <v>Portails captured</v>
      </c>
      <c r="C41" s="41" t="str">
        <f>IF(Levels!B13&lt;&gt;"",Levels!B13,"")</f>
        <v>Liberator</v>
      </c>
      <c r="D41" s="62"/>
      <c r="E41" s="62">
        <f t="shared" ref="E41:AJ41" si="26">IF(E14="","n/a",E14-D14)</f>
        <v>42</v>
      </c>
      <c r="F41" s="62">
        <f t="shared" si="26"/>
        <v>6</v>
      </c>
      <c r="G41" s="62">
        <f t="shared" si="26"/>
        <v>54</v>
      </c>
      <c r="H41" s="62">
        <f t="shared" si="26"/>
        <v>17</v>
      </c>
      <c r="I41" s="62">
        <f t="shared" si="26"/>
        <v>49</v>
      </c>
      <c r="J41" s="62">
        <f t="shared" si="26"/>
        <v>46</v>
      </c>
      <c r="K41" s="62">
        <f t="shared" si="26"/>
        <v>53</v>
      </c>
      <c r="L41" s="62">
        <f t="shared" si="26"/>
        <v>15</v>
      </c>
      <c r="M41" s="62">
        <f t="shared" si="26"/>
        <v>18</v>
      </c>
      <c r="N41" s="62">
        <f t="shared" si="26"/>
        <v>49</v>
      </c>
      <c r="O41" s="62">
        <f t="shared" si="26"/>
        <v>9</v>
      </c>
      <c r="P41" s="62">
        <f t="shared" si="26"/>
        <v>82</v>
      </c>
      <c r="Q41" s="62">
        <f t="shared" si="26"/>
        <v>75</v>
      </c>
      <c r="R41" s="62">
        <f t="shared" si="26"/>
        <v>40</v>
      </c>
      <c r="S41" s="62">
        <f t="shared" si="26"/>
        <v>67</v>
      </c>
      <c r="T41" s="62">
        <f t="shared" si="26"/>
        <v>82</v>
      </c>
      <c r="U41" s="62">
        <f t="shared" si="26"/>
        <v>56</v>
      </c>
      <c r="V41" s="62">
        <f t="shared" si="26"/>
        <v>31</v>
      </c>
      <c r="W41" s="62">
        <f t="shared" si="26"/>
        <v>42</v>
      </c>
      <c r="X41" s="62">
        <f t="shared" si="26"/>
        <v>30</v>
      </c>
      <c r="Y41" s="62">
        <f t="shared" si="26"/>
        <v>31</v>
      </c>
      <c r="Z41" s="62">
        <f t="shared" si="26"/>
        <v>29</v>
      </c>
      <c r="AA41" s="62">
        <f t="shared" si="26"/>
        <v>27</v>
      </c>
      <c r="AB41" s="62">
        <f t="shared" si="26"/>
        <v>29</v>
      </c>
      <c r="AC41" s="62">
        <f t="shared" si="26"/>
        <v>58</v>
      </c>
      <c r="AD41" s="62">
        <f t="shared" si="26"/>
        <v>23</v>
      </c>
      <c r="AE41" s="62">
        <f t="shared" si="26"/>
        <v>54</v>
      </c>
      <c r="AF41" s="62">
        <f t="shared" si="26"/>
        <v>21</v>
      </c>
      <c r="AG41" s="62">
        <f t="shared" si="26"/>
        <v>38</v>
      </c>
      <c r="AH41" s="62">
        <f t="shared" si="26"/>
        <v>23</v>
      </c>
      <c r="AI41" s="62">
        <f t="shared" si="26"/>
        <v>42</v>
      </c>
      <c r="AJ41" s="62">
        <f t="shared" si="26"/>
        <v>58</v>
      </c>
      <c r="AK41" s="62">
        <f>IF(AK14="","n/a",AK14-AJ14)</f>
        <v>30</v>
      </c>
      <c r="AL41" s="62">
        <f t="shared" ref="AL41:AZ41" si="27">IF(AL14="","",AL14-AK14)</f>
        <v>32</v>
      </c>
      <c r="AM41" s="62">
        <f t="shared" si="27"/>
        <v>53</v>
      </c>
      <c r="AN41" s="62">
        <f t="shared" si="27"/>
        <v>60</v>
      </c>
      <c r="AO41" s="62">
        <f t="shared" si="27"/>
        <v>65</v>
      </c>
      <c r="AP41" s="62">
        <f t="shared" si="27"/>
        <v>19</v>
      </c>
      <c r="AQ41" s="62">
        <f t="shared" si="27"/>
        <v>70</v>
      </c>
      <c r="AR41" s="62">
        <f t="shared" si="27"/>
        <v>93</v>
      </c>
      <c r="AS41" s="62">
        <f t="shared" si="27"/>
        <v>58</v>
      </c>
      <c r="AT41" s="62">
        <f t="shared" si="27"/>
        <v>89</v>
      </c>
      <c r="AU41" s="62" t="str">
        <f t="shared" si="27"/>
        <v/>
      </c>
      <c r="AV41" s="62" t="str">
        <f t="shared" si="27"/>
        <v/>
      </c>
      <c r="AW41" s="62" t="str">
        <f t="shared" si="27"/>
        <v/>
      </c>
      <c r="AX41" s="62" t="str">
        <f t="shared" si="27"/>
        <v/>
      </c>
      <c r="AY41" s="62" t="str">
        <f t="shared" si="27"/>
        <v/>
      </c>
      <c r="AZ41" s="62" t="str">
        <f t="shared" si="27"/>
        <v/>
      </c>
    </row>
    <row r="42" spans="1:52" ht="16.5" thickBot="1" x14ac:dyDescent="0.3">
      <c r="A42" s="16" t="str">
        <f>Latest!A23</f>
        <v>Building</v>
      </c>
      <c r="B42" s="54" t="str">
        <f>Latest!B23</f>
        <v>Unique portails captured</v>
      </c>
      <c r="C42" s="54" t="str">
        <f>IF(Levels!B14&lt;&gt;"",Levels!B14,"")</f>
        <v>Pioneer</v>
      </c>
      <c r="D42" s="65"/>
      <c r="E42" s="65">
        <f t="shared" ref="E42:AJ42" si="28">IF(E15="","n/a",E15-D15)</f>
        <v>2</v>
      </c>
      <c r="F42" s="65">
        <f t="shared" si="28"/>
        <v>2</v>
      </c>
      <c r="G42" s="65">
        <f t="shared" si="28"/>
        <v>15</v>
      </c>
      <c r="H42" s="65">
        <f t="shared" si="28"/>
        <v>3</v>
      </c>
      <c r="I42" s="65">
        <f t="shared" si="28"/>
        <v>10</v>
      </c>
      <c r="J42" s="65">
        <f t="shared" si="28"/>
        <v>10</v>
      </c>
      <c r="K42" s="65">
        <f t="shared" si="28"/>
        <v>10</v>
      </c>
      <c r="L42" s="65">
        <f t="shared" si="28"/>
        <v>0</v>
      </c>
      <c r="M42" s="65">
        <f t="shared" si="28"/>
        <v>0</v>
      </c>
      <c r="N42" s="65">
        <f t="shared" si="28"/>
        <v>19</v>
      </c>
      <c r="O42" s="65">
        <f t="shared" si="28"/>
        <v>0</v>
      </c>
      <c r="P42" s="65">
        <f t="shared" si="28"/>
        <v>19</v>
      </c>
      <c r="Q42" s="65">
        <f t="shared" si="28"/>
        <v>7</v>
      </c>
      <c r="R42" s="65">
        <f t="shared" si="28"/>
        <v>10</v>
      </c>
      <c r="S42" s="65">
        <f t="shared" si="28"/>
        <v>38</v>
      </c>
      <c r="T42" s="65">
        <f t="shared" si="28"/>
        <v>29</v>
      </c>
      <c r="U42" s="65">
        <f t="shared" si="28"/>
        <v>21</v>
      </c>
      <c r="V42" s="65">
        <f t="shared" si="28"/>
        <v>1</v>
      </c>
      <c r="W42" s="65">
        <f t="shared" si="28"/>
        <v>21</v>
      </c>
      <c r="X42" s="65">
        <f t="shared" si="28"/>
        <v>6</v>
      </c>
      <c r="Y42" s="65">
        <f t="shared" si="28"/>
        <v>3</v>
      </c>
      <c r="Z42" s="65">
        <f t="shared" si="28"/>
        <v>13</v>
      </c>
      <c r="AA42" s="65">
        <f t="shared" si="28"/>
        <v>11</v>
      </c>
      <c r="AB42" s="65">
        <f t="shared" si="28"/>
        <v>4</v>
      </c>
      <c r="AC42" s="65">
        <f t="shared" si="28"/>
        <v>28</v>
      </c>
      <c r="AD42" s="65">
        <f t="shared" si="28"/>
        <v>11</v>
      </c>
      <c r="AE42" s="65">
        <f t="shared" si="28"/>
        <v>4</v>
      </c>
      <c r="AF42" s="65">
        <f t="shared" si="28"/>
        <v>2</v>
      </c>
      <c r="AG42" s="65">
        <f t="shared" si="28"/>
        <v>0</v>
      </c>
      <c r="AH42" s="65">
        <f t="shared" si="28"/>
        <v>2</v>
      </c>
      <c r="AI42" s="65">
        <f t="shared" si="28"/>
        <v>2</v>
      </c>
      <c r="AJ42" s="65">
        <f t="shared" si="28"/>
        <v>3</v>
      </c>
      <c r="AK42" s="65">
        <f>IF(AK15="","n/a",AK15-AJ15)</f>
        <v>7</v>
      </c>
      <c r="AL42" s="65">
        <f t="shared" ref="AL42:AZ42" si="29">IF(AL15="","",AL15-AK15)</f>
        <v>1</v>
      </c>
      <c r="AM42" s="65">
        <f t="shared" si="29"/>
        <v>7</v>
      </c>
      <c r="AN42" s="65">
        <f t="shared" si="29"/>
        <v>2</v>
      </c>
      <c r="AO42" s="65">
        <f t="shared" si="29"/>
        <v>44</v>
      </c>
      <c r="AP42" s="65">
        <f t="shared" si="29"/>
        <v>4</v>
      </c>
      <c r="AQ42" s="65">
        <f t="shared" si="29"/>
        <v>6</v>
      </c>
      <c r="AR42" s="65">
        <f t="shared" si="29"/>
        <v>43</v>
      </c>
      <c r="AS42" s="65">
        <f t="shared" si="29"/>
        <v>7</v>
      </c>
      <c r="AT42" s="65">
        <f t="shared" si="29"/>
        <v>49</v>
      </c>
      <c r="AU42" s="65" t="str">
        <f t="shared" si="29"/>
        <v/>
      </c>
      <c r="AV42" s="65" t="str">
        <f t="shared" si="29"/>
        <v/>
      </c>
      <c r="AW42" s="65" t="str">
        <f t="shared" si="29"/>
        <v/>
      </c>
      <c r="AX42" s="65" t="str">
        <f t="shared" si="29"/>
        <v/>
      </c>
      <c r="AY42" s="65" t="str">
        <f t="shared" si="29"/>
        <v/>
      </c>
      <c r="AZ42" s="65" t="str">
        <f t="shared" si="29"/>
        <v/>
      </c>
    </row>
    <row r="43" spans="1:52" x14ac:dyDescent="0.25">
      <c r="A43" s="8" t="str">
        <f>Latest!A24</f>
        <v>Combat</v>
      </c>
      <c r="B43" s="37" t="str">
        <f>Latest!B24</f>
        <v>Resonators destroyed</v>
      </c>
      <c r="C43" s="37" t="str">
        <f>IF(Levels!B15&lt;&gt;"",Levels!B15,"")</f>
        <v>Purifier</v>
      </c>
      <c r="D43" s="61"/>
      <c r="E43" s="61">
        <f t="shared" ref="E43:AJ43" si="30">IF(E16="","n/a",E16-D16)</f>
        <v>292</v>
      </c>
      <c r="F43" s="61">
        <f t="shared" si="30"/>
        <v>10</v>
      </c>
      <c r="G43" s="61">
        <f t="shared" si="30"/>
        <v>275</v>
      </c>
      <c r="H43" s="61">
        <f t="shared" si="30"/>
        <v>57</v>
      </c>
      <c r="I43" s="61">
        <f t="shared" si="30"/>
        <v>253</v>
      </c>
      <c r="J43" s="61">
        <f t="shared" si="30"/>
        <v>197</v>
      </c>
      <c r="K43" s="61">
        <f t="shared" si="30"/>
        <v>111</v>
      </c>
      <c r="L43" s="61">
        <f t="shared" si="30"/>
        <v>7</v>
      </c>
      <c r="M43" s="61">
        <f t="shared" si="30"/>
        <v>51</v>
      </c>
      <c r="N43" s="61">
        <f t="shared" si="30"/>
        <v>57</v>
      </c>
      <c r="O43" s="61">
        <f t="shared" si="30"/>
        <v>20</v>
      </c>
      <c r="P43" s="61">
        <f t="shared" si="30"/>
        <v>434</v>
      </c>
      <c r="Q43" s="61">
        <f t="shared" si="30"/>
        <v>284</v>
      </c>
      <c r="R43" s="61">
        <f t="shared" si="30"/>
        <v>37</v>
      </c>
      <c r="S43" s="61">
        <f t="shared" si="30"/>
        <v>248</v>
      </c>
      <c r="T43" s="61">
        <f t="shared" si="30"/>
        <v>291</v>
      </c>
      <c r="U43" s="61">
        <f t="shared" si="30"/>
        <v>167</v>
      </c>
      <c r="V43" s="61">
        <f t="shared" si="30"/>
        <v>93</v>
      </c>
      <c r="W43" s="61">
        <f t="shared" si="30"/>
        <v>389</v>
      </c>
      <c r="X43" s="61">
        <f t="shared" si="30"/>
        <v>128</v>
      </c>
      <c r="Y43" s="61">
        <f t="shared" si="30"/>
        <v>154</v>
      </c>
      <c r="Z43" s="61">
        <f t="shared" si="30"/>
        <v>80</v>
      </c>
      <c r="AA43" s="61">
        <f t="shared" si="30"/>
        <v>215</v>
      </c>
      <c r="AB43" s="61">
        <f t="shared" si="30"/>
        <v>221</v>
      </c>
      <c r="AC43" s="61">
        <f t="shared" si="30"/>
        <v>379</v>
      </c>
      <c r="AD43" s="61">
        <f t="shared" si="30"/>
        <v>141</v>
      </c>
      <c r="AE43" s="61">
        <f t="shared" si="30"/>
        <v>398</v>
      </c>
      <c r="AF43" s="61">
        <f t="shared" si="30"/>
        <v>160</v>
      </c>
      <c r="AG43" s="61">
        <f t="shared" si="30"/>
        <v>145</v>
      </c>
      <c r="AH43" s="61">
        <f t="shared" si="30"/>
        <v>142</v>
      </c>
      <c r="AI43" s="61">
        <f t="shared" si="30"/>
        <v>157</v>
      </c>
      <c r="AJ43" s="61">
        <f t="shared" si="30"/>
        <v>469</v>
      </c>
      <c r="AK43" s="61">
        <f t="shared" ref="AK43" si="31">IF(AK16="","n/a",AK16-AJ16)</f>
        <v>273</v>
      </c>
      <c r="AL43" s="61">
        <f t="shared" ref="AL43:AZ43" si="32">IF(AL16="","",AL16-AK16)</f>
        <v>349</v>
      </c>
      <c r="AM43" s="61">
        <f t="shared" si="32"/>
        <v>526</v>
      </c>
      <c r="AN43" s="61">
        <f t="shared" si="32"/>
        <v>428</v>
      </c>
      <c r="AO43" s="61">
        <f t="shared" si="32"/>
        <v>322</v>
      </c>
      <c r="AP43" s="61">
        <f t="shared" si="32"/>
        <v>138</v>
      </c>
      <c r="AQ43" s="61">
        <f t="shared" si="32"/>
        <v>383</v>
      </c>
      <c r="AR43" s="61">
        <f t="shared" si="32"/>
        <v>278</v>
      </c>
      <c r="AS43" s="61">
        <f t="shared" si="32"/>
        <v>378</v>
      </c>
      <c r="AT43" s="61">
        <f t="shared" si="32"/>
        <v>451</v>
      </c>
      <c r="AU43" s="61" t="str">
        <f t="shared" si="32"/>
        <v/>
      </c>
      <c r="AV43" s="61" t="str">
        <f t="shared" si="32"/>
        <v/>
      </c>
      <c r="AW43" s="61" t="str">
        <f t="shared" si="32"/>
        <v/>
      </c>
      <c r="AX43" s="61" t="str">
        <f t="shared" si="32"/>
        <v/>
      </c>
      <c r="AY43" s="61" t="str">
        <f t="shared" si="32"/>
        <v/>
      </c>
      <c r="AZ43" s="61" t="str">
        <f t="shared" si="32"/>
        <v/>
      </c>
    </row>
    <row r="44" spans="1:52" x14ac:dyDescent="0.25">
      <c r="A44" s="20" t="str">
        <f>Latest!A25</f>
        <v>Combat</v>
      </c>
      <c r="B44" s="13" t="str">
        <f>Latest!B25</f>
        <v>Portals neutralized</v>
      </c>
      <c r="C44" s="13" t="str">
        <f>IF(Levels!B16&lt;&gt;"",Levels!B16,"")</f>
        <v/>
      </c>
      <c r="D44" s="15"/>
      <c r="E44" s="15">
        <f t="shared" ref="E44:AJ44" si="33">IF(E17="","n/a",E17-D17)</f>
        <v>49</v>
      </c>
      <c r="F44" s="15">
        <f t="shared" si="33"/>
        <v>2</v>
      </c>
      <c r="G44" s="15">
        <f t="shared" si="33"/>
        <v>47</v>
      </c>
      <c r="H44" s="15">
        <f t="shared" si="33"/>
        <v>16</v>
      </c>
      <c r="I44" s="15">
        <f t="shared" si="33"/>
        <v>33</v>
      </c>
      <c r="J44" s="15">
        <f t="shared" si="33"/>
        <v>36</v>
      </c>
      <c r="K44" s="15">
        <f t="shared" si="33"/>
        <v>33</v>
      </c>
      <c r="L44" s="15">
        <f t="shared" si="33"/>
        <v>4</v>
      </c>
      <c r="M44" s="15">
        <f t="shared" si="33"/>
        <v>9</v>
      </c>
      <c r="N44" s="15">
        <f t="shared" si="33"/>
        <v>27</v>
      </c>
      <c r="O44" s="15">
        <f t="shared" si="33"/>
        <v>5</v>
      </c>
      <c r="P44" s="15">
        <f t="shared" si="33"/>
        <v>63</v>
      </c>
      <c r="Q44" s="15">
        <f t="shared" si="33"/>
        <v>44</v>
      </c>
      <c r="R44" s="15">
        <f t="shared" si="33"/>
        <v>16</v>
      </c>
      <c r="S44" s="15">
        <f t="shared" si="33"/>
        <v>58</v>
      </c>
      <c r="T44" s="15">
        <f t="shared" si="33"/>
        <v>50</v>
      </c>
      <c r="U44" s="15">
        <f t="shared" si="33"/>
        <v>40</v>
      </c>
      <c r="V44" s="15">
        <f t="shared" si="33"/>
        <v>21</v>
      </c>
      <c r="W44" s="15">
        <f t="shared" si="33"/>
        <v>41</v>
      </c>
      <c r="X44" s="15">
        <f t="shared" si="33"/>
        <v>18</v>
      </c>
      <c r="Y44" s="15">
        <f t="shared" si="33"/>
        <v>23</v>
      </c>
      <c r="Z44" s="15">
        <f t="shared" si="33"/>
        <v>22</v>
      </c>
      <c r="AA44" s="15">
        <f t="shared" si="33"/>
        <v>24</v>
      </c>
      <c r="AB44" s="15">
        <f t="shared" si="33"/>
        <v>23</v>
      </c>
      <c r="AC44" s="15">
        <f t="shared" si="33"/>
        <v>45</v>
      </c>
      <c r="AD44" s="15">
        <f t="shared" si="33"/>
        <v>17</v>
      </c>
      <c r="AE44" s="15">
        <f t="shared" si="33"/>
        <v>55</v>
      </c>
      <c r="AF44" s="15">
        <f t="shared" si="33"/>
        <v>15</v>
      </c>
      <c r="AG44" s="15">
        <f t="shared" si="33"/>
        <v>28</v>
      </c>
      <c r="AH44" s="15">
        <f t="shared" si="33"/>
        <v>17</v>
      </c>
      <c r="AI44" s="15">
        <f t="shared" si="33"/>
        <v>31</v>
      </c>
      <c r="AJ44" s="15">
        <f t="shared" si="33"/>
        <v>62</v>
      </c>
      <c r="AK44" s="15">
        <f t="shared" ref="AK44" si="34">IF(AK17="","n/a",AK17-AJ17)</f>
        <v>37</v>
      </c>
      <c r="AL44" s="15">
        <f t="shared" ref="AL44:AZ44" si="35">IF(AL17="","",AL17-AK17)</f>
        <v>44</v>
      </c>
      <c r="AM44" s="15">
        <f t="shared" si="35"/>
        <v>58</v>
      </c>
      <c r="AN44" s="15">
        <f t="shared" si="35"/>
        <v>58</v>
      </c>
      <c r="AO44" s="15">
        <f t="shared" si="35"/>
        <v>62</v>
      </c>
      <c r="AP44" s="15">
        <f t="shared" si="35"/>
        <v>12</v>
      </c>
      <c r="AQ44" s="15">
        <f t="shared" si="35"/>
        <v>62</v>
      </c>
      <c r="AR44" s="15">
        <f t="shared" si="35"/>
        <v>62</v>
      </c>
      <c r="AS44" s="15">
        <f t="shared" si="35"/>
        <v>55</v>
      </c>
      <c r="AT44" s="15">
        <f t="shared" si="35"/>
        <v>96</v>
      </c>
      <c r="AU44" s="15" t="str">
        <f t="shared" si="35"/>
        <v/>
      </c>
      <c r="AV44" s="15" t="str">
        <f t="shared" si="35"/>
        <v/>
      </c>
      <c r="AW44" s="15" t="str">
        <f t="shared" si="35"/>
        <v/>
      </c>
      <c r="AX44" s="15" t="str">
        <f t="shared" si="35"/>
        <v/>
      </c>
      <c r="AY44" s="15" t="str">
        <f t="shared" si="35"/>
        <v/>
      </c>
      <c r="AZ44" s="15" t="str">
        <f t="shared" si="35"/>
        <v/>
      </c>
    </row>
    <row r="45" spans="1:52" x14ac:dyDescent="0.25">
      <c r="A45" s="20" t="str">
        <f>Latest!A26</f>
        <v>Combat</v>
      </c>
      <c r="B45" s="13" t="str">
        <f>Latest!B26</f>
        <v>Enemy links destroyed</v>
      </c>
      <c r="C45" s="13" t="str">
        <f>IF(Levels!B17&lt;&gt;"",Levels!B17,"")</f>
        <v/>
      </c>
      <c r="D45" s="15"/>
      <c r="E45" s="15">
        <f t="shared" ref="E45:AJ45" si="36">IF(E18="","n/a",E18-D18)</f>
        <v>26</v>
      </c>
      <c r="F45" s="15">
        <f t="shared" si="36"/>
        <v>0</v>
      </c>
      <c r="G45" s="15">
        <f t="shared" si="36"/>
        <v>32</v>
      </c>
      <c r="H45" s="15">
        <f t="shared" si="36"/>
        <v>7</v>
      </c>
      <c r="I45" s="15">
        <f t="shared" si="36"/>
        <v>19</v>
      </c>
      <c r="J45" s="15">
        <f t="shared" si="36"/>
        <v>32</v>
      </c>
      <c r="K45" s="15">
        <f t="shared" si="36"/>
        <v>15</v>
      </c>
      <c r="L45" s="15">
        <f t="shared" si="36"/>
        <v>0</v>
      </c>
      <c r="M45" s="15">
        <f t="shared" si="36"/>
        <v>0</v>
      </c>
      <c r="N45" s="15">
        <f t="shared" si="36"/>
        <v>1</v>
      </c>
      <c r="O45" s="15">
        <f t="shared" si="36"/>
        <v>0</v>
      </c>
      <c r="P45" s="15">
        <f t="shared" si="36"/>
        <v>42</v>
      </c>
      <c r="Q45" s="15">
        <f t="shared" si="36"/>
        <v>22</v>
      </c>
      <c r="R45" s="15">
        <f t="shared" si="36"/>
        <v>2</v>
      </c>
      <c r="S45" s="15">
        <f t="shared" si="36"/>
        <v>23</v>
      </c>
      <c r="T45" s="15">
        <f t="shared" si="36"/>
        <v>17</v>
      </c>
      <c r="U45" s="15">
        <f t="shared" si="36"/>
        <v>17</v>
      </c>
      <c r="V45" s="15">
        <f t="shared" si="36"/>
        <v>9</v>
      </c>
      <c r="W45" s="15">
        <f t="shared" si="36"/>
        <v>92</v>
      </c>
      <c r="X45" s="15">
        <f t="shared" si="36"/>
        <v>14</v>
      </c>
      <c r="Y45" s="15">
        <f t="shared" si="36"/>
        <v>18</v>
      </c>
      <c r="Z45" s="15">
        <f t="shared" si="36"/>
        <v>7</v>
      </c>
      <c r="AA45" s="15">
        <f t="shared" si="36"/>
        <v>16</v>
      </c>
      <c r="AB45" s="15">
        <f t="shared" si="36"/>
        <v>39</v>
      </c>
      <c r="AC45" s="15">
        <f t="shared" si="36"/>
        <v>62</v>
      </c>
      <c r="AD45" s="15">
        <f t="shared" si="36"/>
        <v>13</v>
      </c>
      <c r="AE45" s="15">
        <f t="shared" si="36"/>
        <v>45</v>
      </c>
      <c r="AF45" s="15">
        <f t="shared" si="36"/>
        <v>17</v>
      </c>
      <c r="AG45" s="15">
        <f t="shared" si="36"/>
        <v>6</v>
      </c>
      <c r="AH45" s="15">
        <f t="shared" si="36"/>
        <v>29</v>
      </c>
      <c r="AI45" s="15">
        <f t="shared" si="36"/>
        <v>20</v>
      </c>
      <c r="AJ45" s="15">
        <f t="shared" si="36"/>
        <v>77</v>
      </c>
      <c r="AK45" s="15">
        <f t="shared" ref="AK45" si="37">IF(AK18="","n/a",AK18-AJ18)</f>
        <v>24</v>
      </c>
      <c r="AL45" s="15">
        <f t="shared" ref="AL45:AZ45" si="38">IF(AL18="","",AL18-AK18)</f>
        <v>62</v>
      </c>
      <c r="AM45" s="15">
        <f t="shared" si="38"/>
        <v>53</v>
      </c>
      <c r="AN45" s="15">
        <f t="shared" si="38"/>
        <v>95</v>
      </c>
      <c r="AO45" s="15">
        <f t="shared" si="38"/>
        <v>43</v>
      </c>
      <c r="AP45" s="15">
        <f t="shared" si="38"/>
        <v>8</v>
      </c>
      <c r="AQ45" s="15">
        <f t="shared" si="38"/>
        <v>46</v>
      </c>
      <c r="AR45" s="15">
        <f t="shared" si="38"/>
        <v>12</v>
      </c>
      <c r="AS45" s="15">
        <f t="shared" si="38"/>
        <v>46</v>
      </c>
      <c r="AT45" s="15">
        <f t="shared" si="38"/>
        <v>21</v>
      </c>
      <c r="AU45" s="15" t="str">
        <f t="shared" si="38"/>
        <v/>
      </c>
      <c r="AV45" s="15" t="str">
        <f t="shared" si="38"/>
        <v/>
      </c>
      <c r="AW45" s="15" t="str">
        <f t="shared" si="38"/>
        <v/>
      </c>
      <c r="AX45" s="15" t="str">
        <f t="shared" si="38"/>
        <v/>
      </c>
      <c r="AY45" s="15" t="str">
        <f t="shared" si="38"/>
        <v/>
      </c>
      <c r="AZ45" s="15" t="str">
        <f t="shared" si="38"/>
        <v/>
      </c>
    </row>
    <row r="46" spans="1:52" ht="16.5" thickBot="1" x14ac:dyDescent="0.3">
      <c r="A46" s="21" t="str">
        <f>Latest!A27</f>
        <v>Combat</v>
      </c>
      <c r="B46" s="17" t="str">
        <f>Latest!B27</f>
        <v>Enemy control fields destroyed</v>
      </c>
      <c r="C46" s="17" t="str">
        <f>IF(Levels!B18&lt;&gt;"",Levels!B18,"")</f>
        <v/>
      </c>
      <c r="D46" s="18"/>
      <c r="E46" s="18">
        <f t="shared" ref="E46:AJ46" si="39">IF(E19="","n/a",E19-D19)</f>
        <v>13</v>
      </c>
      <c r="F46" s="18">
        <f t="shared" si="39"/>
        <v>0</v>
      </c>
      <c r="G46" s="18">
        <f t="shared" si="39"/>
        <v>16</v>
      </c>
      <c r="H46" s="18">
        <f t="shared" si="39"/>
        <v>2</v>
      </c>
      <c r="I46" s="18">
        <f t="shared" si="39"/>
        <v>3</v>
      </c>
      <c r="J46" s="18">
        <f t="shared" si="39"/>
        <v>11</v>
      </c>
      <c r="K46" s="18">
        <f t="shared" si="39"/>
        <v>4</v>
      </c>
      <c r="L46" s="18">
        <f t="shared" si="39"/>
        <v>0</v>
      </c>
      <c r="M46" s="18">
        <f t="shared" si="39"/>
        <v>0</v>
      </c>
      <c r="N46" s="18">
        <f t="shared" si="39"/>
        <v>0</v>
      </c>
      <c r="O46" s="18">
        <f t="shared" si="39"/>
        <v>0</v>
      </c>
      <c r="P46" s="18">
        <f t="shared" si="39"/>
        <v>16</v>
      </c>
      <c r="Q46" s="18">
        <f t="shared" si="39"/>
        <v>6</v>
      </c>
      <c r="R46" s="18">
        <f t="shared" si="39"/>
        <v>0</v>
      </c>
      <c r="S46" s="18">
        <f t="shared" si="39"/>
        <v>5</v>
      </c>
      <c r="T46" s="18">
        <f t="shared" si="39"/>
        <v>4</v>
      </c>
      <c r="U46" s="18">
        <f t="shared" si="39"/>
        <v>4</v>
      </c>
      <c r="V46" s="18">
        <f t="shared" si="39"/>
        <v>2</v>
      </c>
      <c r="W46" s="18">
        <f t="shared" si="39"/>
        <v>51</v>
      </c>
      <c r="X46" s="18">
        <f t="shared" si="39"/>
        <v>3</v>
      </c>
      <c r="Y46" s="18">
        <f t="shared" si="39"/>
        <v>3</v>
      </c>
      <c r="Z46" s="18">
        <f t="shared" si="39"/>
        <v>1</v>
      </c>
      <c r="AA46" s="18">
        <f t="shared" si="39"/>
        <v>8</v>
      </c>
      <c r="AB46" s="18">
        <f t="shared" si="39"/>
        <v>23</v>
      </c>
      <c r="AC46" s="18">
        <f t="shared" si="39"/>
        <v>36</v>
      </c>
      <c r="AD46" s="18">
        <f t="shared" si="39"/>
        <v>4</v>
      </c>
      <c r="AE46" s="18">
        <f t="shared" si="39"/>
        <v>13</v>
      </c>
      <c r="AF46" s="18">
        <f t="shared" si="39"/>
        <v>4</v>
      </c>
      <c r="AG46" s="18">
        <f t="shared" si="39"/>
        <v>1</v>
      </c>
      <c r="AH46" s="18">
        <f t="shared" si="39"/>
        <v>11</v>
      </c>
      <c r="AI46" s="18">
        <f t="shared" si="39"/>
        <v>9</v>
      </c>
      <c r="AJ46" s="18">
        <f t="shared" si="39"/>
        <v>35</v>
      </c>
      <c r="AK46" s="18">
        <f>IF(AK19="","n/a",AK19-AJ19)</f>
        <v>5</v>
      </c>
      <c r="AL46" s="18">
        <f t="shared" ref="AL46:AZ46" si="40">IF(AL19="","",AL19-AK19)</f>
        <v>42</v>
      </c>
      <c r="AM46" s="18">
        <f t="shared" si="40"/>
        <v>9</v>
      </c>
      <c r="AN46" s="18">
        <f t="shared" si="40"/>
        <v>46</v>
      </c>
      <c r="AO46" s="18">
        <f t="shared" si="40"/>
        <v>9</v>
      </c>
      <c r="AP46" s="18">
        <f t="shared" si="40"/>
        <v>0</v>
      </c>
      <c r="AQ46" s="18">
        <f t="shared" si="40"/>
        <v>18</v>
      </c>
      <c r="AR46" s="18">
        <f t="shared" si="40"/>
        <v>2</v>
      </c>
      <c r="AS46" s="18">
        <f t="shared" si="40"/>
        <v>8</v>
      </c>
      <c r="AT46" s="18">
        <f t="shared" si="40"/>
        <v>6</v>
      </c>
      <c r="AU46" s="18" t="str">
        <f t="shared" si="40"/>
        <v/>
      </c>
      <c r="AV46" s="18" t="str">
        <f t="shared" si="40"/>
        <v/>
      </c>
      <c r="AW46" s="18" t="str">
        <f t="shared" si="40"/>
        <v/>
      </c>
      <c r="AX46" s="18" t="str">
        <f t="shared" si="40"/>
        <v/>
      </c>
      <c r="AY46" s="18" t="str">
        <f t="shared" si="40"/>
        <v/>
      </c>
      <c r="AZ46" s="18" t="str">
        <f t="shared" si="40"/>
        <v/>
      </c>
    </row>
    <row r="47" spans="1:52" ht="16.5" thickBot="1" x14ac:dyDescent="0.3">
      <c r="A47" s="22" t="str">
        <f>Latest!A28</f>
        <v>Health</v>
      </c>
      <c r="B47" s="23" t="str">
        <f>Latest!B28</f>
        <v>Distance walked</v>
      </c>
      <c r="C47" s="23" t="str">
        <f>IF(Levels!B19&lt;&gt;"",Levels!B19,"")</f>
        <v/>
      </c>
      <c r="D47" s="25"/>
      <c r="E47" s="25">
        <f t="shared" ref="E47:AJ47" si="41">IF(E20="","n/a",E20-D20)</f>
        <v>16</v>
      </c>
      <c r="F47" s="25">
        <f t="shared" si="41"/>
        <v>2</v>
      </c>
      <c r="G47" s="25">
        <f t="shared" si="41"/>
        <v>16</v>
      </c>
      <c r="H47" s="25">
        <f t="shared" si="41"/>
        <v>4</v>
      </c>
      <c r="I47" s="25">
        <f t="shared" si="41"/>
        <v>16</v>
      </c>
      <c r="J47" s="25">
        <f t="shared" si="41"/>
        <v>9</v>
      </c>
      <c r="K47" s="25">
        <f t="shared" si="41"/>
        <v>11</v>
      </c>
      <c r="L47" s="25">
        <f t="shared" si="41"/>
        <v>4</v>
      </c>
      <c r="M47" s="25">
        <f t="shared" si="41"/>
        <v>4</v>
      </c>
      <c r="N47" s="25">
        <f t="shared" si="41"/>
        <v>10</v>
      </c>
      <c r="O47" s="25">
        <f t="shared" si="41"/>
        <v>4</v>
      </c>
      <c r="P47" s="25">
        <f t="shared" si="41"/>
        <v>27</v>
      </c>
      <c r="Q47" s="25">
        <f t="shared" si="41"/>
        <v>12</v>
      </c>
      <c r="R47" s="25">
        <f t="shared" si="41"/>
        <v>6</v>
      </c>
      <c r="S47" s="25">
        <f t="shared" si="41"/>
        <v>18</v>
      </c>
      <c r="T47" s="25">
        <f t="shared" si="41"/>
        <v>6</v>
      </c>
      <c r="U47" s="25">
        <f t="shared" si="41"/>
        <v>8</v>
      </c>
      <c r="V47" s="25">
        <f t="shared" si="41"/>
        <v>6</v>
      </c>
      <c r="W47" s="25">
        <f t="shared" si="41"/>
        <v>10</v>
      </c>
      <c r="X47" s="25">
        <f t="shared" si="41"/>
        <v>7</v>
      </c>
      <c r="Y47" s="25">
        <f t="shared" si="41"/>
        <v>7</v>
      </c>
      <c r="Z47" s="25">
        <f t="shared" si="41"/>
        <v>7</v>
      </c>
      <c r="AA47" s="25">
        <f t="shared" si="41"/>
        <v>6</v>
      </c>
      <c r="AB47" s="25">
        <f t="shared" si="41"/>
        <v>11</v>
      </c>
      <c r="AC47" s="25">
        <f t="shared" si="41"/>
        <v>13</v>
      </c>
      <c r="AD47" s="25">
        <f t="shared" si="41"/>
        <v>6</v>
      </c>
      <c r="AE47" s="25">
        <f t="shared" si="41"/>
        <v>11</v>
      </c>
      <c r="AF47" s="25">
        <f t="shared" si="41"/>
        <v>11</v>
      </c>
      <c r="AG47" s="25">
        <f t="shared" si="41"/>
        <v>4</v>
      </c>
      <c r="AH47" s="25">
        <f t="shared" si="41"/>
        <v>6</v>
      </c>
      <c r="AI47" s="25">
        <f t="shared" si="41"/>
        <v>5</v>
      </c>
      <c r="AJ47" s="25">
        <f t="shared" si="41"/>
        <v>10</v>
      </c>
      <c r="AK47" s="25">
        <f>IF(AK20="","n/a",AK20-AJ20)</f>
        <v>12</v>
      </c>
      <c r="AL47" s="25">
        <f t="shared" ref="AL47:AT47" si="42">IF(AL20="","",AL20-AK20)</f>
        <v>9</v>
      </c>
      <c r="AM47" s="25">
        <f t="shared" si="42"/>
        <v>9</v>
      </c>
      <c r="AN47" s="25">
        <f t="shared" si="42"/>
        <v>11</v>
      </c>
      <c r="AO47" s="25">
        <f t="shared" si="42"/>
        <v>14</v>
      </c>
      <c r="AP47" s="25">
        <f t="shared" si="42"/>
        <v>5</v>
      </c>
      <c r="AQ47" s="25">
        <f t="shared" si="42"/>
        <v>9</v>
      </c>
      <c r="AR47" s="25">
        <f t="shared" si="42"/>
        <v>12</v>
      </c>
      <c r="AS47" s="25">
        <f t="shared" si="42"/>
        <v>10</v>
      </c>
      <c r="AT47" s="25">
        <f t="shared" si="42"/>
        <v>9</v>
      </c>
      <c r="AU47" s="25" t="str">
        <f t="shared" ref="AP47:AZ53" si="43">IF(AU20="","",AU20-AT20)</f>
        <v/>
      </c>
      <c r="AV47" s="25" t="str">
        <f t="shared" si="43"/>
        <v/>
      </c>
      <c r="AW47" s="25" t="str">
        <f t="shared" si="43"/>
        <v/>
      </c>
      <c r="AX47" s="25" t="str">
        <f t="shared" si="43"/>
        <v/>
      </c>
      <c r="AY47" s="25" t="str">
        <f t="shared" si="43"/>
        <v/>
      </c>
      <c r="AZ47" s="25" t="str">
        <f t="shared" si="43"/>
        <v/>
      </c>
    </row>
    <row r="48" spans="1:52" x14ac:dyDescent="0.25">
      <c r="A48" s="8" t="str">
        <f>Latest!A29</f>
        <v>Defense</v>
      </c>
      <c r="B48" s="37" t="str">
        <f>Latest!B29</f>
        <v>Max time portal held</v>
      </c>
      <c r="C48" s="37" t="str">
        <f>IF(Levels!B20&lt;&gt;"",Levels!B20,"")</f>
        <v>Guardian</v>
      </c>
      <c r="D48" s="61"/>
      <c r="E48" s="61">
        <f t="shared" ref="E48:AJ48" si="44">IF(E21="","n/a",E21-D21)</f>
        <v>4</v>
      </c>
      <c r="F48" s="61">
        <f t="shared" si="44"/>
        <v>1</v>
      </c>
      <c r="G48" s="61">
        <f t="shared" si="44"/>
        <v>5</v>
      </c>
      <c r="H48" s="61">
        <f t="shared" si="44"/>
        <v>0</v>
      </c>
      <c r="I48" s="61">
        <f t="shared" si="44"/>
        <v>4</v>
      </c>
      <c r="J48" s="61">
        <f t="shared" si="44"/>
        <v>3</v>
      </c>
      <c r="K48" s="61">
        <f t="shared" si="44"/>
        <v>2</v>
      </c>
      <c r="L48" s="61">
        <f t="shared" si="44"/>
        <v>1</v>
      </c>
      <c r="M48" s="61">
        <f t="shared" si="44"/>
        <v>1</v>
      </c>
      <c r="N48" s="61">
        <f t="shared" si="44"/>
        <v>2</v>
      </c>
      <c r="O48" s="61">
        <f t="shared" si="44"/>
        <v>1</v>
      </c>
      <c r="P48" s="61">
        <f t="shared" si="44"/>
        <v>7</v>
      </c>
      <c r="Q48" s="61">
        <f t="shared" si="44"/>
        <v>3</v>
      </c>
      <c r="R48" s="61">
        <f t="shared" si="44"/>
        <v>1</v>
      </c>
      <c r="S48" s="61">
        <f t="shared" si="44"/>
        <v>2</v>
      </c>
      <c r="T48" s="61">
        <f t="shared" si="44"/>
        <v>1</v>
      </c>
      <c r="U48" s="61">
        <f t="shared" si="44"/>
        <v>1</v>
      </c>
      <c r="V48" s="61">
        <f t="shared" si="44"/>
        <v>1</v>
      </c>
      <c r="W48" s="61">
        <f t="shared" si="44"/>
        <v>1</v>
      </c>
      <c r="X48" s="61">
        <f t="shared" si="44"/>
        <v>0</v>
      </c>
      <c r="Y48" s="61">
        <f t="shared" si="44"/>
        <v>2</v>
      </c>
      <c r="Z48" s="61">
        <f t="shared" si="44"/>
        <v>3</v>
      </c>
      <c r="AA48" s="61">
        <f t="shared" si="44"/>
        <v>1</v>
      </c>
      <c r="AB48" s="61">
        <f t="shared" si="44"/>
        <v>2</v>
      </c>
      <c r="AC48" s="61">
        <f t="shared" si="44"/>
        <v>3</v>
      </c>
      <c r="AD48" s="61">
        <f t="shared" si="44"/>
        <v>0</v>
      </c>
      <c r="AE48" s="61">
        <f t="shared" si="44"/>
        <v>1</v>
      </c>
      <c r="AF48" s="61">
        <f t="shared" si="44"/>
        <v>1</v>
      </c>
      <c r="AG48" s="61">
        <f t="shared" si="44"/>
        <v>1</v>
      </c>
      <c r="AH48" s="61">
        <f t="shared" si="44"/>
        <v>1</v>
      </c>
      <c r="AI48" s="61">
        <f t="shared" si="44"/>
        <v>1</v>
      </c>
      <c r="AJ48" s="61">
        <f t="shared" si="44"/>
        <v>2</v>
      </c>
      <c r="AK48" s="61">
        <f t="shared" ref="AK48" si="45">IF(AK21="","n/a",AK21-AJ21)</f>
        <v>2</v>
      </c>
      <c r="AL48" s="61">
        <f t="shared" ref="AL48:AO53" si="46">IF(AL21="","",AL21-AK21)</f>
        <v>1</v>
      </c>
      <c r="AM48" s="61">
        <f t="shared" si="46"/>
        <v>0</v>
      </c>
      <c r="AN48" s="61">
        <f t="shared" si="46"/>
        <v>1</v>
      </c>
      <c r="AO48" s="61">
        <f t="shared" si="46"/>
        <v>1</v>
      </c>
      <c r="AP48" s="61">
        <f t="shared" si="43"/>
        <v>2</v>
      </c>
      <c r="AQ48" s="61">
        <f t="shared" si="43"/>
        <v>0</v>
      </c>
      <c r="AR48" s="61">
        <f t="shared" si="43"/>
        <v>1</v>
      </c>
      <c r="AS48" s="61">
        <f t="shared" si="43"/>
        <v>2</v>
      </c>
      <c r="AT48" s="61">
        <f t="shared" si="43"/>
        <v>0</v>
      </c>
      <c r="AU48" s="61" t="str">
        <f t="shared" si="43"/>
        <v/>
      </c>
      <c r="AV48" s="61" t="str">
        <f t="shared" si="43"/>
        <v/>
      </c>
      <c r="AW48" s="61" t="str">
        <f t="shared" si="43"/>
        <v/>
      </c>
      <c r="AX48" s="61" t="str">
        <f t="shared" si="43"/>
        <v/>
      </c>
      <c r="AY48" s="61" t="str">
        <f t="shared" si="43"/>
        <v/>
      </c>
      <c r="AZ48" s="61" t="str">
        <f t="shared" si="43"/>
        <v/>
      </c>
    </row>
    <row r="49" spans="1:52" x14ac:dyDescent="0.25">
      <c r="A49" s="20" t="str">
        <f>Latest!A30</f>
        <v>Defense</v>
      </c>
      <c r="B49" s="13" t="str">
        <f>Latest!B30</f>
        <v>Max time link Maintened</v>
      </c>
      <c r="C49" s="13" t="str">
        <f>IF(Levels!B21&lt;&gt;"",Levels!B21,"")</f>
        <v/>
      </c>
      <c r="D49" s="15"/>
      <c r="E49" s="15">
        <f t="shared" ref="E49:AJ49" si="47">IF(E22="","n/a",E22-D22)</f>
        <v>4</v>
      </c>
      <c r="F49" s="15">
        <f t="shared" si="47"/>
        <v>1</v>
      </c>
      <c r="G49" s="15">
        <f t="shared" si="47"/>
        <v>5</v>
      </c>
      <c r="H49" s="15">
        <f t="shared" si="47"/>
        <v>0</v>
      </c>
      <c r="I49" s="15">
        <f t="shared" si="47"/>
        <v>4</v>
      </c>
      <c r="J49" s="15">
        <f t="shared" si="47"/>
        <v>3</v>
      </c>
      <c r="K49" s="15">
        <f t="shared" si="47"/>
        <v>2</v>
      </c>
      <c r="L49" s="15">
        <f t="shared" si="47"/>
        <v>1</v>
      </c>
      <c r="M49" s="15">
        <f t="shared" si="47"/>
        <v>1</v>
      </c>
      <c r="N49" s="15">
        <f t="shared" si="47"/>
        <v>2</v>
      </c>
      <c r="O49" s="15">
        <f t="shared" si="47"/>
        <v>1</v>
      </c>
      <c r="P49" s="15">
        <f t="shared" si="47"/>
        <v>7</v>
      </c>
      <c r="Q49" s="15">
        <f t="shared" si="47"/>
        <v>3</v>
      </c>
      <c r="R49" s="15">
        <f t="shared" si="47"/>
        <v>1</v>
      </c>
      <c r="S49" s="15">
        <f t="shared" si="47"/>
        <v>2</v>
      </c>
      <c r="T49" s="15">
        <f t="shared" si="47"/>
        <v>1</v>
      </c>
      <c r="U49" s="15">
        <f t="shared" si="47"/>
        <v>1</v>
      </c>
      <c r="V49" s="15">
        <f t="shared" si="47"/>
        <v>1</v>
      </c>
      <c r="W49" s="15">
        <f t="shared" si="47"/>
        <v>1</v>
      </c>
      <c r="X49" s="15">
        <f t="shared" si="47"/>
        <v>0</v>
      </c>
      <c r="Y49" s="15">
        <f t="shared" si="47"/>
        <v>2</v>
      </c>
      <c r="Z49" s="15">
        <f t="shared" si="47"/>
        <v>3</v>
      </c>
      <c r="AA49" s="15">
        <f t="shared" si="47"/>
        <v>1</v>
      </c>
      <c r="AB49" s="15">
        <f t="shared" si="47"/>
        <v>2</v>
      </c>
      <c r="AC49" s="15">
        <f t="shared" si="47"/>
        <v>3</v>
      </c>
      <c r="AD49" s="15">
        <f t="shared" si="47"/>
        <v>0</v>
      </c>
      <c r="AE49" s="15">
        <f t="shared" si="47"/>
        <v>1</v>
      </c>
      <c r="AF49" s="15">
        <f t="shared" si="47"/>
        <v>1</v>
      </c>
      <c r="AG49" s="15">
        <f t="shared" si="47"/>
        <v>1</v>
      </c>
      <c r="AH49" s="15">
        <f t="shared" si="47"/>
        <v>1</v>
      </c>
      <c r="AI49" s="15">
        <f t="shared" si="47"/>
        <v>1</v>
      </c>
      <c r="AJ49" s="15">
        <f t="shared" si="47"/>
        <v>2</v>
      </c>
      <c r="AK49" s="15">
        <f t="shared" ref="AK49" si="48">IF(AK22="","n/a",AK22-AJ22)</f>
        <v>2</v>
      </c>
      <c r="AL49" s="15">
        <f t="shared" si="46"/>
        <v>1</v>
      </c>
      <c r="AM49" s="15">
        <f t="shared" si="46"/>
        <v>0</v>
      </c>
      <c r="AN49" s="15">
        <f t="shared" si="46"/>
        <v>1</v>
      </c>
      <c r="AO49" s="15">
        <f t="shared" si="46"/>
        <v>1</v>
      </c>
      <c r="AP49" s="15">
        <f t="shared" si="43"/>
        <v>2</v>
      </c>
      <c r="AQ49" s="15">
        <f t="shared" si="43"/>
        <v>0</v>
      </c>
      <c r="AR49" s="15">
        <f t="shared" si="43"/>
        <v>1</v>
      </c>
      <c r="AS49" s="15">
        <f t="shared" si="43"/>
        <v>2</v>
      </c>
      <c r="AT49" s="15">
        <f t="shared" si="43"/>
        <v>0</v>
      </c>
      <c r="AU49" s="15" t="str">
        <f t="shared" si="43"/>
        <v/>
      </c>
      <c r="AV49" s="15" t="str">
        <f t="shared" si="43"/>
        <v/>
      </c>
      <c r="AW49" s="15" t="str">
        <f t="shared" si="43"/>
        <v/>
      </c>
      <c r="AX49" s="15" t="str">
        <f t="shared" si="43"/>
        <v/>
      </c>
      <c r="AY49" s="15" t="str">
        <f t="shared" si="43"/>
        <v/>
      </c>
      <c r="AZ49" s="15" t="str">
        <f t="shared" si="43"/>
        <v/>
      </c>
    </row>
    <row r="50" spans="1:52" x14ac:dyDescent="0.25">
      <c r="A50" s="20" t="str">
        <f>Latest!A31</f>
        <v>Defense</v>
      </c>
      <c r="B50" s="13" t="str">
        <f>Latest!B31</f>
        <v>Max link lenght x days</v>
      </c>
      <c r="C50" s="13" t="str">
        <f>IF(Levels!B22&lt;&gt;"",Levels!B22,"")</f>
        <v/>
      </c>
      <c r="D50" s="15"/>
      <c r="E50" s="15">
        <f t="shared" ref="E50:AJ50" si="49">IF(E23="","n/a",E23-D23)</f>
        <v>34</v>
      </c>
      <c r="F50" s="15">
        <f t="shared" si="49"/>
        <v>0</v>
      </c>
      <c r="G50" s="15">
        <f t="shared" si="49"/>
        <v>4</v>
      </c>
      <c r="H50" s="15">
        <f t="shared" si="49"/>
        <v>0</v>
      </c>
      <c r="I50" s="15">
        <f t="shared" si="49"/>
        <v>24</v>
      </c>
      <c r="J50" s="15">
        <f t="shared" si="49"/>
        <v>18</v>
      </c>
      <c r="K50" s="15">
        <f t="shared" si="49"/>
        <v>11</v>
      </c>
      <c r="L50" s="15">
        <f t="shared" si="49"/>
        <v>6</v>
      </c>
      <c r="M50" s="15">
        <f t="shared" si="49"/>
        <v>9</v>
      </c>
      <c r="N50" s="15">
        <f t="shared" si="49"/>
        <v>0</v>
      </c>
      <c r="O50" s="15">
        <f t="shared" si="49"/>
        <v>0</v>
      </c>
      <c r="P50" s="15">
        <f t="shared" si="49"/>
        <v>99</v>
      </c>
      <c r="Q50" s="15">
        <f t="shared" si="49"/>
        <v>-99</v>
      </c>
      <c r="R50" s="15">
        <f t="shared" si="49"/>
        <v>0</v>
      </c>
      <c r="S50" s="15">
        <f t="shared" si="49"/>
        <v>0</v>
      </c>
      <c r="T50" s="15">
        <f t="shared" si="49"/>
        <v>0</v>
      </c>
      <c r="U50" s="15">
        <f t="shared" si="49"/>
        <v>0</v>
      </c>
      <c r="V50" s="15">
        <f t="shared" si="49"/>
        <v>0</v>
      </c>
      <c r="W50" s="15">
        <f t="shared" si="49"/>
        <v>0</v>
      </c>
      <c r="X50" s="15">
        <f t="shared" si="49"/>
        <v>0</v>
      </c>
      <c r="Y50" s="15">
        <f t="shared" si="49"/>
        <v>0</v>
      </c>
      <c r="Z50" s="15">
        <f t="shared" si="49"/>
        <v>0</v>
      </c>
      <c r="AA50" s="15">
        <f t="shared" si="49"/>
        <v>0</v>
      </c>
      <c r="AB50" s="15">
        <f t="shared" si="49"/>
        <v>0</v>
      </c>
      <c r="AC50" s="15">
        <f t="shared" si="49"/>
        <v>0</v>
      </c>
      <c r="AD50" s="15">
        <f t="shared" si="49"/>
        <v>0</v>
      </c>
      <c r="AE50" s="15">
        <f t="shared" si="49"/>
        <v>0</v>
      </c>
      <c r="AF50" s="15">
        <f t="shared" si="49"/>
        <v>0</v>
      </c>
      <c r="AG50" s="15">
        <f t="shared" si="49"/>
        <v>0</v>
      </c>
      <c r="AH50" s="15">
        <f t="shared" si="49"/>
        <v>0</v>
      </c>
      <c r="AI50" s="15">
        <f t="shared" si="49"/>
        <v>0</v>
      </c>
      <c r="AJ50" s="15">
        <f t="shared" si="49"/>
        <v>0</v>
      </c>
      <c r="AK50" s="15">
        <f>IF(AK23="","n/a",AK23-AJ23)</f>
        <v>0</v>
      </c>
      <c r="AL50" s="15">
        <f t="shared" si="46"/>
        <v>0</v>
      </c>
      <c r="AM50" s="15">
        <f t="shared" si="46"/>
        <v>0</v>
      </c>
      <c r="AN50" s="15">
        <f t="shared" si="46"/>
        <v>0</v>
      </c>
      <c r="AO50" s="15">
        <f t="shared" si="46"/>
        <v>0</v>
      </c>
      <c r="AP50" s="15">
        <f t="shared" si="43"/>
        <v>0</v>
      </c>
      <c r="AQ50" s="15">
        <f t="shared" si="43"/>
        <v>0</v>
      </c>
      <c r="AR50" s="15">
        <f t="shared" si="43"/>
        <v>0</v>
      </c>
      <c r="AS50" s="15">
        <f t="shared" si="43"/>
        <v>0</v>
      </c>
      <c r="AT50" s="15">
        <f t="shared" si="43"/>
        <v>0</v>
      </c>
      <c r="AU50" s="15" t="str">
        <f t="shared" si="43"/>
        <v/>
      </c>
      <c r="AV50" s="15" t="str">
        <f t="shared" si="43"/>
        <v/>
      </c>
      <c r="AW50" s="15" t="str">
        <f t="shared" si="43"/>
        <v/>
      </c>
      <c r="AX50" s="15" t="str">
        <f t="shared" si="43"/>
        <v/>
      </c>
      <c r="AY50" s="15" t="str">
        <f t="shared" si="43"/>
        <v/>
      </c>
      <c r="AZ50" s="15" t="str">
        <f t="shared" si="43"/>
        <v/>
      </c>
    </row>
    <row r="51" spans="1:52" x14ac:dyDescent="0.25">
      <c r="A51" s="20" t="str">
        <f>Latest!A32</f>
        <v>Defense</v>
      </c>
      <c r="B51" s="13" t="str">
        <f>Latest!B32</f>
        <v>Max time Field Held</v>
      </c>
      <c r="C51" s="13" t="str">
        <f>IF(Levels!B23&lt;&gt;"",Levels!B23,"")</f>
        <v/>
      </c>
      <c r="D51" s="15"/>
      <c r="E51" s="15">
        <f t="shared" ref="E51:AJ51" si="50">IF(E24="","n/a",E24-D24)</f>
        <v>-9</v>
      </c>
      <c r="F51" s="15">
        <f t="shared" si="50"/>
        <v>0</v>
      </c>
      <c r="G51" s="15">
        <f t="shared" si="50"/>
        <v>0</v>
      </c>
      <c r="H51" s="15">
        <f t="shared" si="50"/>
        <v>0</v>
      </c>
      <c r="I51" s="15">
        <f t="shared" si="50"/>
        <v>0</v>
      </c>
      <c r="J51" s="15">
        <f t="shared" si="50"/>
        <v>0</v>
      </c>
      <c r="K51" s="15">
        <f t="shared" si="50"/>
        <v>0</v>
      </c>
      <c r="L51" s="15">
        <f t="shared" si="50"/>
        <v>1</v>
      </c>
      <c r="M51" s="15">
        <f t="shared" si="50"/>
        <v>1</v>
      </c>
      <c r="N51" s="15">
        <f t="shared" si="50"/>
        <v>2</v>
      </c>
      <c r="O51" s="15">
        <f t="shared" si="50"/>
        <v>1</v>
      </c>
      <c r="P51" s="15">
        <f t="shared" si="50"/>
        <v>7</v>
      </c>
      <c r="Q51" s="15">
        <f t="shared" si="50"/>
        <v>3</v>
      </c>
      <c r="R51" s="15">
        <f t="shared" si="50"/>
        <v>1</v>
      </c>
      <c r="S51" s="15">
        <f t="shared" si="50"/>
        <v>12</v>
      </c>
      <c r="T51" s="15">
        <f t="shared" si="50"/>
        <v>-9</v>
      </c>
      <c r="U51" s="15">
        <f t="shared" si="50"/>
        <v>1</v>
      </c>
      <c r="V51" s="15">
        <f t="shared" si="50"/>
        <v>-9</v>
      </c>
      <c r="W51" s="15">
        <f t="shared" si="50"/>
        <v>11</v>
      </c>
      <c r="X51" s="15">
        <f t="shared" si="50"/>
        <v>0</v>
      </c>
      <c r="Y51" s="15">
        <f t="shared" si="50"/>
        <v>2</v>
      </c>
      <c r="Z51" s="15">
        <f t="shared" si="50"/>
        <v>3</v>
      </c>
      <c r="AA51" s="15">
        <f t="shared" si="50"/>
        <v>1</v>
      </c>
      <c r="AB51" s="15">
        <f t="shared" si="50"/>
        <v>0</v>
      </c>
      <c r="AC51" s="15">
        <f t="shared" si="50"/>
        <v>5</v>
      </c>
      <c r="AD51" s="15">
        <f t="shared" si="50"/>
        <v>0</v>
      </c>
      <c r="AE51" s="15">
        <f t="shared" si="50"/>
        <v>1</v>
      </c>
      <c r="AF51" s="15">
        <f t="shared" si="50"/>
        <v>1</v>
      </c>
      <c r="AG51" s="15">
        <f t="shared" si="50"/>
        <v>1</v>
      </c>
      <c r="AH51" s="15">
        <f t="shared" si="50"/>
        <v>1</v>
      </c>
      <c r="AI51" s="15">
        <f t="shared" si="50"/>
        <v>1</v>
      </c>
      <c r="AJ51" s="15">
        <f t="shared" si="50"/>
        <v>2</v>
      </c>
      <c r="AK51" s="15">
        <f>IF(AK24="","n/a",AK24-AJ24)</f>
        <v>1</v>
      </c>
      <c r="AL51" s="15">
        <f t="shared" si="46"/>
        <v>2</v>
      </c>
      <c r="AM51" s="15">
        <f t="shared" si="46"/>
        <v>0</v>
      </c>
      <c r="AN51" s="15">
        <f t="shared" si="46"/>
        <v>1</v>
      </c>
      <c r="AO51" s="15">
        <f t="shared" si="46"/>
        <v>1</v>
      </c>
      <c r="AP51" s="15">
        <f t="shared" si="43"/>
        <v>2</v>
      </c>
      <c r="AQ51" s="15">
        <f t="shared" si="43"/>
        <v>0</v>
      </c>
      <c r="AR51" s="15">
        <f t="shared" si="43"/>
        <v>1</v>
      </c>
      <c r="AS51" s="15">
        <f t="shared" si="43"/>
        <v>2</v>
      </c>
      <c r="AT51" s="15">
        <f t="shared" si="43"/>
        <v>0</v>
      </c>
      <c r="AU51" s="15" t="str">
        <f t="shared" si="43"/>
        <v/>
      </c>
      <c r="AV51" s="15" t="str">
        <f t="shared" si="43"/>
        <v/>
      </c>
      <c r="AW51" s="15" t="str">
        <f t="shared" si="43"/>
        <v/>
      </c>
      <c r="AX51" s="15" t="str">
        <f t="shared" si="43"/>
        <v/>
      </c>
      <c r="AY51" s="15" t="str">
        <f t="shared" si="43"/>
        <v/>
      </c>
      <c r="AZ51" s="15" t="str">
        <f t="shared" si="43"/>
        <v/>
      </c>
    </row>
    <row r="52" spans="1:52" ht="16.5" thickBot="1" x14ac:dyDescent="0.3">
      <c r="A52" s="21" t="str">
        <f>Latest!A33</f>
        <v>Defense</v>
      </c>
      <c r="B52" s="17" t="str">
        <f>Latest!B33</f>
        <v>Largest field MUxDays</v>
      </c>
      <c r="C52" s="17" t="str">
        <f>IF(Levels!B24&lt;&gt;"",Levels!B24,"")</f>
        <v/>
      </c>
      <c r="D52" s="26"/>
      <c r="E52" s="26">
        <f t="shared" ref="E52:AJ52" si="51">IF(E25="","n/a",E25-D25)</f>
        <v>0</v>
      </c>
      <c r="F52" s="26">
        <f t="shared" si="51"/>
        <v>0</v>
      </c>
      <c r="G52" s="26">
        <f t="shared" si="51"/>
        <v>0</v>
      </c>
      <c r="H52" s="26">
        <f t="shared" si="51"/>
        <v>0</v>
      </c>
      <c r="I52" s="26">
        <f t="shared" si="51"/>
        <v>0</v>
      </c>
      <c r="J52" s="26">
        <f t="shared" si="51"/>
        <v>0</v>
      </c>
      <c r="K52" s="26">
        <f t="shared" si="51"/>
        <v>0</v>
      </c>
      <c r="L52" s="26">
        <f t="shared" si="51"/>
        <v>0</v>
      </c>
      <c r="M52" s="26">
        <f t="shared" si="51"/>
        <v>94</v>
      </c>
      <c r="N52" s="26">
        <f t="shared" si="51"/>
        <v>0</v>
      </c>
      <c r="O52" s="26">
        <f t="shared" si="51"/>
        <v>0</v>
      </c>
      <c r="P52" s="26">
        <f t="shared" si="51"/>
        <v>0</v>
      </c>
      <c r="Q52" s="26">
        <f t="shared" si="51"/>
        <v>0</v>
      </c>
      <c r="R52" s="26">
        <f t="shared" si="51"/>
        <v>0</v>
      </c>
      <c r="S52" s="26">
        <f t="shared" si="51"/>
        <v>0</v>
      </c>
      <c r="T52" s="26">
        <f t="shared" si="51"/>
        <v>0</v>
      </c>
      <c r="U52" s="26">
        <f t="shared" si="51"/>
        <v>0</v>
      </c>
      <c r="V52" s="26">
        <f t="shared" si="51"/>
        <v>0</v>
      </c>
      <c r="W52" s="26">
        <f t="shared" si="51"/>
        <v>0</v>
      </c>
      <c r="X52" s="26">
        <f t="shared" si="51"/>
        <v>0</v>
      </c>
      <c r="Y52" s="26">
        <f t="shared" si="51"/>
        <v>0</v>
      </c>
      <c r="Z52" s="26">
        <f t="shared" si="51"/>
        <v>7</v>
      </c>
      <c r="AA52" s="26">
        <f t="shared" si="51"/>
        <v>0</v>
      </c>
      <c r="AB52" s="26">
        <f t="shared" si="51"/>
        <v>0</v>
      </c>
      <c r="AC52" s="26">
        <f t="shared" si="51"/>
        <v>0</v>
      </c>
      <c r="AD52" s="26">
        <f t="shared" si="51"/>
        <v>0</v>
      </c>
      <c r="AE52" s="26">
        <f t="shared" si="51"/>
        <v>0</v>
      </c>
      <c r="AF52" s="26">
        <f t="shared" si="51"/>
        <v>0</v>
      </c>
      <c r="AG52" s="26">
        <f t="shared" si="51"/>
        <v>0</v>
      </c>
      <c r="AH52" s="26">
        <f t="shared" si="51"/>
        <v>0</v>
      </c>
      <c r="AI52" s="26">
        <f t="shared" si="51"/>
        <v>0</v>
      </c>
      <c r="AJ52" s="26">
        <f t="shared" si="51"/>
        <v>0</v>
      </c>
      <c r="AK52" s="26">
        <f t="shared" ref="AK52" si="52">IF(AK25="","n/a",AK25-AJ25)</f>
        <v>0</v>
      </c>
      <c r="AL52" s="26">
        <f t="shared" si="46"/>
        <v>0</v>
      </c>
      <c r="AM52" s="26">
        <f t="shared" si="46"/>
        <v>0</v>
      </c>
      <c r="AN52" s="26">
        <f t="shared" si="46"/>
        <v>0</v>
      </c>
      <c r="AO52" s="26">
        <f t="shared" si="46"/>
        <v>0</v>
      </c>
      <c r="AP52" s="26">
        <f t="shared" si="43"/>
        <v>0</v>
      </c>
      <c r="AQ52" s="26">
        <f t="shared" si="43"/>
        <v>0</v>
      </c>
      <c r="AR52" s="26">
        <f t="shared" si="43"/>
        <v>0</v>
      </c>
      <c r="AS52" s="26">
        <f t="shared" si="43"/>
        <v>0</v>
      </c>
      <c r="AT52" s="26">
        <f t="shared" si="43"/>
        <v>0</v>
      </c>
      <c r="AU52" s="26" t="str">
        <f t="shared" si="43"/>
        <v/>
      </c>
      <c r="AV52" s="26" t="str">
        <f t="shared" si="43"/>
        <v/>
      </c>
      <c r="AW52" s="26" t="str">
        <f t="shared" si="43"/>
        <v/>
      </c>
      <c r="AX52" s="26" t="str">
        <f t="shared" si="43"/>
        <v/>
      </c>
      <c r="AY52" s="26" t="str">
        <f t="shared" si="43"/>
        <v/>
      </c>
      <c r="AZ52" s="26" t="str">
        <f t="shared" si="43"/>
        <v/>
      </c>
    </row>
    <row r="53" spans="1:52" ht="16.5" thickBot="1" x14ac:dyDescent="0.3">
      <c r="A53" s="22" t="str">
        <f>Latest!A34</f>
        <v>Mission</v>
      </c>
      <c r="B53" s="23" t="str">
        <f>Latest!B34</f>
        <v>Unique Mission Completed</v>
      </c>
      <c r="C53" s="37" t="str">
        <f>IF(Levels!B25&lt;&gt;"",Levels!B25,"")</f>
        <v/>
      </c>
      <c r="D53" s="25"/>
      <c r="E53" s="25" t="str">
        <f t="shared" ref="E53:AJ53" si="53">IF(E26="","n/a",E26-D26)</f>
        <v>n/a</v>
      </c>
      <c r="F53" s="25" t="str">
        <f t="shared" si="53"/>
        <v>n/a</v>
      </c>
      <c r="G53" s="25" t="str">
        <f t="shared" si="53"/>
        <v>n/a</v>
      </c>
      <c r="H53" s="25" t="str">
        <f t="shared" si="53"/>
        <v>n/a</v>
      </c>
      <c r="I53" s="25" t="str">
        <f t="shared" si="53"/>
        <v>n/a</v>
      </c>
      <c r="J53" s="25" t="str">
        <f t="shared" si="53"/>
        <v>n/a</v>
      </c>
      <c r="K53" s="25" t="str">
        <f t="shared" si="53"/>
        <v>n/a</v>
      </c>
      <c r="L53" s="25" t="str">
        <f t="shared" si="53"/>
        <v>n/a</v>
      </c>
      <c r="M53" s="25" t="str">
        <f t="shared" si="53"/>
        <v>n/a</v>
      </c>
      <c r="N53" s="25" t="str">
        <f t="shared" si="53"/>
        <v>n/a</v>
      </c>
      <c r="O53" s="25" t="str">
        <f t="shared" si="53"/>
        <v>n/a</v>
      </c>
      <c r="P53" s="25" t="str">
        <f t="shared" si="53"/>
        <v>n/a</v>
      </c>
      <c r="Q53" s="25" t="str">
        <f t="shared" si="53"/>
        <v>n/a</v>
      </c>
      <c r="R53" s="25" t="str">
        <f t="shared" si="53"/>
        <v>n/a</v>
      </c>
      <c r="S53" s="25" t="str">
        <f t="shared" si="53"/>
        <v>n/a</v>
      </c>
      <c r="T53" s="25" t="str">
        <f t="shared" si="53"/>
        <v>n/a</v>
      </c>
      <c r="U53" s="25" t="str">
        <f t="shared" si="53"/>
        <v>n/a</v>
      </c>
      <c r="V53" s="25" t="str">
        <f t="shared" si="53"/>
        <v>n/a</v>
      </c>
      <c r="W53" s="25" t="str">
        <f t="shared" si="53"/>
        <v>n/a</v>
      </c>
      <c r="X53" s="25" t="str">
        <f t="shared" si="53"/>
        <v>n/a</v>
      </c>
      <c r="Y53" s="25" t="str">
        <f t="shared" si="53"/>
        <v>n/a</v>
      </c>
      <c r="Z53" s="25" t="str">
        <f t="shared" si="53"/>
        <v>n/a</v>
      </c>
      <c r="AA53" s="25" t="str">
        <f t="shared" si="53"/>
        <v>n/a</v>
      </c>
      <c r="AB53" s="25" t="str">
        <f t="shared" si="53"/>
        <v>n/a</v>
      </c>
      <c r="AC53" s="25" t="str">
        <f t="shared" si="53"/>
        <v>n/a</v>
      </c>
      <c r="AD53" s="25">
        <f t="shared" si="53"/>
        <v>1</v>
      </c>
      <c r="AE53" s="25">
        <f t="shared" si="53"/>
        <v>0</v>
      </c>
      <c r="AF53" s="25">
        <f t="shared" si="53"/>
        <v>0</v>
      </c>
      <c r="AG53" s="25">
        <f t="shared" si="53"/>
        <v>0</v>
      </c>
      <c r="AH53" s="25">
        <f t="shared" si="53"/>
        <v>0</v>
      </c>
      <c r="AI53" s="25">
        <f t="shared" si="53"/>
        <v>0</v>
      </c>
      <c r="AJ53" s="25">
        <f t="shared" si="53"/>
        <v>0</v>
      </c>
      <c r="AK53" s="25">
        <f t="shared" ref="AK53" si="54">IF(AK26="","n/a",AK26-AJ26)</f>
        <v>0</v>
      </c>
      <c r="AL53" s="25">
        <f t="shared" si="46"/>
        <v>0</v>
      </c>
      <c r="AM53" s="25">
        <f t="shared" si="46"/>
        <v>0</v>
      </c>
      <c r="AN53" s="25">
        <f t="shared" si="46"/>
        <v>0</v>
      </c>
      <c r="AO53" s="25">
        <f t="shared" si="46"/>
        <v>0</v>
      </c>
      <c r="AP53" s="25">
        <f t="shared" si="43"/>
        <v>0</v>
      </c>
      <c r="AQ53" s="25">
        <f t="shared" si="43"/>
        <v>0</v>
      </c>
      <c r="AR53" s="25">
        <f t="shared" si="43"/>
        <v>0</v>
      </c>
      <c r="AS53" s="25">
        <f t="shared" si="43"/>
        <v>0</v>
      </c>
      <c r="AT53" s="25">
        <f t="shared" si="43"/>
        <v>1</v>
      </c>
      <c r="AU53" s="25" t="str">
        <f t="shared" si="43"/>
        <v/>
      </c>
      <c r="AV53" s="25" t="e">
        <f>IF(#REF!="","",#REF!-AU26)</f>
        <v>#REF!</v>
      </c>
      <c r="AW53" s="25" t="str">
        <f>IF(AW26="","",AW26-#REF!)</f>
        <v/>
      </c>
      <c r="AX53" s="25" t="str">
        <f t="shared" si="43"/>
        <v/>
      </c>
      <c r="AY53" s="25" t="str">
        <f t="shared" si="43"/>
        <v/>
      </c>
      <c r="AZ53" s="25" t="str">
        <f t="shared" si="43"/>
        <v/>
      </c>
    </row>
    <row r="56" spans="1:52" x14ac:dyDescent="0.25">
      <c r="A56" s="169" t="s">
        <v>51</v>
      </c>
      <c r="B56" s="48" t="s">
        <v>51</v>
      </c>
      <c r="C56" s="170" t="s">
        <v>51</v>
      </c>
    </row>
  </sheetData>
  <mergeCells count="1">
    <mergeCell ref="AB28:AV28"/>
  </mergeCells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48"/>
  <sheetViews>
    <sheetView topLeftCell="I1" workbookViewId="0">
      <selection activeCell="A46" sqref="A46:J55"/>
    </sheetView>
  </sheetViews>
  <sheetFormatPr baseColWidth="10" defaultRowHeight="15.75" x14ac:dyDescent="0.25"/>
  <cols>
    <col min="1" max="9" width="14" customWidth="1"/>
  </cols>
  <sheetData>
    <row r="1" spans="1:9" ht="16.5" thickBot="1" x14ac:dyDescent="0.3">
      <c r="B1" s="1" t="s">
        <v>0</v>
      </c>
      <c r="C1" s="2" t="s">
        <v>1</v>
      </c>
      <c r="D1" s="2"/>
      <c r="E1" s="3" t="s">
        <v>2</v>
      </c>
      <c r="F1" s="4" t="s">
        <v>3</v>
      </c>
      <c r="G1" s="5" t="s">
        <v>4</v>
      </c>
      <c r="H1" s="6" t="s">
        <v>5</v>
      </c>
      <c r="I1" s="7" t="s">
        <v>6</v>
      </c>
    </row>
    <row r="2" spans="1:9" x14ac:dyDescent="0.25">
      <c r="A2" s="8" t="s">
        <v>7</v>
      </c>
      <c r="B2" s="9" t="s">
        <v>8</v>
      </c>
      <c r="C2" s="10" t="s">
        <v>9</v>
      </c>
      <c r="D2" s="178"/>
      <c r="E2" s="11">
        <v>100</v>
      </c>
      <c r="F2" s="11">
        <v>1000</v>
      </c>
      <c r="G2" s="11">
        <v>2000</v>
      </c>
      <c r="H2" s="11">
        <v>10000</v>
      </c>
      <c r="I2" s="11">
        <v>30000</v>
      </c>
    </row>
    <row r="3" spans="1:9" x14ac:dyDescent="0.25">
      <c r="A3" s="12" t="s">
        <v>7</v>
      </c>
      <c r="B3" s="13" t="s">
        <v>10</v>
      </c>
      <c r="C3" s="14" t="s">
        <v>11</v>
      </c>
      <c r="D3" s="179"/>
      <c r="E3" s="15">
        <v>10</v>
      </c>
      <c r="F3" s="15">
        <v>50</v>
      </c>
      <c r="G3" s="15">
        <v>200</v>
      </c>
      <c r="H3" s="15">
        <v>500</v>
      </c>
      <c r="I3" s="15">
        <v>5000</v>
      </c>
    </row>
    <row r="4" spans="1:9" ht="16.5" thickBot="1" x14ac:dyDescent="0.3">
      <c r="A4" s="16" t="s">
        <v>7</v>
      </c>
      <c r="B4" s="17"/>
      <c r="C4" s="190" t="s">
        <v>12</v>
      </c>
      <c r="D4" s="191"/>
      <c r="E4" s="18"/>
      <c r="F4" s="18"/>
      <c r="G4" s="18"/>
      <c r="H4" s="18"/>
      <c r="I4" s="18"/>
    </row>
    <row r="5" spans="1:9" x14ac:dyDescent="0.25">
      <c r="A5" s="8" t="s">
        <v>13</v>
      </c>
      <c r="B5" s="9" t="s">
        <v>14</v>
      </c>
      <c r="C5" s="196" t="s">
        <v>15</v>
      </c>
      <c r="D5" s="197"/>
      <c r="E5" s="11">
        <v>2000</v>
      </c>
      <c r="F5" s="11">
        <v>10000</v>
      </c>
      <c r="G5" s="11">
        <v>30000</v>
      </c>
      <c r="H5" s="11">
        <v>100000</v>
      </c>
      <c r="I5" s="11">
        <v>200000</v>
      </c>
    </row>
    <row r="6" spans="1:9" x14ac:dyDescent="0.25">
      <c r="A6" s="12" t="s">
        <v>13</v>
      </c>
      <c r="B6" s="13" t="s">
        <v>16</v>
      </c>
      <c r="C6" s="194" t="s">
        <v>17</v>
      </c>
      <c r="D6" s="195"/>
      <c r="E6" s="15">
        <v>2000</v>
      </c>
      <c r="F6" s="15">
        <v>10000</v>
      </c>
      <c r="G6" s="15">
        <v>30000</v>
      </c>
      <c r="H6" s="15">
        <v>100000</v>
      </c>
      <c r="I6" s="15">
        <v>200000</v>
      </c>
    </row>
    <row r="7" spans="1:9" x14ac:dyDescent="0.25">
      <c r="A7" s="12" t="s">
        <v>13</v>
      </c>
      <c r="B7" s="13" t="s">
        <v>18</v>
      </c>
      <c r="C7" s="194" t="s">
        <v>19</v>
      </c>
      <c r="D7" s="195"/>
      <c r="E7" s="15">
        <v>50</v>
      </c>
      <c r="F7" s="15">
        <v>1000</v>
      </c>
      <c r="G7" s="15">
        <v>5000</v>
      </c>
      <c r="H7" s="15">
        <v>25000</v>
      </c>
      <c r="I7" s="15">
        <v>100000</v>
      </c>
    </row>
    <row r="8" spans="1:9" x14ac:dyDescent="0.25">
      <c r="A8" s="12" t="s">
        <v>13</v>
      </c>
      <c r="B8" s="13" t="s">
        <v>20</v>
      </c>
      <c r="C8" s="194" t="s">
        <v>21</v>
      </c>
      <c r="D8" s="195"/>
      <c r="E8" s="15">
        <v>100</v>
      </c>
      <c r="F8" s="15">
        <v>500</v>
      </c>
      <c r="G8" s="15">
        <v>2000</v>
      </c>
      <c r="H8" s="15">
        <v>10000</v>
      </c>
      <c r="I8" s="15">
        <v>40000</v>
      </c>
    </row>
    <row r="9" spans="1:9" x14ac:dyDescent="0.25">
      <c r="A9" s="12" t="s">
        <v>13</v>
      </c>
      <c r="B9" s="13"/>
      <c r="C9" s="194" t="s">
        <v>22</v>
      </c>
      <c r="D9" s="195"/>
      <c r="E9" s="15"/>
      <c r="F9" s="15"/>
      <c r="G9" s="15"/>
      <c r="H9" s="15"/>
      <c r="I9" s="15"/>
    </row>
    <row r="10" spans="1:9" x14ac:dyDescent="0.25">
      <c r="A10" s="12" t="s">
        <v>13</v>
      </c>
      <c r="B10" s="13"/>
      <c r="C10" s="194" t="s">
        <v>23</v>
      </c>
      <c r="D10" s="195"/>
      <c r="E10" s="15"/>
      <c r="F10" s="15"/>
      <c r="G10" s="15"/>
      <c r="H10" s="15"/>
      <c r="I10" s="15"/>
    </row>
    <row r="11" spans="1:9" x14ac:dyDescent="0.25">
      <c r="A11" s="12" t="s">
        <v>13</v>
      </c>
      <c r="B11" s="13"/>
      <c r="C11" s="194" t="s">
        <v>24</v>
      </c>
      <c r="D11" s="195"/>
      <c r="E11" s="15"/>
      <c r="F11" s="15"/>
      <c r="G11" s="15"/>
      <c r="H11" s="15"/>
      <c r="I11" s="15"/>
    </row>
    <row r="12" spans="1:9" x14ac:dyDescent="0.25">
      <c r="A12" s="12" t="s">
        <v>13</v>
      </c>
      <c r="B12" s="13" t="s">
        <v>25</v>
      </c>
      <c r="C12" s="194" t="s">
        <v>26</v>
      </c>
      <c r="D12" s="195"/>
      <c r="E12" s="19">
        <v>100000</v>
      </c>
      <c r="F12" s="19">
        <v>1000000</v>
      </c>
      <c r="G12" s="19">
        <v>3000000</v>
      </c>
      <c r="H12" s="19">
        <v>10000000</v>
      </c>
      <c r="I12" s="19">
        <v>25000000</v>
      </c>
    </row>
    <row r="13" spans="1:9" x14ac:dyDescent="0.25">
      <c r="A13" s="12" t="s">
        <v>13</v>
      </c>
      <c r="B13" s="13" t="s">
        <v>27</v>
      </c>
      <c r="C13" s="194" t="s">
        <v>28</v>
      </c>
      <c r="D13" s="195"/>
      <c r="E13" s="15">
        <v>100</v>
      </c>
      <c r="F13" s="15">
        <v>1000</v>
      </c>
      <c r="G13" s="15">
        <v>5000</v>
      </c>
      <c r="H13" s="15">
        <v>15000</v>
      </c>
      <c r="I13" s="15">
        <v>40000</v>
      </c>
    </row>
    <row r="14" spans="1:9" ht="16.5" thickBot="1" x14ac:dyDescent="0.3">
      <c r="A14" s="16" t="s">
        <v>13</v>
      </c>
      <c r="B14" s="17" t="s">
        <v>29</v>
      </c>
      <c r="C14" s="190" t="s">
        <v>30</v>
      </c>
      <c r="D14" s="191"/>
      <c r="E14" s="18">
        <v>20</v>
      </c>
      <c r="F14" s="18">
        <v>200</v>
      </c>
      <c r="G14" s="18">
        <v>1000</v>
      </c>
      <c r="H14" s="18">
        <v>5000</v>
      </c>
      <c r="I14" s="18">
        <v>20000</v>
      </c>
    </row>
    <row r="15" spans="1:9" x14ac:dyDescent="0.25">
      <c r="A15" s="8" t="s">
        <v>31</v>
      </c>
      <c r="B15" s="9" t="s">
        <v>32</v>
      </c>
      <c r="C15" s="196" t="s">
        <v>33</v>
      </c>
      <c r="D15" s="197"/>
      <c r="E15" s="11">
        <v>2000</v>
      </c>
      <c r="F15" s="11">
        <v>10000</v>
      </c>
      <c r="G15" s="11">
        <v>30000</v>
      </c>
      <c r="H15" s="11">
        <v>100000</v>
      </c>
      <c r="I15" s="11">
        <v>300000</v>
      </c>
    </row>
    <row r="16" spans="1:9" x14ac:dyDescent="0.25">
      <c r="A16" s="20" t="s">
        <v>31</v>
      </c>
      <c r="B16" s="13"/>
      <c r="C16" s="194" t="s">
        <v>34</v>
      </c>
      <c r="D16" s="195"/>
      <c r="E16" s="15"/>
      <c r="F16" s="15"/>
      <c r="G16" s="15"/>
      <c r="H16" s="15"/>
      <c r="I16" s="15"/>
    </row>
    <row r="17" spans="1:13" x14ac:dyDescent="0.25">
      <c r="A17" s="20" t="s">
        <v>31</v>
      </c>
      <c r="B17" s="13"/>
      <c r="C17" s="194" t="s">
        <v>35</v>
      </c>
      <c r="D17" s="195"/>
      <c r="E17" s="15"/>
      <c r="F17" s="15"/>
      <c r="G17" s="15"/>
      <c r="H17" s="15"/>
      <c r="I17" s="15"/>
    </row>
    <row r="18" spans="1:13" ht="16.5" thickBot="1" x14ac:dyDescent="0.3">
      <c r="A18" s="21" t="s">
        <v>31</v>
      </c>
      <c r="B18" s="17"/>
      <c r="C18" s="190" t="s">
        <v>36</v>
      </c>
      <c r="D18" s="191"/>
      <c r="E18" s="18"/>
      <c r="F18" s="18"/>
      <c r="G18" s="18"/>
      <c r="H18" s="18"/>
      <c r="I18" s="18"/>
    </row>
    <row r="19" spans="1:13" ht="16.5" thickBot="1" x14ac:dyDescent="0.3">
      <c r="A19" s="22" t="s">
        <v>37</v>
      </c>
      <c r="B19" s="23"/>
      <c r="C19" s="192" t="s">
        <v>38</v>
      </c>
      <c r="D19" s="193"/>
      <c r="E19" s="25"/>
      <c r="F19" s="25"/>
      <c r="G19" s="25"/>
      <c r="H19" s="25"/>
      <c r="I19" s="25"/>
    </row>
    <row r="20" spans="1:13" x14ac:dyDescent="0.25">
      <c r="A20" s="8" t="s">
        <v>39</v>
      </c>
      <c r="B20" s="9" t="s">
        <v>40</v>
      </c>
      <c r="C20" s="196" t="s">
        <v>41</v>
      </c>
      <c r="D20" s="197"/>
      <c r="E20" s="11">
        <v>3</v>
      </c>
      <c r="F20" s="11">
        <v>10</v>
      </c>
      <c r="G20" s="11">
        <v>20</v>
      </c>
      <c r="H20" s="11">
        <v>90</v>
      </c>
      <c r="I20" s="11">
        <v>150</v>
      </c>
    </row>
    <row r="21" spans="1:13" x14ac:dyDescent="0.25">
      <c r="A21" s="20" t="s">
        <v>39</v>
      </c>
      <c r="B21" s="13"/>
      <c r="C21" s="194" t="s">
        <v>42</v>
      </c>
      <c r="D21" s="195"/>
      <c r="E21" s="15"/>
      <c r="F21" s="15"/>
      <c r="G21" s="15"/>
      <c r="H21" s="15"/>
      <c r="I21" s="15"/>
    </row>
    <row r="22" spans="1:13" x14ac:dyDescent="0.25">
      <c r="A22" s="20" t="s">
        <v>39</v>
      </c>
      <c r="B22" s="13"/>
      <c r="C22" s="194" t="s">
        <v>43</v>
      </c>
      <c r="D22" s="195"/>
      <c r="E22" s="15"/>
      <c r="F22" s="15"/>
      <c r="G22" s="15"/>
      <c r="H22" s="15"/>
      <c r="I22" s="15"/>
    </row>
    <row r="23" spans="1:13" x14ac:dyDescent="0.25">
      <c r="A23" s="20" t="s">
        <v>39</v>
      </c>
      <c r="B23" s="13"/>
      <c r="C23" s="194" t="s">
        <v>44</v>
      </c>
      <c r="D23" s="195"/>
      <c r="E23" s="15"/>
      <c r="F23" s="15"/>
      <c r="G23" s="15"/>
      <c r="H23" s="15"/>
      <c r="I23" s="15"/>
    </row>
    <row r="24" spans="1:13" ht="16.5" thickBot="1" x14ac:dyDescent="0.3">
      <c r="A24" s="21" t="s">
        <v>39</v>
      </c>
      <c r="B24" s="17"/>
      <c r="C24" s="190" t="s">
        <v>45</v>
      </c>
      <c r="D24" s="191"/>
      <c r="E24" s="26"/>
      <c r="F24" s="26"/>
      <c r="G24" s="26"/>
      <c r="H24" s="26"/>
      <c r="I24" s="26"/>
    </row>
    <row r="25" spans="1:13" ht="16.5" thickBot="1" x14ac:dyDescent="0.3">
      <c r="A25" s="22" t="s">
        <v>46</v>
      </c>
      <c r="B25" s="23"/>
      <c r="C25" s="192" t="s">
        <v>47</v>
      </c>
      <c r="D25" s="193"/>
      <c r="E25" s="25"/>
      <c r="F25" s="25"/>
      <c r="G25" s="25"/>
      <c r="H25" s="25"/>
      <c r="I25" s="25"/>
    </row>
    <row r="27" spans="1:13" x14ac:dyDescent="0.25">
      <c r="B27" s="1" t="s">
        <v>48</v>
      </c>
      <c r="C27" s="1" t="s">
        <v>49</v>
      </c>
      <c r="D27" s="3" t="s">
        <v>2</v>
      </c>
      <c r="E27" s="4" t="s">
        <v>3</v>
      </c>
      <c r="F27" s="5" t="s">
        <v>4</v>
      </c>
      <c r="G27" s="6" t="s">
        <v>5</v>
      </c>
      <c r="H27" s="7" t="s">
        <v>6</v>
      </c>
      <c r="J27" t="s">
        <v>63</v>
      </c>
    </row>
    <row r="28" spans="1:13" x14ac:dyDescent="0.25">
      <c r="B28" s="27">
        <v>1</v>
      </c>
      <c r="C28" s="28">
        <v>0</v>
      </c>
      <c r="D28" s="27"/>
      <c r="E28" s="27"/>
      <c r="F28" s="27"/>
      <c r="G28" s="27"/>
      <c r="H28" s="27"/>
      <c r="J28">
        <f>IF(H28&lt;=Latest!K$35,IF(G28&lt;=Latest!J$35,IF(F28&lt;=Latest!I$35,IF(E28&lt;=Latest!H$35,IF(C28&lt;=AP,1,0),0),0),0),0)</f>
        <v>1</v>
      </c>
      <c r="M28" s="93"/>
    </row>
    <row r="29" spans="1:13" x14ac:dyDescent="0.25">
      <c r="B29" s="27">
        <v>2</v>
      </c>
      <c r="C29" s="28">
        <v>2500</v>
      </c>
      <c r="D29" s="27"/>
      <c r="E29" s="27"/>
      <c r="F29" s="27"/>
      <c r="G29" s="27"/>
      <c r="H29" s="27"/>
      <c r="J29">
        <f>IF(H29&lt;=Latest!K$35,IF(G29&lt;=Latest!J$35,IF(F29&lt;=Latest!I$35,IF(E29&lt;=Latest!H$35,IF(C29&lt;=AP,1,0),0),0),0),0)</f>
        <v>1</v>
      </c>
    </row>
    <row r="30" spans="1:13" x14ac:dyDescent="0.25">
      <c r="B30" s="27">
        <v>3</v>
      </c>
      <c r="C30" s="28">
        <v>20000</v>
      </c>
      <c r="D30" s="27"/>
      <c r="E30" s="27"/>
      <c r="F30" s="27"/>
      <c r="G30" s="27"/>
      <c r="H30" s="27"/>
      <c r="J30">
        <f>IF(H30&lt;=Latest!K$35,IF(G30&lt;=Latest!J$35,IF(F30&lt;=Latest!I$35,IF(E30&lt;=Latest!H$35,IF(C30&lt;=AP,1,0),0),0),0),0)</f>
        <v>1</v>
      </c>
    </row>
    <row r="31" spans="1:13" x14ac:dyDescent="0.25">
      <c r="B31" s="27">
        <v>4</v>
      </c>
      <c r="C31" s="28">
        <v>70000</v>
      </c>
      <c r="D31" s="27"/>
      <c r="E31" s="27"/>
      <c r="F31" s="27"/>
      <c r="G31" s="27"/>
      <c r="H31" s="28"/>
      <c r="J31">
        <f>IF(H31&lt;=Latest!K$35,IF(G31&lt;=Latest!J$35,IF(F31&lt;=Latest!I$35,IF(E31&lt;=Latest!H$35,IF(C31&lt;=AP,1,0),0),0),0),0)</f>
        <v>1</v>
      </c>
    </row>
    <row r="32" spans="1:13" x14ac:dyDescent="0.25">
      <c r="B32" s="27">
        <v>5</v>
      </c>
      <c r="C32" s="28">
        <v>150000</v>
      </c>
      <c r="D32" s="27"/>
      <c r="E32" s="27"/>
      <c r="F32" s="27"/>
      <c r="G32" s="28"/>
      <c r="H32" s="28"/>
      <c r="J32">
        <f>IF(H32&lt;=Latest!K$35,IF(G32&lt;=Latest!J$35,IF(F32&lt;=Latest!I$35,IF(E32&lt;=Latest!H$35,IF(C32&lt;=AP,1,0),0),0),0),0)</f>
        <v>1</v>
      </c>
    </row>
    <row r="33" spans="2:10" x14ac:dyDescent="0.25">
      <c r="B33" s="27">
        <v>6</v>
      </c>
      <c r="C33" s="28">
        <f>C32*2</f>
        <v>300000</v>
      </c>
      <c r="D33" s="27"/>
      <c r="E33" s="27"/>
      <c r="F33" s="28"/>
      <c r="G33" s="28"/>
      <c r="H33" s="28"/>
      <c r="J33">
        <f>IF(H33&lt;=Latest!K$35,IF(G33&lt;=Latest!J$35,IF(F33&lt;=Latest!I$35,IF(E33&lt;=Latest!H$35,IF(C33&lt;=AP,1,0),0),0),0),0)</f>
        <v>1</v>
      </c>
    </row>
    <row r="34" spans="2:10" x14ac:dyDescent="0.25">
      <c r="B34" s="27">
        <v>7</v>
      </c>
      <c r="C34" s="28">
        <f>C33*2</f>
        <v>600000</v>
      </c>
      <c r="D34" s="27"/>
      <c r="E34" s="27"/>
      <c r="F34" s="28"/>
      <c r="G34" s="28"/>
      <c r="H34" s="28"/>
      <c r="J34">
        <f>IF(H34&lt;=Latest!K$35,IF(G34&lt;=Latest!J$35,IF(F34&lt;=Latest!I$35,IF(E34&lt;=Latest!H$35,IF(C34&lt;=AP,1,0),0),0),0),0)</f>
        <v>1</v>
      </c>
    </row>
    <row r="35" spans="2:10" x14ac:dyDescent="0.25">
      <c r="B35" s="27">
        <v>8</v>
      </c>
      <c r="C35" s="28">
        <f>C34*2</f>
        <v>1200000</v>
      </c>
      <c r="D35" s="28"/>
      <c r="E35" s="27"/>
      <c r="F35" s="28"/>
      <c r="G35" s="28"/>
      <c r="H35" s="28"/>
      <c r="J35">
        <f>IF(H35&lt;=Latest!K$35,IF(G35&lt;=Latest!J$35,IF(F35&lt;=Latest!I$35,IF(E35&lt;=Latest!H$35,IF(C35&lt;=AP,1,0),0),0),0),0)</f>
        <v>1</v>
      </c>
    </row>
    <row r="36" spans="2:10" x14ac:dyDescent="0.25">
      <c r="B36" s="27">
        <v>9</v>
      </c>
      <c r="C36" s="28">
        <f>C35*2</f>
        <v>2400000</v>
      </c>
      <c r="D36" s="27"/>
      <c r="E36" s="27">
        <v>4</v>
      </c>
      <c r="F36" s="27">
        <v>1</v>
      </c>
      <c r="G36" s="27"/>
      <c r="H36" s="27"/>
      <c r="J36">
        <f>IF(H36&lt;=Latest!K$35,IF(G36&lt;=Latest!J$35,IF(F36&lt;=Latest!I$35,IF(E36&lt;=Latest!H$35,IF(C36&lt;=AP,1,0),0),0),0),0)</f>
        <v>1</v>
      </c>
    </row>
    <row r="37" spans="2:10" x14ac:dyDescent="0.25">
      <c r="B37" s="27">
        <v>10</v>
      </c>
      <c r="C37" s="28">
        <v>4000000</v>
      </c>
      <c r="D37" s="27"/>
      <c r="E37" s="27">
        <v>5</v>
      </c>
      <c r="F37" s="27">
        <v>2</v>
      </c>
      <c r="G37" s="27"/>
      <c r="H37" s="27"/>
      <c r="J37">
        <f>IF(H37&lt;=Latest!K$35,IF(G37&lt;=Latest!J$35,IF(F37&lt;=Latest!I$35,IF(E37&lt;=Latest!H$35,IF(C37&lt;=AP,1,0),0),0),0),0)</f>
        <v>1</v>
      </c>
    </row>
    <row r="38" spans="2:10" x14ac:dyDescent="0.25">
      <c r="B38" s="13">
        <v>11</v>
      </c>
      <c r="C38" s="29">
        <v>6000000</v>
      </c>
      <c r="D38" s="13"/>
      <c r="E38" s="29">
        <v>6</v>
      </c>
      <c r="F38" s="13">
        <v>4</v>
      </c>
      <c r="G38" s="13"/>
      <c r="H38" s="13"/>
      <c r="J38">
        <f>IF(H38&lt;=Latest!K$35,IF(G38&lt;=Latest!J$35,IF(F38&lt;=Latest!I$35,IF(E38&lt;=Latest!H$35,IF(C38&lt;=AP,1,0),0),0),0),0)</f>
        <v>0</v>
      </c>
    </row>
    <row r="39" spans="2:10" x14ac:dyDescent="0.25">
      <c r="B39" s="13">
        <v>12</v>
      </c>
      <c r="C39" s="29">
        <v>8400000</v>
      </c>
      <c r="D39" s="13"/>
      <c r="E39" s="13">
        <v>7</v>
      </c>
      <c r="F39" s="13">
        <v>6</v>
      </c>
      <c r="G39" s="13"/>
      <c r="H39" s="29"/>
      <c r="J39">
        <f>IF(H39&lt;=Latest!K$35,IF(G39&lt;=Latest!J$35,IF(F39&lt;=Latest!I$35,IF(E39&lt;=Latest!H$35,IF(C39&lt;=AP,1,0),0),0),0),0)</f>
        <v>0</v>
      </c>
    </row>
    <row r="40" spans="2:10" x14ac:dyDescent="0.25">
      <c r="B40" s="13">
        <v>13</v>
      </c>
      <c r="C40" s="29">
        <v>12000000</v>
      </c>
      <c r="D40" s="13"/>
      <c r="E40" s="13"/>
      <c r="F40" s="13">
        <v>7</v>
      </c>
      <c r="G40" s="29">
        <v>1</v>
      </c>
      <c r="H40" s="29"/>
      <c r="J40">
        <f>IF(H40&lt;=Latest!K$35,IF(G40&lt;=Latest!J$35,IF(F40&lt;=Latest!I$35,IF(E40&lt;=Latest!H$35,IF(C40&lt;=AP,1,0),0),0),0),0)</f>
        <v>0</v>
      </c>
    </row>
    <row r="41" spans="2:10" x14ac:dyDescent="0.25">
      <c r="B41" s="13">
        <v>14</v>
      </c>
      <c r="C41" s="29">
        <v>17000000</v>
      </c>
      <c r="D41" s="13"/>
      <c r="E41" s="13"/>
      <c r="F41" s="13">
        <v>7</v>
      </c>
      <c r="G41" s="29">
        <v>2</v>
      </c>
      <c r="H41" s="29"/>
      <c r="J41">
        <f>IF(H41&lt;=Latest!K$35,IF(G41&lt;=Latest!J$35,IF(F41&lt;=Latest!I$35,IF(E41&lt;=Latest!H$35,IF(C41&lt;=AP,1,0),0),0),0),0)</f>
        <v>0</v>
      </c>
    </row>
    <row r="42" spans="2:10" x14ac:dyDescent="0.25">
      <c r="B42" s="13">
        <v>15</v>
      </c>
      <c r="C42" s="29">
        <v>24000000</v>
      </c>
      <c r="D42" s="13"/>
      <c r="E42" s="29"/>
      <c r="F42" s="13">
        <v>7</v>
      </c>
      <c r="G42" s="29">
        <v>3</v>
      </c>
      <c r="H42" s="29"/>
      <c r="J42">
        <f>IF(H42&lt;=Latest!K$35,IF(G42&lt;=Latest!J$35,IF(F42&lt;=Latest!I$35,IF(E42&lt;=Latest!H$35,IF(C42&lt;=AP,1,0),0),0),0),0)</f>
        <v>0</v>
      </c>
    </row>
    <row r="43" spans="2:10" x14ac:dyDescent="0.25">
      <c r="B43" s="13">
        <v>16</v>
      </c>
      <c r="C43" s="29">
        <v>40000000</v>
      </c>
      <c r="D43" s="29"/>
      <c r="E43" s="29"/>
      <c r="F43" s="29">
        <v>7</v>
      </c>
      <c r="G43" s="29">
        <v>4</v>
      </c>
      <c r="H43" s="29">
        <v>2</v>
      </c>
      <c r="J43">
        <f>IF(H43&lt;=Latest!K$35,IF(G43&lt;=Latest!J$35,IF(F43&lt;=Latest!I$35,IF(E43&lt;=Latest!H$35,IF(C43&lt;=AP,1,0),0),0),0),0)</f>
        <v>0</v>
      </c>
    </row>
    <row r="46" spans="2:10" x14ac:dyDescent="0.25">
      <c r="C46" s="177"/>
      <c r="D46" s="177"/>
      <c r="F46" s="177"/>
      <c r="G46" s="177"/>
      <c r="I46" s="177"/>
      <c r="J46" s="177"/>
    </row>
    <row r="47" spans="2:10" x14ac:dyDescent="0.25">
      <c r="C47" s="177"/>
      <c r="G47" s="177"/>
    </row>
    <row r="48" spans="2:10" x14ac:dyDescent="0.25">
      <c r="C48" s="177"/>
      <c r="G48" s="177"/>
    </row>
  </sheetData>
  <mergeCells count="22">
    <mergeCell ref="C7:D7"/>
    <mergeCell ref="C6:D6"/>
    <mergeCell ref="C5:D5"/>
    <mergeCell ref="C4:D4"/>
    <mergeCell ref="C13:D13"/>
    <mergeCell ref="C12:D12"/>
    <mergeCell ref="C11:D11"/>
    <mergeCell ref="C10:D10"/>
    <mergeCell ref="C9:D9"/>
    <mergeCell ref="C8:D8"/>
    <mergeCell ref="C14:D14"/>
    <mergeCell ref="C25:D25"/>
    <mergeCell ref="C24:D24"/>
    <mergeCell ref="C23:D23"/>
    <mergeCell ref="C22:D22"/>
    <mergeCell ref="C21:D21"/>
    <mergeCell ref="C20:D20"/>
    <mergeCell ref="C19:D19"/>
    <mergeCell ref="C18:D18"/>
    <mergeCell ref="C17:D17"/>
    <mergeCell ref="C16:D16"/>
    <mergeCell ref="C15:D15"/>
  </mergeCells>
  <conditionalFormatting sqref="B28:H28">
    <cfRule type="expression" dxfId="0" priority="1">
      <formula>"si(Latest!$C$1&lt;=Levels!$B$2)"</formula>
    </cfRule>
  </conditionalFormatting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8"/>
  <sheetViews>
    <sheetView workbookViewId="0">
      <pane ySplit="6" topLeftCell="A7" activePane="bottomLeft" state="frozenSplit"/>
      <selection activeCell="B5" sqref="B5"/>
      <selection pane="bottomLeft" activeCell="C2" sqref="C2"/>
    </sheetView>
  </sheetViews>
  <sheetFormatPr baseColWidth="10" defaultRowHeight="15.75" x14ac:dyDescent="0.25"/>
  <cols>
    <col min="1" max="1" width="13.875" bestFit="1" customWidth="1"/>
    <col min="2" max="2" width="36.625" bestFit="1" customWidth="1"/>
    <col min="3" max="3" width="21.125" bestFit="1" customWidth="1"/>
    <col min="4" max="4" width="15.125" bestFit="1" customWidth="1"/>
    <col min="5" max="5" width="13.125" bestFit="1" customWidth="1"/>
  </cols>
  <sheetData>
    <row r="1" spans="1:6" x14ac:dyDescent="0.25">
      <c r="B1" s="133" t="s">
        <v>64</v>
      </c>
      <c r="C1" s="134">
        <f>COUNTA(B7:B5001)</f>
        <v>22</v>
      </c>
      <c r="D1" s="148"/>
    </row>
    <row r="2" spans="1:6" x14ac:dyDescent="0.25">
      <c r="B2" s="135" t="s">
        <v>65</v>
      </c>
      <c r="C2" s="136">
        <f>COUNTIF(C$7:C$5001,"Ingress Portal Submitted")</f>
        <v>12</v>
      </c>
      <c r="D2" s="148"/>
      <c r="E2" s="180" t="s">
        <v>105</v>
      </c>
    </row>
    <row r="3" spans="1:6" x14ac:dyDescent="0.25">
      <c r="B3" s="135" t="s">
        <v>66</v>
      </c>
      <c r="C3" s="136">
        <f>COUNTIF(C$7:C$5001,"Ingress Portal Live")</f>
        <v>6</v>
      </c>
      <c r="D3" s="148"/>
    </row>
    <row r="4" spans="1:6" ht="16.5" thickBot="1" x14ac:dyDescent="0.3">
      <c r="B4" s="137" t="s">
        <v>67</v>
      </c>
      <c r="C4" s="138">
        <f>COUNTIF(C$7:C$5001,"Ingress Portal Rejected")</f>
        <v>4</v>
      </c>
      <c r="D4" s="148"/>
    </row>
    <row r="5" spans="1:6" ht="16.5" thickBot="1" x14ac:dyDescent="0.3">
      <c r="B5" s="86" t="s">
        <v>99</v>
      </c>
      <c r="C5" s="139">
        <f>AVERAGEIF(E7:E5001,"&gt;0",E7:E5001)</f>
        <v>14.888888888888889</v>
      </c>
    </row>
    <row r="6" spans="1:6" x14ac:dyDescent="0.25">
      <c r="A6" s="131" t="s">
        <v>68</v>
      </c>
      <c r="B6" s="131" t="s">
        <v>69</v>
      </c>
      <c r="C6" s="131" t="s">
        <v>70</v>
      </c>
      <c r="D6" s="131" t="s">
        <v>100</v>
      </c>
      <c r="E6" s="131" t="s">
        <v>98</v>
      </c>
      <c r="F6" s="131" t="s">
        <v>97</v>
      </c>
    </row>
    <row r="7" spans="1:6" x14ac:dyDescent="0.25">
      <c r="A7" s="127">
        <v>41878</v>
      </c>
      <c r="B7" t="s">
        <v>71</v>
      </c>
      <c r="C7" s="132" t="s">
        <v>67</v>
      </c>
      <c r="D7" s="127">
        <v>41922</v>
      </c>
      <c r="E7" s="130">
        <f>IF(D7&lt;&gt;"",IF(A7&lt;&gt;"n/a",D7-A7,),"n/a")</f>
        <v>44</v>
      </c>
      <c r="F7" s="130" t="str">
        <f ca="1">IF(D7="",TODAY()-A7,"-")</f>
        <v>-</v>
      </c>
    </row>
    <row r="8" spans="1:6" x14ac:dyDescent="0.25">
      <c r="A8" s="127">
        <v>41891</v>
      </c>
      <c r="B8" t="s">
        <v>72</v>
      </c>
      <c r="C8" s="132" t="s">
        <v>67</v>
      </c>
      <c r="D8" s="127">
        <v>41921</v>
      </c>
      <c r="E8" s="130">
        <f t="shared" ref="E8:E28" si="0">IF(D8&lt;&gt;"",IF(A8&lt;&gt;"n/a",D8-A8,),"n/a")</f>
        <v>30</v>
      </c>
      <c r="F8" s="130" t="str">
        <f t="shared" ref="F8:F28" ca="1" si="1">IF(D8="",TODAY()-A8,"-")</f>
        <v>-</v>
      </c>
    </row>
    <row r="9" spans="1:6" x14ac:dyDescent="0.25">
      <c r="A9" s="127">
        <v>41895</v>
      </c>
      <c r="B9" t="s">
        <v>73</v>
      </c>
      <c r="C9" s="140" t="s">
        <v>66</v>
      </c>
      <c r="D9" s="127">
        <v>41921</v>
      </c>
      <c r="E9" s="130">
        <f t="shared" si="0"/>
        <v>26</v>
      </c>
      <c r="F9" s="130" t="str">
        <f t="shared" ca="1" si="1"/>
        <v>-</v>
      </c>
    </row>
    <row r="10" spans="1:6" x14ac:dyDescent="0.25">
      <c r="A10" s="127">
        <v>41901</v>
      </c>
      <c r="B10" t="s">
        <v>74</v>
      </c>
      <c r="C10" s="140" t="s">
        <v>66</v>
      </c>
      <c r="D10" s="127">
        <v>41922</v>
      </c>
      <c r="E10" s="130">
        <f t="shared" si="0"/>
        <v>21</v>
      </c>
      <c r="F10" s="130" t="str">
        <f t="shared" ca="1" si="1"/>
        <v>-</v>
      </c>
    </row>
    <row r="11" spans="1:6" x14ac:dyDescent="0.25">
      <c r="A11" s="127">
        <v>41916</v>
      </c>
      <c r="B11" t="s">
        <v>75</v>
      </c>
      <c r="C11" s="140" t="s">
        <v>66</v>
      </c>
      <c r="D11" s="127">
        <v>41921</v>
      </c>
      <c r="E11" s="130">
        <f t="shared" si="0"/>
        <v>5</v>
      </c>
      <c r="F11" s="130" t="str">
        <f t="shared" ca="1" si="1"/>
        <v>-</v>
      </c>
    </row>
    <row r="12" spans="1:6" x14ac:dyDescent="0.25">
      <c r="A12" s="127">
        <v>41916</v>
      </c>
      <c r="B12" t="s">
        <v>76</v>
      </c>
      <c r="C12" s="141" t="s">
        <v>64</v>
      </c>
      <c r="E12" s="130" t="str">
        <f t="shared" si="0"/>
        <v>n/a</v>
      </c>
      <c r="F12" s="130">
        <f t="shared" ca="1" si="1"/>
        <v>42</v>
      </c>
    </row>
    <row r="13" spans="1:6" x14ac:dyDescent="0.25">
      <c r="A13" s="127">
        <v>41917</v>
      </c>
      <c r="B13" t="s">
        <v>78</v>
      </c>
      <c r="C13" s="141" t="s">
        <v>64</v>
      </c>
      <c r="E13" s="130" t="str">
        <f t="shared" si="0"/>
        <v>n/a</v>
      </c>
      <c r="F13" s="130">
        <f t="shared" ca="1" si="1"/>
        <v>41</v>
      </c>
    </row>
    <row r="14" spans="1:6" x14ac:dyDescent="0.25">
      <c r="A14" s="127">
        <v>41920</v>
      </c>
      <c r="B14" t="s">
        <v>79</v>
      </c>
      <c r="C14" s="140" t="s">
        <v>66</v>
      </c>
      <c r="D14" s="127">
        <v>41922</v>
      </c>
      <c r="E14" s="130">
        <f t="shared" si="0"/>
        <v>2</v>
      </c>
      <c r="F14" s="130" t="str">
        <f t="shared" ca="1" si="1"/>
        <v>-</v>
      </c>
    </row>
    <row r="15" spans="1:6" x14ac:dyDescent="0.25">
      <c r="A15" s="127">
        <v>41922</v>
      </c>
      <c r="B15" t="s">
        <v>80</v>
      </c>
      <c r="C15" s="132" t="s">
        <v>67</v>
      </c>
      <c r="D15" s="127">
        <v>41922</v>
      </c>
      <c r="E15" s="130">
        <f t="shared" si="0"/>
        <v>0</v>
      </c>
      <c r="F15" s="130" t="str">
        <f t="shared" ca="1" si="1"/>
        <v>-</v>
      </c>
    </row>
    <row r="16" spans="1:6" x14ac:dyDescent="0.25">
      <c r="A16" s="127">
        <v>41923</v>
      </c>
      <c r="B16" t="s">
        <v>77</v>
      </c>
      <c r="C16" s="140" t="s">
        <v>66</v>
      </c>
      <c r="D16" s="127">
        <v>41925</v>
      </c>
      <c r="E16" s="130">
        <f t="shared" si="0"/>
        <v>2</v>
      </c>
      <c r="F16" s="130" t="str">
        <f t="shared" ca="1" si="1"/>
        <v>-</v>
      </c>
    </row>
    <row r="17" spans="1:6" x14ac:dyDescent="0.25">
      <c r="A17" s="127">
        <v>41923</v>
      </c>
      <c r="B17" t="s">
        <v>81</v>
      </c>
      <c r="C17" s="140" t="s">
        <v>66</v>
      </c>
      <c r="D17" s="127">
        <v>41925</v>
      </c>
      <c r="E17" s="130">
        <f t="shared" si="0"/>
        <v>2</v>
      </c>
      <c r="F17" s="130" t="str">
        <f t="shared" ca="1" si="1"/>
        <v>-</v>
      </c>
    </row>
    <row r="18" spans="1:6" x14ac:dyDescent="0.25">
      <c r="A18" s="127">
        <v>41923</v>
      </c>
      <c r="B18" t="s">
        <v>82</v>
      </c>
      <c r="C18" s="132" t="s">
        <v>67</v>
      </c>
      <c r="D18" s="127">
        <v>41925</v>
      </c>
      <c r="E18" s="130">
        <f t="shared" si="0"/>
        <v>2</v>
      </c>
      <c r="F18" s="130" t="str">
        <f t="shared" ca="1" si="1"/>
        <v>-</v>
      </c>
    </row>
    <row r="19" spans="1:6" x14ac:dyDescent="0.25">
      <c r="A19" s="127">
        <v>41929</v>
      </c>
      <c r="B19" t="s">
        <v>83</v>
      </c>
      <c r="C19" s="141" t="s">
        <v>64</v>
      </c>
      <c r="E19" s="130" t="str">
        <f t="shared" si="0"/>
        <v>n/a</v>
      </c>
      <c r="F19" s="130">
        <f t="shared" ca="1" si="1"/>
        <v>29</v>
      </c>
    </row>
    <row r="20" spans="1:6" x14ac:dyDescent="0.25">
      <c r="A20" s="127">
        <v>41940</v>
      </c>
      <c r="B20" t="s">
        <v>84</v>
      </c>
      <c r="C20" s="141" t="s">
        <v>64</v>
      </c>
      <c r="E20" s="130" t="str">
        <f t="shared" si="0"/>
        <v>n/a</v>
      </c>
      <c r="F20" s="130">
        <f t="shared" ca="1" si="1"/>
        <v>18</v>
      </c>
    </row>
    <row r="21" spans="1:6" x14ac:dyDescent="0.25">
      <c r="A21" s="127">
        <v>41944</v>
      </c>
      <c r="B21" t="s">
        <v>85</v>
      </c>
      <c r="C21" s="141" t="s">
        <v>64</v>
      </c>
      <c r="E21" s="130" t="str">
        <f t="shared" si="0"/>
        <v>n/a</v>
      </c>
      <c r="F21" s="130">
        <f t="shared" ca="1" si="1"/>
        <v>14</v>
      </c>
    </row>
    <row r="22" spans="1:6" x14ac:dyDescent="0.25">
      <c r="A22" s="127">
        <v>41944</v>
      </c>
      <c r="B22" t="s">
        <v>86</v>
      </c>
      <c r="C22" s="141" t="s">
        <v>64</v>
      </c>
      <c r="E22" s="130" t="str">
        <f t="shared" si="0"/>
        <v>n/a</v>
      </c>
      <c r="F22" s="130">
        <f t="shared" ca="1" si="1"/>
        <v>14</v>
      </c>
    </row>
    <row r="23" spans="1:6" x14ac:dyDescent="0.25">
      <c r="A23" s="127">
        <v>41944</v>
      </c>
      <c r="B23" t="s">
        <v>87</v>
      </c>
      <c r="C23" s="141" t="s">
        <v>64</v>
      </c>
      <c r="E23" s="130" t="str">
        <f t="shared" si="0"/>
        <v>n/a</v>
      </c>
      <c r="F23" s="130">
        <f t="shared" ca="1" si="1"/>
        <v>14</v>
      </c>
    </row>
    <row r="24" spans="1:6" x14ac:dyDescent="0.25">
      <c r="A24" s="127">
        <v>41944</v>
      </c>
      <c r="B24" t="s">
        <v>95</v>
      </c>
      <c r="C24" s="141" t="s">
        <v>64</v>
      </c>
      <c r="E24" s="130" t="str">
        <f t="shared" si="0"/>
        <v>n/a</v>
      </c>
      <c r="F24" s="130">
        <f t="shared" ca="1" si="1"/>
        <v>14</v>
      </c>
    </row>
    <row r="25" spans="1:6" x14ac:dyDescent="0.25">
      <c r="A25" s="127">
        <v>41944</v>
      </c>
      <c r="B25" t="s">
        <v>94</v>
      </c>
      <c r="C25" s="141" t="s">
        <v>64</v>
      </c>
      <c r="E25" s="130" t="str">
        <f t="shared" si="0"/>
        <v>n/a</v>
      </c>
      <c r="F25" s="130">
        <f t="shared" ca="1" si="1"/>
        <v>14</v>
      </c>
    </row>
    <row r="26" spans="1:6" x14ac:dyDescent="0.25">
      <c r="A26" s="127">
        <v>41944</v>
      </c>
      <c r="B26" t="s">
        <v>96</v>
      </c>
      <c r="C26" s="141" t="s">
        <v>64</v>
      </c>
      <c r="E26" s="130" t="str">
        <f t="shared" si="0"/>
        <v>n/a</v>
      </c>
      <c r="F26" s="130">
        <f t="shared" ca="1" si="1"/>
        <v>14</v>
      </c>
    </row>
    <row r="27" spans="1:6" x14ac:dyDescent="0.25">
      <c r="A27" s="127">
        <v>41944</v>
      </c>
      <c r="B27" t="s">
        <v>88</v>
      </c>
      <c r="C27" s="141" t="s">
        <v>64</v>
      </c>
      <c r="E27" s="130" t="str">
        <f t="shared" si="0"/>
        <v>n/a</v>
      </c>
      <c r="F27" s="130">
        <f t="shared" ca="1" si="1"/>
        <v>14</v>
      </c>
    </row>
    <row r="28" spans="1:6" x14ac:dyDescent="0.25">
      <c r="A28" s="127">
        <v>41953</v>
      </c>
      <c r="B28" t="s">
        <v>101</v>
      </c>
      <c r="C28" s="141" t="s">
        <v>64</v>
      </c>
      <c r="E28" s="130" t="str">
        <f t="shared" si="0"/>
        <v>n/a</v>
      </c>
      <c r="F28" s="130">
        <f t="shared" ca="1" si="1"/>
        <v>5</v>
      </c>
    </row>
  </sheetData>
  <sortState ref="A7:E26">
    <sortCondition ref="A7:A26"/>
  </sortState>
  <hyperlinks>
    <hyperlink ref="E2" r:id="rId1"/>
  </hyperlinks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Latest</vt:lpstr>
      <vt:lpstr>Progression</vt:lpstr>
      <vt:lpstr>Levels</vt:lpstr>
      <vt:lpstr>Portals</vt:lpstr>
      <vt:lpstr>AP</vt:lpstr>
    </vt:vector>
  </TitlesOfParts>
  <Company>Wadu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Wandres</dc:creator>
  <cp:lastModifiedBy>Guy Blancher</cp:lastModifiedBy>
  <dcterms:created xsi:type="dcterms:W3CDTF">2014-10-31T15:40:46Z</dcterms:created>
  <dcterms:modified xsi:type="dcterms:W3CDTF">2014-11-15T01:29:54Z</dcterms:modified>
</cp:coreProperties>
</file>