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15" windowHeight="4470" tabRatio="945"/>
  </bookViews>
  <sheets>
    <sheet name="MCVS" sheetId="35" r:id="rId1"/>
    <sheet name="Justificatifs" sheetId="43" state="hidden" r:id="rId2"/>
    <sheet name="RecapFrais" sheetId="1" r:id="rId3"/>
    <sheet name="Semaine1" sheetId="3" r:id="rId4"/>
    <sheet name="RecapMois" sheetId="8" r:id="rId5"/>
    <sheet name="RapportActivité" sheetId="29" r:id="rId6"/>
    <sheet name="Congé" sheetId="42" r:id="rId7"/>
    <sheet name="SType" sheetId="24" state="hidden" r:id="rId8"/>
  </sheets>
  <definedNames>
    <definedName name="_xlnm._FilterDatabase" localSheetId="0" hidden="1">MCVS!$R$70:$R$70</definedName>
    <definedName name="Bchoix">MCVS!$N$47:$N$52</definedName>
    <definedName name="Cobjet">MCVS!$O$47:$O$57</definedName>
    <definedName name="Congés">MCVS!$N$33:$N$37</definedName>
    <definedName name="Date">MCVS!$P$11:$P$16</definedName>
    <definedName name="Date2">MCVS!$U$3:$U$7</definedName>
    <definedName name="Dchoix">MCVS!$O$33:$O$42</definedName>
    <definedName name="f_noms">OFFSET(p_nom,0,0,COUNTA(l_nom),1)</definedName>
    <definedName name="f_prenom">OFFSET(p_prenom,0,0,COUNTA(l_prenom),1)</definedName>
    <definedName name="f_ville">OFFSET(p_ville,0,0,COUNTA(l_ville),1)</definedName>
    <definedName name="Formation">MCVS!$M$39:$M$41</definedName>
    <definedName name="_xlnm.Print_Titles" localSheetId="1">Justificatifs!$1:$1</definedName>
    <definedName name="Jchoix">MCVS!$K$47:$K$54</definedName>
    <definedName name="JJChoix">MCVS!$L$47:$L$51</definedName>
    <definedName name="Jours">MCVS!$K$38:$K$40</definedName>
    <definedName name="l_nom">MCVS!$K$72:$K$81</definedName>
    <definedName name="l_prenom">MCVS!$M$72:$M$81</definedName>
    <definedName name="l_ville">MCVS!$Q$71:$Q$88</definedName>
    <definedName name="Lchoix">MCVS!$M$47:$M$55</definedName>
    <definedName name="LNoms">MCVS!$K$71:$K$81</definedName>
    <definedName name="Mois">MCVS!$Q$11:$Q$25</definedName>
    <definedName name="Nfrais">MCVS!$P$33:$P$41</definedName>
    <definedName name="NonPré">MCVS!$F$28:$F$36</definedName>
    <definedName name="p_nom">MCVS!$K$72</definedName>
    <definedName name="p_prenom">MCVS!$M$72</definedName>
    <definedName name="p_ville">MCVS!$Q$71</definedName>
    <definedName name="Pchoix">MCVS!$K$33:$K$35</definedName>
    <definedName name="Présence">MCVS!$P$47:$P$50</definedName>
    <definedName name="Splanning">MCVS!$T$5:$T$7</definedName>
    <definedName name="Travail">MCVS!$M$33:$M$36</definedName>
    <definedName name="ville2">MCVS!$A$40:$A$46</definedName>
    <definedName name="_xlnm.Print_Area" localSheetId="6">Congé!$A$1:$J$53</definedName>
    <definedName name="_xlnm.Print_Area" localSheetId="1">Justificatifs!$A:$E</definedName>
    <definedName name="_xlnm.Print_Area" localSheetId="5">RapportActivité!$A$1:$I$66</definedName>
    <definedName name="_xlnm.Print_Area" localSheetId="2">RecapFrais!$A$1:$I$35</definedName>
    <definedName name="_xlnm.Print_Area" localSheetId="3">Semaine1!$A$1:$P$68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M22" i="1" l="1"/>
  <c r="A33" i="1" l="1"/>
  <c r="N15" i="42"/>
  <c r="O8" i="1" l="1"/>
  <c r="R8" i="1" s="1"/>
  <c r="Q22" i="1"/>
  <c r="S8" i="1"/>
  <c r="P22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M19" i="1"/>
  <c r="S19" i="1"/>
  <c r="M20" i="1"/>
  <c r="S20" i="1"/>
  <c r="M21" i="1"/>
  <c r="S21" i="1"/>
  <c r="M14" i="1"/>
  <c r="M15" i="1"/>
  <c r="M16" i="1"/>
  <c r="M17" i="1"/>
  <c r="M18" i="1"/>
  <c r="M13" i="1"/>
  <c r="M12" i="1"/>
  <c r="M11" i="1"/>
  <c r="M10" i="1"/>
  <c r="M9" i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O22" i="1" l="1"/>
  <c r="S22" i="1"/>
  <c r="S9" i="1"/>
  <c r="S10" i="1"/>
  <c r="S11" i="1"/>
  <c r="S12" i="1"/>
  <c r="S13" i="1"/>
  <c r="S14" i="1"/>
  <c r="S15" i="1"/>
  <c r="S16" i="1"/>
  <c r="S17" i="1"/>
  <c r="S18" i="1"/>
  <c r="R22" i="1" l="1"/>
  <c r="A31" i="1" s="1"/>
  <c r="N22" i="1"/>
  <c r="A51" i="35"/>
  <c r="M11" i="42" l="1"/>
  <c r="R6" i="1" l="1"/>
  <c r="O27" i="42" l="1"/>
  <c r="N16" i="42"/>
  <c r="N17" i="42"/>
  <c r="N18" i="42"/>
  <c r="N19" i="42"/>
  <c r="N20" i="42"/>
  <c r="N21" i="42"/>
  <c r="N22" i="42"/>
  <c r="N23" i="42"/>
  <c r="N24" i="42"/>
  <c r="N25" i="42"/>
  <c r="N26" i="42"/>
  <c r="O11" i="42"/>
  <c r="N7" i="42"/>
  <c r="N9" i="42" s="1"/>
  <c r="O9" i="42" l="1"/>
  <c r="C10" i="42" l="1"/>
  <c r="N2" i="35"/>
  <c r="L11" i="42" l="1"/>
  <c r="N11" i="42" s="1"/>
  <c r="A43" i="42"/>
  <c r="A28" i="42"/>
  <c r="C6" i="42"/>
  <c r="S58" i="35" l="1"/>
  <c r="F29" i="35"/>
  <c r="F30" i="35"/>
  <c r="F31" i="35"/>
  <c r="F32" i="35"/>
  <c r="F33" i="35"/>
  <c r="F34" i="35"/>
  <c r="F35" i="35"/>
  <c r="F36" i="35"/>
  <c r="F28" i="35"/>
  <c r="I7" i="3" l="1"/>
  <c r="A54" i="35" l="1"/>
  <c r="G9" i="3" l="1"/>
  <c r="G10" i="3"/>
  <c r="G11" i="3"/>
  <c r="G12" i="3"/>
  <c r="G13" i="3"/>
  <c r="G14" i="3"/>
  <c r="G15" i="3"/>
  <c r="G16" i="3"/>
  <c r="G17" i="3"/>
  <c r="G18" i="3"/>
  <c r="G19" i="3"/>
  <c r="H19" i="3" s="1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G30" i="3"/>
  <c r="H30" i="3" s="1"/>
  <c r="G31" i="3"/>
  <c r="H31" i="3" s="1"/>
  <c r="G32" i="3"/>
  <c r="H32" i="3" s="1"/>
  <c r="G33" i="3"/>
  <c r="H33" i="3" s="1"/>
  <c r="G34" i="3"/>
  <c r="H34" i="3" s="1"/>
  <c r="G35" i="3"/>
  <c r="H35" i="3" s="1"/>
  <c r="G36" i="3"/>
  <c r="H36" i="3" s="1"/>
  <c r="G37" i="3"/>
  <c r="H37" i="3" s="1"/>
  <c r="G38" i="3"/>
  <c r="H38" i="3" s="1"/>
  <c r="G39" i="3"/>
  <c r="H39" i="3" s="1"/>
  <c r="G40" i="3"/>
  <c r="H40" i="3" s="1"/>
  <c r="G41" i="3"/>
  <c r="H41" i="3" s="1"/>
  <c r="G42" i="3"/>
  <c r="H42" i="3" s="1"/>
  <c r="G43" i="3"/>
  <c r="H43" i="3" s="1"/>
  <c r="G44" i="3"/>
  <c r="H44" i="3" s="1"/>
  <c r="G45" i="3"/>
  <c r="H45" i="3" s="1"/>
  <c r="G46" i="3"/>
  <c r="H46" i="3" s="1"/>
  <c r="G47" i="3"/>
  <c r="H47" i="3" s="1"/>
  <c r="G48" i="3"/>
  <c r="H48" i="3" s="1"/>
  <c r="G49" i="3"/>
  <c r="H49" i="3" s="1"/>
  <c r="G50" i="3"/>
  <c r="H50" i="3" s="1"/>
  <c r="G51" i="3"/>
  <c r="H51" i="3" s="1"/>
  <c r="G52" i="3"/>
  <c r="H52" i="3" s="1"/>
  <c r="G53" i="3"/>
  <c r="H53" i="3" s="1"/>
  <c r="G54" i="3"/>
  <c r="H54" i="3" s="1"/>
  <c r="G55" i="3"/>
  <c r="H55" i="3" s="1"/>
  <c r="G56" i="3"/>
  <c r="H56" i="3" s="1"/>
  <c r="G57" i="3"/>
  <c r="H57" i="3" s="1"/>
  <c r="G58" i="3"/>
  <c r="H58" i="3" s="1"/>
  <c r="G59" i="3"/>
  <c r="H59" i="3" s="1"/>
  <c r="G60" i="3"/>
  <c r="H60" i="3" s="1"/>
  <c r="G61" i="3"/>
  <c r="H61" i="3" s="1"/>
  <c r="G62" i="3"/>
  <c r="H62" i="3" s="1"/>
  <c r="N63" i="3" l="1"/>
  <c r="M63" i="3"/>
  <c r="H9" i="3"/>
  <c r="H10" i="3"/>
  <c r="H11" i="3"/>
  <c r="H17" i="3"/>
  <c r="H18" i="3"/>
  <c r="H12" i="3"/>
  <c r="H13" i="3"/>
  <c r="H14" i="3"/>
  <c r="H15" i="3"/>
  <c r="H16" i="3"/>
  <c r="G8" i="3"/>
  <c r="H8" i="3" s="1"/>
  <c r="G7" i="3"/>
  <c r="H7" i="3" s="1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7" i="3"/>
  <c r="K8" i="3"/>
  <c r="I63" i="3"/>
  <c r="K63" i="3" l="1"/>
  <c r="G63" i="3"/>
  <c r="H63" i="3"/>
  <c r="J63" i="3" l="1"/>
  <c r="N3" i="8" s="1"/>
  <c r="Q29" i="35"/>
  <c r="R29" i="35"/>
  <c r="S29" i="35"/>
  <c r="T29" i="35"/>
  <c r="U29" i="35"/>
  <c r="V29" i="35"/>
  <c r="P27" i="35" l="1"/>
  <c r="V26" i="35"/>
  <c r="V27" i="35" s="1"/>
  <c r="U26" i="35"/>
  <c r="U27" i="35" s="1"/>
  <c r="T26" i="35"/>
  <c r="T27" i="35" s="1"/>
  <c r="S26" i="35"/>
  <c r="S27" i="35" s="1"/>
  <c r="R26" i="35"/>
  <c r="R27" i="35" s="1"/>
  <c r="Q26" i="35"/>
  <c r="Q27" i="35" s="1"/>
  <c r="S13" i="35" l="1"/>
  <c r="V30" i="35"/>
  <c r="U28" i="35"/>
  <c r="S30" i="35"/>
  <c r="T30" i="35"/>
  <c r="Q28" i="35"/>
  <c r="V28" i="35"/>
  <c r="S28" i="35"/>
  <c r="R28" i="35"/>
  <c r="T28" i="35"/>
  <c r="U30" i="35"/>
  <c r="Q30" i="35"/>
  <c r="R30" i="35"/>
  <c r="O7" i="35" l="1"/>
  <c r="P28" i="35"/>
  <c r="O11" i="35" s="1"/>
  <c r="O14" i="35" s="1"/>
  <c r="O12" i="35" l="1"/>
  <c r="P3" i="3"/>
  <c r="O13" i="35"/>
  <c r="O15" i="35"/>
  <c r="E10" i="35"/>
  <c r="O50" i="35" l="1"/>
  <c r="O51" i="35"/>
  <c r="O52" i="35"/>
  <c r="O53" i="35"/>
  <c r="O54" i="35"/>
  <c r="O55" i="35"/>
  <c r="O56" i="35"/>
  <c r="O57" i="35"/>
  <c r="O49" i="35"/>
  <c r="O48" i="35"/>
  <c r="G8" i="29" l="1"/>
  <c r="H4" i="29"/>
  <c r="B30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7" i="1"/>
  <c r="H2" i="1" l="1"/>
  <c r="I30" i="1"/>
  <c r="H30" i="1"/>
  <c r="I4" i="24" l="1"/>
  <c r="I5" i="24"/>
  <c r="I2" i="24"/>
  <c r="I3" i="24"/>
  <c r="B2" i="3"/>
  <c r="C37" i="35"/>
  <c r="L48" i="35" l="1"/>
  <c r="T11" i="35" l="1"/>
  <c r="T13" i="35"/>
  <c r="S11" i="35"/>
  <c r="V11" i="35"/>
  <c r="R11" i="35" s="1"/>
  <c r="V12" i="35"/>
  <c r="R12" i="35" s="1"/>
  <c r="T12" i="35"/>
  <c r="T15" i="35"/>
  <c r="T25" i="35"/>
  <c r="T24" i="35"/>
  <c r="T23" i="35"/>
  <c r="T22" i="35"/>
  <c r="T21" i="35"/>
  <c r="T20" i="35"/>
  <c r="T19" i="35"/>
  <c r="T18" i="35"/>
  <c r="T17" i="35"/>
  <c r="T16" i="35"/>
  <c r="T14" i="35"/>
  <c r="S17" i="35"/>
  <c r="S14" i="35"/>
  <c r="S15" i="35"/>
  <c r="S16" i="35"/>
  <c r="S18" i="35"/>
  <c r="S19" i="35"/>
  <c r="S20" i="35"/>
  <c r="S21" i="35"/>
  <c r="S22" i="35"/>
  <c r="S23" i="35"/>
  <c r="S24" i="35"/>
  <c r="S25" i="35"/>
  <c r="S12" i="35"/>
  <c r="V13" i="35" l="1"/>
  <c r="R13" i="35" l="1"/>
  <c r="V25" i="35"/>
  <c r="R25" i="35" s="1"/>
  <c r="V24" i="35"/>
  <c r="R24" i="35" s="1"/>
  <c r="V23" i="35"/>
  <c r="R23" i="35" s="1"/>
  <c r="V22" i="35"/>
  <c r="R22" i="35" s="1"/>
  <c r="V21" i="35"/>
  <c r="R21" i="35" s="1"/>
  <c r="V20" i="35"/>
  <c r="R20" i="35" s="1"/>
  <c r="V19" i="35"/>
  <c r="R19" i="35" s="1"/>
  <c r="V18" i="35"/>
  <c r="R18" i="35" s="1"/>
  <c r="V17" i="35"/>
  <c r="R17" i="35" s="1"/>
  <c r="V16" i="35"/>
  <c r="R16" i="35" s="1"/>
  <c r="V15" i="35"/>
  <c r="R15" i="35" s="1"/>
  <c r="V14" i="35"/>
  <c r="R14" i="35" s="1"/>
  <c r="M92" i="35" l="1"/>
  <c r="M93" i="35"/>
  <c r="M94" i="35"/>
  <c r="M95" i="35"/>
  <c r="M96" i="35"/>
  <c r="M97" i="35"/>
  <c r="M98" i="35"/>
  <c r="M99" i="35"/>
  <c r="M100" i="35"/>
  <c r="M101" i="35"/>
  <c r="K3" i="8" l="1"/>
  <c r="B2" i="8"/>
  <c r="K101" i="35"/>
  <c r="C30" i="35"/>
  <c r="K94" i="35" s="1"/>
  <c r="C31" i="35"/>
  <c r="K95" i="35" s="1"/>
  <c r="C32" i="35"/>
  <c r="K96" i="35" s="1"/>
  <c r="C33" i="35"/>
  <c r="K97" i="35" s="1"/>
  <c r="C34" i="35"/>
  <c r="K98" i="35" s="1"/>
  <c r="C35" i="35"/>
  <c r="K99" i="35" s="1"/>
  <c r="C36" i="35"/>
  <c r="K100" i="35" s="1"/>
  <c r="C29" i="35"/>
  <c r="K93" i="35" s="1"/>
  <c r="C28" i="35"/>
  <c r="K92" i="35" s="1"/>
  <c r="E9" i="35" l="1"/>
  <c r="D4" i="29" l="1"/>
  <c r="A2" i="1"/>
  <c r="H31" i="1"/>
  <c r="C63" i="3"/>
  <c r="B1" i="3"/>
  <c r="B1" i="8"/>
  <c r="B46" i="8"/>
  <c r="N7" i="35"/>
  <c r="N58" i="35" l="1"/>
  <c r="N67" i="35"/>
  <c r="L2" i="3"/>
  <c r="C2" i="1"/>
  <c r="U11" i="35"/>
  <c r="K11" i="35"/>
  <c r="K12" i="35" s="1"/>
  <c r="U25" i="35" l="1"/>
  <c r="Q11" i="35"/>
  <c r="U23" i="35"/>
  <c r="U24" i="35"/>
  <c r="U21" i="35"/>
  <c r="U22" i="35"/>
  <c r="U19" i="35"/>
  <c r="U20" i="35"/>
  <c r="U17" i="35"/>
  <c r="U18" i="35"/>
  <c r="U15" i="35"/>
  <c r="U16" i="35"/>
  <c r="U13" i="35"/>
  <c r="U14" i="35"/>
  <c r="U12" i="35"/>
  <c r="Q12" i="35" s="1"/>
  <c r="K23" i="35"/>
  <c r="K15" i="35"/>
  <c r="K16" i="35"/>
  <c r="K18" i="35"/>
  <c r="K20" i="35"/>
  <c r="K24" i="35"/>
  <c r="K13" i="35"/>
  <c r="K21" i="35"/>
  <c r="K17" i="35"/>
  <c r="K19" i="35"/>
  <c r="K14" i="35"/>
  <c r="K22" i="35"/>
  <c r="Q34" i="35"/>
  <c r="Q42" i="35" l="1"/>
  <c r="Q43" i="35"/>
  <c r="Q44" i="35"/>
  <c r="Q45" i="35"/>
  <c r="Q46" i="35"/>
  <c r="Q47" i="35"/>
  <c r="Q48" i="35"/>
  <c r="Q49" i="35"/>
  <c r="Q50" i="35"/>
  <c r="Q41" i="35"/>
  <c r="Q37" i="35"/>
  <c r="Q39" i="35"/>
  <c r="Q40" i="35"/>
  <c r="Q35" i="35"/>
  <c r="Q36" i="35"/>
  <c r="Q38" i="35"/>
  <c r="N66" i="35" l="1"/>
  <c r="L63" i="35"/>
  <c r="M58" i="35" l="1"/>
  <c r="P66" i="35" s="1"/>
  <c r="N4" i="35" l="1"/>
  <c r="AJ9" i="35"/>
  <c r="AP9" i="35" s="1"/>
  <c r="AD9" i="35"/>
  <c r="O58" i="35" l="1"/>
  <c r="O67" i="35"/>
  <c r="P67" i="35" s="1"/>
  <c r="A53" i="42" s="1"/>
  <c r="P2" i="3"/>
  <c r="B2" i="1"/>
  <c r="L21" i="35"/>
  <c r="L22" i="35"/>
  <c r="N2" i="8"/>
  <c r="N13" i="35"/>
  <c r="N11" i="35"/>
  <c r="N12" i="35"/>
  <c r="M7" i="35" l="1"/>
  <c r="AF2" i="35" s="1"/>
  <c r="K4" i="35"/>
  <c r="P58" i="35" l="1"/>
  <c r="P59" i="35"/>
  <c r="A35" i="1" s="1"/>
  <c r="W2" i="35"/>
  <c r="U7" i="35"/>
  <c r="U4" i="35"/>
  <c r="U6" i="35"/>
  <c r="U5" i="35"/>
  <c r="P62" i="35"/>
  <c r="P63" i="35"/>
  <c r="P60" i="35"/>
  <c r="P61" i="35"/>
  <c r="P16" i="35"/>
  <c r="P15" i="35"/>
  <c r="P12" i="35"/>
  <c r="P14" i="35"/>
  <c r="L23" i="35"/>
  <c r="L19" i="35"/>
  <c r="L20" i="35"/>
  <c r="L14" i="35"/>
  <c r="L15" i="35"/>
  <c r="L11" i="35"/>
  <c r="L12" i="35"/>
  <c r="L17" i="35" s="1"/>
  <c r="F1" i="35"/>
  <c r="M4" i="35"/>
  <c r="L4" i="35"/>
  <c r="A1" i="43" l="1"/>
  <c r="D46" i="8"/>
  <c r="A7" i="1"/>
  <c r="L13" i="35"/>
  <c r="O4" i="35"/>
  <c r="S5" i="35" l="1"/>
  <c r="R5" i="35" s="1"/>
  <c r="S7" i="35"/>
  <c r="Q7" i="35" s="1"/>
  <c r="K7" i="35"/>
  <c r="D6" i="29" s="1"/>
  <c r="L7" i="35"/>
  <c r="G6" i="29" s="1"/>
  <c r="S6" i="35"/>
  <c r="Q6" i="35" s="1"/>
  <c r="N64" i="35" s="1"/>
  <c r="L18" i="35"/>
  <c r="L16" i="35"/>
  <c r="R7" i="35" l="1"/>
  <c r="R6" i="35"/>
  <c r="O64" i="35" s="1"/>
  <c r="Q5" i="35"/>
  <c r="O65" i="35" l="1"/>
  <c r="N65" i="35"/>
  <c r="P64" i="35"/>
  <c r="A66" i="29" s="1"/>
  <c r="M40" i="8"/>
  <c r="P65" i="35" l="1"/>
  <c r="M42" i="8"/>
  <c r="M39" i="8"/>
  <c r="M41" i="8" s="1"/>
  <c r="L40" i="8" l="1"/>
  <c r="L39" i="8" s="1"/>
  <c r="F50" i="8" l="1"/>
  <c r="G50" i="8"/>
  <c r="D50" i="8"/>
  <c r="E50" i="8" l="1"/>
  <c r="E51" i="8" s="1"/>
  <c r="L30" i="8" l="1"/>
  <c r="L33" i="8" s="1"/>
  <c r="M30" i="8"/>
  <c r="M33" i="8" l="1"/>
  <c r="N33" i="8" s="1"/>
  <c r="N30" i="8"/>
  <c r="Q21" i="35" l="1"/>
  <c r="Q16" i="35"/>
  <c r="Q14" i="35"/>
  <c r="Q23" i="35"/>
  <c r="Q24" i="35"/>
  <c r="Q19" i="35"/>
  <c r="Q25" i="35"/>
  <c r="Q15" i="35"/>
  <c r="Q20" i="35"/>
  <c r="Q22" i="35"/>
  <c r="Q18" i="35"/>
  <c r="Q17" i="35"/>
  <c r="Q13" i="35"/>
  <c r="B7" i="8" l="1"/>
  <c r="K7" i="8" s="1"/>
  <c r="I7" i="8" l="1"/>
  <c r="J7" i="8"/>
  <c r="F7" i="8"/>
  <c r="H7" i="8"/>
  <c r="B8" i="8"/>
  <c r="K8" i="8" s="1"/>
  <c r="I8" i="8" l="1"/>
  <c r="J8" i="8"/>
  <c r="F8" i="8"/>
  <c r="H8" i="8"/>
  <c r="B9" i="8"/>
  <c r="K9" i="8" l="1"/>
  <c r="F9" i="8"/>
  <c r="I9" i="8"/>
  <c r="J9" i="8"/>
  <c r="H9" i="8"/>
  <c r="B10" i="8"/>
  <c r="K10" i="8" s="1"/>
  <c r="I10" i="8" l="1"/>
  <c r="J10" i="8"/>
  <c r="F10" i="8"/>
  <c r="H10" i="8"/>
  <c r="B11" i="8"/>
  <c r="K11" i="8" s="1"/>
  <c r="I11" i="8" l="1"/>
  <c r="J11" i="8"/>
  <c r="F11" i="8"/>
  <c r="H11" i="8"/>
  <c r="B12" i="8"/>
  <c r="K12" i="8" s="1"/>
  <c r="I12" i="8" l="1"/>
  <c r="J12" i="8"/>
  <c r="F12" i="8"/>
  <c r="H12" i="8"/>
  <c r="B13" i="8"/>
  <c r="K13" i="8" s="1"/>
  <c r="I13" i="8" l="1"/>
  <c r="J13" i="8"/>
  <c r="F13" i="8"/>
  <c r="H13" i="8"/>
  <c r="G13" i="8" s="1"/>
  <c r="B14" i="8"/>
  <c r="Y11" i="35" l="1"/>
  <c r="AJ11" i="35" s="1"/>
  <c r="J14" i="8"/>
  <c r="K14" i="8"/>
  <c r="H14" i="8"/>
  <c r="I14" i="8"/>
  <c r="B15" i="8"/>
  <c r="F14" i="8"/>
  <c r="AD11" i="35" l="1"/>
  <c r="AP11" i="35" s="1"/>
  <c r="J15" i="8"/>
  <c r="K15" i="8"/>
  <c r="H15" i="8"/>
  <c r="I15" i="8"/>
  <c r="B16" i="8"/>
  <c r="F15" i="8"/>
  <c r="J16" i="8" l="1"/>
  <c r="K16" i="8"/>
  <c r="H16" i="8"/>
  <c r="I16" i="8"/>
  <c r="B17" i="8"/>
  <c r="F16" i="8"/>
  <c r="J17" i="8" l="1"/>
  <c r="K17" i="8"/>
  <c r="H17" i="8"/>
  <c r="I17" i="8"/>
  <c r="B18" i="8"/>
  <c r="F17" i="8"/>
  <c r="J18" i="8" l="1"/>
  <c r="K18" i="8"/>
  <c r="H18" i="8"/>
  <c r="I18" i="8"/>
  <c r="B19" i="8"/>
  <c r="F18" i="8"/>
  <c r="J19" i="8" l="1"/>
  <c r="K19" i="8"/>
  <c r="H19" i="8"/>
  <c r="I19" i="8"/>
  <c r="B20" i="8"/>
  <c r="K20" i="8" s="1"/>
  <c r="F19" i="8"/>
  <c r="I20" i="8" l="1"/>
  <c r="J20" i="8"/>
  <c r="F20" i="8"/>
  <c r="H20" i="8"/>
  <c r="G20" i="8" s="1"/>
  <c r="B21" i="8"/>
  <c r="Y12" i="35" l="1"/>
  <c r="AJ12" i="35" s="1"/>
  <c r="J21" i="8"/>
  <c r="K21" i="8"/>
  <c r="H21" i="8"/>
  <c r="I21" i="8"/>
  <c r="B22" i="8"/>
  <c r="F21" i="8"/>
  <c r="AD12" i="35" l="1"/>
  <c r="AP12" i="35" s="1"/>
  <c r="J22" i="8"/>
  <c r="K22" i="8"/>
  <c r="H22" i="8"/>
  <c r="I22" i="8"/>
  <c r="B23" i="8"/>
  <c r="F22" i="8"/>
  <c r="J23" i="8" l="1"/>
  <c r="K23" i="8"/>
  <c r="H23" i="8"/>
  <c r="I23" i="8"/>
  <c r="F23" i="8"/>
  <c r="B24" i="8"/>
  <c r="J24" i="8" l="1"/>
  <c r="K24" i="8"/>
  <c r="H24" i="8"/>
  <c r="I24" i="8"/>
  <c r="F24" i="8"/>
  <c r="B25" i="8"/>
  <c r="J25" i="8" l="1"/>
  <c r="K25" i="8"/>
  <c r="H25" i="8"/>
  <c r="I25" i="8"/>
  <c r="F25" i="8"/>
  <c r="B26" i="8"/>
  <c r="J26" i="8" l="1"/>
  <c r="K26" i="8"/>
  <c r="H26" i="8"/>
  <c r="I26" i="8"/>
  <c r="F26" i="8"/>
  <c r="B27" i="8"/>
  <c r="K27" i="8" s="1"/>
  <c r="I27" i="8" l="1"/>
  <c r="J27" i="8"/>
  <c r="F27" i="8"/>
  <c r="H27" i="8"/>
  <c r="G27" i="8" s="1"/>
  <c r="B28" i="8"/>
  <c r="Y13" i="35" l="1"/>
  <c r="AJ13" i="35" s="1"/>
  <c r="J28" i="8"/>
  <c r="K28" i="8"/>
  <c r="H28" i="8"/>
  <c r="I28" i="8"/>
  <c r="F28" i="8"/>
  <c r="B29" i="8"/>
  <c r="AD13" i="35" l="1"/>
  <c r="AP13" i="35" s="1"/>
  <c r="J29" i="8"/>
  <c r="K29" i="8"/>
  <c r="H29" i="8"/>
  <c r="I29" i="8"/>
  <c r="F29" i="8"/>
  <c r="B30" i="8"/>
  <c r="J30" i="8" l="1"/>
  <c r="K30" i="8"/>
  <c r="H30" i="8"/>
  <c r="I30" i="8"/>
  <c r="F30" i="8"/>
  <c r="B31" i="8"/>
  <c r="J31" i="8" l="1"/>
  <c r="K31" i="8"/>
  <c r="H31" i="8"/>
  <c r="I31" i="8"/>
  <c r="F31" i="8"/>
  <c r="B32" i="8"/>
  <c r="J32" i="8" l="1"/>
  <c r="K32" i="8"/>
  <c r="H32" i="8"/>
  <c r="I32" i="8"/>
  <c r="F32" i="8"/>
  <c r="B33" i="8"/>
  <c r="J33" i="8" l="1"/>
  <c r="K33" i="8"/>
  <c r="H33" i="8"/>
  <c r="I33" i="8"/>
  <c r="B34" i="8"/>
  <c r="K34" i="8" s="1"/>
  <c r="F33" i="8"/>
  <c r="I34" i="8" l="1"/>
  <c r="J34" i="8"/>
  <c r="F34" i="8"/>
  <c r="H34" i="8"/>
  <c r="G34" i="8" s="1"/>
  <c r="B35" i="8"/>
  <c r="Y14" i="35" l="1"/>
  <c r="AD14" i="35" s="1"/>
  <c r="J35" i="8"/>
  <c r="K35" i="8"/>
  <c r="H35" i="8"/>
  <c r="I35" i="8"/>
  <c r="B36" i="8"/>
  <c r="F35" i="8"/>
  <c r="AJ14" i="35" l="1"/>
  <c r="AP14" i="35" s="1"/>
  <c r="J36" i="8"/>
  <c r="K36" i="8"/>
  <c r="H36" i="8"/>
  <c r="I36" i="8"/>
  <c r="B37" i="8"/>
  <c r="F36" i="8"/>
  <c r="J37" i="8" l="1"/>
  <c r="K37" i="8"/>
  <c r="H37" i="8"/>
  <c r="I37" i="8"/>
  <c r="B38" i="8"/>
  <c r="F37" i="8"/>
  <c r="J38" i="8" l="1"/>
  <c r="K38" i="8"/>
  <c r="H38" i="8"/>
  <c r="I38" i="8"/>
  <c r="B39" i="8"/>
  <c r="F38" i="8"/>
  <c r="J39" i="8" l="1"/>
  <c r="K39" i="8"/>
  <c r="H39" i="8"/>
  <c r="I39" i="8"/>
  <c r="B40" i="8"/>
  <c r="F39" i="8"/>
  <c r="J40" i="8" l="1"/>
  <c r="K40" i="8"/>
  <c r="H40" i="8"/>
  <c r="I40" i="8"/>
  <c r="B41" i="8"/>
  <c r="K41" i="8" s="1"/>
  <c r="F40" i="8"/>
  <c r="I41" i="8" l="1"/>
  <c r="J41" i="8"/>
  <c r="F41" i="8"/>
  <c r="H41" i="8"/>
  <c r="G41" i="8" s="1"/>
  <c r="B42" i="8"/>
  <c r="Y15" i="35" l="1"/>
  <c r="AD15" i="35" s="1"/>
  <c r="J42" i="8"/>
  <c r="K42" i="8"/>
  <c r="H42" i="8"/>
  <c r="I42" i="8"/>
  <c r="B43" i="8"/>
  <c r="K43" i="8" s="1"/>
  <c r="F42" i="8"/>
  <c r="AJ15" i="35" l="1"/>
  <c r="AP15" i="35" s="1"/>
  <c r="K45" i="8"/>
  <c r="I43" i="8"/>
  <c r="I45" i="8" s="1"/>
  <c r="J43" i="8"/>
  <c r="J45" i="8" s="1"/>
  <c r="F43" i="8"/>
  <c r="H43" i="8"/>
  <c r="G44" i="8" s="1"/>
  <c r="Y16" i="35" l="1"/>
  <c r="H45" i="8"/>
  <c r="AD16" i="35" l="1"/>
  <c r="AJ16" i="35"/>
  <c r="Y17" i="35"/>
  <c r="AP16" i="35" l="1"/>
  <c r="AP17" i="35" s="1"/>
</calcChain>
</file>

<file path=xl/sharedStrings.xml><?xml version="1.0" encoding="utf-8"?>
<sst xmlns="http://schemas.openxmlformats.org/spreadsheetml/2006/main" count="1330" uniqueCount="488">
  <si>
    <t>NOM:</t>
  </si>
  <si>
    <t>ULYSSE - CESAP</t>
  </si>
  <si>
    <t>SECTEUR:</t>
  </si>
  <si>
    <t>MOIS:</t>
  </si>
  <si>
    <t xml:space="preserve">ANNEE: </t>
  </si>
  <si>
    <t>FICHE DES TEMPS ET FRAIS</t>
  </si>
  <si>
    <t>Semaine :</t>
  </si>
  <si>
    <t>Date</t>
  </si>
  <si>
    <t>Référence dossier</t>
  </si>
  <si>
    <r>
      <rPr>
        <b/>
        <sz val="8"/>
        <rFont val="Times New Roman"/>
        <family val="1"/>
      </rPr>
      <t>Compteur</t>
    </r>
    <r>
      <rPr>
        <b/>
        <sz val="10"/>
        <rFont val="Times New Roman"/>
        <family val="1"/>
      </rPr>
      <t xml:space="preserve"> D</t>
    </r>
  </si>
  <si>
    <t>Compteur A</t>
  </si>
  <si>
    <t>Total KM</t>
  </si>
  <si>
    <t>Heure Départ</t>
  </si>
  <si>
    <t>Nature des frais</t>
  </si>
  <si>
    <t>Carburant</t>
  </si>
  <si>
    <t>frais à rembourser</t>
  </si>
  <si>
    <t>Codifications des natures de frais</t>
  </si>
  <si>
    <t xml:space="preserve">  R</t>
  </si>
  <si>
    <t xml:space="preserve">  =  Repas</t>
  </si>
  <si>
    <t xml:space="preserve">  PP</t>
  </si>
  <si>
    <t xml:space="preserve"> = Parking ou Péage</t>
  </si>
  <si>
    <t xml:space="preserve">  D </t>
  </si>
  <si>
    <t xml:space="preserve"> = Frais Divers</t>
  </si>
  <si>
    <t xml:space="preserve">  N0</t>
  </si>
  <si>
    <t xml:space="preserve">  =  Affranchissements</t>
  </si>
  <si>
    <t>Horaires de samedi</t>
  </si>
  <si>
    <t>Horaires de Dimanche</t>
  </si>
  <si>
    <t>Chauffeur de Navette</t>
  </si>
  <si>
    <t>(signature)</t>
  </si>
  <si>
    <t>Décompte de 20 mm départ et retour Domicile</t>
  </si>
  <si>
    <t>Resp. ULYSSE</t>
  </si>
  <si>
    <t>Travail Oui / Non</t>
  </si>
  <si>
    <t>Formation Oui / Non</t>
  </si>
  <si>
    <t>Congés payés</t>
  </si>
  <si>
    <t>Observation et temps de travail Hebdomadaire (3)</t>
  </si>
  <si>
    <t>Temps Travail</t>
  </si>
  <si>
    <t>Congés Sans</t>
  </si>
  <si>
    <t>Autres</t>
  </si>
  <si>
    <t>Montant des frais Carburant</t>
  </si>
  <si>
    <t>Montant des frais à rembourser</t>
  </si>
  <si>
    <t xml:space="preserve">Année : </t>
  </si>
  <si>
    <t>Mois :</t>
  </si>
  <si>
    <t>ULYSSE - TOURS</t>
  </si>
  <si>
    <t>Total Heures semaine:</t>
  </si>
  <si>
    <t>Total ou Report</t>
  </si>
  <si>
    <t>Inspecteur</t>
  </si>
  <si>
    <t>Nombre de Kilomètre</t>
  </si>
  <si>
    <t>Temps retenu</t>
  </si>
  <si>
    <t>Ent</t>
  </si>
  <si>
    <t xml:space="preserve">  =  Entretien</t>
  </si>
  <si>
    <t>La</t>
  </si>
  <si>
    <t xml:space="preserve"> = Lavage</t>
  </si>
  <si>
    <t>Km début mois</t>
  </si>
  <si>
    <t>Km Fin mois</t>
  </si>
  <si>
    <t>Justificatif des Frais</t>
  </si>
  <si>
    <t>Objet</t>
  </si>
  <si>
    <t>Lieu - destination</t>
  </si>
  <si>
    <t>Montant</t>
  </si>
  <si>
    <t>Frais Autre</t>
  </si>
  <si>
    <t>Km Compteur</t>
  </si>
  <si>
    <t>Lieu</t>
  </si>
  <si>
    <t>Ca</t>
  </si>
  <si>
    <t xml:space="preserve"> = Gasoil - Carburant</t>
  </si>
  <si>
    <t>-</t>
  </si>
  <si>
    <t>Resp. Ulysse</t>
  </si>
  <si>
    <t>Divers</t>
  </si>
  <si>
    <t>S1</t>
  </si>
  <si>
    <t>S4</t>
  </si>
  <si>
    <t>S5</t>
  </si>
  <si>
    <t>S6</t>
  </si>
  <si>
    <t>Heures</t>
  </si>
  <si>
    <t>Contrat de Travail</t>
  </si>
  <si>
    <t>Temps</t>
  </si>
  <si>
    <t>taux net</t>
  </si>
  <si>
    <t>100ème heures</t>
  </si>
  <si>
    <t>Prix net</t>
  </si>
  <si>
    <t>Heures Complémentaire et Suplémentaire</t>
  </si>
  <si>
    <t>mois en cours</t>
  </si>
  <si>
    <t>Total partiel année en cours</t>
  </si>
  <si>
    <t>100ème H</t>
  </si>
  <si>
    <t>reliquat H</t>
  </si>
  <si>
    <t>Repartition</t>
  </si>
  <si>
    <t>Total aquit année sauf mois en cours</t>
  </si>
  <si>
    <t>Prix heures C</t>
  </si>
  <si>
    <t>S8</t>
  </si>
  <si>
    <t>S12</t>
  </si>
  <si>
    <t>S16</t>
  </si>
  <si>
    <t>S20</t>
  </si>
  <si>
    <t>S24</t>
  </si>
  <si>
    <t>S28</t>
  </si>
  <si>
    <t>S32</t>
  </si>
  <si>
    <t>S36</t>
  </si>
  <si>
    <t>S40</t>
  </si>
  <si>
    <t>S44</t>
  </si>
  <si>
    <t>S48</t>
  </si>
  <si>
    <t>S9</t>
  </si>
  <si>
    <t>S13</t>
  </si>
  <si>
    <t>S17</t>
  </si>
  <si>
    <t>S21</t>
  </si>
  <si>
    <t>S25</t>
  </si>
  <si>
    <t>S29</t>
  </si>
  <si>
    <t>S33</t>
  </si>
  <si>
    <t>S37</t>
  </si>
  <si>
    <t>S41</t>
  </si>
  <si>
    <t>S45</t>
  </si>
  <si>
    <t>S49</t>
  </si>
  <si>
    <t>S10</t>
  </si>
  <si>
    <t>S14</t>
  </si>
  <si>
    <t>S18</t>
  </si>
  <si>
    <t>S22</t>
  </si>
  <si>
    <t>S26</t>
  </si>
  <si>
    <t>S30</t>
  </si>
  <si>
    <t>S34</t>
  </si>
  <si>
    <t>S38</t>
  </si>
  <si>
    <t>S42</t>
  </si>
  <si>
    <t>S46</t>
  </si>
  <si>
    <t>S7</t>
  </si>
  <si>
    <t>S11</t>
  </si>
  <si>
    <t>S15</t>
  </si>
  <si>
    <t>S19</t>
  </si>
  <si>
    <t>S23</t>
  </si>
  <si>
    <t>S27</t>
  </si>
  <si>
    <t>S31</t>
  </si>
  <si>
    <t>S35</t>
  </si>
  <si>
    <t>S39</t>
  </si>
  <si>
    <t>S43</t>
  </si>
  <si>
    <t>S47</t>
  </si>
  <si>
    <t xml:space="preserve"> livret Compte épargne temps</t>
  </si>
  <si>
    <t>Livret CET</t>
  </si>
  <si>
    <t>Prix livret CET</t>
  </si>
  <si>
    <t>Epargne livret CET années antérieur</t>
  </si>
  <si>
    <t>Rapport d’activité</t>
  </si>
  <si>
    <t>(Absence, attente, retard, anomalie,…)</t>
  </si>
  <si>
    <t>LUNDI</t>
  </si>
  <si>
    <t>MARDI</t>
  </si>
  <si>
    <t>MERCREDI</t>
  </si>
  <si>
    <t>JEUDI</t>
  </si>
  <si>
    <t>VENDREDI</t>
  </si>
  <si>
    <t>Nom du Chauffeur :</t>
  </si>
  <si>
    <r>
      <t>Semaine concernée :</t>
    </r>
    <r>
      <rPr>
        <sz val="12"/>
        <color theme="1"/>
        <rFont val="Calibri"/>
        <family val="2"/>
        <scheme val="minor"/>
      </rPr>
      <t xml:space="preserve"> du</t>
    </r>
  </si>
  <si>
    <t>au</t>
  </si>
  <si>
    <t xml:space="preserve">véhicule : </t>
  </si>
  <si>
    <r>
      <t>Km du véhicule</t>
    </r>
    <r>
      <rPr>
        <sz val="12"/>
        <color theme="1"/>
        <rFont val="Calibri"/>
        <family val="2"/>
        <scheme val="minor"/>
      </rPr>
      <t xml:space="preserve"> (</t>
    </r>
    <r>
      <rPr>
        <b/>
        <sz val="12"/>
        <color theme="1"/>
        <rFont val="Calibri"/>
        <family val="2"/>
        <scheme val="minor"/>
      </rPr>
      <t>après dernier client du vendredi soir uniquement</t>
    </r>
    <r>
      <rPr>
        <sz val="12"/>
        <color theme="1"/>
        <rFont val="Calibri"/>
        <family val="2"/>
        <scheme val="minor"/>
      </rPr>
      <t xml:space="preserve">) : </t>
    </r>
  </si>
  <si>
    <t>ULYSSE</t>
  </si>
  <si>
    <t>X</t>
  </si>
  <si>
    <t>10 rue de la porte de Bourg 37500 CHINON</t>
  </si>
  <si>
    <t>Château de Launay 37380 REUGNY</t>
  </si>
  <si>
    <t>Semaine 1</t>
  </si>
  <si>
    <t>Semaine 2</t>
  </si>
  <si>
    <t>Semaine 3</t>
  </si>
  <si>
    <t>Semaine 4</t>
  </si>
  <si>
    <t>Nom</t>
  </si>
  <si>
    <t xml:space="preserve">Prénom </t>
  </si>
  <si>
    <t>Maurice</t>
  </si>
  <si>
    <t>Date en cours</t>
  </si>
  <si>
    <t>Texte</t>
  </si>
  <si>
    <t>remplissage</t>
  </si>
  <si>
    <t>Formule</t>
  </si>
  <si>
    <t>Legende</t>
  </si>
  <si>
    <t>Véhicule</t>
  </si>
  <si>
    <t>DB-436-GD</t>
  </si>
  <si>
    <t>Km départ</t>
  </si>
  <si>
    <t>Semaine</t>
  </si>
  <si>
    <t>Début</t>
  </si>
  <si>
    <t>Fin</t>
  </si>
  <si>
    <t>Adresse CESAP :</t>
  </si>
  <si>
    <t>Adresse 1Client :</t>
  </si>
  <si>
    <t>Renseignement Propriétaire</t>
  </si>
  <si>
    <t>Titre</t>
  </si>
  <si>
    <t>Renseignement Client</t>
  </si>
  <si>
    <t>Zone à masquer</t>
  </si>
  <si>
    <t>1er client</t>
  </si>
  <si>
    <t>Horaire Mission Soir</t>
  </si>
  <si>
    <t>Horaire Mission Matin</t>
  </si>
  <si>
    <t>Contrat</t>
  </si>
  <si>
    <t>Epargne</t>
  </si>
  <si>
    <t>MOIS</t>
  </si>
  <si>
    <t>Début MOIS</t>
  </si>
  <si>
    <t>1er Jour mois en cours</t>
  </si>
  <si>
    <t>Semaine en cours</t>
  </si>
  <si>
    <t xml:space="preserve">Jour de l'an </t>
  </si>
  <si>
    <t>Pâques</t>
  </si>
  <si>
    <t xml:space="preserve">Lundi de Pâques </t>
  </si>
  <si>
    <t>Fête du Travail</t>
  </si>
  <si>
    <t>Victoire 39/45</t>
  </si>
  <si>
    <t xml:space="preserve">Ascension </t>
  </si>
  <si>
    <t xml:space="preserve">Pentecôte </t>
  </si>
  <si>
    <t xml:space="preserve">Fête Nationale </t>
  </si>
  <si>
    <t xml:space="preserve">Assomption </t>
  </si>
  <si>
    <t xml:space="preserve">Toussaint </t>
  </si>
  <si>
    <t xml:space="preserve">Noël </t>
  </si>
  <si>
    <t>Lundi de Pen</t>
  </si>
  <si>
    <t xml:space="preserve">Armistice14/18 </t>
  </si>
  <si>
    <t>Jours fériés</t>
  </si>
  <si>
    <t>S2</t>
  </si>
  <si>
    <t>S3</t>
  </si>
  <si>
    <t>Heures C et sup</t>
  </si>
  <si>
    <t>heures en 100ème</t>
  </si>
  <si>
    <t>minutes en 100 ème</t>
  </si>
  <si>
    <t xml:space="preserve">100ème total </t>
  </si>
  <si>
    <t>liaison Classeur</t>
  </si>
  <si>
    <t>Liaison Formule</t>
  </si>
  <si>
    <t>Listes</t>
  </si>
  <si>
    <t>Année</t>
  </si>
  <si>
    <t>CA</t>
  </si>
  <si>
    <t>Cris d'agacement / "Râlement"possible</t>
  </si>
  <si>
    <t>AT</t>
  </si>
  <si>
    <t>Anxiété en transport (de faible à très fort ) excitation possible</t>
  </si>
  <si>
    <t>FR</t>
  </si>
  <si>
    <t>Fauteuil roulant</t>
  </si>
  <si>
    <t>TFR</t>
  </si>
  <si>
    <t>Transfert fauteuil roulant pliable</t>
  </si>
  <si>
    <t>MT</t>
  </si>
  <si>
    <t>Personne marchante ou transférable</t>
  </si>
  <si>
    <t>ASS</t>
  </si>
  <si>
    <t>Assise spécifique (fournie par centre)</t>
  </si>
  <si>
    <t>HA</t>
  </si>
  <si>
    <t>Harnais ( fournie par centre )</t>
  </si>
  <si>
    <t>FE</t>
  </si>
  <si>
    <t>Fauteuil electrique</t>
  </si>
  <si>
    <t>CEP</t>
  </si>
  <si>
    <t>Crise possible</t>
  </si>
  <si>
    <t>HMP</t>
  </si>
  <si>
    <t>Heure de prise en charge maximum</t>
  </si>
  <si>
    <t>FGD</t>
  </si>
  <si>
    <t>Fauteuil grande dépendance</t>
  </si>
  <si>
    <t>PA</t>
  </si>
  <si>
    <t>Possibilité d'automutilation</t>
  </si>
  <si>
    <t>AGM</t>
  </si>
  <si>
    <t>Agitation des bras / mouvement brusque</t>
  </si>
  <si>
    <t>Splanning</t>
  </si>
  <si>
    <t>Semaine N+1</t>
  </si>
  <si>
    <t>Semaine N-1</t>
  </si>
  <si>
    <t>Séparation/J</t>
  </si>
  <si>
    <t>M. Eric BERTRAND 
MCVS TRAVEL RESEAU ULYSSE 
1, alées des TILLEUS 77090 COLLEGIEN</t>
  </si>
  <si>
    <t>Pchoix</t>
  </si>
  <si>
    <t>Annulée</t>
  </si>
  <si>
    <t>Enfants</t>
  </si>
  <si>
    <t>Noms</t>
  </si>
  <si>
    <t>Prénoms</t>
  </si>
  <si>
    <t>Océane</t>
  </si>
  <si>
    <t>Lucie</t>
  </si>
  <si>
    <t>Laétithia</t>
  </si>
  <si>
    <t>Valentin</t>
  </si>
  <si>
    <t>Affichage</t>
  </si>
  <si>
    <t>Ste Maure de T</t>
  </si>
  <si>
    <t>Chinon</t>
  </si>
  <si>
    <t>Cheville</t>
  </si>
  <si>
    <t>Artannes / Indre</t>
  </si>
  <si>
    <t>Joué les Tours</t>
  </si>
  <si>
    <t>Numéro</t>
  </si>
  <si>
    <t>Choix Semaine planning</t>
  </si>
  <si>
    <t>Rchoix</t>
  </si>
  <si>
    <t>Aller Centre</t>
  </si>
  <si>
    <t>Retour Domicile</t>
  </si>
  <si>
    <t>Lavage</t>
  </si>
  <si>
    <t>planning</t>
  </si>
  <si>
    <t>Rapport</t>
  </si>
  <si>
    <t>OUI</t>
  </si>
  <si>
    <t>NON</t>
  </si>
  <si>
    <t>RecapMois</t>
  </si>
  <si>
    <t>Congés</t>
  </si>
  <si>
    <t>congés payés</t>
  </si>
  <si>
    <t>Congés sans</t>
  </si>
  <si>
    <t>Fermeture Centre</t>
  </si>
  <si>
    <t>Autre</t>
  </si>
  <si>
    <t>Dchoix</t>
  </si>
  <si>
    <t>Départ Domicile</t>
  </si>
  <si>
    <t>Prise en compte</t>
  </si>
  <si>
    <t>Départ Coupure</t>
  </si>
  <si>
    <t>Entretien</t>
  </si>
  <si>
    <t>Reco itinéraire</t>
  </si>
  <si>
    <t>Férié</t>
  </si>
  <si>
    <t>Vchoix</t>
  </si>
  <si>
    <t>RecapMois/Semaine</t>
  </si>
  <si>
    <t>Partout</t>
  </si>
  <si>
    <t>Planning</t>
  </si>
  <si>
    <t>Domicile</t>
  </si>
  <si>
    <t>Tours</t>
  </si>
  <si>
    <t>La Ville aux Dames</t>
  </si>
  <si>
    <t>Justificatif</t>
  </si>
  <si>
    <t>Jchoix</t>
  </si>
  <si>
    <t>Frais Divers</t>
  </si>
  <si>
    <t>Parking/Péage</t>
  </si>
  <si>
    <t>Affranchissement</t>
  </si>
  <si>
    <t>Repas</t>
  </si>
  <si>
    <t>JJChoix</t>
  </si>
  <si>
    <t>Carte Personnelle</t>
  </si>
  <si>
    <t>Chèque</t>
  </si>
  <si>
    <t>Autre Client :</t>
  </si>
  <si>
    <t>Justificatif/recapF</t>
  </si>
  <si>
    <t>Lchoix</t>
  </si>
  <si>
    <t>KAMO</t>
  </si>
  <si>
    <t>PACIFIQUE</t>
  </si>
  <si>
    <t>COTEAU</t>
  </si>
  <si>
    <t>PASSERELLE</t>
  </si>
  <si>
    <t>LEVANT</t>
  </si>
  <si>
    <t>CORSAIRES</t>
  </si>
  <si>
    <t>PIRATES</t>
  </si>
  <si>
    <t>Billet Collectif</t>
  </si>
  <si>
    <t>Bchoix</t>
  </si>
  <si>
    <t>Fiche Véhicule</t>
  </si>
  <si>
    <t>Justificatifs</t>
  </si>
  <si>
    <t>Note de Frais</t>
  </si>
  <si>
    <t>Rapport d'Activité</t>
  </si>
  <si>
    <t>TOURS</t>
  </si>
  <si>
    <t>Billet Collectif mensuel</t>
  </si>
  <si>
    <t>Noms de sauvegarde</t>
  </si>
  <si>
    <t/>
  </si>
  <si>
    <t>VTchoix</t>
  </si>
  <si>
    <t>mise en conformité des lieux pour liste déroulante</t>
  </si>
  <si>
    <t>Macro</t>
  </si>
  <si>
    <t>p_ville</t>
  </si>
  <si>
    <t>l_ville</t>
  </si>
  <si>
    <t>f_ville</t>
  </si>
  <si>
    <t>liste déroulante</t>
  </si>
  <si>
    <t>f_noms</t>
  </si>
  <si>
    <t>LNoms</t>
  </si>
  <si>
    <t>Océane-GAURIN</t>
  </si>
  <si>
    <t>Lucie-BARNIER</t>
  </si>
  <si>
    <t>Laétithia-JEANNIN</t>
  </si>
  <si>
    <t>Valentin-CHARLES</t>
  </si>
  <si>
    <t>ville</t>
  </si>
  <si>
    <t>noms-Prénoms</t>
  </si>
  <si>
    <t>Nchoix Prénoms</t>
  </si>
  <si>
    <t>Fin Recopie</t>
  </si>
  <si>
    <t>Fin tri</t>
  </si>
  <si>
    <t>Fin Tri</t>
  </si>
  <si>
    <t>LPrénoms</t>
  </si>
  <si>
    <t>p_nom</t>
  </si>
  <si>
    <t>l_nom</t>
  </si>
  <si>
    <t>p_prenom</t>
  </si>
  <si>
    <t>l_prenom</t>
  </si>
  <si>
    <t>f_prenom</t>
  </si>
  <si>
    <t>GUIN</t>
  </si>
  <si>
    <t>GAURIN</t>
  </si>
  <si>
    <t>BARNIER</t>
  </si>
  <si>
    <t>JEANNIN</t>
  </si>
  <si>
    <t>PERSONNE</t>
  </si>
  <si>
    <t>CHARLES</t>
  </si>
  <si>
    <t>Mcvs</t>
  </si>
  <si>
    <t>Megane-PERSONNE</t>
  </si>
  <si>
    <t>Disponibilité</t>
  </si>
  <si>
    <t>Travail</t>
  </si>
  <si>
    <t>Formation</t>
  </si>
  <si>
    <t>Ligne 2</t>
  </si>
  <si>
    <t>Fin jours mois</t>
  </si>
  <si>
    <t>debut jours mois</t>
  </si>
  <si>
    <t>Jours</t>
  </si>
  <si>
    <t>Recap mois pour formule jours</t>
  </si>
  <si>
    <t>mois texte liste</t>
  </si>
  <si>
    <t>lundi</t>
  </si>
  <si>
    <t>mardi</t>
  </si>
  <si>
    <t>mercredi</t>
  </si>
  <si>
    <t>jeudi</t>
  </si>
  <si>
    <t>vendredi</t>
  </si>
  <si>
    <t>samedi</t>
  </si>
  <si>
    <t>dimanche</t>
  </si>
  <si>
    <t>MOIS (F.Texte)</t>
  </si>
  <si>
    <t>Jours (F.Texte)</t>
  </si>
  <si>
    <t xml:space="preserve">Carte ESSO : </t>
  </si>
  <si>
    <r>
      <rPr>
        <b/>
        <i/>
        <sz val="11"/>
        <color theme="1"/>
        <rFont val="Calibri"/>
        <family val="2"/>
      </rPr>
      <t>Mise à jour des semaines types</t>
    </r>
    <r>
      <rPr>
        <sz val="11"/>
        <color theme="1"/>
        <rFont val="Calibri"/>
        <family val="2"/>
        <scheme val="minor"/>
      </rPr>
      <t xml:space="preserve"> si changement de personnels à prendre en charge</t>
    </r>
  </si>
  <si>
    <r>
      <t xml:space="preserve">appuyer sur le bouton après chaque nouvelle mise à jour des </t>
    </r>
    <r>
      <rPr>
        <b/>
        <i/>
        <sz val="11"/>
        <color theme="1"/>
        <rFont val="Calibri"/>
        <family val="2"/>
      </rPr>
      <t>lieux,villes,prénoms et noms</t>
    </r>
  </si>
  <si>
    <t>Déplacement centre</t>
  </si>
  <si>
    <t>Ligne2-1</t>
  </si>
  <si>
    <t>Reugny</t>
  </si>
  <si>
    <t>Ligne2-2</t>
  </si>
  <si>
    <t>Ligne2-3</t>
  </si>
  <si>
    <t>Ligne2-4</t>
  </si>
  <si>
    <t>déplacement vers</t>
  </si>
  <si>
    <t>Observation</t>
  </si>
  <si>
    <t>Taleaux</t>
  </si>
  <si>
    <t>A7</t>
  </si>
  <si>
    <t>C62</t>
  </si>
  <si>
    <t>A69</t>
  </si>
  <si>
    <t>C124</t>
  </si>
  <si>
    <t>A131</t>
  </si>
  <si>
    <t>C186</t>
  </si>
  <si>
    <t>A193</t>
  </si>
  <si>
    <t>C248</t>
  </si>
  <si>
    <t>Observation - Divers</t>
  </si>
  <si>
    <t>Recapitulatif Justificatifs</t>
  </si>
  <si>
    <t>Date2</t>
  </si>
  <si>
    <t>ville2</t>
  </si>
  <si>
    <t>Carburant :</t>
  </si>
  <si>
    <t>Cobjet</t>
  </si>
  <si>
    <t>!Ligne 2</t>
  </si>
  <si>
    <t>Numéro de ligne</t>
  </si>
  <si>
    <t>!Ligne2</t>
  </si>
  <si>
    <t>Mégane</t>
  </si>
  <si>
    <t>Mégane-PERSONNE</t>
  </si>
  <si>
    <t>M</t>
  </si>
  <si>
    <t>S</t>
  </si>
  <si>
    <t>F</t>
  </si>
  <si>
    <t>C</t>
  </si>
  <si>
    <t>D</t>
  </si>
  <si>
    <t>R</t>
  </si>
  <si>
    <t>Semaine début mois</t>
  </si>
  <si>
    <t>mois demandé</t>
  </si>
  <si>
    <t>Etat Néant</t>
  </si>
  <si>
    <t>Motif</t>
  </si>
  <si>
    <t>Moyen de Paiement</t>
  </si>
  <si>
    <t>Prix</t>
  </si>
  <si>
    <t>Kilomètre</t>
  </si>
  <si>
    <t>Carb</t>
  </si>
  <si>
    <t>Lav</t>
  </si>
  <si>
    <t>Nfrais</t>
  </si>
  <si>
    <t>PP</t>
  </si>
  <si>
    <t>No</t>
  </si>
  <si>
    <t>Heure Arrivée</t>
  </si>
  <si>
    <t>Temps réél</t>
  </si>
  <si>
    <t>temps décompté de déplacement</t>
  </si>
  <si>
    <t>Semaine du mois</t>
  </si>
  <si>
    <t>Km Fin</t>
  </si>
  <si>
    <t>Litre</t>
  </si>
  <si>
    <t>conso/100</t>
  </si>
  <si>
    <t>prix litre</t>
  </si>
  <si>
    <t>Renseignement Carburant</t>
  </si>
  <si>
    <t>Carburant Prix</t>
  </si>
  <si>
    <t>O:\Rapport activité\6-Macro\Sauv</t>
  </si>
  <si>
    <t>O:\Rapport activité\6-Macro\Sauv\Securité</t>
  </si>
  <si>
    <t>Recapitulatif Frais</t>
  </si>
  <si>
    <t>Présence</t>
  </si>
  <si>
    <t>P</t>
  </si>
  <si>
    <t>NonPré</t>
  </si>
  <si>
    <t>Fiche de Présence</t>
  </si>
  <si>
    <t>A envoyer  à Déborah toutes les Fins de Semaine
-format PDF par Email
mcvs.secr@orange.fr</t>
  </si>
  <si>
    <t>Demande de congé</t>
  </si>
  <si>
    <t>Maladie</t>
  </si>
  <si>
    <t>Congé</t>
  </si>
  <si>
    <t>Décès</t>
  </si>
  <si>
    <t>Congé sans Solde</t>
  </si>
  <si>
    <t>Obligation
militaires</t>
  </si>
  <si>
    <t>Activités
Judiciaires</t>
  </si>
  <si>
    <t>Congé 
parental</t>
  </si>
  <si>
    <t>du :</t>
  </si>
  <si>
    <t>Date :</t>
  </si>
  <si>
    <t>au :</t>
  </si>
  <si>
    <t>Motif :</t>
  </si>
  <si>
    <t xml:space="preserve">Vous devez soumettre vos demandes de congé (à l'exception des congés maladie) 30 jours avant leur date effective. </t>
  </si>
  <si>
    <t>Signature de l'employé</t>
  </si>
  <si>
    <t>Décision du responsable</t>
  </si>
  <si>
    <t>Accordé</t>
  </si>
  <si>
    <t>Refusé</t>
  </si>
  <si>
    <t>Commentaires :</t>
  </si>
  <si>
    <t>Signature du responsable</t>
  </si>
  <si>
    <t>MCVS TRAVEL - ULYSSE</t>
  </si>
  <si>
    <t>Nom de l'employé :</t>
  </si>
  <si>
    <t>Responsable :</t>
  </si>
  <si>
    <t>Type de congé :</t>
  </si>
  <si>
    <t>reste</t>
  </si>
  <si>
    <t>mois plein</t>
  </si>
  <si>
    <t>mois travaillés</t>
  </si>
  <si>
    <t>total jours</t>
  </si>
  <si>
    <t>jours congé</t>
  </si>
  <si>
    <t>Eric</t>
  </si>
  <si>
    <t>BERTRAND</t>
  </si>
  <si>
    <t>novembre-14</t>
  </si>
  <si>
    <t>Congé Pris</t>
  </si>
  <si>
    <t>Début congé</t>
  </si>
  <si>
    <t>Fin Congé inclus</t>
  </si>
  <si>
    <t>Mois Début</t>
  </si>
  <si>
    <t>mois aquit</t>
  </si>
  <si>
    <t>Total jours</t>
  </si>
  <si>
    <t>Décompte</t>
  </si>
  <si>
    <t>Décompte sur jours de congé</t>
  </si>
  <si>
    <t>Jours Décomptés</t>
  </si>
  <si>
    <t>Position Curseur</t>
  </si>
  <si>
    <t>mentionner le chemin du fichier de Sauvegarde</t>
  </si>
  <si>
    <t>mentionner le chemin d'enregistrement des différents fichiers</t>
  </si>
  <si>
    <t>Chemin Avant envoi :</t>
  </si>
  <si>
    <t>Chemin de Sauvegarde :</t>
  </si>
  <si>
    <t>St Maure ou Chinon</t>
  </si>
  <si>
    <t>Conso mensuelle</t>
  </si>
  <si>
    <t>Prix moyen litre</t>
  </si>
  <si>
    <t>A remplir pour la conso Véhicule</t>
  </si>
  <si>
    <t>Dernier Km/Ess</t>
  </si>
  <si>
    <t>Observation - Impact sur temps retenu départ et retour Domicile</t>
  </si>
  <si>
    <t>Recap mois</t>
  </si>
  <si>
    <t>Lundi</t>
  </si>
  <si>
    <t>Mardi</t>
  </si>
  <si>
    <t>Mercredi</t>
  </si>
  <si>
    <t>Jeudi</t>
  </si>
  <si>
    <t>Vendredi</t>
  </si>
  <si>
    <t>Samedi</t>
  </si>
  <si>
    <t>Dimanche</t>
  </si>
  <si>
    <t>Fermeture centre</t>
  </si>
  <si>
    <t>mot de passe : 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</si>
</sst>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164" formatCode="0#"/>
    <numFmt numFmtId="165" formatCode="h:mm;@"/>
    <numFmt numFmtId="166" formatCode="#,##0.00\ &quot;€&quot;"/>
    <numFmt numFmtId="167" formatCode="dd\ mmm"/>
    <numFmt numFmtId="168" formatCode="mmmm"/>
    <numFmt numFmtId="169" formatCode="&quot;S &quot;0"/>
    <numFmt numFmtId="170" formatCode="dddd"/>
    <numFmt numFmtId="171" formatCode="[h]:mm;@"/>
    <numFmt numFmtId="172" formatCode="0;\-0;;@"/>
    <numFmt numFmtId="173" formatCode="0.000"/>
    <numFmt numFmtId="174" formatCode="0\-"/>
    <numFmt numFmtId="175" formatCode="###,###&quot;Km&quot;"/>
    <numFmt numFmtId="176" formatCode="\ #,##0"/>
    <numFmt numFmtId="177" formatCode="dd"/>
    <numFmt numFmtId="178" formatCode="dd\.mm\.yyyy;@"/>
    <numFmt numFmtId="179" formatCode="&quot;du&quot;\ dd\-mm\ &quot;au&quot;"/>
    <numFmt numFmtId="180" formatCode="dd\-mm\-yyyy"/>
    <numFmt numFmtId="181" formatCode="mmmm\-yyyy"/>
    <numFmt numFmtId="182" formatCode="[$-40C]d\-mmm;@"/>
    <numFmt numFmtId="183" formatCode="dd\-mmmm"/>
    <numFmt numFmtId="184" formatCode="ddd\-dd\-mmm\-yy"/>
    <numFmt numFmtId="185" formatCode="&quot;Prix :&quot;\ 0.00\ &quot;€&quot;"/>
    <numFmt numFmtId="186" formatCode="&quot;Km :&quot;\ #,##0"/>
    <numFmt numFmtId="187" formatCode="@\ &quot;-1&quot;"/>
    <numFmt numFmtId="188" formatCode="@\ &quot;-2&quot;"/>
    <numFmt numFmtId="189" formatCode="@\ &quot;-3&quot;"/>
    <numFmt numFmtId="190" formatCode="@\ &quot;-4&quot;"/>
    <numFmt numFmtId="191" formatCode="dd\-mmmm\-yyyy"/>
    <numFmt numFmtId="192" formatCode="mmmm\-yy"/>
    <numFmt numFmtId="193" formatCode="[$-40C]d\ mmmm\ yyyy;@"/>
    <numFmt numFmtId="194" formatCode="0.00&quot;/100 Km&quot;"/>
    <numFmt numFmtId="195" formatCode="#,##0.000\ &quot;€&quot;&quot;/l&quot;"/>
    <numFmt numFmtId="196" formatCode="#,##0.00&quot; L&quot;"/>
    <numFmt numFmtId="197" formatCode="#,##0&quot; Km&quot;"/>
  </numFmts>
  <fonts count="8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b/>
      <i/>
      <sz val="12"/>
      <name val="Times New Roman"/>
      <family val="1"/>
    </font>
    <font>
      <b/>
      <sz val="28"/>
      <name val="Times New Roman"/>
      <family val="1"/>
    </font>
    <font>
      <sz val="28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b/>
      <i/>
      <sz val="10"/>
      <name val="Times New Roman"/>
      <family val="1"/>
    </font>
    <font>
      <b/>
      <i/>
      <sz val="12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4"/>
      <name val="Bradley Hand ITC"/>
      <family val="4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imes New Roman"/>
      <family val="1"/>
    </font>
    <font>
      <sz val="36"/>
      <name val="Times New Roman"/>
      <family val="1"/>
    </font>
    <font>
      <sz val="8"/>
      <color theme="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Calibri"/>
      <family val="2"/>
      <scheme val="minor"/>
    </font>
    <font>
      <b/>
      <sz val="16"/>
      <name val="Times New Roman"/>
      <family val="1"/>
    </font>
    <font>
      <sz val="11"/>
      <color theme="1"/>
      <name val="Calibri"/>
      <family val="2"/>
      <scheme val="minor"/>
    </font>
    <font>
      <b/>
      <sz val="24"/>
      <color theme="1"/>
      <name val="Lucida Sans"/>
      <family val="2"/>
    </font>
    <font>
      <b/>
      <sz val="9"/>
      <color theme="1"/>
      <name val="Constantia"/>
      <family val="1"/>
    </font>
    <font>
      <b/>
      <sz val="12"/>
      <color theme="1"/>
      <name val="Courier New"/>
      <family val="3"/>
    </font>
    <font>
      <b/>
      <sz val="16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stellar"/>
      <family val="1"/>
    </font>
    <font>
      <b/>
      <u/>
      <sz val="12"/>
      <name val="Times New Roman"/>
      <family val="1"/>
    </font>
    <font>
      <sz val="2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0"/>
      <color rgb="FFFF0000"/>
      <name val="Times New Roman"/>
      <family val="1"/>
    </font>
    <font>
      <b/>
      <i/>
      <u/>
      <sz val="10"/>
      <name val="Times New Roman"/>
      <family val="1"/>
    </font>
    <font>
      <b/>
      <i/>
      <sz val="10"/>
      <color rgb="FF00B050"/>
      <name val="Times New Roman"/>
      <family val="1"/>
    </font>
    <font>
      <b/>
      <i/>
      <sz val="11"/>
      <color rgb="FF00B050"/>
      <name val="Calibri"/>
      <family val="2"/>
      <scheme val="minor"/>
    </font>
    <font>
      <b/>
      <i/>
      <sz val="10"/>
      <color rgb="FFC00000"/>
      <name val="Times New Roman"/>
      <family val="1"/>
    </font>
    <font>
      <b/>
      <i/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Times New Roman"/>
      <family val="1"/>
    </font>
    <font>
      <b/>
      <sz val="11"/>
      <color rgb="FFFFFF00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.8000000000000007"/>
      <color rgb="FF000000"/>
      <name val="Verdana"/>
      <family val="2"/>
    </font>
    <font>
      <sz val="8"/>
      <color rgb="FF000000"/>
      <name val="Verdana"/>
      <family val="2"/>
    </font>
    <font>
      <sz val="11"/>
      <color rgb="FF444444"/>
      <name val="Ubuntu"/>
    </font>
    <font>
      <sz val="11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9"/>
      <name val="Times New Roman"/>
      <family val="1"/>
    </font>
    <font>
      <b/>
      <i/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i/>
      <sz val="16"/>
      <name val="Times New Roman"/>
      <family val="1"/>
    </font>
    <font>
      <b/>
      <sz val="12"/>
      <color rgb="FFFF0000"/>
      <name val="Calibri"/>
      <family val="2"/>
      <scheme val="minor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26"/>
      <color rgb="FFE9383F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CECECE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FF0000"/>
      <name val="Times New Roman"/>
      <family val="1"/>
    </font>
    <font>
      <b/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F3C"/>
        <bgColor indexed="64"/>
      </patternFill>
    </fill>
    <fill>
      <patternFill patternType="solid">
        <fgColor rgb="FFCECECE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39997558519241921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medium">
        <color indexed="64"/>
      </right>
      <top style="double">
        <color indexed="64"/>
      </top>
      <bottom style="mediumDashed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27" fillId="0" borderId="0"/>
    <xf numFmtId="0" fontId="14" fillId="0" borderId="0"/>
    <xf numFmtId="9" fontId="27" fillId="0" borderId="0" applyFont="0" applyFill="0" applyBorder="0" applyAlignment="0" applyProtection="0"/>
  </cellStyleXfs>
  <cellXfs count="965">
    <xf numFmtId="0" fontId="0" fillId="0" borderId="0" xfId="0"/>
    <xf numFmtId="0" fontId="0" fillId="0" borderId="0" xfId="0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1" fontId="3" fillId="0" borderId="0" xfId="0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Continuous" vertical="top"/>
    </xf>
    <xf numFmtId="49" fontId="3" fillId="0" borderId="0" xfId="0" applyNumberFormat="1" applyFont="1" applyBorder="1" applyAlignment="1" applyProtection="1">
      <alignment horizontal="right" vertical="center"/>
    </xf>
    <xf numFmtId="0" fontId="0" fillId="0" borderId="0" xfId="0" applyProtection="1"/>
    <xf numFmtId="14" fontId="0" fillId="0" borderId="0" xfId="0" applyNumberFormat="1" applyBorder="1" applyAlignment="1" applyProtection="1">
      <alignment vertical="center"/>
    </xf>
    <xf numFmtId="0" fontId="15" fillId="0" borderId="0" xfId="0" applyFont="1" applyBorder="1" applyAlignment="1" applyProtection="1">
      <alignment horizontal="centerContinuous" vertical="top"/>
    </xf>
    <xf numFmtId="0" fontId="23" fillId="0" borderId="0" xfId="0" applyFont="1" applyBorder="1" applyAlignment="1" applyProtection="1">
      <alignment horizontal="center" vertical="center"/>
    </xf>
    <xf numFmtId="0" fontId="3" fillId="0" borderId="38" xfId="0" applyFont="1" applyBorder="1" applyAlignment="1" applyProtection="1">
      <alignment vertical="center"/>
    </xf>
    <xf numFmtId="0" fontId="0" fillId="0" borderId="58" xfId="0" applyBorder="1" applyAlignment="1" applyProtection="1">
      <alignment vertical="center"/>
    </xf>
    <xf numFmtId="0" fontId="21" fillId="0" borderId="40" xfId="0" applyFont="1" applyBorder="1" applyAlignment="1" applyProtection="1">
      <alignment horizontal="center" vertical="center"/>
    </xf>
    <xf numFmtId="0" fontId="27" fillId="0" borderId="0" xfId="1" applyProtection="1"/>
    <xf numFmtId="0" fontId="14" fillId="0" borderId="0" xfId="2" applyProtection="1"/>
    <xf numFmtId="170" fontId="32" fillId="7" borderId="62" xfId="1" applyNumberFormat="1" applyFont="1" applyFill="1" applyBorder="1" applyAlignment="1" applyProtection="1">
      <alignment horizontal="center" vertical="center"/>
    </xf>
    <xf numFmtId="0" fontId="34" fillId="6" borderId="29" xfId="1" applyNumberFormat="1" applyFont="1" applyFill="1" applyBorder="1" applyAlignment="1" applyProtection="1">
      <alignment horizontal="center"/>
    </xf>
    <xf numFmtId="0" fontId="4" fillId="0" borderId="28" xfId="2" applyFont="1" applyBorder="1" applyProtection="1"/>
    <xf numFmtId="0" fontId="0" fillId="0" borderId="25" xfId="1" applyFont="1" applyBorder="1" applyAlignment="1" applyProtection="1">
      <alignment horizontal="center" vertical="center" wrapText="1"/>
    </xf>
    <xf numFmtId="0" fontId="0" fillId="0" borderId="9" xfId="1" applyFont="1" applyBorder="1" applyAlignment="1" applyProtection="1">
      <alignment horizontal="center" vertical="center" wrapText="1"/>
    </xf>
    <xf numFmtId="49" fontId="0" fillId="0" borderId="0" xfId="0" applyNumberFormat="1" applyProtection="1"/>
    <xf numFmtId="0" fontId="0" fillId="0" borderId="0" xfId="0" applyBorder="1" applyAlignment="1" applyProtection="1">
      <alignment horizontal="center" vertical="center"/>
    </xf>
    <xf numFmtId="171" fontId="12" fillId="3" borderId="5" xfId="0" applyNumberFormat="1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 wrapText="1"/>
    </xf>
    <xf numFmtId="173" fontId="12" fillId="3" borderId="5" xfId="0" applyNumberFormat="1" applyFont="1" applyFill="1" applyBorder="1" applyAlignment="1" applyProtection="1">
      <alignment horizontal="center" vertical="center"/>
    </xf>
    <xf numFmtId="173" fontId="12" fillId="3" borderId="54" xfId="0" applyNumberFormat="1" applyFont="1" applyFill="1" applyBorder="1" applyAlignment="1" applyProtection="1">
      <alignment horizontal="center" vertical="center"/>
    </xf>
    <xf numFmtId="173" fontId="42" fillId="3" borderId="5" xfId="0" applyNumberFormat="1" applyFont="1" applyFill="1" applyBorder="1" applyAlignment="1" applyProtection="1">
      <alignment horizontal="center" vertical="center"/>
    </xf>
    <xf numFmtId="173" fontId="12" fillId="3" borderId="74" xfId="0" applyNumberFormat="1" applyFont="1" applyFill="1" applyBorder="1" applyAlignment="1" applyProtection="1">
      <alignment horizontal="center" vertical="center"/>
    </xf>
    <xf numFmtId="173" fontId="44" fillId="3" borderId="5" xfId="0" applyNumberFormat="1" applyFont="1" applyFill="1" applyBorder="1" applyAlignment="1" applyProtection="1">
      <alignment horizontal="center" vertical="center"/>
    </xf>
    <xf numFmtId="166" fontId="12" fillId="3" borderId="75" xfId="0" applyNumberFormat="1" applyFont="1" applyFill="1" applyBorder="1" applyAlignment="1" applyProtection="1">
      <alignment vertical="center"/>
    </xf>
    <xf numFmtId="0" fontId="0" fillId="0" borderId="0" xfId="0" applyAlignment="1" applyProtection="1"/>
    <xf numFmtId="0" fontId="4" fillId="3" borderId="0" xfId="0" quotePrefix="1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12" borderId="5" xfId="0" applyFont="1" applyFill="1" applyBorder="1" applyAlignment="1" applyProtection="1">
      <alignment horizontal="center" vertical="center"/>
    </xf>
    <xf numFmtId="0" fontId="7" fillId="10" borderId="5" xfId="0" applyFont="1" applyFill="1" applyBorder="1" applyAlignment="1" applyProtection="1">
      <alignment horizontal="center" vertical="center"/>
    </xf>
    <xf numFmtId="176" fontId="3" fillId="2" borderId="0" xfId="0" applyNumberFormat="1" applyFont="1" applyFill="1" applyBorder="1" applyAlignment="1" applyProtection="1">
      <alignment horizontal="center" vertical="center"/>
    </xf>
    <xf numFmtId="0" fontId="52" fillId="3" borderId="26" xfId="0" applyFont="1" applyFill="1" applyBorder="1" applyAlignment="1" applyProtection="1">
      <alignment vertical="center" wrapText="1"/>
    </xf>
    <xf numFmtId="0" fontId="52" fillId="3" borderId="0" xfId="0" applyFont="1" applyFill="1" applyBorder="1" applyAlignment="1" applyProtection="1">
      <alignment vertical="center" wrapText="1"/>
    </xf>
    <xf numFmtId="49" fontId="52" fillId="3" borderId="0" xfId="0" applyNumberFormat="1" applyFont="1" applyFill="1" applyBorder="1" applyAlignment="1" applyProtection="1">
      <alignment vertical="center" wrapText="1"/>
    </xf>
    <xf numFmtId="0" fontId="52" fillId="3" borderId="0" xfId="0" quotePrefix="1" applyFont="1" applyFill="1" applyBorder="1" applyAlignment="1" applyProtection="1">
      <alignment vertical="center" wrapText="1"/>
    </xf>
    <xf numFmtId="0" fontId="23" fillId="3" borderId="0" xfId="0" applyFont="1" applyFill="1" applyBorder="1" applyAlignment="1" applyProtection="1">
      <alignment vertical="center" wrapText="1"/>
    </xf>
    <xf numFmtId="0" fontId="23" fillId="3" borderId="20" xfId="0" applyFont="1" applyFill="1" applyBorder="1" applyAlignment="1" applyProtection="1">
      <alignment vertical="center" wrapText="1"/>
    </xf>
    <xf numFmtId="0" fontId="52" fillId="3" borderId="40" xfId="0" applyFont="1" applyFill="1" applyBorder="1" applyAlignment="1" applyProtection="1">
      <alignment vertical="center" wrapText="1"/>
    </xf>
    <xf numFmtId="0" fontId="52" fillId="3" borderId="46" xfId="0" applyFont="1" applyFill="1" applyBorder="1" applyAlignment="1" applyProtection="1">
      <alignment vertical="center" wrapText="1"/>
    </xf>
    <xf numFmtId="49" fontId="52" fillId="3" borderId="46" xfId="0" applyNumberFormat="1" applyFont="1" applyFill="1" applyBorder="1" applyAlignment="1" applyProtection="1">
      <alignment vertical="center" wrapText="1"/>
    </xf>
    <xf numFmtId="0" fontId="52" fillId="3" borderId="46" xfId="0" quotePrefix="1" applyFont="1" applyFill="1" applyBorder="1" applyAlignment="1" applyProtection="1">
      <alignment vertical="center" wrapText="1"/>
    </xf>
    <xf numFmtId="0" fontId="23" fillId="3" borderId="46" xfId="0" applyFont="1" applyFill="1" applyBorder="1" applyAlignment="1" applyProtection="1">
      <alignment vertical="center" wrapText="1"/>
    </xf>
    <xf numFmtId="0" fontId="23" fillId="3" borderId="41" xfId="0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48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47" fillId="0" borderId="0" xfId="0" applyFont="1" applyAlignment="1" applyProtection="1">
      <alignment horizontal="left" vertical="center"/>
    </xf>
    <xf numFmtId="14" fontId="17" fillId="0" borderId="0" xfId="0" applyNumberFormat="1" applyFont="1" applyAlignment="1" applyProtection="1">
      <alignment horizontal="center" vertical="center"/>
    </xf>
    <xf numFmtId="0" fontId="31" fillId="0" borderId="0" xfId="0" applyFont="1" applyAlignment="1" applyProtection="1">
      <alignment vertical="center"/>
    </xf>
    <xf numFmtId="0" fontId="0" fillId="0" borderId="4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171" fontId="44" fillId="3" borderId="8" xfId="0" applyNumberFormat="1" applyFont="1" applyFill="1" applyBorder="1" applyAlignment="1" applyProtection="1">
      <alignment horizontal="center" vertical="center"/>
    </xf>
    <xf numFmtId="0" fontId="0" fillId="5" borderId="5" xfId="0" applyFill="1" applyBorder="1" applyProtection="1"/>
    <xf numFmtId="0" fontId="0" fillId="0" borderId="4" xfId="0" applyBorder="1" applyAlignment="1">
      <alignment vertical="center"/>
    </xf>
    <xf numFmtId="0" fontId="0" fillId="0" borderId="3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horizontal="center" vertical="center"/>
    </xf>
    <xf numFmtId="0" fontId="0" fillId="0" borderId="82" xfId="0" applyBorder="1" applyAlignment="1" applyProtection="1">
      <alignment vertical="center"/>
    </xf>
    <xf numFmtId="0" fontId="51" fillId="0" borderId="5" xfId="0" applyFont="1" applyBorder="1" applyAlignment="1" applyProtection="1">
      <alignment horizontal="center" vertical="center"/>
    </xf>
    <xf numFmtId="0" fontId="51" fillId="0" borderId="0" xfId="0" applyFont="1" applyBorder="1" applyAlignment="1" applyProtection="1">
      <alignment horizontal="center" vertical="center"/>
    </xf>
    <xf numFmtId="0" fontId="53" fillId="14" borderId="4" xfId="0" applyFont="1" applyFill="1" applyBorder="1" applyProtection="1"/>
    <xf numFmtId="0" fontId="53" fillId="14" borderId="5" xfId="0" applyFont="1" applyFill="1" applyBorder="1" applyProtection="1"/>
    <xf numFmtId="0" fontId="25" fillId="0" borderId="6" xfId="0" applyFont="1" applyBorder="1" applyAlignment="1" applyProtection="1">
      <alignment horizontal="center" vertical="center"/>
    </xf>
    <xf numFmtId="170" fontId="0" fillId="13" borderId="5" xfId="0" applyNumberFormat="1" applyFill="1" applyBorder="1" applyAlignment="1" applyProtection="1">
      <alignment horizontal="center" vertical="center"/>
    </xf>
    <xf numFmtId="177" fontId="0" fillId="13" borderId="5" xfId="0" applyNumberFormat="1" applyFill="1" applyBorder="1" applyAlignment="1" applyProtection="1">
      <alignment horizontal="center" vertical="center"/>
    </xf>
    <xf numFmtId="168" fontId="0" fillId="13" borderId="5" xfId="0" applyNumberForma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20" fillId="3" borderId="4" xfId="0" applyFont="1" applyFill="1" applyBorder="1" applyProtection="1"/>
    <xf numFmtId="0" fontId="20" fillId="3" borderId="5" xfId="0" applyFont="1" applyFill="1" applyBorder="1" applyProtection="1"/>
    <xf numFmtId="0" fontId="54" fillId="14" borderId="4" xfId="0" applyFont="1" applyFill="1" applyBorder="1" applyProtection="1"/>
    <xf numFmtId="0" fontId="54" fillId="14" borderId="5" xfId="0" applyFont="1" applyFill="1" applyBorder="1" applyProtection="1"/>
    <xf numFmtId="0" fontId="0" fillId="4" borderId="4" xfId="0" applyFill="1" applyBorder="1" applyAlignment="1" applyProtection="1">
      <alignment horizontal="center" vertical="center"/>
    </xf>
    <xf numFmtId="0" fontId="55" fillId="8" borderId="7" xfId="0" applyFont="1" applyFill="1" applyBorder="1" applyProtection="1"/>
    <xf numFmtId="0" fontId="55" fillId="8" borderId="8" xfId="0" applyFont="1" applyFill="1" applyBorder="1" applyProtection="1"/>
    <xf numFmtId="0" fontId="0" fillId="13" borderId="4" xfId="0" applyFill="1" applyBorder="1" applyAlignment="1" applyProtection="1">
      <alignment horizontal="center" vertical="center"/>
    </xf>
    <xf numFmtId="0" fontId="51" fillId="0" borderId="6" xfId="0" applyFont="1" applyBorder="1" applyAlignment="1" applyProtection="1">
      <alignment horizontal="center" vertical="center"/>
    </xf>
    <xf numFmtId="14" fontId="0" fillId="4" borderId="5" xfId="0" applyNumberFormat="1" applyFill="1" applyBorder="1" applyAlignment="1" applyProtection="1">
      <alignment horizontal="center" vertical="center"/>
    </xf>
    <xf numFmtId="178" fontId="0" fillId="4" borderId="5" xfId="0" applyNumberFormat="1" applyFill="1" applyBorder="1" applyAlignment="1" applyProtection="1">
      <alignment horizontal="center" vertical="center"/>
    </xf>
    <xf numFmtId="168" fontId="19" fillId="4" borderId="5" xfId="0" applyNumberFormat="1" applyFont="1" applyFill="1" applyBorder="1" applyAlignment="1" applyProtection="1">
      <alignment horizontal="center" vertical="center"/>
    </xf>
    <xf numFmtId="0" fontId="0" fillId="10" borderId="4" xfId="0" applyFill="1" applyBorder="1" applyAlignment="1" applyProtection="1">
      <alignment horizontal="center" vertical="center"/>
    </xf>
    <xf numFmtId="49" fontId="0" fillId="6" borderId="5" xfId="0" applyNumberFormat="1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/>
    </xf>
    <xf numFmtId="0" fontId="0" fillId="10" borderId="8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0" fontId="0" fillId="0" borderId="59" xfId="0" applyBorder="1" applyAlignment="1" applyProtection="1">
      <alignment horizontal="center" vertical="center"/>
    </xf>
    <xf numFmtId="0" fontId="51" fillId="0" borderId="6" xfId="0" applyFont="1" applyBorder="1" applyAlignment="1" applyProtection="1">
      <alignment horizontal="left" vertical="center"/>
    </xf>
    <xf numFmtId="0" fontId="57" fillId="0" borderId="6" xfId="0" applyFont="1" applyBorder="1" applyAlignment="1" applyProtection="1">
      <alignment horizontal="left" vertical="center"/>
    </xf>
    <xf numFmtId="0" fontId="0" fillId="0" borderId="49" xfId="0" applyBorder="1" applyAlignment="1" applyProtection="1">
      <alignment horizontal="center" vertical="center"/>
    </xf>
    <xf numFmtId="0" fontId="57" fillId="0" borderId="9" xfId="0" applyFont="1" applyBorder="1" applyAlignment="1" applyProtection="1">
      <alignment horizontal="left" vertical="center"/>
    </xf>
    <xf numFmtId="0" fontId="0" fillId="5" borderId="87" xfId="0" applyFill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56" fillId="0" borderId="0" xfId="0" applyFont="1" applyAlignment="1" applyProtection="1">
      <alignment vertical="center"/>
    </xf>
    <xf numFmtId="14" fontId="0" fillId="4" borderId="4" xfId="0" applyNumberFormat="1" applyFill="1" applyBorder="1" applyAlignment="1" applyProtection="1">
      <alignment horizontal="center" vertical="center"/>
    </xf>
    <xf numFmtId="14" fontId="0" fillId="4" borderId="7" xfId="0" applyNumberFormat="1" applyFill="1" applyBorder="1" applyAlignment="1" applyProtection="1">
      <alignment horizontal="center" vertical="center"/>
    </xf>
    <xf numFmtId="14" fontId="0" fillId="4" borderId="8" xfId="0" applyNumberFormat="1" applyFill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/>
    </xf>
    <xf numFmtId="0" fontId="37" fillId="0" borderId="61" xfId="0" applyFont="1" applyBorder="1" applyAlignment="1" applyProtection="1">
      <alignment horizontal="center" vertical="center"/>
    </xf>
    <xf numFmtId="0" fontId="37" fillId="0" borderId="59" xfId="0" applyFont="1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5" borderId="27" xfId="0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5" borderId="51" xfId="0" applyFill="1" applyBorder="1" applyAlignment="1" applyProtection="1">
      <alignment horizontal="center" vertical="center"/>
    </xf>
    <xf numFmtId="0" fontId="0" fillId="6" borderId="5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54" xfId="0" applyBorder="1" applyAlignment="1" applyProtection="1">
      <alignment vertical="center"/>
    </xf>
    <xf numFmtId="0" fontId="0" fillId="0" borderId="57" xfId="0" applyBorder="1" applyAlignment="1" applyProtection="1">
      <alignment horizontal="center" vertical="center"/>
    </xf>
    <xf numFmtId="0" fontId="0" fillId="0" borderId="90" xfId="0" applyBorder="1" applyAlignment="1" applyProtection="1">
      <alignment horizontal="center" vertical="center"/>
    </xf>
    <xf numFmtId="0" fontId="31" fillId="13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79" fontId="0" fillId="4" borderId="5" xfId="0" applyNumberFormat="1" applyFill="1" applyBorder="1" applyAlignment="1" applyProtection="1">
      <alignment horizontal="center" vertical="center"/>
    </xf>
    <xf numFmtId="180" fontId="0" fillId="4" borderId="5" xfId="0" applyNumberForma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3" borderId="14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5" fillId="0" borderId="3" xfId="0" applyFont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11" borderId="7" xfId="0" applyFill="1" applyBorder="1" applyAlignment="1" applyProtection="1">
      <alignment horizontal="center" vertical="center"/>
    </xf>
    <xf numFmtId="0" fontId="25" fillId="0" borderId="9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8" fillId="0" borderId="0" xfId="0" applyFont="1"/>
    <xf numFmtId="0" fontId="0" fillId="0" borderId="87" xfId="0" applyBorder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0" fillId="5" borderId="57" xfId="0" applyFill="1" applyBorder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9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 applyProtection="1">
      <alignment horizontal="left" vertical="center"/>
    </xf>
    <xf numFmtId="0" fontId="51" fillId="0" borderId="3" xfId="0" applyFont="1" applyBorder="1" applyAlignment="1" applyProtection="1">
      <alignment horizontal="left" vertical="center"/>
    </xf>
    <xf numFmtId="181" fontId="0" fillId="4" borderId="47" xfId="0" applyNumberFormat="1" applyFill="1" applyBorder="1" applyAlignment="1" applyProtection="1">
      <alignment horizontal="center" vertical="center"/>
    </xf>
    <xf numFmtId="181" fontId="0" fillId="4" borderId="48" xfId="0" applyNumberFormat="1" applyFill="1" applyBorder="1" applyAlignment="1" applyProtection="1">
      <alignment horizontal="center" vertical="center"/>
    </xf>
    <xf numFmtId="181" fontId="0" fillId="4" borderId="49" xfId="0" applyNumberFormat="1" applyFill="1" applyBorder="1" applyAlignment="1" applyProtection="1">
      <alignment horizontal="center" vertical="center"/>
    </xf>
    <xf numFmtId="181" fontId="0" fillId="15" borderId="48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1" fillId="0" borderId="26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13" borderId="48" xfId="0" applyFill="1" applyBorder="1" applyAlignment="1" applyProtection="1">
      <alignment horizontal="center" vertical="center"/>
    </xf>
    <xf numFmtId="0" fontId="0" fillId="13" borderId="49" xfId="0" applyFill="1" applyBorder="1" applyAlignment="1" applyProtection="1">
      <alignment horizontal="center" vertical="center"/>
    </xf>
    <xf numFmtId="0" fontId="25" fillId="0" borderId="16" xfId="0" applyFont="1" applyBorder="1" applyAlignment="1" applyProtection="1">
      <alignment horizontal="center" vertical="center"/>
    </xf>
    <xf numFmtId="0" fontId="0" fillId="0" borderId="82" xfId="0" applyBorder="1" applyAlignment="1" applyProtection="1">
      <alignment horizontal="center" vertical="center"/>
    </xf>
    <xf numFmtId="0" fontId="0" fillId="5" borderId="47" xfId="0" applyFill="1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170" fontId="0" fillId="0" borderId="0" xfId="0" applyNumberFormat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Alignment="1" applyProtection="1">
      <alignment horizontal="center" vertical="center"/>
    </xf>
    <xf numFmtId="168" fontId="3" fillId="0" borderId="0" xfId="0" applyNumberFormat="1" applyFont="1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5" borderId="38" xfId="0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center" vertical="center"/>
    </xf>
    <xf numFmtId="0" fontId="19" fillId="5" borderId="29" xfId="0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0" fontId="0" fillId="13" borderId="4" xfId="0" applyNumberFormat="1" applyFill="1" applyBorder="1" applyAlignment="1" applyProtection="1">
      <alignment horizontal="left" vertical="center"/>
    </xf>
    <xf numFmtId="181" fontId="0" fillId="4" borderId="5" xfId="0" applyNumberFormat="1" applyFill="1" applyBorder="1" applyAlignment="1" applyProtection="1">
      <alignment horizontal="left" vertical="center"/>
    </xf>
    <xf numFmtId="170" fontId="0" fillId="4" borderId="6" xfId="0" applyNumberFormat="1" applyFill="1" applyBorder="1" applyAlignment="1" applyProtection="1">
      <alignment horizontal="left" vertical="center"/>
    </xf>
    <xf numFmtId="0" fontId="0" fillId="13" borderId="5" xfId="0" applyNumberFormat="1" applyFill="1" applyBorder="1" applyAlignment="1" applyProtection="1">
      <alignment horizontal="left" vertical="center"/>
    </xf>
    <xf numFmtId="16" fontId="0" fillId="13" borderId="63" xfId="0" applyNumberFormat="1" applyFill="1" applyBorder="1" applyAlignment="1" applyProtection="1">
      <alignment horizontal="left" vertical="center"/>
    </xf>
    <xf numFmtId="16" fontId="0" fillId="13" borderId="22" xfId="0" applyNumberFormat="1" applyFill="1" applyBorder="1" applyAlignment="1" applyProtection="1">
      <alignment horizontal="left" vertical="center"/>
    </xf>
    <xf numFmtId="2" fontId="0" fillId="0" borderId="5" xfId="0" applyNumberFormat="1" applyFill="1" applyBorder="1" applyAlignment="1" applyProtection="1">
      <alignment horizontal="center" vertical="center" wrapText="1"/>
    </xf>
    <xf numFmtId="171" fontId="15" fillId="4" borderId="5" xfId="0" applyNumberFormat="1" applyFont="1" applyFill="1" applyBorder="1" applyAlignment="1" applyProtection="1">
      <alignment horizontal="center" vertical="center" wrapText="1"/>
    </xf>
    <xf numFmtId="2" fontId="24" fillId="0" borderId="5" xfId="0" applyNumberFormat="1" applyFont="1" applyFill="1" applyBorder="1" applyAlignment="1" applyProtection="1">
      <alignment vertical="center" wrapText="1"/>
    </xf>
    <xf numFmtId="2" fontId="15" fillId="3" borderId="5" xfId="0" applyNumberFormat="1" applyFont="1" applyFill="1" applyBorder="1" applyAlignment="1" applyProtection="1">
      <alignment horizontal="center" vertical="center" wrapText="1"/>
    </xf>
    <xf numFmtId="183" fontId="60" fillId="3" borderId="5" xfId="0" applyNumberFormat="1" applyFont="1" applyFill="1" applyBorder="1" applyAlignment="1" applyProtection="1">
      <alignment horizontal="center" vertical="center"/>
    </xf>
    <xf numFmtId="183" fontId="60" fillId="4" borderId="5" xfId="0" applyNumberFormat="1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1" fillId="4" borderId="5" xfId="0" applyFont="1" applyFill="1" applyBorder="1" applyAlignment="1" applyProtection="1">
      <alignment vertical="center"/>
    </xf>
    <xf numFmtId="184" fontId="0" fillId="4" borderId="11" xfId="0" applyNumberFormat="1" applyFill="1" applyBorder="1" applyAlignment="1" applyProtection="1">
      <alignment horizontal="center" vertical="center"/>
    </xf>
    <xf numFmtId="184" fontId="0" fillId="4" borderId="15" xfId="0" applyNumberFormat="1" applyFill="1" applyBorder="1" applyAlignment="1" applyProtection="1">
      <alignment horizontal="center" vertical="center"/>
    </xf>
    <xf numFmtId="184" fontId="0" fillId="4" borderId="25" xfId="0" applyNumberForma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5" xfId="0" applyBorder="1" applyProtection="1"/>
    <xf numFmtId="0" fontId="0" fillId="0" borderId="5" xfId="0" applyBorder="1" applyAlignment="1" applyProtection="1"/>
    <xf numFmtId="0" fontId="0" fillId="4" borderId="54" xfId="0" applyFill="1" applyBorder="1" applyAlignment="1" applyProtection="1">
      <alignment vertical="center"/>
    </xf>
    <xf numFmtId="182" fontId="0" fillId="4" borderId="54" xfId="0" applyNumberFormat="1" applyFill="1" applyBorder="1" applyAlignment="1" applyProtection="1">
      <alignment horizontal="center" vertical="center"/>
    </xf>
    <xf numFmtId="0" fontId="4" fillId="4" borderId="54" xfId="0" applyFont="1" applyFill="1" applyBorder="1" applyAlignment="1" applyProtection="1">
      <alignment horizontal="center" vertical="center"/>
    </xf>
    <xf numFmtId="0" fontId="0" fillId="4" borderId="54" xfId="0" applyFill="1" applyBorder="1" applyAlignment="1" applyProtection="1">
      <alignment horizontal="center" vertical="center" wrapText="1"/>
    </xf>
    <xf numFmtId="171" fontId="15" fillId="4" borderId="54" xfId="0" applyNumberFormat="1" applyFont="1" applyFill="1" applyBorder="1" applyAlignment="1" applyProtection="1">
      <alignment horizontal="center" vertical="center" wrapText="1"/>
    </xf>
    <xf numFmtId="166" fontId="39" fillId="4" borderId="54" xfId="0" applyNumberFormat="1" applyFont="1" applyFill="1" applyBorder="1" applyAlignment="1" applyProtection="1">
      <alignment horizontal="center" vertical="center"/>
    </xf>
    <xf numFmtId="172" fontId="39" fillId="4" borderId="54" xfId="0" applyNumberFormat="1" applyFont="1" applyFill="1" applyBorder="1" applyAlignment="1" applyProtection="1">
      <alignment horizontal="center" vertical="center"/>
    </xf>
    <xf numFmtId="171" fontId="3" fillId="8" borderId="52" xfId="0" applyNumberFormat="1" applyFont="1" applyFill="1" applyBorder="1" applyAlignment="1" applyProtection="1">
      <alignment horizontal="center" vertical="center"/>
    </xf>
    <xf numFmtId="3" fontId="0" fillId="0" borderId="87" xfId="0" applyNumberFormat="1" applyFill="1" applyBorder="1" applyAlignment="1" applyProtection="1">
      <alignment horizontal="center" vertical="center"/>
    </xf>
    <xf numFmtId="166" fontId="0" fillId="0" borderId="87" xfId="0" applyNumberFormat="1" applyFill="1" applyBorder="1" applyAlignment="1" applyProtection="1">
      <alignment horizontal="center" vertical="center"/>
    </xf>
    <xf numFmtId="0" fontId="0" fillId="0" borderId="61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19" fillId="3" borderId="3" xfId="0" applyFont="1" applyFill="1" applyBorder="1" applyAlignment="1" applyProtection="1">
      <alignment horizontal="center" vertical="center" wrapText="1"/>
    </xf>
    <xf numFmtId="0" fontId="19" fillId="3" borderId="6" xfId="0" applyFont="1" applyFill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19" fillId="3" borderId="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3" xfId="0" applyFont="1" applyBorder="1" applyAlignment="1" applyProtection="1">
      <alignment horizontal="center" vertical="center"/>
    </xf>
    <xf numFmtId="0" fontId="19" fillId="3" borderId="22" xfId="0" applyFont="1" applyFill="1" applyBorder="1" applyAlignment="1" applyProtection="1">
      <alignment horizontal="center" vertical="center" wrapText="1"/>
    </xf>
    <xf numFmtId="0" fontId="0" fillId="0" borderId="54" xfId="0" applyBorder="1" applyProtection="1"/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187" fontId="0" fillId="0" borderId="62" xfId="0" applyNumberFormat="1" applyFont="1" applyBorder="1" applyAlignment="1" applyProtection="1">
      <alignment horizontal="center" vertical="center"/>
    </xf>
    <xf numFmtId="0" fontId="0" fillId="10" borderId="7" xfId="0" applyFill="1" applyBorder="1" applyAlignment="1" applyProtection="1">
      <alignment horizontal="center" vertical="center"/>
    </xf>
    <xf numFmtId="0" fontId="0" fillId="10" borderId="76" xfId="0" applyFill="1" applyBorder="1" applyAlignment="1" applyProtection="1">
      <alignment horizontal="center" vertical="center"/>
    </xf>
    <xf numFmtId="188" fontId="0" fillId="0" borderId="62" xfId="0" applyNumberFormat="1" applyFont="1" applyBorder="1" applyAlignment="1" applyProtection="1">
      <alignment horizontal="center" vertical="center"/>
    </xf>
    <xf numFmtId="189" fontId="0" fillId="0" borderId="62" xfId="0" applyNumberFormat="1" applyFont="1" applyBorder="1" applyAlignment="1" applyProtection="1">
      <alignment horizontal="center" vertical="center"/>
    </xf>
    <xf numFmtId="190" fontId="0" fillId="0" borderId="62" xfId="0" applyNumberFormat="1" applyFont="1" applyBorder="1" applyAlignment="1" applyProtection="1">
      <alignment horizontal="center" vertical="center"/>
    </xf>
    <xf numFmtId="2" fontId="0" fillId="0" borderId="63" xfId="0" applyNumberFormat="1" applyFill="1" applyBorder="1" applyAlignment="1" applyProtection="1">
      <alignment horizontal="center" vertical="center" wrapText="1"/>
    </xf>
    <xf numFmtId="2" fontId="63" fillId="4" borderId="5" xfId="0" applyNumberFormat="1" applyFont="1" applyFill="1" applyBorder="1" applyAlignment="1" applyProtection="1">
      <alignment horizontal="center" vertical="center" wrapText="1"/>
    </xf>
    <xf numFmtId="0" fontId="1" fillId="0" borderId="63" xfId="0" applyFont="1" applyBorder="1" applyAlignment="1" applyProtection="1">
      <alignment vertical="center"/>
    </xf>
    <xf numFmtId="183" fontId="60" fillId="3" borderId="63" xfId="0" applyNumberFormat="1" applyFont="1" applyFill="1" applyBorder="1" applyAlignment="1" applyProtection="1">
      <alignment horizontal="center" vertical="center"/>
    </xf>
    <xf numFmtId="20" fontId="11" fillId="3" borderId="4" xfId="0" applyNumberFormat="1" applyFont="1" applyFill="1" applyBorder="1" applyAlignment="1" applyProtection="1">
      <alignment horizontal="center" vertical="center" wrapText="1"/>
    </xf>
    <xf numFmtId="171" fontId="44" fillId="3" borderId="4" xfId="0" applyNumberFormat="1" applyFont="1" applyFill="1" applyBorder="1" applyAlignment="1" applyProtection="1">
      <alignment horizontal="center" vertical="center"/>
    </xf>
    <xf numFmtId="171" fontId="44" fillId="3" borderId="6" xfId="0" applyNumberFormat="1" applyFont="1" applyFill="1" applyBorder="1" applyAlignment="1" applyProtection="1">
      <alignment horizontal="center" vertical="center"/>
    </xf>
    <xf numFmtId="171" fontId="12" fillId="3" borderId="4" xfId="0" applyNumberFormat="1" applyFont="1" applyFill="1" applyBorder="1" applyAlignment="1" applyProtection="1">
      <alignment horizontal="center" vertical="center"/>
    </xf>
    <xf numFmtId="173" fontId="12" fillId="3" borderId="6" xfId="0" applyNumberFormat="1" applyFont="1" applyFill="1" applyBorder="1" applyAlignment="1" applyProtection="1">
      <alignment horizontal="center" vertical="center"/>
    </xf>
    <xf numFmtId="171" fontId="42" fillId="3" borderId="4" xfId="0" applyNumberFormat="1" applyFont="1" applyFill="1" applyBorder="1" applyAlignment="1" applyProtection="1">
      <alignment horizontal="center" vertical="center"/>
    </xf>
    <xf numFmtId="2" fontId="43" fillId="3" borderId="6" xfId="0" applyNumberFormat="1" applyFont="1" applyFill="1" applyBorder="1" applyAlignment="1" applyProtection="1">
      <alignment horizontal="center"/>
    </xf>
    <xf numFmtId="166" fontId="12" fillId="3" borderId="6" xfId="0" applyNumberFormat="1" applyFont="1" applyFill="1" applyBorder="1" applyAlignment="1" applyProtection="1">
      <alignment vertical="center"/>
    </xf>
    <xf numFmtId="171" fontId="12" fillId="3" borderId="4" xfId="0" applyNumberFormat="1" applyFont="1" applyFill="1" applyBorder="1" applyAlignment="1" applyProtection="1">
      <alignment horizontal="center" vertical="center" wrapText="1"/>
    </xf>
    <xf numFmtId="171" fontId="12" fillId="3" borderId="1" xfId="0" applyNumberFormat="1" applyFont="1" applyFill="1" applyBorder="1" applyAlignment="1" applyProtection="1">
      <alignment horizontal="center" vertical="center"/>
    </xf>
    <xf numFmtId="171" fontId="12" fillId="3" borderId="2" xfId="0" applyNumberFormat="1" applyFont="1" applyFill="1" applyBorder="1" applyAlignment="1" applyProtection="1">
      <alignment horizontal="center" vertical="center"/>
    </xf>
    <xf numFmtId="171" fontId="12" fillId="3" borderId="3" xfId="0" applyNumberFormat="1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 wrapText="1"/>
    </xf>
    <xf numFmtId="0" fontId="12" fillId="6" borderId="6" xfId="0" applyFont="1" applyFill="1" applyBorder="1" applyAlignment="1" applyProtection="1">
      <alignment vertical="center" wrapText="1"/>
    </xf>
    <xf numFmtId="171" fontId="12" fillId="3" borderId="6" xfId="0" applyNumberFormat="1" applyFont="1" applyFill="1" applyBorder="1" applyAlignment="1" applyProtection="1">
      <alignment horizontal="center" vertical="center"/>
    </xf>
    <xf numFmtId="171" fontId="12" fillId="3" borderId="97" xfId="0" applyNumberFormat="1" applyFont="1" applyFill="1" applyBorder="1" applyAlignment="1" applyProtection="1">
      <alignment horizontal="center" vertical="center"/>
    </xf>
    <xf numFmtId="173" fontId="12" fillId="3" borderId="98" xfId="0" applyNumberFormat="1" applyFont="1" applyFill="1" applyBorder="1" applyAlignment="1" applyProtection="1">
      <alignment horizontal="center" vertical="center"/>
    </xf>
    <xf numFmtId="171" fontId="41" fillId="3" borderId="99" xfId="0" applyNumberFormat="1" applyFont="1" applyFill="1" applyBorder="1" applyAlignment="1" applyProtection="1">
      <alignment horizontal="center" vertical="center"/>
    </xf>
    <xf numFmtId="173" fontId="12" fillId="3" borderId="100" xfId="0" applyNumberFormat="1" applyFont="1" applyFill="1" applyBorder="1" applyAlignment="1" applyProtection="1">
      <alignment horizontal="center" vertical="center"/>
    </xf>
    <xf numFmtId="171" fontId="41" fillId="3" borderId="101" xfId="0" applyNumberFormat="1" applyFont="1" applyFill="1" applyBorder="1" applyAlignment="1" applyProtection="1">
      <alignment horizontal="center" vertical="center"/>
    </xf>
    <xf numFmtId="166" fontId="12" fillId="3" borderId="102" xfId="0" applyNumberFormat="1" applyFont="1" applyFill="1" applyBorder="1" applyAlignment="1" applyProtection="1">
      <alignment vertical="center"/>
    </xf>
    <xf numFmtId="0" fontId="12" fillId="3" borderId="103" xfId="0" applyFont="1" applyFill="1" applyBorder="1" applyAlignment="1" applyProtection="1">
      <alignment vertical="center"/>
    </xf>
    <xf numFmtId="0" fontId="1" fillId="3" borderId="63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5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169" fontId="3" fillId="2" borderId="0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Protection="1"/>
    <xf numFmtId="0" fontId="0" fillId="0" borderId="4" xfId="0" applyFill="1" applyBorder="1" applyProtection="1"/>
    <xf numFmtId="0" fontId="0" fillId="0" borderId="6" xfId="0" applyBorder="1" applyProtection="1"/>
    <xf numFmtId="0" fontId="0" fillId="0" borderId="7" xfId="0" applyFill="1" applyBorder="1" applyProtection="1"/>
    <xf numFmtId="0" fontId="0" fillId="0" borderId="8" xfId="0" applyFill="1" applyBorder="1" applyProtection="1"/>
    <xf numFmtId="0" fontId="0" fillId="0" borderId="9" xfId="0" applyBorder="1" applyProtection="1"/>
    <xf numFmtId="166" fontId="33" fillId="0" borderId="65" xfId="1" applyNumberFormat="1" applyFont="1" applyBorder="1" applyAlignment="1" applyProtection="1">
      <alignment horizontal="right" vertical="center"/>
    </xf>
    <xf numFmtId="166" fontId="33" fillId="8" borderId="66" xfId="0" applyNumberFormat="1" applyFont="1" applyFill="1" applyBorder="1" applyAlignment="1" applyProtection="1">
      <alignment horizontal="right" vertical="center"/>
    </xf>
    <xf numFmtId="168" fontId="29" fillId="6" borderId="29" xfId="1" applyNumberFormat="1" applyFont="1" applyFill="1" applyBorder="1" applyAlignment="1" applyProtection="1">
      <alignment horizontal="center" vertical="center"/>
    </xf>
    <xf numFmtId="14" fontId="0" fillId="13" borderId="48" xfId="0" applyNumberFormat="1" applyFill="1" applyBorder="1" applyAlignment="1" applyProtection="1">
      <alignment horizontal="center" vertical="center"/>
    </xf>
    <xf numFmtId="14" fontId="0" fillId="13" borderId="49" xfId="0" applyNumberForma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vertical="center"/>
    </xf>
    <xf numFmtId="0" fontId="0" fillId="6" borderId="62" xfId="0" applyFill="1" applyBorder="1" applyAlignment="1" applyProtection="1">
      <alignment vertical="center"/>
    </xf>
    <xf numFmtId="0" fontId="0" fillId="6" borderId="4" xfId="0" applyFill="1" applyBorder="1" applyAlignment="1" applyProtection="1">
      <alignment vertical="center"/>
    </xf>
    <xf numFmtId="170" fontId="32" fillId="7" borderId="1" xfId="1" applyNumberFormat="1" applyFont="1" applyFill="1" applyBorder="1" applyAlignment="1" applyProtection="1">
      <alignment horizontal="center" vertical="center"/>
    </xf>
    <xf numFmtId="170" fontId="32" fillId="7" borderId="42" xfId="1" applyNumberFormat="1" applyFont="1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70" xfId="0" applyNumberFormat="1" applyFill="1" applyBorder="1" applyAlignment="1" applyProtection="1">
      <alignment horizontal="center" vertical="center"/>
    </xf>
    <xf numFmtId="0" fontId="0" fillId="4" borderId="48" xfId="0" applyFill="1" applyBorder="1" applyAlignment="1" applyProtection="1">
      <alignment horizontal="center" vertical="center"/>
    </xf>
    <xf numFmtId="0" fontId="0" fillId="4" borderId="49" xfId="0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185" fontId="0" fillId="0" borderId="0" xfId="0" applyNumberFormat="1" applyProtection="1">
      <protection locked="0"/>
    </xf>
    <xf numFmtId="186" fontId="0" fillId="0" borderId="0" xfId="0" applyNumberFormat="1" applyProtection="1">
      <protection locked="0"/>
    </xf>
    <xf numFmtId="0" fontId="0" fillId="0" borderId="62" xfId="1" applyFont="1" applyBorder="1" applyAlignment="1" applyProtection="1">
      <alignment horizontal="center" wrapText="1"/>
      <protection locked="0"/>
    </xf>
    <xf numFmtId="0" fontId="0" fillId="0" borderId="22" xfId="1" applyFont="1" applyBorder="1" applyAlignment="1" applyProtection="1">
      <alignment horizontal="center" vertical="center" wrapText="1"/>
      <protection locked="0"/>
    </xf>
    <xf numFmtId="0" fontId="0" fillId="0" borderId="93" xfId="1" applyFont="1" applyBorder="1" applyAlignment="1" applyProtection="1">
      <alignment horizontal="center" vertical="center" wrapText="1"/>
      <protection locked="0"/>
    </xf>
    <xf numFmtId="175" fontId="1" fillId="0" borderId="21" xfId="1" applyNumberFormat="1" applyFont="1" applyBorder="1" applyAlignment="1" applyProtection="1">
      <alignment horizontal="right" vertical="center"/>
      <protection locked="0"/>
    </xf>
    <xf numFmtId="166" fontId="17" fillId="0" borderId="67" xfId="0" applyNumberFormat="1" applyFont="1" applyBorder="1" applyAlignment="1" applyProtection="1">
      <alignment horizontal="right" vertical="center"/>
      <protection locked="0"/>
    </xf>
    <xf numFmtId="166" fontId="0" fillId="0" borderId="79" xfId="0" applyNumberFormat="1" applyFont="1" applyBorder="1" applyAlignment="1" applyProtection="1">
      <alignment horizontal="right" vertical="center"/>
      <protection locked="0"/>
    </xf>
    <xf numFmtId="0" fontId="0" fillId="0" borderId="6" xfId="1" applyFont="1" applyBorder="1" applyAlignment="1" applyProtection="1">
      <alignment horizontal="center" vertical="center" wrapText="1"/>
      <protection locked="0"/>
    </xf>
    <xf numFmtId="166" fontId="17" fillId="0" borderId="56" xfId="0" applyNumberFormat="1" applyFont="1" applyBorder="1" applyAlignment="1" applyProtection="1">
      <alignment horizontal="right" vertical="center"/>
      <protection locked="0"/>
    </xf>
    <xf numFmtId="166" fontId="0" fillId="0" borderId="80" xfId="0" applyNumberFormat="1" applyFont="1" applyBorder="1" applyAlignment="1" applyProtection="1">
      <alignment horizontal="right" vertical="center"/>
      <protection locked="0"/>
    </xf>
    <xf numFmtId="0" fontId="0" fillId="0" borderId="7" xfId="1" applyFont="1" applyBorder="1" applyAlignment="1" applyProtection="1">
      <alignment horizontal="center" wrapText="1"/>
      <protection locked="0"/>
    </xf>
    <xf numFmtId="0" fontId="0" fillId="0" borderId="9" xfId="1" applyFont="1" applyBorder="1" applyAlignment="1" applyProtection="1">
      <alignment horizontal="center" vertical="center" wrapText="1"/>
      <protection locked="0"/>
    </xf>
    <xf numFmtId="166" fontId="17" fillId="0" borderId="64" xfId="0" applyNumberFormat="1" applyFont="1" applyBorder="1" applyAlignment="1" applyProtection="1">
      <alignment horizontal="right" vertical="center"/>
      <protection locked="0"/>
    </xf>
    <xf numFmtId="166" fontId="0" fillId="0" borderId="81" xfId="0" applyNumberFormat="1" applyFont="1" applyBorder="1" applyAlignment="1" applyProtection="1">
      <alignment horizontal="right" vertical="center"/>
      <protection locked="0"/>
    </xf>
    <xf numFmtId="174" fontId="25" fillId="0" borderId="38" xfId="0" applyNumberFormat="1" applyFont="1" applyBorder="1" applyAlignment="1" applyProtection="1">
      <alignment horizontal="center" vertical="center" wrapText="1"/>
      <protection locked="0"/>
    </xf>
    <xf numFmtId="0" fontId="25" fillId="0" borderId="45" xfId="0" applyFont="1" applyBorder="1" applyAlignment="1" applyProtection="1">
      <alignment vertical="center" wrapText="1"/>
      <protection locked="0"/>
    </xf>
    <xf numFmtId="174" fontId="25" fillId="0" borderId="26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Font="1" applyBorder="1" applyAlignment="1" applyProtection="1">
      <alignment vertical="center" wrapText="1"/>
      <protection locked="0"/>
    </xf>
    <xf numFmtId="0" fontId="65" fillId="0" borderId="39" xfId="0" applyFont="1" applyBorder="1" applyAlignment="1" applyProtection="1">
      <alignment horizontal="center" vertical="center" wrapText="1"/>
      <protection locked="0"/>
    </xf>
    <xf numFmtId="0" fontId="65" fillId="0" borderId="2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10" xfId="0" applyBorder="1" applyAlignment="1" applyProtection="1">
      <alignment horizontal="center" vertical="center"/>
    </xf>
    <xf numFmtId="0" fontId="0" fillId="13" borderId="70" xfId="0" applyFill="1" applyBorder="1" applyAlignment="1" applyProtection="1">
      <alignment horizontal="center" vertical="center"/>
    </xf>
    <xf numFmtId="14" fontId="0" fillId="13" borderId="59" xfId="0" applyNumberFormat="1" applyFill="1" applyBorder="1" applyAlignment="1" applyProtection="1">
      <alignment horizontal="center" vertical="center"/>
    </xf>
    <xf numFmtId="0" fontId="0" fillId="13" borderId="1" xfId="0" applyNumberFormat="1" applyFill="1" applyBorder="1" applyAlignment="1" applyProtection="1">
      <alignment horizontal="left" vertical="center"/>
    </xf>
    <xf numFmtId="0" fontId="0" fillId="13" borderId="2" xfId="0" applyNumberFormat="1" applyFill="1" applyBorder="1" applyAlignment="1" applyProtection="1">
      <alignment horizontal="left" vertical="center"/>
    </xf>
    <xf numFmtId="16" fontId="0" fillId="13" borderId="2" xfId="0" applyNumberFormat="1" applyFill="1" applyBorder="1" applyAlignment="1" applyProtection="1">
      <alignment horizontal="left" vertical="center"/>
    </xf>
    <xf numFmtId="16" fontId="0" fillId="13" borderId="3" xfId="0" applyNumberFormat="1" applyFill="1" applyBorder="1" applyAlignment="1" applyProtection="1">
      <alignment horizontal="left" vertical="center"/>
    </xf>
    <xf numFmtId="0" fontId="0" fillId="3" borderId="49" xfId="0" applyFill="1" applyBorder="1" applyAlignment="1" applyProtection="1">
      <alignment horizontal="center" vertical="center"/>
    </xf>
    <xf numFmtId="0" fontId="0" fillId="10" borderId="48" xfId="0" applyFill="1" applyBorder="1" applyAlignment="1" applyProtection="1">
      <alignment horizontal="center" vertical="center"/>
    </xf>
    <xf numFmtId="0" fontId="0" fillId="16" borderId="48" xfId="0" applyFill="1" applyBorder="1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0" fillId="4" borderId="5" xfId="0" applyNumberFormat="1" applyFill="1" applyBorder="1" applyAlignment="1" applyProtection="1">
      <alignment horizontal="center" vertical="center"/>
    </xf>
    <xf numFmtId="191" fontId="0" fillId="0" borderId="0" xfId="0" applyNumberFormat="1" applyAlignment="1" applyProtection="1">
      <alignment horizontal="center" vertical="center"/>
    </xf>
    <xf numFmtId="0" fontId="0" fillId="12" borderId="61" xfId="0" applyFill="1" applyBorder="1" applyAlignment="1" applyProtection="1">
      <alignment horizontal="center" vertical="center"/>
    </xf>
    <xf numFmtId="0" fontId="0" fillId="7" borderId="61" xfId="0" applyFill="1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0" fontId="0" fillId="15" borderId="61" xfId="0" applyFill="1" applyBorder="1" applyAlignment="1" applyProtection="1">
      <alignment horizontal="center" vertical="center"/>
    </xf>
    <xf numFmtId="0" fontId="37" fillId="0" borderId="48" xfId="0" applyFont="1" applyBorder="1" applyAlignment="1" applyProtection="1">
      <alignment horizontal="center" vertical="center"/>
    </xf>
    <xf numFmtId="0" fontId="37" fillId="0" borderId="49" xfId="0" applyFont="1" applyBorder="1" applyAlignment="1" applyProtection="1">
      <alignment horizontal="center" vertical="center"/>
    </xf>
    <xf numFmtId="0" fontId="0" fillId="13" borderId="61" xfId="0" applyFill="1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13" borderId="50" xfId="0" applyNumberFormat="1" applyFill="1" applyBorder="1" applyAlignment="1" applyProtection="1">
      <alignment horizontal="left" vertical="center"/>
    </xf>
    <xf numFmtId="0" fontId="0" fillId="13" borderId="54" xfId="0" applyNumberFormat="1" applyFill="1" applyBorder="1" applyAlignment="1" applyProtection="1">
      <alignment horizontal="left" vertical="center"/>
    </xf>
    <xf numFmtId="16" fontId="0" fillId="13" borderId="36" xfId="0" applyNumberFormat="1" applyFill="1" applyBorder="1" applyAlignment="1" applyProtection="1">
      <alignment horizontal="left" vertical="center"/>
    </xf>
    <xf numFmtId="16" fontId="0" fillId="13" borderId="37" xfId="0" applyNumberFormat="1" applyFill="1" applyBorder="1" applyAlignment="1" applyProtection="1">
      <alignment horizontal="left" vertical="center"/>
    </xf>
    <xf numFmtId="181" fontId="0" fillId="4" borderId="54" xfId="0" applyNumberFormat="1" applyFill="1" applyBorder="1" applyAlignment="1" applyProtection="1">
      <alignment horizontal="left" vertical="center"/>
    </xf>
    <xf numFmtId="170" fontId="0" fillId="4" borderId="24" xfId="0" applyNumberFormat="1" applyFill="1" applyBorder="1" applyAlignment="1" applyProtection="1">
      <alignment horizontal="left" vertical="center"/>
    </xf>
    <xf numFmtId="0" fontId="25" fillId="5" borderId="51" xfId="0" applyFont="1" applyFill="1" applyBorder="1" applyAlignment="1" applyProtection="1">
      <alignment horizontal="center" vertical="center"/>
    </xf>
    <xf numFmtId="192" fontId="0" fillId="0" borderId="1" xfId="0" applyNumberFormat="1" applyBorder="1" applyAlignment="1" applyProtection="1">
      <alignment horizontal="center" vertical="center"/>
    </xf>
    <xf numFmtId="192" fontId="0" fillId="0" borderId="2" xfId="0" applyNumberFormat="1" applyBorder="1" applyAlignment="1" applyProtection="1">
      <alignment horizontal="center" vertical="center"/>
    </xf>
    <xf numFmtId="192" fontId="0" fillId="0" borderId="3" xfId="0" applyNumberForma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13" borderId="7" xfId="0" applyFill="1" applyBorder="1" applyAlignment="1" applyProtection="1">
      <alignment horizontal="center" vertical="center"/>
    </xf>
    <xf numFmtId="0" fontId="0" fillId="13" borderId="8" xfId="0" applyFill="1" applyBorder="1" applyAlignment="1" applyProtection="1">
      <alignment horizontal="center" vertical="center"/>
    </xf>
    <xf numFmtId="0" fontId="0" fillId="13" borderId="9" xfId="0" applyFill="1" applyBorder="1" applyAlignment="1" applyProtection="1">
      <alignment horizontal="center" vertical="center"/>
    </xf>
    <xf numFmtId="192" fontId="0" fillId="0" borderId="11" xfId="0" applyNumberFormat="1" applyBorder="1" applyAlignment="1" applyProtection="1">
      <alignment horizontal="center" vertical="center"/>
    </xf>
    <xf numFmtId="0" fontId="0" fillId="13" borderId="25" xfId="0" applyFill="1" applyBorder="1" applyAlignment="1" applyProtection="1">
      <alignment horizontal="center" vertical="center"/>
    </xf>
    <xf numFmtId="0" fontId="51" fillId="0" borderId="47" xfId="0" applyFont="1" applyBorder="1" applyAlignment="1" applyProtection="1">
      <alignment horizontal="center" vertical="center"/>
    </xf>
    <xf numFmtId="0" fontId="0" fillId="3" borderId="0" xfId="0" applyFill="1" applyProtection="1"/>
    <xf numFmtId="0" fontId="3" fillId="18" borderId="0" xfId="0" applyFont="1" applyFill="1" applyBorder="1" applyAlignment="1" applyProtection="1">
      <alignment horizontal="right" vertical="center"/>
    </xf>
    <xf numFmtId="0" fontId="4" fillId="18" borderId="0" xfId="0" quotePrefix="1" applyFont="1" applyFill="1" applyBorder="1" applyAlignment="1" applyProtection="1">
      <alignment horizontal="center" vertical="center"/>
    </xf>
    <xf numFmtId="0" fontId="0" fillId="18" borderId="0" xfId="0" applyFill="1" applyBorder="1" applyAlignment="1" applyProtection="1">
      <alignment horizontal="center" vertical="center"/>
    </xf>
    <xf numFmtId="0" fontId="0" fillId="18" borderId="0" xfId="0" applyFill="1" applyBorder="1" applyAlignment="1" applyProtection="1">
      <alignment vertical="center"/>
    </xf>
    <xf numFmtId="0" fontId="3" fillId="18" borderId="0" xfId="0" applyFont="1" applyFill="1" applyBorder="1" applyAlignment="1" applyProtection="1">
      <alignment vertical="center"/>
    </xf>
    <xf numFmtId="0" fontId="7" fillId="18" borderId="0" xfId="0" applyFont="1" applyFill="1" applyBorder="1" applyAlignment="1" applyProtection="1">
      <alignment horizontal="center" vertical="center"/>
    </xf>
    <xf numFmtId="0" fontId="3" fillId="18" borderId="0" xfId="0" applyFont="1" applyFill="1" applyBorder="1" applyAlignment="1" applyProtection="1">
      <alignment horizontal="left" vertical="center"/>
    </xf>
    <xf numFmtId="0" fontId="2" fillId="18" borderId="0" xfId="0" applyFont="1" applyFill="1" applyBorder="1" applyAlignment="1" applyProtection="1">
      <alignment vertical="center"/>
    </xf>
    <xf numFmtId="0" fontId="10" fillId="18" borderId="0" xfId="0" applyFont="1" applyFill="1" applyBorder="1" applyAlignment="1" applyProtection="1">
      <alignment horizontal="centerContinuous" vertical="top"/>
    </xf>
    <xf numFmtId="16" fontId="0" fillId="18" borderId="0" xfId="0" applyNumberFormat="1" applyFill="1" applyBorder="1" applyAlignment="1" applyProtection="1">
      <alignment horizontal="center" vertical="center"/>
    </xf>
    <xf numFmtId="0" fontId="16" fillId="18" borderId="38" xfId="0" applyFont="1" applyFill="1" applyBorder="1" applyAlignment="1" applyProtection="1">
      <alignment horizontal="center" vertical="center"/>
    </xf>
    <xf numFmtId="0" fontId="16" fillId="18" borderId="26" xfId="0" applyFont="1" applyFill="1" applyBorder="1" applyAlignment="1" applyProtection="1">
      <alignment horizontal="center" vertical="center"/>
    </xf>
    <xf numFmtId="0" fontId="3" fillId="18" borderId="40" xfId="0" applyFont="1" applyFill="1" applyBorder="1" applyAlignment="1" applyProtection="1">
      <alignment vertical="center"/>
    </xf>
    <xf numFmtId="0" fontId="3" fillId="18" borderId="41" xfId="0" applyFont="1" applyFill="1" applyBorder="1" applyAlignment="1" applyProtection="1">
      <alignment vertical="center"/>
    </xf>
    <xf numFmtId="0" fontId="16" fillId="18" borderId="40" xfId="0" applyFont="1" applyFill="1" applyBorder="1" applyAlignment="1" applyProtection="1">
      <alignment horizontal="center" vertical="center"/>
    </xf>
    <xf numFmtId="0" fontId="0" fillId="18" borderId="0" xfId="0" applyFill="1" applyProtection="1"/>
    <xf numFmtId="0" fontId="0" fillId="4" borderId="61" xfId="0" applyFill="1" applyBorder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85" fontId="1" fillId="0" borderId="0" xfId="0" applyNumberFormat="1" applyFont="1" applyAlignment="1" applyProtection="1">
      <alignment horizontal="center" vertical="center"/>
    </xf>
    <xf numFmtId="186" fontId="1" fillId="0" borderId="0" xfId="0" applyNumberFormat="1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6" fillId="18" borderId="0" xfId="0" applyFont="1" applyFill="1" applyBorder="1" applyAlignment="1" applyProtection="1">
      <alignment horizontal="center" vertical="center"/>
    </xf>
    <xf numFmtId="0" fontId="9" fillId="18" borderId="0" xfId="0" applyFont="1" applyFill="1" applyBorder="1" applyAlignment="1" applyProtection="1">
      <alignment vertical="top"/>
    </xf>
    <xf numFmtId="0" fontId="0" fillId="0" borderId="70" xfId="0" applyBorder="1" applyAlignment="1" applyProtection="1">
      <alignment horizontal="center" vertical="center"/>
    </xf>
    <xf numFmtId="0" fontId="0" fillId="13" borderId="78" xfId="0" applyFill="1" applyBorder="1" applyAlignment="1" applyProtection="1">
      <alignment horizontal="center" vertical="center"/>
    </xf>
    <xf numFmtId="0" fontId="0" fillId="13" borderId="17" xfId="0" applyFill="1" applyBorder="1" applyAlignment="1" applyProtection="1">
      <alignment horizontal="center" vertical="center"/>
    </xf>
    <xf numFmtId="0" fontId="0" fillId="0" borderId="77" xfId="0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9" xfId="0" applyBorder="1" applyAlignment="1">
      <alignment horizontal="center"/>
    </xf>
    <xf numFmtId="3" fontId="66" fillId="18" borderId="68" xfId="0" applyNumberFormat="1" applyFont="1" applyFill="1" applyBorder="1" applyAlignment="1" applyProtection="1">
      <alignment horizontal="center" vertical="center"/>
    </xf>
    <xf numFmtId="3" fontId="66" fillId="18" borderId="69" xfId="0" applyNumberFormat="1" applyFont="1" applyFill="1" applyBorder="1" applyAlignment="1" applyProtection="1">
      <alignment horizontal="center" vertical="center"/>
    </xf>
    <xf numFmtId="165" fontId="69" fillId="18" borderId="2" xfId="0" applyNumberFormat="1" applyFont="1" applyFill="1" applyBorder="1" applyAlignment="1" applyProtection="1">
      <alignment horizontal="center" vertical="center"/>
    </xf>
    <xf numFmtId="165" fontId="69" fillId="18" borderId="5" xfId="0" applyNumberFormat="1" applyFont="1" applyFill="1" applyBorder="1" applyAlignment="1" applyProtection="1">
      <alignment horizontal="center" vertical="center"/>
    </xf>
    <xf numFmtId="3" fontId="17" fillId="6" borderId="28" xfId="0" applyNumberFormat="1" applyFont="1" applyFill="1" applyBorder="1" applyAlignment="1" applyProtection="1">
      <alignment horizontal="center" vertical="center"/>
    </xf>
    <xf numFmtId="3" fontId="17" fillId="6" borderId="29" xfId="0" applyNumberFormat="1" applyFont="1" applyFill="1" applyBorder="1" applyAlignment="1" applyProtection="1">
      <alignment horizontal="center" vertical="center"/>
    </xf>
    <xf numFmtId="171" fontId="18" fillId="18" borderId="29" xfId="0" applyNumberFormat="1" applyFont="1" applyFill="1" applyBorder="1" applyAlignment="1" applyProtection="1">
      <alignment horizontal="center" vertical="center"/>
    </xf>
    <xf numFmtId="171" fontId="18" fillId="4" borderId="29" xfId="0" applyNumberFormat="1" applyFont="1" applyFill="1" applyBorder="1" applyAlignment="1" applyProtection="1">
      <alignment horizontal="center" vertical="center"/>
    </xf>
    <xf numFmtId="167" fontId="66" fillId="18" borderId="1" xfId="0" applyNumberFormat="1" applyFont="1" applyFill="1" applyBorder="1" applyAlignment="1" applyProtection="1">
      <alignment horizontal="center" vertical="center"/>
      <protection locked="0"/>
    </xf>
    <xf numFmtId="0" fontId="59" fillId="18" borderId="10" xfId="0" applyFont="1" applyFill="1" applyBorder="1" applyAlignment="1" applyProtection="1">
      <alignment horizontal="center" vertical="center"/>
      <protection locked="0"/>
    </xf>
    <xf numFmtId="0" fontId="59" fillId="18" borderId="2" xfId="0" applyFont="1" applyFill="1" applyBorder="1" applyAlignment="1" applyProtection="1">
      <alignment horizontal="center" vertical="center"/>
      <protection locked="0"/>
    </xf>
    <xf numFmtId="0" fontId="68" fillId="18" borderId="16" xfId="0" applyFont="1" applyFill="1" applyBorder="1" applyAlignment="1" applyProtection="1">
      <alignment horizontal="center" vertical="center" wrapText="1"/>
      <protection locked="0"/>
    </xf>
    <xf numFmtId="165" fontId="66" fillId="18" borderId="68" xfId="0" applyNumberFormat="1" applyFont="1" applyFill="1" applyBorder="1" applyAlignment="1" applyProtection="1">
      <alignment horizontal="center" vertical="center"/>
      <protection locked="0"/>
    </xf>
    <xf numFmtId="165" fontId="66" fillId="18" borderId="2" xfId="0" applyNumberFormat="1" applyFont="1" applyFill="1" applyBorder="1" applyAlignment="1" applyProtection="1">
      <alignment horizontal="center" vertical="center"/>
      <protection locked="0"/>
    </xf>
    <xf numFmtId="167" fontId="66" fillId="18" borderId="4" xfId="0" applyNumberFormat="1" applyFont="1" applyFill="1" applyBorder="1" applyAlignment="1" applyProtection="1">
      <alignment horizontal="center" vertical="center"/>
      <protection locked="0"/>
    </xf>
    <xf numFmtId="0" fontId="59" fillId="18" borderId="14" xfId="0" applyFont="1" applyFill="1" applyBorder="1" applyAlignment="1" applyProtection="1">
      <alignment horizontal="center" vertical="center"/>
      <protection locked="0"/>
    </xf>
    <xf numFmtId="0" fontId="59" fillId="18" borderId="5" xfId="0" applyFont="1" applyFill="1" applyBorder="1" applyAlignment="1" applyProtection="1">
      <alignment horizontal="center" vertical="center"/>
      <protection locked="0"/>
    </xf>
    <xf numFmtId="165" fontId="66" fillId="18" borderId="69" xfId="0" applyNumberFormat="1" applyFont="1" applyFill="1" applyBorder="1" applyAlignment="1" applyProtection="1">
      <alignment horizontal="center" vertical="center"/>
      <protection locked="0"/>
    </xf>
    <xf numFmtId="165" fontId="66" fillId="18" borderId="5" xfId="0" applyNumberFormat="1" applyFont="1" applyFill="1" applyBorder="1" applyAlignment="1" applyProtection="1">
      <alignment horizontal="center" vertical="center"/>
      <protection locked="0"/>
    </xf>
    <xf numFmtId="167" fontId="66" fillId="18" borderId="62" xfId="0" applyNumberFormat="1" applyFont="1" applyFill="1" applyBorder="1" applyAlignment="1" applyProtection="1">
      <alignment horizontal="center" vertical="center"/>
      <protection locked="0"/>
    </xf>
    <xf numFmtId="165" fontId="66" fillId="18" borderId="104" xfId="0" applyNumberFormat="1" applyFont="1" applyFill="1" applyBorder="1" applyAlignment="1" applyProtection="1">
      <alignment horizontal="center" vertical="center"/>
      <protection locked="0"/>
    </xf>
    <xf numFmtId="165" fontId="66" fillId="18" borderId="8" xfId="0" applyNumberFormat="1" applyFont="1" applyFill="1" applyBorder="1" applyAlignment="1" applyProtection="1">
      <alignment horizontal="center" vertical="center"/>
      <protection locked="0"/>
    </xf>
    <xf numFmtId="3" fontId="66" fillId="18" borderId="2" xfId="0" applyNumberFormat="1" applyFont="1" applyFill="1" applyBorder="1" applyAlignment="1" applyProtection="1">
      <alignment horizontal="center" vertical="center"/>
      <protection locked="0"/>
    </xf>
    <xf numFmtId="3" fontId="66" fillId="18" borderId="5" xfId="0" applyNumberFormat="1" applyFont="1" applyFill="1" applyBorder="1" applyAlignment="1" applyProtection="1">
      <alignment horizontal="center" vertical="center"/>
      <protection locked="0"/>
    </xf>
    <xf numFmtId="3" fontId="66" fillId="18" borderId="8" xfId="0" applyNumberFormat="1" applyFont="1" applyFill="1" applyBorder="1" applyAlignment="1" applyProtection="1">
      <alignment horizontal="center" vertical="center"/>
      <protection locked="0"/>
    </xf>
    <xf numFmtId="0" fontId="70" fillId="18" borderId="68" xfId="0" applyNumberFormat="1" applyFont="1" applyFill="1" applyBorder="1" applyAlignment="1" applyProtection="1">
      <alignment horizontal="center" vertical="center"/>
      <protection locked="0"/>
    </xf>
    <xf numFmtId="166" fontId="66" fillId="18" borderId="2" xfId="0" applyNumberFormat="1" applyFont="1" applyFill="1" applyBorder="1" applyAlignment="1" applyProtection="1">
      <alignment horizontal="center" vertical="center"/>
      <protection locked="0"/>
    </xf>
    <xf numFmtId="166" fontId="69" fillId="18" borderId="3" xfId="0" applyNumberFormat="1" applyFont="1" applyFill="1" applyBorder="1" applyAlignment="1" applyProtection="1">
      <alignment horizontal="center" vertical="center"/>
      <protection locked="0"/>
    </xf>
    <xf numFmtId="0" fontId="70" fillId="18" borderId="69" xfId="0" applyNumberFormat="1" applyFont="1" applyFill="1" applyBorder="1" applyAlignment="1" applyProtection="1">
      <alignment horizontal="center" vertical="center"/>
      <protection locked="0"/>
    </xf>
    <xf numFmtId="166" fontId="66" fillId="18" borderId="5" xfId="0" applyNumberFormat="1" applyFont="1" applyFill="1" applyBorder="1" applyAlignment="1" applyProtection="1">
      <alignment horizontal="center" vertical="center"/>
      <protection locked="0"/>
    </xf>
    <xf numFmtId="166" fontId="69" fillId="18" borderId="6" xfId="0" applyNumberFormat="1" applyFont="1" applyFill="1" applyBorder="1" applyAlignment="1" applyProtection="1">
      <alignment horizontal="center" vertical="center"/>
      <protection locked="0"/>
    </xf>
    <xf numFmtId="165" fontId="67" fillId="18" borderId="69" xfId="0" applyNumberFormat="1" applyFont="1" applyFill="1" applyBorder="1" applyAlignment="1" applyProtection="1">
      <alignment horizontal="center" vertical="center"/>
      <protection locked="0"/>
    </xf>
    <xf numFmtId="166" fontId="71" fillId="18" borderId="14" xfId="0" applyNumberFormat="1" applyFont="1" applyFill="1" applyBorder="1" applyAlignment="1" applyProtection="1">
      <alignment horizontal="center" vertical="center"/>
      <protection locked="0"/>
    </xf>
    <xf numFmtId="165" fontId="67" fillId="18" borderId="105" xfId="0" applyNumberFormat="1" applyFont="1" applyFill="1" applyBorder="1" applyAlignment="1" applyProtection="1">
      <alignment horizontal="center" vertical="center"/>
      <protection locked="0"/>
    </xf>
    <xf numFmtId="166" fontId="66" fillId="18" borderId="54" xfId="0" applyNumberFormat="1" applyFont="1" applyFill="1" applyBorder="1" applyAlignment="1" applyProtection="1">
      <alignment horizontal="center" vertical="center"/>
      <protection locked="0"/>
    </xf>
    <xf numFmtId="166" fontId="69" fillId="18" borderId="24" xfId="0" applyNumberFormat="1" applyFont="1" applyFill="1" applyBorder="1" applyAlignment="1" applyProtection="1">
      <alignment horizontal="center" vertical="center"/>
      <protection locked="0"/>
    </xf>
    <xf numFmtId="0" fontId="0" fillId="13" borderId="5" xfId="0" applyFill="1" applyBorder="1" applyAlignment="1" applyProtection="1">
      <alignment horizontal="center" vertical="center"/>
    </xf>
    <xf numFmtId="165" fontId="69" fillId="18" borderId="8" xfId="0" applyNumberFormat="1" applyFont="1" applyFill="1" applyBorder="1" applyAlignment="1" applyProtection="1">
      <alignment horizontal="center" vertical="center"/>
    </xf>
    <xf numFmtId="0" fontId="0" fillId="13" borderId="59" xfId="0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14" fontId="0" fillId="13" borderId="16" xfId="0" applyNumberForma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5" fontId="19" fillId="0" borderId="63" xfId="0" applyNumberFormat="1" applyFont="1" applyFill="1" applyBorder="1" applyAlignment="1" applyProtection="1">
      <alignment horizontal="center" vertical="center"/>
    </xf>
    <xf numFmtId="3" fontId="19" fillId="0" borderId="63" xfId="0" applyNumberFormat="1" applyFont="1" applyFill="1" applyBorder="1" applyAlignment="1" applyProtection="1">
      <alignment horizontal="center" vertical="center"/>
    </xf>
    <xf numFmtId="166" fontId="19" fillId="0" borderId="63" xfId="0" applyNumberFormat="1" applyFont="1" applyFill="1" applyBorder="1" applyAlignment="1" applyProtection="1">
      <alignment horizontal="center" vertical="center"/>
    </xf>
    <xf numFmtId="166" fontId="19" fillId="0" borderId="77" xfId="0" applyNumberFormat="1" applyFont="1" applyFill="1" applyBorder="1" applyAlignment="1" applyProtection="1">
      <alignment horizontal="center" vertical="center"/>
    </xf>
    <xf numFmtId="165" fontId="19" fillId="4" borderId="63" xfId="0" applyNumberFormat="1" applyFont="1" applyFill="1" applyBorder="1" applyAlignment="1" applyProtection="1">
      <alignment horizontal="center" vertical="center"/>
    </xf>
    <xf numFmtId="3" fontId="19" fillId="4" borderId="63" xfId="0" applyNumberFormat="1" applyFont="1" applyFill="1" applyBorder="1" applyAlignment="1" applyProtection="1">
      <alignment horizontal="center" vertical="center"/>
    </xf>
    <xf numFmtId="166" fontId="19" fillId="4" borderId="63" xfId="0" applyNumberFormat="1" applyFont="1" applyFill="1" applyBorder="1" applyAlignment="1" applyProtection="1">
      <alignment horizontal="center" vertical="center"/>
    </xf>
    <xf numFmtId="166" fontId="19" fillId="4" borderId="77" xfId="0" applyNumberFormat="1" applyFont="1" applyFill="1" applyBorder="1" applyAlignment="1" applyProtection="1">
      <alignment horizontal="center" vertical="center"/>
    </xf>
    <xf numFmtId="0" fontId="75" fillId="0" borderId="26" xfId="0" applyFont="1" applyBorder="1" applyAlignment="1" applyProtection="1">
      <alignment vertical="top" wrapText="1"/>
    </xf>
    <xf numFmtId="0" fontId="75" fillId="0" borderId="0" xfId="0" applyFont="1" applyBorder="1" applyAlignment="1" applyProtection="1">
      <alignment vertical="top" wrapText="1"/>
    </xf>
    <xf numFmtId="16" fontId="27" fillId="0" borderId="3" xfId="1" applyNumberFormat="1" applyBorder="1" applyAlignment="1" applyProtection="1">
      <alignment horizontal="center" vertical="center"/>
      <protection locked="0"/>
    </xf>
    <xf numFmtId="16" fontId="27" fillId="0" borderId="6" xfId="1" applyNumberFormat="1" applyBorder="1" applyAlignment="1" applyProtection="1">
      <alignment horizontal="center" vertical="center"/>
      <protection locked="0"/>
    </xf>
    <xf numFmtId="16" fontId="27" fillId="0" borderId="9" xfId="1" applyNumberForma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vertical="top" wrapText="1"/>
    </xf>
    <xf numFmtId="3" fontId="69" fillId="18" borderId="10" xfId="0" applyNumberFormat="1" applyFont="1" applyFill="1" applyBorder="1" applyAlignment="1" applyProtection="1">
      <alignment horizontal="center" vertical="center"/>
    </xf>
    <xf numFmtId="3" fontId="69" fillId="18" borderId="14" xfId="0" applyNumberFormat="1" applyFont="1" applyFill="1" applyBorder="1" applyAlignment="1" applyProtection="1">
      <alignment horizontal="center" vertical="center"/>
    </xf>
    <xf numFmtId="3" fontId="69" fillId="18" borderId="7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5" xfId="0" applyFill="1" applyBorder="1" applyAlignment="1" applyProtection="1">
      <alignment horizontal="center" vertical="center"/>
      <protection locked="0"/>
    </xf>
    <xf numFmtId="49" fontId="0" fillId="6" borderId="5" xfId="0" applyNumberFormat="1" applyFill="1" applyBorder="1" applyAlignment="1" applyProtection="1">
      <alignment horizontal="center" vertical="center"/>
      <protection locked="0"/>
    </xf>
    <xf numFmtId="20" fontId="0" fillId="6" borderId="5" xfId="0" applyNumberFormat="1" applyFill="1" applyBorder="1" applyAlignment="1" applyProtection="1">
      <alignment horizontal="center" vertical="center"/>
      <protection locked="0"/>
    </xf>
    <xf numFmtId="20" fontId="0" fillId="0" borderId="5" xfId="0" applyNumberFormat="1" applyBorder="1" applyAlignment="1" applyProtection="1">
      <alignment horizontal="center" vertical="center"/>
      <protection locked="0"/>
    </xf>
    <xf numFmtId="20" fontId="0" fillId="3" borderId="5" xfId="0" applyNumberFormat="1" applyFill="1" applyBorder="1" applyAlignment="1" applyProtection="1">
      <alignment horizontal="center" vertical="center"/>
      <protection locked="0"/>
    </xf>
    <xf numFmtId="0" fontId="0" fillId="6" borderId="8" xfId="0" applyNumberFormat="1" applyFill="1" applyBorder="1" applyAlignment="1" applyProtection="1">
      <alignment horizontal="center" vertical="center"/>
      <protection locked="0"/>
    </xf>
    <xf numFmtId="176" fontId="3" fillId="2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0" fillId="13" borderId="76" xfId="0" applyFill="1" applyBorder="1" applyAlignment="1" applyProtection="1">
      <alignment horizontal="center" vertical="center"/>
    </xf>
    <xf numFmtId="0" fontId="0" fillId="6" borderId="12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>
      <alignment wrapText="1"/>
    </xf>
    <xf numFmtId="0" fontId="0" fillId="0" borderId="0" xfId="0" applyBorder="1"/>
    <xf numFmtId="0" fontId="76" fillId="0" borderId="0" xfId="0" applyFont="1" applyAlignment="1"/>
    <xf numFmtId="0" fontId="0" fillId="0" borderId="0" xfId="0" applyAlignment="1">
      <alignment horizontal="left" vertical="center" wrapText="1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33" fillId="0" borderId="87" xfId="0" applyFont="1" applyBorder="1" applyAlignment="1" applyProtection="1">
      <alignment horizontal="center" vertical="center"/>
      <protection locked="0"/>
    </xf>
    <xf numFmtId="0" fontId="0" fillId="0" borderId="82" xfId="0" applyBorder="1" applyAlignment="1"/>
    <xf numFmtId="193" fontId="0" fillId="0" borderId="0" xfId="0" applyNumberFormat="1" applyAlignment="1"/>
    <xf numFmtId="0" fontId="0" fillId="0" borderId="5" xfId="0" applyBorder="1"/>
    <xf numFmtId="0" fontId="0" fillId="13" borderId="0" xfId="0" applyFill="1" applyAlignment="1" applyProtection="1">
      <alignment horizontal="center" vertical="center"/>
    </xf>
    <xf numFmtId="0" fontId="0" fillId="0" borderId="8" xfId="0" applyBorder="1"/>
    <xf numFmtId="192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0" xfId="0" applyNumberFormat="1" applyAlignment="1">
      <alignment horizontal="center"/>
    </xf>
    <xf numFmtId="192" fontId="0" fillId="4" borderId="9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84" fontId="0" fillId="0" borderId="5" xfId="0" applyNumberFormat="1" applyBorder="1"/>
    <xf numFmtId="184" fontId="0" fillId="0" borderId="4" xfId="0" applyNumberFormat="1" applyBorder="1"/>
    <xf numFmtId="0" fontId="0" fillId="4" borderId="55" xfId="0" applyFill="1" applyBorder="1"/>
    <xf numFmtId="17" fontId="0" fillId="6" borderId="1" xfId="0" applyNumberForma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192" fontId="0" fillId="6" borderId="2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45" fillId="5" borderId="4" xfId="0" applyFont="1" applyFill="1" applyBorder="1"/>
    <xf numFmtId="0" fontId="45" fillId="5" borderId="5" xfId="0" applyFont="1" applyFill="1" applyBorder="1"/>
    <xf numFmtId="0" fontId="45" fillId="5" borderId="6" xfId="0" applyFont="1" applyFill="1" applyBorder="1"/>
    <xf numFmtId="0" fontId="0" fillId="0" borderId="5" xfId="0" applyBorder="1" applyAlignment="1" applyProtection="1">
      <alignment horizontal="right" vertical="center"/>
    </xf>
    <xf numFmtId="0" fontId="0" fillId="6" borderId="6" xfId="0" applyFill="1" applyBorder="1" applyProtection="1">
      <protection locked="0"/>
    </xf>
    <xf numFmtId="0" fontId="0" fillId="6" borderId="9" xfId="0" applyFill="1" applyBorder="1" applyProtection="1">
      <protection locked="0"/>
    </xf>
    <xf numFmtId="184" fontId="0" fillId="0" borderId="4" xfId="0" applyNumberFormat="1" applyBorder="1" applyProtection="1">
      <protection locked="0"/>
    </xf>
    <xf numFmtId="184" fontId="0" fillId="0" borderId="5" xfId="0" applyNumberFormat="1" applyBorder="1" applyProtection="1">
      <protection locked="0"/>
    </xf>
    <xf numFmtId="184" fontId="0" fillId="0" borderId="7" xfId="0" applyNumberFormat="1" applyBorder="1" applyProtection="1">
      <protection locked="0"/>
    </xf>
    <xf numFmtId="184" fontId="0" fillId="0" borderId="8" xfId="0" applyNumberFormat="1" applyBorder="1" applyProtection="1">
      <protection locked="0"/>
    </xf>
    <xf numFmtId="0" fontId="0" fillId="6" borderId="4" xfId="0" applyFill="1" applyBorder="1" applyAlignment="1" applyProtection="1">
      <alignment horizontal="center"/>
      <protection locked="0"/>
    </xf>
    <xf numFmtId="193" fontId="79" fillId="0" borderId="0" xfId="0" applyNumberFormat="1" applyFont="1" applyAlignment="1" applyProtection="1">
      <protection locked="0"/>
    </xf>
    <xf numFmtId="0" fontId="0" fillId="4" borderId="5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22" borderId="0" xfId="0" applyFill="1" applyAlignment="1" applyProtection="1">
      <alignment horizontal="center" vertical="center"/>
    </xf>
    <xf numFmtId="0" fontId="0" fillId="0" borderId="50" xfId="0" applyBorder="1" applyProtection="1"/>
    <xf numFmtId="0" fontId="0" fillId="0" borderId="54" xfId="0" applyFill="1" applyBorder="1" applyProtection="1"/>
    <xf numFmtId="0" fontId="0" fillId="0" borderId="24" xfId="0" applyFill="1" applyBorder="1" applyProtection="1"/>
    <xf numFmtId="195" fontId="0" fillId="0" borderId="6" xfId="0" applyNumberFormat="1" applyBorder="1" applyAlignment="1" applyProtection="1">
      <alignment horizontal="right" vertical="center"/>
    </xf>
    <xf numFmtId="196" fontId="0" fillId="0" borderId="111" xfId="0" applyNumberFormat="1" applyBorder="1" applyAlignment="1" applyProtection="1">
      <alignment horizontal="right" vertical="center"/>
    </xf>
    <xf numFmtId="166" fontId="0" fillId="0" borderId="111" xfId="0" applyNumberFormat="1" applyBorder="1" applyAlignment="1" applyProtection="1">
      <alignment horizontal="right" vertical="center"/>
    </xf>
    <xf numFmtId="194" fontId="0" fillId="0" borderId="111" xfId="0" applyNumberFormat="1" applyBorder="1" applyAlignment="1" applyProtection="1">
      <alignment horizontal="right" vertical="center"/>
    </xf>
    <xf numFmtId="195" fontId="0" fillId="0" borderId="112" xfId="0" applyNumberFormat="1" applyBorder="1" applyAlignment="1" applyProtection="1">
      <alignment horizontal="right" vertical="center"/>
    </xf>
    <xf numFmtId="196" fontId="0" fillId="6" borderId="5" xfId="0" applyNumberFormat="1" applyFill="1" applyBorder="1" applyAlignment="1" applyProtection="1">
      <alignment horizontal="right" vertical="center"/>
      <protection locked="0"/>
    </xf>
    <xf numFmtId="166" fontId="0" fillId="6" borderId="5" xfId="0" applyNumberFormat="1" applyFill="1" applyBorder="1" applyAlignment="1" applyProtection="1">
      <alignment horizontal="right" vertical="center"/>
      <protection locked="0"/>
    </xf>
    <xf numFmtId="196" fontId="0" fillId="6" borderId="73" xfId="0" applyNumberFormat="1" applyFill="1" applyBorder="1" applyAlignment="1" applyProtection="1">
      <alignment horizontal="right" vertical="center"/>
      <protection locked="0"/>
    </xf>
    <xf numFmtId="166" fontId="0" fillId="6" borderId="73" xfId="0" applyNumberFormat="1" applyFill="1" applyBorder="1" applyAlignment="1" applyProtection="1">
      <alignment horizontal="right" vertical="center"/>
      <protection locked="0"/>
    </xf>
    <xf numFmtId="194" fontId="0" fillId="0" borderId="73" xfId="0" applyNumberFormat="1" applyBorder="1" applyAlignment="1" applyProtection="1">
      <alignment horizontal="right" vertical="center"/>
    </xf>
    <xf numFmtId="195" fontId="0" fillId="0" borderId="96" xfId="0" applyNumberFormat="1" applyBorder="1" applyAlignment="1" applyProtection="1">
      <alignment horizontal="right" vertical="center"/>
    </xf>
    <xf numFmtId="196" fontId="0" fillId="6" borderId="74" xfId="0" applyNumberFormat="1" applyFill="1" applyBorder="1" applyAlignment="1" applyProtection="1">
      <alignment horizontal="right" vertical="center"/>
      <protection locked="0"/>
    </xf>
    <xf numFmtId="166" fontId="0" fillId="6" borderId="74" xfId="0" applyNumberFormat="1" applyFill="1" applyBorder="1" applyAlignment="1" applyProtection="1">
      <alignment horizontal="right" vertical="center"/>
      <protection locked="0"/>
    </xf>
    <xf numFmtId="0" fontId="0" fillId="0" borderId="74" xfId="0" applyBorder="1" applyAlignment="1" applyProtection="1">
      <alignment horizontal="right" vertical="center"/>
    </xf>
    <xf numFmtId="195" fontId="0" fillId="0" borderId="98" xfId="0" applyNumberFormat="1" applyBorder="1" applyAlignment="1" applyProtection="1">
      <alignment horizontal="right" vertical="center"/>
    </xf>
    <xf numFmtId="197" fontId="0" fillId="0" borderId="73" xfId="0" applyNumberFormat="1" applyBorder="1" applyAlignment="1" applyProtection="1">
      <alignment horizontal="right" vertical="center"/>
    </xf>
    <xf numFmtId="197" fontId="0" fillId="0" borderId="5" xfId="0" applyNumberFormat="1" applyBorder="1" applyAlignment="1" applyProtection="1">
      <alignment horizontal="right" vertical="center"/>
    </xf>
    <xf numFmtId="197" fontId="0" fillId="0" borderId="74" xfId="0" applyNumberFormat="1" applyBorder="1" applyAlignment="1" applyProtection="1">
      <alignment horizontal="right" vertical="center"/>
    </xf>
    <xf numFmtId="197" fontId="0" fillId="0" borderId="111" xfId="0" applyNumberFormat="1" applyBorder="1" applyAlignment="1" applyProtection="1">
      <alignment horizontal="right" vertical="center"/>
    </xf>
    <xf numFmtId="165" fontId="83" fillId="18" borderId="88" xfId="0" applyNumberFormat="1" applyFont="1" applyFill="1" applyBorder="1" applyAlignment="1" applyProtection="1">
      <alignment horizontal="center" vertical="center"/>
    </xf>
    <xf numFmtId="165" fontId="83" fillId="18" borderId="56" xfId="0" applyNumberFormat="1" applyFont="1" applyFill="1" applyBorder="1" applyAlignment="1" applyProtection="1">
      <alignment horizontal="center" vertical="center"/>
    </xf>
    <xf numFmtId="3" fontId="59" fillId="18" borderId="29" xfId="0" applyNumberFormat="1" applyFont="1" applyFill="1" applyBorder="1" applyAlignment="1" applyProtection="1">
      <alignment horizontal="center" vertical="center"/>
    </xf>
    <xf numFmtId="3" fontId="84" fillId="3" borderId="29" xfId="0" applyNumberFormat="1" applyFont="1" applyFill="1" applyBorder="1" applyAlignment="1" applyProtection="1">
      <alignment horizontal="center" vertical="center"/>
    </xf>
    <xf numFmtId="3" fontId="85" fillId="4" borderId="60" xfId="0" applyNumberFormat="1" applyFont="1" applyFill="1" applyBorder="1" applyAlignment="1" applyProtection="1">
      <alignment horizontal="center" vertical="center"/>
    </xf>
    <xf numFmtId="2" fontId="59" fillId="6" borderId="28" xfId="0" applyNumberFormat="1" applyFont="1" applyFill="1" applyBorder="1" applyAlignment="1" applyProtection="1">
      <alignment horizontal="center" vertical="center"/>
    </xf>
    <xf numFmtId="166" fontId="85" fillId="18" borderId="18" xfId="0" applyNumberFormat="1" applyFont="1" applyFill="1" applyBorder="1" applyAlignment="1" applyProtection="1">
      <alignment horizontal="center" vertical="center"/>
    </xf>
    <xf numFmtId="166" fontId="85" fillId="4" borderId="19" xfId="0" applyNumberFormat="1" applyFont="1" applyFill="1" applyBorder="1" applyAlignment="1" applyProtection="1">
      <alignment horizontal="center" vertical="center"/>
    </xf>
    <xf numFmtId="0" fontId="59" fillId="18" borderId="0" xfId="0" applyFont="1" applyFill="1" applyProtection="1"/>
    <xf numFmtId="165" fontId="83" fillId="18" borderId="89" xfId="0" applyNumberFormat="1" applyFont="1" applyFill="1" applyBorder="1" applyAlignment="1" applyProtection="1">
      <alignment horizontal="center" vertical="center"/>
    </xf>
    <xf numFmtId="168" fontId="3" fillId="2" borderId="0" xfId="0" applyNumberFormat="1" applyFont="1" applyFill="1" applyBorder="1" applyAlignment="1" applyProtection="1">
      <alignment horizontal="center" vertical="center"/>
      <protection locked="0"/>
    </xf>
    <xf numFmtId="195" fontId="27" fillId="6" borderId="34" xfId="1" applyNumberFormat="1" applyFill="1" applyBorder="1" applyAlignment="1" applyProtection="1">
      <alignment horizontal="center" vertical="center"/>
    </xf>
    <xf numFmtId="0" fontId="1" fillId="6" borderId="27" xfId="1" applyFont="1" applyFill="1" applyBorder="1" applyAlignment="1" applyProtection="1">
      <alignment horizontal="center" vertical="center"/>
    </xf>
    <xf numFmtId="0" fontId="1" fillId="6" borderId="30" xfId="1" applyFont="1" applyFill="1" applyBorder="1" applyAlignment="1" applyProtection="1">
      <alignment horizontal="center" vertical="center"/>
    </xf>
    <xf numFmtId="194" fontId="27" fillId="6" borderId="113" xfId="1" applyNumberFormat="1" applyFill="1" applyBorder="1" applyAlignment="1" applyProtection="1">
      <alignment horizontal="center" vertical="center"/>
    </xf>
    <xf numFmtId="197" fontId="3" fillId="2" borderId="95" xfId="0" applyNumberFormat="1" applyFont="1" applyFill="1" applyBorder="1" applyAlignment="1" applyProtection="1">
      <alignment horizontal="right" vertical="center"/>
      <protection locked="0"/>
    </xf>
    <xf numFmtId="197" fontId="0" fillId="6" borderId="73" xfId="0" applyNumberFormat="1" applyFill="1" applyBorder="1" applyAlignment="1" applyProtection="1">
      <alignment horizontal="right" vertical="center"/>
      <protection locked="0"/>
    </xf>
    <xf numFmtId="197" fontId="0" fillId="0" borderId="4" xfId="0" applyNumberFormat="1" applyBorder="1" applyAlignment="1" applyProtection="1">
      <alignment horizontal="right" vertical="center"/>
    </xf>
    <xf numFmtId="197" fontId="0" fillId="6" borderId="5" xfId="0" applyNumberFormat="1" applyFill="1" applyBorder="1" applyAlignment="1" applyProtection="1">
      <alignment horizontal="right" vertical="center"/>
      <protection locked="0"/>
    </xf>
    <xf numFmtId="197" fontId="0" fillId="0" borderId="97" xfId="0" applyNumberFormat="1" applyBorder="1" applyAlignment="1" applyProtection="1">
      <alignment horizontal="right" vertical="center"/>
    </xf>
    <xf numFmtId="197" fontId="0" fillId="6" borderId="74" xfId="0" applyNumberFormat="1" applyFill="1" applyBorder="1" applyAlignment="1" applyProtection="1">
      <alignment horizontal="right" vertical="center"/>
      <protection locked="0"/>
    </xf>
    <xf numFmtId="197" fontId="0" fillId="14" borderId="110" xfId="0" applyNumberFormat="1" applyFill="1" applyBorder="1" applyAlignment="1" applyProtection="1">
      <alignment vertical="center"/>
    </xf>
    <xf numFmtId="197" fontId="86" fillId="14" borderId="109" xfId="0" applyNumberFormat="1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61" fillId="0" borderId="63" xfId="0" applyFont="1" applyFill="1" applyBorder="1" applyAlignment="1" applyProtection="1">
      <alignment horizontal="center" vertical="center" wrapText="1"/>
      <protection locked="0"/>
    </xf>
    <xf numFmtId="0" fontId="61" fillId="0" borderId="63" xfId="0" applyFont="1" applyFill="1" applyBorder="1" applyAlignment="1" applyProtection="1">
      <alignment horizontal="center" vertical="center"/>
      <protection locked="0"/>
    </xf>
    <xf numFmtId="0" fontId="61" fillId="0" borderId="5" xfId="0" applyFont="1" applyFill="1" applyBorder="1" applyAlignment="1" applyProtection="1">
      <alignment horizontal="center" vertical="center" wrapText="1"/>
      <protection locked="0"/>
    </xf>
    <xf numFmtId="0" fontId="61" fillId="0" borderId="5" xfId="0" applyFont="1" applyFill="1" applyBorder="1" applyAlignment="1" applyProtection="1">
      <alignment horizontal="center" vertical="center"/>
      <protection locked="0"/>
    </xf>
    <xf numFmtId="0" fontId="61" fillId="4" borderId="5" xfId="0" applyFont="1" applyFill="1" applyBorder="1" applyAlignment="1" applyProtection="1">
      <alignment horizontal="center" vertical="center" wrapText="1"/>
      <protection locked="0"/>
    </xf>
    <xf numFmtId="0" fontId="61" fillId="4" borderId="5" xfId="0" applyFont="1" applyFill="1" applyBorder="1" applyAlignment="1" applyProtection="1">
      <alignment horizontal="center" vertical="center"/>
      <protection locked="0"/>
    </xf>
    <xf numFmtId="0" fontId="38" fillId="0" borderId="63" xfId="0" applyFont="1" applyFill="1" applyBorder="1" applyAlignment="1" applyProtection="1">
      <alignment horizontal="center" vertical="center" wrapText="1"/>
      <protection locked="0"/>
    </xf>
    <xf numFmtId="0" fontId="38" fillId="0" borderId="5" xfId="0" applyFont="1" applyFill="1" applyBorder="1" applyAlignment="1" applyProtection="1">
      <alignment horizontal="center" vertical="center" wrapText="1"/>
      <protection locked="0"/>
    </xf>
    <xf numFmtId="0" fontId="38" fillId="4" borderId="5" xfId="0" applyFont="1" applyFill="1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center" vertical="center"/>
    </xf>
    <xf numFmtId="0" fontId="0" fillId="4" borderId="1" xfId="0" applyFill="1" applyBorder="1" applyProtection="1"/>
    <xf numFmtId="0" fontId="0" fillId="0" borderId="3" xfId="0" applyBorder="1" applyAlignment="1" applyProtection="1">
      <alignment horizontal="center" vertical="center"/>
    </xf>
    <xf numFmtId="0" fontId="0" fillId="0" borderId="4" xfId="0" applyBorder="1" applyProtection="1"/>
    <xf numFmtId="0" fontId="0" fillId="4" borderId="4" xfId="0" applyFill="1" applyBorder="1" applyProtection="1"/>
    <xf numFmtId="0" fontId="0" fillId="0" borderId="7" xfId="0" applyBorder="1" applyProtection="1"/>
    <xf numFmtId="0" fontId="0" fillId="0" borderId="9" xfId="0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90" xfId="0" applyFont="1" applyBorder="1" applyAlignment="1" applyProtection="1">
      <alignment horizontal="center" vertical="center"/>
    </xf>
    <xf numFmtId="0" fontId="1" fillId="0" borderId="48" xfId="0" applyFont="1" applyBorder="1" applyAlignment="1" applyProtection="1">
      <alignment horizontal="center" vertical="center"/>
    </xf>
    <xf numFmtId="0" fontId="1" fillId="0" borderId="49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7" borderId="83" xfId="0" applyFill="1" applyBorder="1" applyAlignment="1" applyProtection="1">
      <alignment horizontal="center" vertical="center"/>
    </xf>
    <xf numFmtId="0" fontId="0" fillId="7" borderId="84" xfId="0" applyFill="1" applyBorder="1" applyAlignment="1" applyProtection="1">
      <alignment horizontal="center" vertical="center"/>
    </xf>
    <xf numFmtId="0" fontId="0" fillId="7" borderId="85" xfId="0" applyFill="1" applyBorder="1" applyAlignment="1" applyProtection="1">
      <alignment horizontal="center" vertical="center"/>
    </xf>
    <xf numFmtId="0" fontId="31" fillId="0" borderId="0" xfId="0" applyFont="1" applyAlignment="1" applyProtection="1">
      <alignment horizontal="right" vertical="center"/>
    </xf>
    <xf numFmtId="0" fontId="31" fillId="0" borderId="0" xfId="0" applyFont="1" applyAlignment="1" applyProtection="1">
      <alignment horizontal="center" vertical="center"/>
    </xf>
    <xf numFmtId="0" fontId="51" fillId="0" borderId="5" xfId="0" applyFont="1" applyBorder="1" applyAlignment="1" applyProtection="1">
      <alignment horizontal="center" vertical="center" wrapText="1"/>
    </xf>
    <xf numFmtId="0" fontId="51" fillId="0" borderId="5" xfId="0" applyFont="1" applyBorder="1" applyAlignment="1" applyProtection="1">
      <alignment horizontal="center" vertical="center"/>
    </xf>
    <xf numFmtId="170" fontId="0" fillId="5" borderId="26" xfId="0" applyNumberFormat="1" applyFill="1" applyBorder="1" applyAlignment="1" applyProtection="1">
      <alignment horizontal="center" vertical="center"/>
    </xf>
    <xf numFmtId="170" fontId="0" fillId="5" borderId="0" xfId="0" applyNumberFormat="1" applyFill="1" applyBorder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/>
    </xf>
    <xf numFmtId="0" fontId="0" fillId="4" borderId="56" xfId="0" applyFill="1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170" fontId="0" fillId="5" borderId="0" xfId="0" applyNumberFormat="1" applyFill="1" applyAlignment="1" applyProtection="1">
      <alignment horizontal="center" vertic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6" xfId="0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</xf>
    <xf numFmtId="0" fontId="0" fillId="4" borderId="63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/>
    </xf>
    <xf numFmtId="0" fontId="0" fillId="13" borderId="5" xfId="0" applyFill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5" borderId="45" xfId="0" applyFill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 wrapText="1"/>
    </xf>
    <xf numFmtId="0" fontId="51" fillId="0" borderId="0" xfId="0" applyFont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4" borderId="62" xfId="0" applyFill="1" applyBorder="1" applyAlignment="1" applyProtection="1">
      <alignment horizontal="center" vertical="center"/>
    </xf>
    <xf numFmtId="173" fontId="0" fillId="4" borderId="5" xfId="0" applyNumberFormat="1" applyFill="1" applyBorder="1" applyAlignment="1" applyProtection="1">
      <alignment horizontal="center"/>
    </xf>
    <xf numFmtId="0" fontId="0" fillId="4" borderId="5" xfId="3" applyNumberFormat="1" applyFont="1" applyFill="1" applyBorder="1" applyAlignment="1" applyProtection="1">
      <alignment horizontal="center"/>
    </xf>
    <xf numFmtId="0" fontId="0" fillId="5" borderId="63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0" fontId="53" fillId="14" borderId="5" xfId="0" applyFont="1" applyFill="1" applyBorder="1" applyAlignment="1" applyProtection="1">
      <alignment horizontal="center"/>
    </xf>
    <xf numFmtId="0" fontId="53" fillId="14" borderId="6" xfId="0" applyFont="1" applyFill="1" applyBorder="1" applyAlignment="1" applyProtection="1">
      <alignment horizontal="center"/>
    </xf>
    <xf numFmtId="0" fontId="20" fillId="3" borderId="5" xfId="0" applyFont="1" applyFill="1" applyBorder="1" applyAlignment="1" applyProtection="1">
      <alignment horizontal="center"/>
    </xf>
    <xf numFmtId="0" fontId="20" fillId="3" borderId="6" xfId="0" applyFont="1" applyFill="1" applyBorder="1" applyAlignment="1" applyProtection="1">
      <alignment horizontal="center"/>
    </xf>
    <xf numFmtId="0" fontId="0" fillId="5" borderId="26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20" xfId="0" applyFill="1" applyBorder="1" applyAlignment="1" applyProtection="1">
      <alignment horizontal="center" vertical="center"/>
    </xf>
    <xf numFmtId="9" fontId="0" fillId="5" borderId="5" xfId="3" applyFont="1" applyFill="1" applyBorder="1" applyAlignment="1" applyProtection="1">
      <alignment horizontal="center"/>
    </xf>
    <xf numFmtId="171" fontId="0" fillId="13" borderId="5" xfId="3" applyNumberFormat="1" applyFont="1" applyFill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71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82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5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7" borderId="46" xfId="0" applyFill="1" applyBorder="1" applyAlignment="1" applyProtection="1">
      <alignment horizontal="center" vertical="center"/>
    </xf>
    <xf numFmtId="171" fontId="0" fillId="4" borderId="5" xfId="0" applyNumberFormat="1" applyFill="1" applyBorder="1" applyAlignment="1" applyProtection="1">
      <alignment horizontal="center"/>
    </xf>
    <xf numFmtId="0" fontId="54" fillId="14" borderId="5" xfId="0" applyFont="1" applyFill="1" applyBorder="1" applyAlignment="1" applyProtection="1">
      <alignment horizontal="center"/>
    </xf>
    <xf numFmtId="0" fontId="54" fillId="14" borderId="6" xfId="0" applyFont="1" applyFill="1" applyBorder="1" applyAlignment="1" applyProtection="1">
      <alignment horizontal="center"/>
    </xf>
    <xf numFmtId="0" fontId="55" fillId="8" borderId="8" xfId="0" applyFont="1" applyFill="1" applyBorder="1" applyAlignment="1" applyProtection="1">
      <alignment horizontal="center"/>
    </xf>
    <xf numFmtId="0" fontId="55" fillId="8" borderId="9" xfId="0" applyFont="1" applyFill="1" applyBorder="1" applyAlignment="1" applyProtection="1">
      <alignment horizontal="center"/>
    </xf>
    <xf numFmtId="173" fontId="0" fillId="13" borderId="5" xfId="0" applyNumberFormat="1" applyFill="1" applyBorder="1" applyAlignment="1" applyProtection="1">
      <alignment horizontal="center"/>
    </xf>
    <xf numFmtId="173" fontId="0" fillId="5" borderId="5" xfId="0" applyNumberFormat="1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5" borderId="15" xfId="0" applyFill="1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9" fontId="0" fillId="3" borderId="14" xfId="3" applyFont="1" applyFill="1" applyBorder="1" applyAlignment="1" applyProtection="1">
      <alignment horizontal="center"/>
    </xf>
    <xf numFmtId="9" fontId="0" fillId="3" borderId="16" xfId="3" applyFont="1" applyFill="1" applyBorder="1" applyAlignment="1" applyProtection="1">
      <alignment horizontal="center"/>
    </xf>
    <xf numFmtId="9" fontId="0" fillId="3" borderId="15" xfId="3" applyFont="1" applyFill="1" applyBorder="1" applyAlignment="1" applyProtection="1">
      <alignment horizontal="center"/>
    </xf>
    <xf numFmtId="0" fontId="0" fillId="4" borderId="4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0" borderId="36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10" borderId="8" xfId="0" applyNumberFormat="1" applyFill="1" applyBorder="1" applyAlignment="1" applyProtection="1">
      <alignment horizontal="center" vertical="center"/>
    </xf>
    <xf numFmtId="0" fontId="0" fillId="10" borderId="89" xfId="0" applyNumberFormat="1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left" vertical="center"/>
    </xf>
    <xf numFmtId="0" fontId="0" fillId="4" borderId="16" xfId="0" applyFill="1" applyBorder="1" applyAlignment="1" applyProtection="1">
      <alignment horizontal="left" vertical="center"/>
    </xf>
    <xf numFmtId="0" fontId="0" fillId="4" borderId="82" xfId="0" applyFill="1" applyBorder="1" applyAlignment="1" applyProtection="1">
      <alignment horizontal="left" vertical="center"/>
    </xf>
    <xf numFmtId="0" fontId="81" fillId="17" borderId="0" xfId="0" applyFont="1" applyFill="1" applyAlignment="1" applyProtection="1">
      <alignment horizontal="center" vertical="center"/>
    </xf>
    <xf numFmtId="0" fontId="0" fillId="7" borderId="0" xfId="0" applyFill="1" applyBorder="1" applyAlignment="1" applyProtection="1">
      <alignment horizontal="center" vertical="center"/>
    </xf>
    <xf numFmtId="0" fontId="82" fillId="4" borderId="0" xfId="0" applyFont="1" applyFill="1" applyAlignment="1" applyProtection="1">
      <alignment horizontal="center" vertical="center"/>
    </xf>
    <xf numFmtId="0" fontId="38" fillId="0" borderId="1" xfId="0" applyFont="1" applyBorder="1" applyAlignment="1" applyProtection="1">
      <alignment horizontal="center" vertical="center"/>
    </xf>
    <xf numFmtId="0" fontId="38" fillId="0" borderId="10" xfId="0" applyFont="1" applyBorder="1" applyAlignment="1" applyProtection="1">
      <alignment horizontal="center" vertical="center"/>
    </xf>
    <xf numFmtId="165" fontId="0" fillId="0" borderId="7" xfId="0" applyNumberFormat="1" applyBorder="1" applyAlignment="1" applyProtection="1">
      <alignment horizontal="center" vertical="center"/>
    </xf>
    <xf numFmtId="165" fontId="0" fillId="0" borderId="70" xfId="0" applyNumberFormat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88" xfId="0" applyFill="1" applyBorder="1" applyAlignment="1" applyProtection="1">
      <alignment horizontal="center" vertical="center"/>
    </xf>
    <xf numFmtId="0" fontId="0" fillId="5" borderId="31" xfId="0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horizontal="center" vertical="center"/>
    </xf>
    <xf numFmtId="0" fontId="0" fillId="5" borderId="33" xfId="0" applyFill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6" borderId="0" xfId="0" applyNumberFormat="1" applyFill="1" applyAlignment="1" applyProtection="1">
      <alignment horizontal="center" vertical="center"/>
      <protection locked="0"/>
    </xf>
    <xf numFmtId="0" fontId="0" fillId="0" borderId="107" xfId="0" applyBorder="1" applyAlignment="1" applyProtection="1">
      <alignment horizontal="center" vertical="center"/>
    </xf>
    <xf numFmtId="0" fontId="0" fillId="0" borderId="77" xfId="0" applyBorder="1" applyAlignment="1" applyProtection="1">
      <alignment horizontal="center" vertical="center"/>
    </xf>
    <xf numFmtId="0" fontId="0" fillId="7" borderId="107" xfId="0" applyFill="1" applyBorder="1" applyAlignment="1" applyProtection="1">
      <alignment horizontal="center" vertical="center"/>
    </xf>
    <xf numFmtId="0" fontId="0" fillId="7" borderId="20" xfId="0" applyFill="1" applyBorder="1" applyAlignment="1" applyProtection="1">
      <alignment horizontal="center" vertical="center"/>
    </xf>
    <xf numFmtId="0" fontId="0" fillId="4" borderId="71" xfId="0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0" fillId="4" borderId="82" xfId="0" applyFill="1" applyBorder="1" applyAlignment="1" applyProtection="1">
      <alignment horizontal="center" vertical="center"/>
    </xf>
    <xf numFmtId="0" fontId="0" fillId="13" borderId="45" xfId="0" applyFill="1" applyBorder="1" applyAlignment="1" applyProtection="1">
      <alignment horizontal="center" vertical="center"/>
    </xf>
    <xf numFmtId="0" fontId="0" fillId="13" borderId="0" xfId="0" applyFill="1" applyBorder="1" applyAlignment="1" applyProtection="1">
      <alignment horizontal="center" vertical="center"/>
    </xf>
    <xf numFmtId="0" fontId="0" fillId="13" borderId="82" xfId="0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0" fillId="13" borderId="71" xfId="0" applyFill="1" applyBorder="1" applyAlignment="1" applyProtection="1">
      <alignment horizontal="center" vertical="center"/>
    </xf>
    <xf numFmtId="0" fontId="80" fillId="17" borderId="0" xfId="0" applyFont="1" applyFill="1" applyAlignment="1" applyProtection="1">
      <alignment horizontal="center" vertical="center"/>
    </xf>
    <xf numFmtId="0" fontId="37" fillId="9" borderId="0" xfId="0" applyFont="1" applyFill="1" applyAlignment="1" applyProtection="1">
      <alignment horizontal="center" vertical="center"/>
    </xf>
    <xf numFmtId="0" fontId="73" fillId="4" borderId="0" xfId="0" applyFont="1" applyFill="1" applyAlignment="1">
      <alignment horizontal="center" vertical="center"/>
    </xf>
    <xf numFmtId="0" fontId="74" fillId="20" borderId="0" xfId="0" applyFont="1" applyFill="1" applyAlignment="1">
      <alignment horizontal="center" vertical="center"/>
    </xf>
    <xf numFmtId="0" fontId="0" fillId="5" borderId="0" xfId="0" applyFill="1" applyAlignment="1" applyProtection="1">
      <alignment horizontal="center"/>
    </xf>
    <xf numFmtId="168" fontId="31" fillId="0" borderId="27" xfId="1" applyNumberFormat="1" applyFont="1" applyBorder="1" applyAlignment="1" applyProtection="1">
      <alignment horizontal="center" vertical="center"/>
    </xf>
    <xf numFmtId="168" fontId="31" fillId="0" borderId="30" xfId="1" applyNumberFormat="1" applyFont="1" applyBorder="1" applyAlignment="1" applyProtection="1">
      <alignment horizontal="center" vertical="center"/>
    </xf>
    <xf numFmtId="0" fontId="0" fillId="0" borderId="27" xfId="1" applyFont="1" applyFill="1" applyBorder="1" applyAlignment="1" applyProtection="1">
      <alignment horizontal="center" vertical="center" wrapText="1"/>
    </xf>
    <xf numFmtId="0" fontId="0" fillId="0" borderId="34" xfId="1" applyFont="1" applyFill="1" applyBorder="1" applyAlignment="1" applyProtection="1">
      <alignment horizontal="center" vertical="center" wrapText="1"/>
    </xf>
    <xf numFmtId="0" fontId="12" fillId="3" borderId="51" xfId="0" applyFont="1" applyFill="1" applyBorder="1" applyAlignment="1" applyProtection="1">
      <alignment horizontal="left" vertical="center"/>
    </xf>
    <xf numFmtId="0" fontId="12" fillId="3" borderId="55" xfId="0" applyFont="1" applyFill="1" applyBorder="1" applyAlignment="1" applyProtection="1">
      <alignment horizontal="left" vertic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8" fontId="28" fillId="0" borderId="0" xfId="1" applyNumberFormat="1" applyFont="1" applyAlignment="1" applyProtection="1">
      <alignment horizontal="center" vertical="center"/>
    </xf>
    <xf numFmtId="0" fontId="27" fillId="6" borderId="47" xfId="1" applyFill="1" applyBorder="1" applyAlignment="1" applyProtection="1">
      <alignment horizontal="center"/>
    </xf>
    <xf numFmtId="0" fontId="27" fillId="6" borderId="26" xfId="1" applyFill="1" applyBorder="1" applyAlignment="1" applyProtection="1">
      <alignment horizontal="center"/>
    </xf>
    <xf numFmtId="0" fontId="27" fillId="6" borderId="59" xfId="1" applyFill="1" applyBorder="1" applyAlignment="1" applyProtection="1">
      <alignment horizontal="center"/>
    </xf>
    <xf numFmtId="0" fontId="0" fillId="0" borderId="45" xfId="1" applyFont="1" applyBorder="1" applyAlignment="1" applyProtection="1">
      <alignment horizontal="center"/>
    </xf>
    <xf numFmtId="0" fontId="27" fillId="0" borderId="45" xfId="1" applyFont="1" applyBorder="1" applyAlignment="1" applyProtection="1">
      <alignment horizontal="center"/>
    </xf>
    <xf numFmtId="0" fontId="27" fillId="0" borderId="39" xfId="1" applyFont="1" applyBorder="1" applyAlignment="1" applyProtection="1">
      <alignment horizontal="center"/>
    </xf>
    <xf numFmtId="0" fontId="30" fillId="0" borderId="60" xfId="1" applyFont="1" applyBorder="1" applyAlignment="1" applyProtection="1">
      <alignment horizontal="center"/>
    </xf>
    <xf numFmtId="0" fontId="30" fillId="0" borderId="52" xfId="1" applyFont="1" applyBorder="1" applyAlignment="1" applyProtection="1">
      <alignment horizontal="center"/>
    </xf>
    <xf numFmtId="0" fontId="35" fillId="0" borderId="52" xfId="2" applyFont="1" applyBorder="1" applyAlignment="1" applyProtection="1">
      <alignment horizontal="center"/>
    </xf>
    <xf numFmtId="0" fontId="35" fillId="0" borderId="55" xfId="2" applyFont="1" applyBorder="1" applyAlignment="1" applyProtection="1">
      <alignment horizontal="center"/>
    </xf>
    <xf numFmtId="0" fontId="0" fillId="0" borderId="33" xfId="1" applyFont="1" applyBorder="1" applyAlignment="1" applyProtection="1">
      <alignment horizontal="center" vertical="center"/>
    </xf>
    <xf numFmtId="0" fontId="0" fillId="0" borderId="44" xfId="1" applyFont="1" applyBorder="1" applyAlignment="1" applyProtection="1">
      <alignment horizontal="center" vertical="center"/>
    </xf>
    <xf numFmtId="0" fontId="0" fillId="0" borderId="39" xfId="1" applyFont="1" applyBorder="1" applyAlignment="1" applyProtection="1">
      <alignment horizontal="center" vertical="center"/>
    </xf>
    <xf numFmtId="0" fontId="0" fillId="0" borderId="41" xfId="1" applyFont="1" applyBorder="1" applyAlignment="1" applyProtection="1">
      <alignment horizontal="center" vertical="center"/>
    </xf>
    <xf numFmtId="0" fontId="72" fillId="19" borderId="26" xfId="1" applyFont="1" applyFill="1" applyBorder="1" applyAlignment="1" applyProtection="1">
      <alignment horizontal="center" vertical="center"/>
    </xf>
    <xf numFmtId="0" fontId="36" fillId="0" borderId="0" xfId="1" applyFont="1" applyBorder="1" applyAlignment="1" applyProtection="1">
      <alignment horizontal="center" vertical="center"/>
    </xf>
    <xf numFmtId="0" fontId="36" fillId="0" borderId="45" xfId="1" applyFont="1" applyBorder="1" applyAlignment="1" applyProtection="1">
      <alignment horizontal="center" vertical="center"/>
    </xf>
    <xf numFmtId="0" fontId="36" fillId="0" borderId="39" xfId="1" applyFont="1" applyBorder="1" applyAlignment="1" applyProtection="1">
      <alignment horizontal="center" vertical="center"/>
    </xf>
    <xf numFmtId="0" fontId="36" fillId="0" borderId="26" xfId="1" applyFont="1" applyBorder="1" applyAlignment="1" applyProtection="1">
      <alignment horizontal="center" vertical="center"/>
    </xf>
    <xf numFmtId="0" fontId="36" fillId="0" borderId="20" xfId="1" applyFont="1" applyBorder="1" applyAlignment="1" applyProtection="1">
      <alignment horizontal="center" vertical="center"/>
    </xf>
    <xf numFmtId="0" fontId="36" fillId="0" borderId="40" xfId="1" applyFont="1" applyBorder="1" applyAlignment="1" applyProtection="1">
      <alignment horizontal="center" vertical="center"/>
    </xf>
    <xf numFmtId="0" fontId="36" fillId="0" borderId="46" xfId="1" applyFont="1" applyBorder="1" applyAlignment="1" applyProtection="1">
      <alignment horizontal="center" vertical="center"/>
    </xf>
    <xf numFmtId="0" fontId="36" fillId="0" borderId="41" xfId="1" applyFont="1" applyBorder="1" applyAlignment="1" applyProtection="1">
      <alignment horizontal="center" vertical="center"/>
    </xf>
    <xf numFmtId="0" fontId="16" fillId="3" borderId="38" xfId="0" applyFont="1" applyFill="1" applyBorder="1" applyAlignment="1" applyProtection="1">
      <alignment horizontal="center" vertical="center"/>
    </xf>
    <xf numFmtId="0" fontId="16" fillId="3" borderId="39" xfId="0" applyFont="1" applyFill="1" applyBorder="1" applyAlignment="1" applyProtection="1">
      <alignment horizontal="center" vertical="center"/>
    </xf>
    <xf numFmtId="0" fontId="16" fillId="3" borderId="26" xfId="0" applyFont="1" applyFill="1" applyBorder="1" applyAlignment="1" applyProtection="1">
      <alignment horizontal="center" vertical="center"/>
    </xf>
    <xf numFmtId="0" fontId="16" fillId="3" borderId="20" xfId="0" applyFont="1" applyFill="1" applyBorder="1" applyAlignment="1" applyProtection="1">
      <alignment horizontal="center" vertical="center"/>
    </xf>
    <xf numFmtId="0" fontId="16" fillId="3" borderId="40" xfId="0" applyFont="1" applyFill="1" applyBorder="1" applyAlignment="1" applyProtection="1">
      <alignment horizontal="center" vertical="center"/>
    </xf>
    <xf numFmtId="0" fontId="16" fillId="3" borderId="41" xfId="0" applyFont="1" applyFill="1" applyBorder="1" applyAlignment="1" applyProtection="1">
      <alignment horizontal="center" vertical="center"/>
    </xf>
    <xf numFmtId="0" fontId="0" fillId="0" borderId="1" xfId="1" applyFont="1" applyBorder="1" applyAlignment="1" applyProtection="1">
      <alignment horizontal="center" vertical="center"/>
    </xf>
    <xf numFmtId="0" fontId="0" fillId="0" borderId="3" xfId="1" applyFont="1" applyBorder="1" applyAlignment="1" applyProtection="1">
      <alignment horizontal="center" vertical="center"/>
    </xf>
    <xf numFmtId="0" fontId="0" fillId="0" borderId="7" xfId="1" applyFont="1" applyBorder="1" applyAlignment="1" applyProtection="1">
      <alignment horizontal="center" vertical="center"/>
    </xf>
    <xf numFmtId="0" fontId="0" fillId="0" borderId="9" xfId="1" applyFont="1" applyBorder="1" applyAlignment="1" applyProtection="1">
      <alignment horizontal="center" vertical="center"/>
    </xf>
    <xf numFmtId="0" fontId="0" fillId="0" borderId="11" xfId="1" applyFont="1" applyBorder="1" applyAlignment="1" applyProtection="1">
      <alignment horizontal="center"/>
    </xf>
    <xf numFmtId="0" fontId="27" fillId="0" borderId="3" xfId="1" applyFont="1" applyBorder="1" applyAlignment="1" applyProtection="1">
      <alignment horizontal="center"/>
    </xf>
    <xf numFmtId="0" fontId="0" fillId="0" borderId="86" xfId="0" applyBorder="1" applyAlignment="1" applyProtection="1">
      <alignment horizontal="center"/>
    </xf>
    <xf numFmtId="0" fontId="16" fillId="18" borderId="27" xfId="0" applyFont="1" applyFill="1" applyBorder="1" applyAlignment="1" applyProtection="1">
      <alignment horizontal="center" vertical="center"/>
    </xf>
    <xf numFmtId="0" fontId="16" fillId="18" borderId="30" xfId="0" applyFont="1" applyFill="1" applyBorder="1" applyAlignment="1" applyProtection="1">
      <alignment horizontal="center" vertical="center"/>
    </xf>
    <xf numFmtId="0" fontId="16" fillId="18" borderId="34" xfId="0" applyFont="1" applyFill="1" applyBorder="1" applyAlignment="1" applyProtection="1">
      <alignment horizontal="center" vertical="center"/>
    </xf>
    <xf numFmtId="0" fontId="21" fillId="18" borderId="26" xfId="0" applyFont="1" applyFill="1" applyBorder="1" applyAlignment="1" applyProtection="1">
      <alignment horizontal="center" vertical="center"/>
    </xf>
    <xf numFmtId="0" fontId="21" fillId="18" borderId="20" xfId="0" applyFont="1" applyFill="1" applyBorder="1" applyAlignment="1" applyProtection="1">
      <alignment horizontal="center" vertical="center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12" fillId="0" borderId="18" xfId="0" applyFont="1" applyFill="1" applyBorder="1" applyAlignment="1" applyProtection="1">
      <alignment horizontal="center" vertical="center"/>
    </xf>
    <xf numFmtId="0" fontId="0" fillId="0" borderId="19" xfId="0" applyFill="1" applyBorder="1" applyAlignment="1" applyProtection="1">
      <alignment horizontal="center" vertical="center"/>
    </xf>
    <xf numFmtId="0" fontId="40" fillId="0" borderId="21" xfId="0" applyFont="1" applyBorder="1" applyAlignment="1" applyProtection="1">
      <alignment horizontal="center" vertical="center" wrapText="1"/>
    </xf>
    <xf numFmtId="0" fontId="40" fillId="0" borderId="22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40" fillId="0" borderId="6" xfId="0" applyFont="1" applyBorder="1" applyAlignment="1" applyProtection="1">
      <alignment horizontal="center" vertical="center" wrapText="1"/>
    </xf>
    <xf numFmtId="0" fontId="40" fillId="0" borderId="23" xfId="0" applyFont="1" applyBorder="1" applyAlignment="1" applyProtection="1">
      <alignment horizontal="center" vertical="center" wrapText="1"/>
    </xf>
    <xf numFmtId="0" fontId="40" fillId="0" borderId="24" xfId="0" applyFont="1" applyBorder="1" applyAlignment="1" applyProtection="1">
      <alignment horizontal="center" vertical="center" wrapText="1"/>
    </xf>
    <xf numFmtId="0" fontId="3" fillId="18" borderId="38" xfId="0" applyFont="1" applyFill="1" applyBorder="1" applyAlignment="1" applyProtection="1">
      <alignment horizontal="center" vertical="center"/>
    </xf>
    <xf numFmtId="0" fontId="3" fillId="18" borderId="39" xfId="0" applyFont="1" applyFill="1" applyBorder="1" applyAlignment="1" applyProtection="1">
      <alignment horizontal="center" vertical="center"/>
    </xf>
    <xf numFmtId="0" fontId="0" fillId="18" borderId="38" xfId="0" applyFont="1" applyFill="1" applyBorder="1" applyAlignment="1" applyProtection="1">
      <alignment horizontal="center" vertical="center"/>
    </xf>
    <xf numFmtId="0" fontId="0" fillId="18" borderId="45" xfId="0" applyFont="1" applyFill="1" applyBorder="1" applyAlignment="1" applyProtection="1">
      <alignment horizontal="center" vertical="center"/>
    </xf>
    <xf numFmtId="0" fontId="59" fillId="18" borderId="45" xfId="0" applyFont="1" applyFill="1" applyBorder="1" applyAlignment="1" applyProtection="1">
      <alignment horizontal="center" vertical="center"/>
    </xf>
    <xf numFmtId="0" fontId="59" fillId="18" borderId="0" xfId="0" applyFont="1" applyFill="1" applyBorder="1" applyAlignment="1" applyProtection="1">
      <alignment horizontal="center" vertical="center"/>
    </xf>
    <xf numFmtId="0" fontId="59" fillId="18" borderId="39" xfId="0" applyFont="1" applyFill="1" applyBorder="1" applyAlignment="1" applyProtection="1">
      <alignment horizontal="center" vertical="center"/>
    </xf>
    <xf numFmtId="0" fontId="0" fillId="18" borderId="26" xfId="0" applyFont="1" applyFill="1" applyBorder="1" applyAlignment="1" applyProtection="1">
      <alignment horizontal="center" vertical="center"/>
    </xf>
    <xf numFmtId="0" fontId="0" fillId="18" borderId="0" xfId="0" applyFont="1" applyFill="1" applyBorder="1" applyAlignment="1" applyProtection="1">
      <alignment horizontal="center" vertical="center"/>
    </xf>
    <xf numFmtId="0" fontId="59" fillId="18" borderId="20" xfId="0" applyFont="1" applyFill="1" applyBorder="1" applyAlignment="1" applyProtection="1">
      <alignment horizontal="center" vertical="center"/>
    </xf>
    <xf numFmtId="0" fontId="0" fillId="18" borderId="40" xfId="0" applyFont="1" applyFill="1" applyBorder="1" applyAlignment="1" applyProtection="1">
      <alignment horizontal="center" vertical="center"/>
    </xf>
    <xf numFmtId="0" fontId="0" fillId="18" borderId="46" xfId="0" applyFont="1" applyFill="1" applyBorder="1" applyAlignment="1" applyProtection="1">
      <alignment horizontal="center" vertical="center"/>
    </xf>
    <xf numFmtId="0" fontId="59" fillId="18" borderId="46" xfId="0" applyFont="1" applyFill="1" applyBorder="1" applyAlignment="1" applyProtection="1">
      <alignment horizontal="center" vertical="center"/>
    </xf>
    <xf numFmtId="0" fontId="59" fillId="18" borderId="41" xfId="0" applyFont="1" applyFill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12" fillId="0" borderId="16" xfId="0" applyNumberFormat="1" applyFont="1" applyBorder="1" applyAlignment="1" applyProtection="1">
      <alignment horizontal="left" vertical="center"/>
    </xf>
    <xf numFmtId="0" fontId="12" fillId="0" borderId="17" xfId="0" applyNumberFormat="1" applyFont="1" applyBorder="1" applyAlignment="1" applyProtection="1">
      <alignment horizontal="left" vertical="center"/>
    </xf>
    <xf numFmtId="0" fontId="12" fillId="0" borderId="16" xfId="0" applyFont="1" applyBorder="1" applyAlignment="1" applyProtection="1">
      <alignment horizontal="left" vertical="center"/>
    </xf>
    <xf numFmtId="0" fontId="12" fillId="0" borderId="17" xfId="0" applyFont="1" applyBorder="1" applyAlignment="1" applyProtection="1">
      <alignment horizontal="left" vertical="center"/>
    </xf>
    <xf numFmtId="0" fontId="12" fillId="0" borderId="15" xfId="0" applyNumberFormat="1" applyFont="1" applyBorder="1" applyAlignment="1" applyProtection="1">
      <alignment horizontal="left" vertical="center"/>
    </xf>
    <xf numFmtId="0" fontId="0" fillId="0" borderId="6" xfId="0" applyNumberFormat="1" applyBorder="1" applyAlignment="1" applyProtection="1">
      <alignment horizontal="left" vertical="center"/>
    </xf>
    <xf numFmtId="0" fontId="12" fillId="0" borderId="12" xfId="0" applyFont="1" applyBorder="1" applyAlignment="1" applyProtection="1">
      <alignment horizontal="left" vertical="center"/>
    </xf>
    <xf numFmtId="0" fontId="12" fillId="0" borderId="13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20" xfId="0" applyFont="1" applyBorder="1" applyAlignment="1" applyProtection="1">
      <alignment horizontal="center" vertical="center"/>
    </xf>
    <xf numFmtId="0" fontId="3" fillId="18" borderId="1" xfId="0" applyFont="1" applyFill="1" applyBorder="1" applyAlignment="1" applyProtection="1">
      <alignment horizontal="center" vertical="center" wrapText="1"/>
    </xf>
    <xf numFmtId="0" fontId="3" fillId="18" borderId="4" xfId="0" applyFont="1" applyFill="1" applyBorder="1" applyAlignment="1" applyProtection="1">
      <alignment vertical="center" wrapText="1"/>
    </xf>
    <xf numFmtId="0" fontId="3" fillId="18" borderId="7" xfId="0" applyFont="1" applyFill="1" applyBorder="1" applyAlignment="1" applyProtection="1">
      <alignment vertical="center" wrapText="1"/>
    </xf>
    <xf numFmtId="0" fontId="3" fillId="18" borderId="2" xfId="0" applyFont="1" applyFill="1" applyBorder="1" applyAlignment="1" applyProtection="1">
      <alignment horizontal="center" vertical="center" wrapText="1"/>
    </xf>
    <xf numFmtId="0" fontId="3" fillId="18" borderId="5" xfId="0" applyFont="1" applyFill="1" applyBorder="1" applyAlignment="1" applyProtection="1">
      <alignment vertical="center" wrapText="1"/>
    </xf>
    <xf numFmtId="0" fontId="3" fillId="18" borderId="8" xfId="0" applyFont="1" applyFill="1" applyBorder="1" applyAlignment="1" applyProtection="1">
      <alignment vertical="center" wrapText="1"/>
    </xf>
    <xf numFmtId="0" fontId="3" fillId="18" borderId="3" xfId="0" applyFont="1" applyFill="1" applyBorder="1" applyAlignment="1" applyProtection="1">
      <alignment horizontal="center" vertical="center" wrapText="1"/>
    </xf>
    <xf numFmtId="0" fontId="3" fillId="18" borderId="6" xfId="0" applyFont="1" applyFill="1" applyBorder="1" applyAlignment="1" applyProtection="1">
      <alignment vertical="center" wrapText="1"/>
    </xf>
    <xf numFmtId="0" fontId="3" fillId="18" borderId="9" xfId="0" applyFont="1" applyFill="1" applyBorder="1" applyAlignment="1" applyProtection="1">
      <alignment vertical="center" wrapText="1"/>
    </xf>
    <xf numFmtId="0" fontId="3" fillId="18" borderId="50" xfId="0" applyFont="1" applyFill="1" applyBorder="1" applyAlignment="1" applyProtection="1">
      <alignment vertical="center" wrapText="1"/>
    </xf>
    <xf numFmtId="0" fontId="3" fillId="18" borderId="24" xfId="0" applyFont="1" applyFill="1" applyBorder="1" applyAlignment="1" applyProtection="1">
      <alignment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vertical="center" wrapText="1"/>
    </xf>
    <xf numFmtId="0" fontId="12" fillId="0" borderId="15" xfId="0" applyFont="1" applyBorder="1" applyAlignment="1" applyProtection="1">
      <alignment vertical="center" wrapText="1"/>
    </xf>
    <xf numFmtId="0" fontId="12" fillId="0" borderId="6" xfId="0" applyFont="1" applyBorder="1" applyAlignment="1" applyProtection="1">
      <alignment vertical="center" wrapText="1"/>
    </xf>
    <xf numFmtId="0" fontId="12" fillId="0" borderId="25" xfId="0" applyFont="1" applyBorder="1" applyAlignment="1" applyProtection="1">
      <alignment vertical="center" wrapText="1"/>
    </xf>
    <xf numFmtId="0" fontId="12" fillId="0" borderId="9" xfId="0" applyFont="1" applyBorder="1" applyAlignment="1" applyProtection="1">
      <alignment vertical="center" wrapText="1"/>
    </xf>
    <xf numFmtId="0" fontId="12" fillId="3" borderId="12" xfId="0" applyFont="1" applyFill="1" applyBorder="1" applyAlignment="1" applyProtection="1">
      <alignment horizontal="left" vertical="center"/>
    </xf>
    <xf numFmtId="0" fontId="12" fillId="3" borderId="13" xfId="0" applyFont="1" applyFill="1" applyBorder="1" applyAlignment="1" applyProtection="1">
      <alignment horizontal="left" vertical="center"/>
    </xf>
    <xf numFmtId="0" fontId="5" fillId="18" borderId="0" xfId="0" applyFont="1" applyFill="1" applyBorder="1" applyAlignment="1" applyProtection="1">
      <alignment horizontal="center" vertical="center"/>
    </xf>
    <xf numFmtId="0" fontId="6" fillId="18" borderId="0" xfId="0" applyFont="1" applyFill="1" applyBorder="1" applyAlignment="1" applyProtection="1">
      <alignment horizontal="center" vertical="center"/>
    </xf>
    <xf numFmtId="168" fontId="26" fillId="18" borderId="0" xfId="0" applyNumberFormat="1" applyFont="1" applyFill="1" applyBorder="1" applyAlignment="1" applyProtection="1">
      <alignment horizontal="center" vertical="center"/>
    </xf>
    <xf numFmtId="0" fontId="8" fillId="18" borderId="0" xfId="0" applyFont="1" applyFill="1" applyBorder="1" applyAlignment="1" applyProtection="1">
      <alignment horizontal="center" vertical="top"/>
    </xf>
    <xf numFmtId="0" fontId="9" fillId="18" borderId="0" xfId="0" applyFont="1" applyFill="1" applyBorder="1" applyAlignment="1" applyProtection="1">
      <alignment horizontal="center" vertical="top"/>
    </xf>
    <xf numFmtId="0" fontId="9" fillId="18" borderId="0" xfId="0" applyFont="1" applyFill="1" applyBorder="1" applyAlignment="1" applyProtection="1">
      <alignment vertical="top"/>
    </xf>
    <xf numFmtId="0" fontId="3" fillId="18" borderId="5" xfId="0" applyFont="1" applyFill="1" applyBorder="1" applyAlignment="1" applyProtection="1">
      <alignment horizontal="center" vertical="center" wrapText="1"/>
    </xf>
    <xf numFmtId="0" fontId="3" fillId="18" borderId="8" xfId="0" applyFont="1" applyFill="1" applyBorder="1" applyAlignment="1" applyProtection="1">
      <alignment horizontal="center" vertical="center" wrapText="1"/>
    </xf>
    <xf numFmtId="0" fontId="3" fillId="18" borderId="106" xfId="0" applyFont="1" applyFill="1" applyBorder="1" applyAlignment="1" applyProtection="1">
      <alignment horizontal="center" vertical="center" wrapText="1"/>
    </xf>
    <xf numFmtId="0" fontId="3" fillId="18" borderId="107" xfId="0" applyFont="1" applyFill="1" applyBorder="1" applyAlignment="1" applyProtection="1">
      <alignment horizontal="center" vertical="center" wrapText="1"/>
    </xf>
    <xf numFmtId="0" fontId="3" fillId="18" borderId="108" xfId="0" applyFont="1" applyFill="1" applyBorder="1" applyAlignment="1" applyProtection="1">
      <alignment horizontal="center" vertical="center" wrapText="1"/>
    </xf>
    <xf numFmtId="0" fontId="3" fillId="18" borderId="32" xfId="0" applyFont="1" applyFill="1" applyBorder="1" applyAlignment="1" applyProtection="1">
      <alignment horizontal="center" vertical="center" wrapText="1"/>
    </xf>
    <xf numFmtId="0" fontId="3" fillId="18" borderId="36" xfId="0" applyFont="1" applyFill="1" applyBorder="1" applyAlignment="1" applyProtection="1">
      <alignment horizontal="center" vertical="center" wrapText="1"/>
    </xf>
    <xf numFmtId="0" fontId="12" fillId="0" borderId="61" xfId="0" applyFont="1" applyBorder="1" applyAlignment="1" applyProtection="1">
      <alignment horizontal="left" vertical="center"/>
    </xf>
    <xf numFmtId="0" fontId="12" fillId="0" borderId="72" xfId="0" applyFont="1" applyFill="1" applyBorder="1" applyAlignment="1" applyProtection="1">
      <alignment horizontal="center" vertical="center"/>
    </xf>
    <xf numFmtId="0" fontId="12" fillId="0" borderId="46" xfId="0" applyFont="1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horizontal="center" vertical="center"/>
    </xf>
    <xf numFmtId="0" fontId="12" fillId="0" borderId="86" xfId="0" applyFont="1" applyBorder="1" applyAlignment="1" applyProtection="1">
      <alignment horizontal="left" vertical="center"/>
    </xf>
    <xf numFmtId="173" fontId="1" fillId="4" borderId="61" xfId="0" applyNumberFormat="1" applyFont="1" applyFill="1" applyBorder="1" applyAlignment="1" applyProtection="1">
      <alignment horizontal="center"/>
    </xf>
    <xf numFmtId="173" fontId="1" fillId="4" borderId="16" xfId="0" applyNumberFormat="1" applyFont="1" applyFill="1" applyBorder="1" applyAlignment="1" applyProtection="1">
      <alignment horizontal="center"/>
    </xf>
    <xf numFmtId="173" fontId="1" fillId="4" borderId="17" xfId="0" applyNumberFormat="1" applyFont="1" applyFill="1" applyBorder="1" applyAlignment="1" applyProtection="1">
      <alignment horizontal="center"/>
    </xf>
    <xf numFmtId="171" fontId="20" fillId="3" borderId="61" xfId="0" applyNumberFormat="1" applyFont="1" applyFill="1" applyBorder="1" applyAlignment="1" applyProtection="1">
      <alignment horizontal="center"/>
    </xf>
    <xf numFmtId="171" fontId="20" fillId="3" borderId="16" xfId="0" applyNumberFormat="1" applyFont="1" applyFill="1" applyBorder="1" applyAlignment="1" applyProtection="1">
      <alignment horizontal="center"/>
    </xf>
    <xf numFmtId="171" fontId="20" fillId="3" borderId="17" xfId="0" applyNumberFormat="1" applyFont="1" applyFill="1" applyBorder="1" applyAlignment="1" applyProtection="1">
      <alignment horizontal="center"/>
    </xf>
    <xf numFmtId="171" fontId="40" fillId="3" borderId="61" xfId="0" applyNumberFormat="1" applyFont="1" applyFill="1" applyBorder="1" applyAlignment="1" applyProtection="1">
      <alignment horizontal="center" vertical="center"/>
    </xf>
    <xf numFmtId="171" fontId="40" fillId="3" borderId="16" xfId="0" applyNumberFormat="1" applyFont="1" applyFill="1" applyBorder="1" applyAlignment="1" applyProtection="1">
      <alignment horizontal="center" vertical="center"/>
    </xf>
    <xf numFmtId="171" fontId="40" fillId="3" borderId="17" xfId="0" applyNumberFormat="1" applyFont="1" applyFill="1" applyBorder="1" applyAlignment="1" applyProtection="1">
      <alignment horizontal="center" vertical="center"/>
    </xf>
    <xf numFmtId="0" fontId="12" fillId="4" borderId="61" xfId="0" applyFont="1" applyFill="1" applyBorder="1" applyAlignment="1" applyProtection="1">
      <alignment horizontal="center" vertical="center"/>
    </xf>
    <xf numFmtId="0" fontId="12" fillId="4" borderId="16" xfId="0" applyFont="1" applyFill="1" applyBorder="1" applyAlignment="1" applyProtection="1">
      <alignment horizontal="center" vertical="center"/>
    </xf>
    <xf numFmtId="0" fontId="12" fillId="4" borderId="17" xfId="0" applyFont="1" applyFill="1" applyBorder="1" applyAlignment="1" applyProtection="1">
      <alignment horizontal="center" vertical="center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2" fillId="4" borderId="86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40" fillId="3" borderId="59" xfId="0" applyFont="1" applyFill="1" applyBorder="1" applyAlignment="1" applyProtection="1">
      <alignment horizontal="center" vertical="center"/>
    </xf>
    <xf numFmtId="0" fontId="40" fillId="3" borderId="94" xfId="0" applyFont="1" applyFill="1" applyBorder="1" applyAlignment="1" applyProtection="1">
      <alignment horizontal="center" vertical="center"/>
    </xf>
    <xf numFmtId="0" fontId="40" fillId="3" borderId="76" xfId="0" applyFont="1" applyFill="1" applyBorder="1" applyAlignment="1" applyProtection="1">
      <alignment horizontal="center" vertical="center"/>
    </xf>
    <xf numFmtId="0" fontId="12" fillId="4" borderId="95" xfId="0" applyFont="1" applyFill="1" applyBorder="1" applyAlignment="1" applyProtection="1">
      <alignment horizontal="center" vertical="center" wrapText="1"/>
    </xf>
    <xf numFmtId="0" fontId="12" fillId="4" borderId="73" xfId="0" applyFont="1" applyFill="1" applyBorder="1" applyAlignment="1" applyProtection="1">
      <alignment horizontal="center" vertical="center" wrapText="1"/>
    </xf>
    <xf numFmtId="0" fontId="12" fillId="4" borderId="96" xfId="0" applyFont="1" applyFill="1" applyBorder="1" applyAlignment="1" applyProtection="1">
      <alignment horizontal="center" vertical="center" wrapText="1"/>
    </xf>
    <xf numFmtId="0" fontId="12" fillId="0" borderId="59" xfId="0" applyFont="1" applyBorder="1" applyAlignment="1" applyProtection="1">
      <alignment horizontal="left" vertical="center"/>
    </xf>
    <xf numFmtId="0" fontId="12" fillId="0" borderId="94" xfId="0" applyFont="1" applyBorder="1" applyAlignment="1" applyProtection="1">
      <alignment horizontal="left" vertical="center"/>
    </xf>
    <xf numFmtId="0" fontId="12" fillId="0" borderId="76" xfId="0" applyFont="1" applyBorder="1" applyAlignment="1" applyProtection="1">
      <alignment horizontal="left" vertical="center"/>
    </xf>
    <xf numFmtId="0" fontId="13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12" fillId="0" borderId="38" xfId="0" applyFont="1" applyBorder="1" applyAlignment="1" applyProtection="1">
      <alignment horizontal="center" vertical="center" wrapText="1"/>
    </xf>
    <xf numFmtId="0" fontId="12" fillId="0" borderId="45" xfId="0" applyFont="1" applyBorder="1" applyAlignment="1" applyProtection="1">
      <alignment horizontal="center" vertical="center" wrapText="1"/>
    </xf>
    <xf numFmtId="0" fontId="12" fillId="0" borderId="39" xfId="0" applyFont="1" applyBorder="1" applyAlignment="1" applyProtection="1">
      <alignment horizontal="center" vertical="center" wrapText="1"/>
    </xf>
    <xf numFmtId="0" fontId="12" fillId="0" borderId="26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12" fillId="0" borderId="40" xfId="0" applyFont="1" applyBorder="1" applyAlignment="1" applyProtection="1">
      <alignment horizontal="center" vertical="center" wrapText="1"/>
    </xf>
    <xf numFmtId="0" fontId="12" fillId="0" borderId="46" xfId="0" applyFont="1" applyBorder="1" applyAlignment="1" applyProtection="1">
      <alignment horizontal="center" vertical="center" wrapText="1"/>
    </xf>
    <xf numFmtId="0" fontId="12" fillId="0" borderId="41" xfId="0" applyFont="1" applyBorder="1" applyAlignment="1" applyProtection="1">
      <alignment horizontal="center" vertical="center" wrapText="1"/>
    </xf>
    <xf numFmtId="0" fontId="22" fillId="0" borderId="38" xfId="0" applyFont="1" applyBorder="1" applyAlignment="1" applyProtection="1">
      <alignment horizontal="center" vertical="center"/>
    </xf>
    <xf numFmtId="0" fontId="23" fillId="0" borderId="45" xfId="0" applyFont="1" applyBorder="1" applyAlignment="1" applyProtection="1">
      <alignment horizontal="center" vertical="center"/>
    </xf>
    <xf numFmtId="0" fontId="23" fillId="0" borderId="39" xfId="0" applyFont="1" applyBorder="1" applyAlignment="1" applyProtection="1">
      <alignment horizontal="center" vertical="center"/>
    </xf>
    <xf numFmtId="0" fontId="23" fillId="0" borderId="40" xfId="0" applyFont="1" applyBorder="1" applyAlignment="1" applyProtection="1">
      <alignment horizontal="center" vertical="center"/>
    </xf>
    <xf numFmtId="0" fontId="23" fillId="0" borderId="46" xfId="0" applyFont="1" applyBorder="1" applyAlignment="1" applyProtection="1">
      <alignment horizontal="center" vertical="center"/>
    </xf>
    <xf numFmtId="0" fontId="23" fillId="0" borderId="41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top"/>
    </xf>
    <xf numFmtId="0" fontId="9" fillId="0" borderId="0" xfId="0" applyFont="1" applyBorder="1" applyAlignment="1" applyProtection="1">
      <alignment horizontal="center" vertical="top"/>
    </xf>
    <xf numFmtId="0" fontId="9" fillId="0" borderId="0" xfId="0" applyFont="1" applyBorder="1" applyAlignment="1" applyProtection="1">
      <alignment vertical="top"/>
    </xf>
    <xf numFmtId="14" fontId="3" fillId="0" borderId="38" xfId="0" applyNumberFormat="1" applyFont="1" applyBorder="1" applyAlignment="1" applyProtection="1">
      <alignment horizontal="center" vertical="center" wrapText="1"/>
    </xf>
    <xf numFmtId="14" fontId="3" fillId="0" borderId="91" xfId="0" applyNumberFormat="1" applyFont="1" applyBorder="1" applyAlignment="1" applyProtection="1">
      <alignment horizontal="center" vertical="center" wrapText="1"/>
    </xf>
    <xf numFmtId="14" fontId="3" fillId="0" borderId="26" xfId="0" applyNumberFormat="1" applyFont="1" applyBorder="1" applyAlignment="1" applyProtection="1">
      <alignment horizontal="center" vertical="center" wrapText="1"/>
    </xf>
    <xf numFmtId="14" fontId="3" fillId="0" borderId="92" xfId="0" applyNumberFormat="1" applyFont="1" applyBorder="1" applyAlignment="1" applyProtection="1">
      <alignment horizontal="center" vertical="center" wrapText="1"/>
    </xf>
    <xf numFmtId="14" fontId="3" fillId="0" borderId="40" xfId="0" applyNumberFormat="1" applyFont="1" applyBorder="1" applyAlignment="1" applyProtection="1">
      <alignment horizontal="center" vertical="center" wrapText="1"/>
    </xf>
    <xf numFmtId="14" fontId="3" fillId="0" borderId="72" xfId="0" applyNumberFormat="1" applyFont="1" applyBorder="1" applyAlignment="1" applyProtection="1">
      <alignment horizontal="center" vertical="center" wrapText="1"/>
    </xf>
    <xf numFmtId="0" fontId="3" fillId="0" borderId="32" xfId="0" applyFont="1" applyBorder="1" applyAlignment="1" applyProtection="1">
      <alignment horizontal="center" vertical="center" wrapText="1"/>
    </xf>
    <xf numFmtId="0" fontId="3" fillId="0" borderId="36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0" fontId="64" fillId="3" borderId="38" xfId="0" applyFont="1" applyFill="1" applyBorder="1" applyAlignment="1" applyProtection="1">
      <alignment horizontal="center" vertical="center" wrapText="1"/>
    </xf>
    <xf numFmtId="0" fontId="64" fillId="3" borderId="45" xfId="0" applyFont="1" applyFill="1" applyBorder="1" applyAlignment="1" applyProtection="1">
      <alignment horizontal="center" vertical="center" wrapText="1"/>
    </xf>
    <xf numFmtId="0" fontId="64" fillId="3" borderId="39" xfId="0" applyFont="1" applyFill="1" applyBorder="1" applyAlignment="1" applyProtection="1">
      <alignment horizontal="center" vertical="center" wrapText="1"/>
    </xf>
    <xf numFmtId="0" fontId="64" fillId="3" borderId="26" xfId="0" applyFont="1" applyFill="1" applyBorder="1" applyAlignment="1" applyProtection="1">
      <alignment horizontal="center" vertical="center" wrapText="1"/>
    </xf>
    <xf numFmtId="0" fontId="64" fillId="3" borderId="0" xfId="0" applyFont="1" applyFill="1" applyBorder="1" applyAlignment="1" applyProtection="1">
      <alignment horizontal="center" vertical="center" wrapText="1"/>
    </xf>
    <xf numFmtId="0" fontId="64" fillId="3" borderId="20" xfId="0" applyFont="1" applyFill="1" applyBorder="1" applyAlignment="1" applyProtection="1">
      <alignment horizontal="center" vertical="center" wrapText="1"/>
    </xf>
    <xf numFmtId="0" fontId="40" fillId="0" borderId="45" xfId="0" applyFont="1" applyBorder="1" applyAlignment="1" applyProtection="1">
      <alignment horizontal="center" vertical="center" wrapText="1"/>
    </xf>
    <xf numFmtId="0" fontId="40" fillId="0" borderId="39" xfId="0" applyFont="1" applyBorder="1" applyAlignment="1" applyProtection="1">
      <alignment horizontal="center" vertical="center" wrapText="1"/>
    </xf>
    <xf numFmtId="0" fontId="40" fillId="0" borderId="26" xfId="0" applyFont="1" applyBorder="1" applyAlignment="1" applyProtection="1">
      <alignment horizontal="center" vertical="center" wrapText="1"/>
    </xf>
    <xf numFmtId="0" fontId="40" fillId="0" borderId="0" xfId="0" applyFont="1" applyBorder="1" applyAlignment="1" applyProtection="1">
      <alignment horizontal="center" vertical="center" wrapText="1"/>
    </xf>
    <xf numFmtId="0" fontId="40" fillId="0" borderId="20" xfId="0" applyFont="1" applyBorder="1" applyAlignment="1" applyProtection="1">
      <alignment horizontal="center" vertical="center" wrapText="1"/>
    </xf>
    <xf numFmtId="0" fontId="40" fillId="0" borderId="40" xfId="0" applyFont="1" applyBorder="1" applyAlignment="1" applyProtection="1">
      <alignment horizontal="center" vertical="center" wrapText="1"/>
    </xf>
    <xf numFmtId="0" fontId="40" fillId="0" borderId="46" xfId="0" applyFont="1" applyBorder="1" applyAlignment="1" applyProtection="1">
      <alignment horizontal="center" vertical="center" wrapText="1"/>
    </xf>
    <xf numFmtId="0" fontId="40" fillId="0" borderId="41" xfId="0" applyFont="1" applyBorder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3" fillId="0" borderId="53" xfId="0" applyFont="1" applyBorder="1" applyAlignment="1" applyProtection="1">
      <alignment vertical="center"/>
    </xf>
    <xf numFmtId="0" fontId="3" fillId="0" borderId="26" xfId="0" applyFont="1" applyBorder="1" applyAlignment="1" applyProtection="1">
      <alignment vertical="center"/>
    </xf>
    <xf numFmtId="14" fontId="0" fillId="0" borderId="38" xfId="0" applyNumberFormat="1" applyFill="1" applyBorder="1" applyAlignment="1" applyProtection="1">
      <alignment horizontal="center" vertical="center"/>
    </xf>
    <xf numFmtId="14" fontId="0" fillId="0" borderId="39" xfId="0" applyNumberFormat="1" applyFill="1" applyBorder="1" applyAlignment="1" applyProtection="1">
      <alignment horizontal="center" vertical="center"/>
    </xf>
    <xf numFmtId="14" fontId="0" fillId="0" borderId="26" xfId="0" applyNumberFormat="1" applyFill="1" applyBorder="1" applyAlignment="1" applyProtection="1">
      <alignment horizontal="center" vertical="center"/>
    </xf>
    <xf numFmtId="14" fontId="0" fillId="0" borderId="20" xfId="0" applyNumberFormat="1" applyFill="1" applyBorder="1" applyAlignment="1" applyProtection="1">
      <alignment horizontal="center" vertical="center"/>
    </xf>
    <xf numFmtId="14" fontId="0" fillId="0" borderId="40" xfId="0" applyNumberFormat="1" applyFill="1" applyBorder="1" applyAlignment="1" applyProtection="1">
      <alignment horizontal="center" vertical="center"/>
    </xf>
    <xf numFmtId="14" fontId="0" fillId="0" borderId="41" xfId="0" applyNumberFormat="1" applyFill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12" fillId="0" borderId="61" xfId="0" applyNumberFormat="1" applyFont="1" applyBorder="1" applyAlignment="1" applyProtection="1">
      <alignment horizontal="left" vertical="center"/>
    </xf>
    <xf numFmtId="0" fontId="12" fillId="0" borderId="4" xfId="0" applyNumberFormat="1" applyFont="1" applyBorder="1" applyAlignment="1" applyProtection="1">
      <alignment horizontal="left" vertical="center"/>
    </xf>
    <xf numFmtId="0" fontId="50" fillId="5" borderId="0" xfId="0" applyFont="1" applyFill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5" fillId="0" borderId="0" xfId="0" applyFont="1" applyBorder="1" applyAlignment="1" applyProtection="1">
      <alignment horizontal="center" vertical="center" wrapText="1"/>
      <protection locked="0"/>
    </xf>
    <xf numFmtId="175" fontId="33" fillId="0" borderId="0" xfId="0" applyNumberFormat="1" applyFont="1" applyAlignment="1" applyProtection="1">
      <alignment horizontal="center" vertical="center"/>
    </xf>
    <xf numFmtId="0" fontId="50" fillId="0" borderId="40" xfId="0" applyFont="1" applyBorder="1" applyAlignment="1" applyProtection="1">
      <alignment horizontal="center" vertical="center" wrapText="1"/>
      <protection locked="0"/>
    </xf>
    <xf numFmtId="0" fontId="50" fillId="0" borderId="46" xfId="0" applyFont="1" applyBorder="1" applyAlignment="1" applyProtection="1">
      <alignment horizontal="center" vertical="center" wrapText="1"/>
      <protection locked="0"/>
    </xf>
    <xf numFmtId="0" fontId="50" fillId="0" borderId="41" xfId="0" applyFont="1" applyBorder="1" applyAlignment="1" applyProtection="1">
      <alignment horizontal="center" vertical="center" wrapText="1"/>
      <protection locked="0"/>
    </xf>
    <xf numFmtId="0" fontId="47" fillId="0" borderId="46" xfId="0" applyFont="1" applyBorder="1" applyAlignment="1" applyProtection="1">
      <alignment horizontal="center" vertical="center"/>
    </xf>
    <xf numFmtId="0" fontId="47" fillId="0" borderId="0" xfId="0" applyFont="1" applyBorder="1" applyAlignment="1" applyProtection="1">
      <alignment horizontal="center" vertical="center"/>
    </xf>
    <xf numFmtId="0" fontId="25" fillId="0" borderId="45" xfId="0" applyFont="1" applyBorder="1" applyAlignment="1" applyProtection="1">
      <alignment horizontal="center" vertical="center" wrapText="1"/>
      <protection locked="0"/>
    </xf>
    <xf numFmtId="0" fontId="49" fillId="0" borderId="38" xfId="0" applyFont="1" applyBorder="1" applyAlignment="1" applyProtection="1">
      <alignment horizontal="center" vertical="center" textRotation="90" wrapText="1"/>
    </xf>
    <xf numFmtId="0" fontId="49" fillId="0" borderId="26" xfId="0" applyFont="1" applyBorder="1" applyAlignment="1" applyProtection="1">
      <alignment horizontal="center" vertical="center" textRotation="90" wrapText="1"/>
    </xf>
    <xf numFmtId="0" fontId="49" fillId="0" borderId="40" xfId="0" applyFont="1" applyBorder="1" applyAlignment="1" applyProtection="1">
      <alignment horizontal="center" vertical="center" textRotation="90" wrapText="1"/>
    </xf>
    <xf numFmtId="0" fontId="49" fillId="0" borderId="27" xfId="0" applyFont="1" applyBorder="1" applyAlignment="1" applyProtection="1">
      <alignment horizontal="center" vertical="center" textRotation="90" wrapText="1"/>
    </xf>
    <xf numFmtId="0" fontId="49" fillId="0" borderId="30" xfId="0" applyFont="1" applyBorder="1" applyAlignment="1" applyProtection="1">
      <alignment horizontal="center" vertical="center" textRotation="90" wrapText="1"/>
    </xf>
    <xf numFmtId="0" fontId="49" fillId="0" borderId="34" xfId="0" applyFont="1" applyBorder="1" applyAlignment="1" applyProtection="1">
      <alignment horizontal="center" vertical="center" textRotation="90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5" fillId="0" borderId="0" xfId="0" applyFont="1" applyAlignment="1" applyProtection="1">
      <alignment horizont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47" fillId="0" borderId="0" xfId="0" applyFont="1" applyAlignment="1" applyProtection="1">
      <alignment horizontal="left" vertical="center"/>
    </xf>
    <xf numFmtId="14" fontId="17" fillId="0" borderId="0" xfId="0" applyNumberFormat="1" applyFont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45" fillId="5" borderId="86" xfId="0" applyFont="1" applyFill="1" applyBorder="1" applyAlignment="1">
      <alignment horizontal="center"/>
    </xf>
    <xf numFmtId="0" fontId="45" fillId="5" borderId="12" xfId="0" applyFont="1" applyFill="1" applyBorder="1" applyAlignment="1">
      <alignment horizontal="center"/>
    </xf>
    <xf numFmtId="0" fontId="45" fillId="5" borderId="13" xfId="0" applyFont="1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77" fillId="21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78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0" fontId="0" fillId="0" borderId="82" xfId="0" applyBorder="1" applyAlignment="1">
      <alignment horizontal="left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82" xfId="0" applyBorder="1" applyAlignment="1">
      <alignment horizontal="center"/>
    </xf>
    <xf numFmtId="0" fontId="76" fillId="0" borderId="0" xfId="0" applyFont="1" applyAlignment="1">
      <alignment horizontal="center"/>
    </xf>
    <xf numFmtId="193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left" vertical="center" wrapText="1"/>
    </xf>
    <xf numFmtId="0" fontId="0" fillId="0" borderId="54" xfId="0" applyBorder="1" applyAlignment="1" applyProtection="1">
      <alignment horizontal="center"/>
    </xf>
    <xf numFmtId="0" fontId="0" fillId="5" borderId="46" xfId="0" applyFill="1" applyBorder="1" applyAlignment="1" applyProtection="1">
      <alignment horizontal="center" vertical="center"/>
    </xf>
  </cellXfs>
  <cellStyles count="4">
    <cellStyle name="Normal" xfId="0" builtinId="0"/>
    <cellStyle name="Normal 2 2 2" xfId="1"/>
    <cellStyle name="Normal 2 3" xfId="2"/>
    <cellStyle name="Pourcentage" xfId="3" builtinId="5"/>
  </cellStyles>
  <dxfs count="72"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6795556505021"/>
        </patternFill>
      </fill>
    </dxf>
    <dxf>
      <font>
        <color rgb="FFFFFF0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b val="0"/>
        <i val="0"/>
      </font>
      <numFmt numFmtId="0" formatCode="General"/>
    </dxf>
  </dxfs>
  <tableStyles count="0" defaultTableStyle="TableStyleMedium2" defaultPivotStyle="PivotStyleLight16"/>
  <colors>
    <mruColors>
      <color rgb="FFFF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0</xdr:col>
      <xdr:colOff>1053715</xdr:colOff>
      <xdr:row>3</xdr:row>
      <xdr:rowOff>95251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9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053715" cy="70485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47625</xdr:rowOff>
    </xdr:from>
    <xdr:to>
      <xdr:col>4</xdr:col>
      <xdr:colOff>1007325</xdr:colOff>
      <xdr:row>38</xdr:row>
      <xdr:rowOff>135600</xdr:rowOff>
    </xdr:to>
    <xdr:sp macro="[0]!SemiAuto" textlink="">
      <xdr:nvSpPr>
        <xdr:cNvPr id="4" name="Plaque 3"/>
        <xdr:cNvSpPr/>
      </xdr:nvSpPr>
      <xdr:spPr>
        <a:xfrm>
          <a:off x="2809875" y="7477125"/>
          <a:ext cx="1836000" cy="28800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Mise à Jour des lieux et villes</a:t>
          </a:r>
        </a:p>
      </xdr:txBody>
    </xdr:sp>
    <xdr:clientData/>
  </xdr:twoCellAnchor>
  <xdr:twoCellAnchor>
    <xdr:from>
      <xdr:col>3</xdr:col>
      <xdr:colOff>9525</xdr:colOff>
      <xdr:row>42</xdr:row>
      <xdr:rowOff>57150</xdr:rowOff>
    </xdr:from>
    <xdr:to>
      <xdr:col>4</xdr:col>
      <xdr:colOff>997800</xdr:colOff>
      <xdr:row>43</xdr:row>
      <xdr:rowOff>154650</xdr:rowOff>
    </xdr:to>
    <xdr:sp macro="[0]!SemaineT" textlink="">
      <xdr:nvSpPr>
        <xdr:cNvPr id="5" name="Plaque 4"/>
        <xdr:cNvSpPr/>
      </xdr:nvSpPr>
      <xdr:spPr>
        <a:xfrm>
          <a:off x="2800350" y="8467725"/>
          <a:ext cx="1836000" cy="28800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mise à jour</a:t>
          </a:r>
          <a:r>
            <a:rPr lang="fr-FR" sz="1000" b="1" i="1" baseline="0"/>
            <a:t> </a:t>
          </a:r>
          <a:r>
            <a:rPr lang="fr-FR" sz="1000" b="1" i="1"/>
            <a:t>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6</xdr:col>
      <xdr:colOff>66674</xdr:colOff>
      <xdr:row>1</xdr:row>
      <xdr:rowOff>0</xdr:rowOff>
    </xdr:from>
    <xdr:to>
      <xdr:col>6</xdr:col>
      <xdr:colOff>647699</xdr:colOff>
      <xdr:row>3</xdr:row>
      <xdr:rowOff>38100</xdr:rowOff>
    </xdr:to>
    <xdr:sp macro="[0]!Module3.Protection" textlink="">
      <xdr:nvSpPr>
        <xdr:cNvPr id="3" name="Plaque 2"/>
        <xdr:cNvSpPr/>
      </xdr:nvSpPr>
      <xdr:spPr>
        <a:xfrm>
          <a:off x="6219824" y="285750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P</a:t>
          </a:r>
        </a:p>
      </xdr:txBody>
    </xdr:sp>
    <xdr:clientData/>
  </xdr:twoCellAnchor>
  <xdr:twoCellAnchor>
    <xdr:from>
      <xdr:col>6</xdr:col>
      <xdr:colOff>76200</xdr:colOff>
      <xdr:row>4</xdr:row>
      <xdr:rowOff>0</xdr:rowOff>
    </xdr:from>
    <xdr:to>
      <xdr:col>6</xdr:col>
      <xdr:colOff>657225</xdr:colOff>
      <xdr:row>6</xdr:row>
      <xdr:rowOff>47625</xdr:rowOff>
    </xdr:to>
    <xdr:sp macro="[0]!Module3.Ouverture" textlink="">
      <xdr:nvSpPr>
        <xdr:cNvPr id="6" name="Plaque 5"/>
        <xdr:cNvSpPr/>
      </xdr:nvSpPr>
      <xdr:spPr>
        <a:xfrm>
          <a:off x="6229350" y="876300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O</a:t>
          </a:r>
        </a:p>
      </xdr:txBody>
    </xdr:sp>
    <xdr:clientData/>
  </xdr:twoCellAnchor>
  <xdr:twoCellAnchor>
    <xdr:from>
      <xdr:col>2</xdr:col>
      <xdr:colOff>0</xdr:colOff>
      <xdr:row>14</xdr:row>
      <xdr:rowOff>95250</xdr:rowOff>
    </xdr:from>
    <xdr:to>
      <xdr:col>3</xdr:col>
      <xdr:colOff>28575</xdr:colOff>
      <xdr:row>14</xdr:row>
      <xdr:rowOff>95250</xdr:rowOff>
    </xdr:to>
    <xdr:cxnSp macro="">
      <xdr:nvCxnSpPr>
        <xdr:cNvPr id="8" name="Connecteur droit avec flèche 7"/>
        <xdr:cNvCxnSpPr/>
      </xdr:nvCxnSpPr>
      <xdr:spPr>
        <a:xfrm flipH="1">
          <a:off x="2257425" y="2933700"/>
          <a:ext cx="790575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6</xdr:row>
      <xdr:rowOff>152400</xdr:rowOff>
    </xdr:from>
    <xdr:to>
      <xdr:col>6</xdr:col>
      <xdr:colOff>628650</xdr:colOff>
      <xdr:row>9</xdr:row>
      <xdr:rowOff>0</xdr:rowOff>
    </xdr:to>
    <xdr:sp macro="[0]!OuvPro" textlink="">
      <xdr:nvSpPr>
        <xdr:cNvPr id="9" name="Plaque 8"/>
        <xdr:cNvSpPr/>
      </xdr:nvSpPr>
      <xdr:spPr>
        <a:xfrm>
          <a:off x="6200775" y="1419225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O/P</a:t>
          </a:r>
        </a:p>
      </xdr:txBody>
    </xdr:sp>
    <xdr:clientData/>
  </xdr:twoCellAnchor>
  <xdr:twoCellAnchor>
    <xdr:from>
      <xdr:col>80</xdr:col>
      <xdr:colOff>95250</xdr:colOff>
      <xdr:row>6</xdr:row>
      <xdr:rowOff>152400</xdr:rowOff>
    </xdr:from>
    <xdr:to>
      <xdr:col>80</xdr:col>
      <xdr:colOff>676275</xdr:colOff>
      <xdr:row>9</xdr:row>
      <xdr:rowOff>0</xdr:rowOff>
    </xdr:to>
    <xdr:sp macro="[0]!Module_gmb.Protection" textlink="">
      <xdr:nvSpPr>
        <xdr:cNvPr id="10" name="Plaque 9"/>
        <xdr:cNvSpPr/>
      </xdr:nvSpPr>
      <xdr:spPr>
        <a:xfrm>
          <a:off x="7010400" y="1419225"/>
          <a:ext cx="581025" cy="438150"/>
        </a:xfrm>
        <a:prstGeom prst="bevel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O/P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304800</xdr:colOff>
      <xdr:row>0</xdr:row>
      <xdr:rowOff>380871</xdr:rowOff>
    </xdr:from>
    <xdr:ext cx="2268000" cy="580410"/>
    <xdr:sp macro="[0]!RecapFrais" textlink="">
      <xdr:nvSpPr>
        <xdr:cNvPr id="2" name="Plaque 1"/>
        <xdr:cNvSpPr/>
      </xdr:nvSpPr>
      <xdr:spPr>
        <a:xfrm>
          <a:off x="9020175" y="380871"/>
          <a:ext cx="2268000" cy="580410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du</a:t>
          </a:r>
          <a:r>
            <a:rPr lang="fr-FR" sz="1100" baseline="0"/>
            <a:t> récapitulatif des frais mensuels</a:t>
          </a:r>
          <a:endParaRPr lang="fr-FR" sz="1100"/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266700</xdr:colOff>
      <xdr:row>4</xdr:row>
      <xdr:rowOff>171450</xdr:rowOff>
    </xdr:from>
    <xdr:ext cx="2268000" cy="351552"/>
    <xdr:sp macro="[0]!Enregistrement" textlink="">
      <xdr:nvSpPr>
        <xdr:cNvPr id="2" name="Plaque 1"/>
        <xdr:cNvSpPr/>
      </xdr:nvSpPr>
      <xdr:spPr>
        <a:xfrm>
          <a:off x="12544425" y="971550"/>
          <a:ext cx="2268000" cy="351552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du mois</a:t>
          </a:r>
        </a:p>
      </xdr:txBody>
    </xdr:sp>
    <xdr:clientData fPrintsWithSheet="0"/>
  </xdr:oneCellAnchor>
  <xdr:oneCellAnchor>
    <xdr:from>
      <xdr:col>14</xdr:col>
      <xdr:colOff>285750</xdr:colOff>
      <xdr:row>8</xdr:row>
      <xdr:rowOff>0</xdr:rowOff>
    </xdr:from>
    <xdr:ext cx="2268000" cy="351552"/>
    <xdr:sp macro="[0]!Enregistrement" textlink="">
      <xdr:nvSpPr>
        <xdr:cNvPr id="3" name="Plaque 2"/>
        <xdr:cNvSpPr/>
      </xdr:nvSpPr>
      <xdr:spPr>
        <a:xfrm>
          <a:off x="12563475" y="1581150"/>
          <a:ext cx="2268000" cy="351552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Effacement</a:t>
          </a:r>
        </a:p>
      </xdr:txBody>
    </xdr:sp>
    <xdr:clientData fPrintsWithSheet="0"/>
  </xdr:oneCellAnchor>
  <xdr:oneCellAnchor>
    <xdr:from>
      <xdr:col>14</xdr:col>
      <xdr:colOff>314325</xdr:colOff>
      <xdr:row>11</xdr:row>
      <xdr:rowOff>9525</xdr:rowOff>
    </xdr:from>
    <xdr:ext cx="2268000" cy="351552"/>
    <xdr:sp macro="[0]!Enregistrement" textlink="">
      <xdr:nvSpPr>
        <xdr:cNvPr id="4" name="Plaque 3"/>
        <xdr:cNvSpPr/>
      </xdr:nvSpPr>
      <xdr:spPr>
        <a:xfrm>
          <a:off x="12592050" y="2162175"/>
          <a:ext cx="2268000" cy="351552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Mise à jours Semaine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124239</xdr:colOff>
      <xdr:row>8</xdr:row>
      <xdr:rowOff>82826</xdr:rowOff>
    </xdr:from>
    <xdr:ext cx="2268000" cy="351552"/>
    <xdr:sp macro="[0]!RapportActivité" textlink="">
      <xdr:nvSpPr>
        <xdr:cNvPr id="2" name="Plaque 1"/>
        <xdr:cNvSpPr/>
      </xdr:nvSpPr>
      <xdr:spPr>
        <a:xfrm>
          <a:off x="7479196" y="1606826"/>
          <a:ext cx="2268000" cy="351552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du Rapport</a:t>
          </a: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23</xdr:row>
      <xdr:rowOff>104775</xdr:rowOff>
    </xdr:from>
    <xdr:to>
      <xdr:col>4</xdr:col>
      <xdr:colOff>619125</xdr:colOff>
      <xdr:row>29</xdr:row>
      <xdr:rowOff>149733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4953000"/>
          <a:ext cx="1828800" cy="1207008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1</xdr:row>
      <xdr:rowOff>323850</xdr:rowOff>
    </xdr:from>
    <xdr:ext cx="2268000" cy="351552"/>
    <xdr:sp macro="[0]!Congé" textlink="">
      <xdr:nvSpPr>
        <xdr:cNvPr id="4" name="Plaque 3"/>
        <xdr:cNvSpPr/>
      </xdr:nvSpPr>
      <xdr:spPr>
        <a:xfrm>
          <a:off x="7239000" y="638175"/>
          <a:ext cx="2268000" cy="351552"/>
        </a:xfrm>
        <a:prstGeom prst="bevel">
          <a:avLst/>
        </a:prstGeom>
        <a:gradFill flip="none" rotWithShape="1">
          <a:gsLst>
            <a:gs pos="56000">
              <a:schemeClr val="accent6">
                <a:lumMod val="110000"/>
                <a:satMod val="105000"/>
                <a:tint val="67000"/>
              </a:schemeClr>
            </a:gs>
            <a:gs pos="86000">
              <a:schemeClr val="accent6">
                <a:lumMod val="105000"/>
                <a:satMod val="103000"/>
                <a:tint val="73000"/>
              </a:schemeClr>
            </a:gs>
            <a:gs pos="100000">
              <a:schemeClr val="accent6">
                <a:lumMod val="105000"/>
                <a:satMod val="109000"/>
                <a:tint val="81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100"/>
            <a:t>Enregistrement Congé</a:t>
          </a:r>
        </a:p>
      </xdr:txBody>
    </xdr:sp>
    <xdr:clientData fPrint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33</xdr:row>
      <xdr:rowOff>104775</xdr:rowOff>
    </xdr:from>
    <xdr:to>
      <xdr:col>4</xdr:col>
      <xdr:colOff>150075</xdr:colOff>
      <xdr:row>34</xdr:row>
      <xdr:rowOff>192750</xdr:rowOff>
    </xdr:to>
    <xdr:sp macro="[0]!SemaineF" textlink="">
      <xdr:nvSpPr>
        <xdr:cNvPr id="2" name="Plaque 1"/>
        <xdr:cNvSpPr/>
      </xdr:nvSpPr>
      <xdr:spPr>
        <a:xfrm>
          <a:off x="6153150" y="6667500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19050</xdr:colOff>
      <xdr:row>95</xdr:row>
      <xdr:rowOff>133350</xdr:rowOff>
    </xdr:from>
    <xdr:to>
      <xdr:col>4</xdr:col>
      <xdr:colOff>140550</xdr:colOff>
      <xdr:row>97</xdr:row>
      <xdr:rowOff>21300</xdr:rowOff>
    </xdr:to>
    <xdr:sp macro="[0]!SemaineF" textlink="">
      <xdr:nvSpPr>
        <xdr:cNvPr id="3" name="Plaque 2"/>
        <xdr:cNvSpPr/>
      </xdr:nvSpPr>
      <xdr:spPr>
        <a:xfrm>
          <a:off x="6143625" y="19050000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9525</xdr:colOff>
      <xdr:row>157</xdr:row>
      <xdr:rowOff>114300</xdr:rowOff>
    </xdr:from>
    <xdr:to>
      <xdr:col>4</xdr:col>
      <xdr:colOff>131025</xdr:colOff>
      <xdr:row>159</xdr:row>
      <xdr:rowOff>2250</xdr:rowOff>
    </xdr:to>
    <xdr:sp macro="[0]!SemaineF" textlink="">
      <xdr:nvSpPr>
        <xdr:cNvPr id="4" name="Plaque 3"/>
        <xdr:cNvSpPr/>
      </xdr:nvSpPr>
      <xdr:spPr>
        <a:xfrm>
          <a:off x="6134100" y="31394400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0</xdr:colOff>
      <xdr:row>220</xdr:row>
      <xdr:rowOff>0</xdr:rowOff>
    </xdr:from>
    <xdr:to>
      <xdr:col>4</xdr:col>
      <xdr:colOff>121500</xdr:colOff>
      <xdr:row>221</xdr:row>
      <xdr:rowOff>87975</xdr:rowOff>
    </xdr:to>
    <xdr:sp macro="[0]!SemaineF" textlink="">
      <xdr:nvSpPr>
        <xdr:cNvPr id="5" name="Plaque 4"/>
        <xdr:cNvSpPr/>
      </xdr:nvSpPr>
      <xdr:spPr>
        <a:xfrm>
          <a:off x="6124575" y="43843575"/>
          <a:ext cx="1836000" cy="2880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  <xdr:twoCellAnchor>
    <xdr:from>
      <xdr:col>3</xdr:col>
      <xdr:colOff>0</xdr:colOff>
      <xdr:row>268</xdr:row>
      <xdr:rowOff>0</xdr:rowOff>
    </xdr:from>
    <xdr:to>
      <xdr:col>4</xdr:col>
      <xdr:colOff>121500</xdr:colOff>
      <xdr:row>269</xdr:row>
      <xdr:rowOff>78450</xdr:rowOff>
    </xdr:to>
    <xdr:sp macro="[0]!SemaineF" textlink="">
      <xdr:nvSpPr>
        <xdr:cNvPr id="6" name="Plaque 5"/>
        <xdr:cNvSpPr/>
      </xdr:nvSpPr>
      <xdr:spPr>
        <a:xfrm>
          <a:off x="6124575" y="51711225"/>
          <a:ext cx="1836000" cy="26895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/>
            <a:t>fermeture Semaines</a:t>
          </a:r>
          <a:r>
            <a:rPr lang="fr-FR" sz="1000" b="1" i="1" baseline="0"/>
            <a:t> Types</a:t>
          </a:r>
          <a:endParaRPr lang="fr-FR" sz="10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CD110"/>
  <sheetViews>
    <sheetView tabSelected="1" workbookViewId="0">
      <selection activeCell="CC11" sqref="CC11"/>
    </sheetView>
  </sheetViews>
  <sheetFormatPr baseColWidth="10" defaultRowHeight="15"/>
  <cols>
    <col min="1" max="1" width="17.28515625" style="65" bestFit="1" customWidth="1"/>
    <col min="2" max="2" width="16.5703125" style="65" bestFit="1" customWidth="1"/>
    <col min="3" max="3" width="11.42578125" style="65"/>
    <col min="4" max="4" width="12.7109375" style="65" bestFit="1" customWidth="1"/>
    <col min="5" max="5" width="18.85546875" style="65" customWidth="1"/>
    <col min="6" max="6" width="15.42578125" style="65" bestFit="1" customWidth="1"/>
    <col min="7" max="7" width="11.42578125" style="65"/>
    <col min="8" max="10" width="11.42578125" style="65" hidden="1" customWidth="1"/>
    <col min="11" max="11" width="22" style="65" hidden="1" customWidth="1"/>
    <col min="12" max="12" width="18" style="65" hidden="1" customWidth="1"/>
    <col min="13" max="13" width="16.140625" style="65" hidden="1" customWidth="1"/>
    <col min="14" max="14" width="14.28515625" style="65" hidden="1" customWidth="1"/>
    <col min="15" max="15" width="18.5703125" style="65" hidden="1" customWidth="1"/>
    <col min="16" max="16" width="12.85546875" style="65" hidden="1" customWidth="1"/>
    <col min="17" max="17" width="17.5703125" style="128" hidden="1" customWidth="1"/>
    <col min="18" max="18" width="17.5703125" style="158" hidden="1" customWidth="1"/>
    <col min="19" max="20" width="17.5703125" style="173" hidden="1" customWidth="1"/>
    <col min="21" max="21" width="21" style="65" hidden="1" customWidth="1"/>
    <col min="22" max="22" width="21" style="172" hidden="1" customWidth="1"/>
    <col min="23" max="80" width="3" style="65" hidden="1" customWidth="1"/>
    <col min="81" max="16384" width="11.42578125" style="65"/>
  </cols>
  <sheetData>
    <row r="1" spans="1:82" ht="22.5" thickTop="1" thickBot="1">
      <c r="A1" s="593" t="s">
        <v>340</v>
      </c>
      <c r="B1" s="593"/>
      <c r="C1" s="594" t="s">
        <v>143</v>
      </c>
      <c r="D1" s="594"/>
      <c r="E1" s="57" t="s">
        <v>305</v>
      </c>
      <c r="F1" s="127">
        <f ca="1">N4</f>
        <v>2014</v>
      </c>
      <c r="G1" s="68"/>
      <c r="J1" s="453"/>
      <c r="K1" s="69"/>
      <c r="L1" s="590" t="s">
        <v>170</v>
      </c>
      <c r="M1" s="591"/>
      <c r="N1" s="591"/>
      <c r="O1" s="591"/>
      <c r="P1" s="591"/>
      <c r="Q1" s="591"/>
      <c r="R1" s="591"/>
      <c r="S1" s="591"/>
      <c r="T1" s="591"/>
      <c r="U1" s="591"/>
      <c r="V1" s="591"/>
      <c r="W1" s="591"/>
      <c r="X1" s="591"/>
      <c r="Y1" s="591"/>
      <c r="Z1" s="591"/>
      <c r="AA1" s="591"/>
      <c r="AB1" s="591"/>
      <c r="AC1" s="591"/>
      <c r="AD1" s="591"/>
      <c r="AE1" s="591"/>
      <c r="AF1" s="591"/>
      <c r="AG1" s="591"/>
      <c r="AH1" s="591"/>
      <c r="AI1" s="591"/>
      <c r="AJ1" s="591"/>
      <c r="AK1" s="591"/>
      <c r="AL1" s="591"/>
      <c r="AM1" s="591"/>
      <c r="AN1" s="591"/>
      <c r="AO1" s="591"/>
      <c r="AP1" s="591"/>
      <c r="AQ1" s="591"/>
      <c r="AR1" s="591"/>
      <c r="AS1" s="591"/>
      <c r="AT1" s="591"/>
      <c r="AU1" s="592"/>
    </row>
    <row r="2" spans="1:82" ht="15.75" thickTop="1">
      <c r="B2" s="614" t="s">
        <v>234</v>
      </c>
      <c r="C2" s="615"/>
      <c r="D2" s="615"/>
      <c r="E2" s="615"/>
      <c r="G2" s="68"/>
      <c r="K2" s="69" t="s">
        <v>448</v>
      </c>
      <c r="L2" s="69" t="s">
        <v>456</v>
      </c>
      <c r="M2" s="69" t="s">
        <v>455</v>
      </c>
      <c r="N2" s="69" t="str">
        <f>CONCATENATE(L2,"-",M2)</f>
        <v>BERTRAND-Eric</v>
      </c>
      <c r="O2" s="69"/>
      <c r="P2" s="1"/>
      <c r="U2" s="165" t="s">
        <v>382</v>
      </c>
      <c r="W2" s="618" t="str">
        <f ca="1">IF(SUMIF(W3:AI3,$AF$2,W3:AI3)&lt;&gt;0,$AJ$3,IF(SUMIF(W4:AI4,$AF$2,W4:AI4)&lt;&gt;0,$AJ$4,IF(SUMIF(W5:AI5,$AF$2,W5:AI5)&lt;&gt;0,$AJ$5,$AJ$6)))</f>
        <v>Semaine 4</v>
      </c>
      <c r="X2" s="609"/>
      <c r="Y2" s="609"/>
      <c r="Z2" s="609"/>
      <c r="AA2" s="609"/>
      <c r="AB2" s="609"/>
      <c r="AC2" s="609"/>
      <c r="AD2" s="609"/>
      <c r="AE2" s="609"/>
      <c r="AF2" s="609">
        <f ca="1">_xlfn.ISOWEEKNUM(M7)</f>
        <v>44</v>
      </c>
      <c r="AG2" s="609"/>
      <c r="AH2" s="609"/>
      <c r="AI2" s="609"/>
      <c r="AJ2" s="621" t="s">
        <v>177</v>
      </c>
      <c r="AK2" s="621"/>
      <c r="AL2" s="621"/>
      <c r="AM2" s="621"/>
      <c r="AN2" s="621"/>
      <c r="AO2" s="621"/>
      <c r="AP2" s="622"/>
    </row>
    <row r="3" spans="1:82" ht="15.75" thickBot="1">
      <c r="B3" s="615"/>
      <c r="C3" s="615"/>
      <c r="D3" s="615"/>
      <c r="E3" s="615"/>
      <c r="G3" s="68"/>
      <c r="K3" s="637" t="s">
        <v>154</v>
      </c>
      <c r="L3" s="637"/>
      <c r="M3" s="637"/>
      <c r="N3" s="637"/>
      <c r="O3" s="70" t="s">
        <v>179</v>
      </c>
      <c r="P3" s="71"/>
      <c r="Q3" s="627" t="s">
        <v>251</v>
      </c>
      <c r="R3" s="628"/>
      <c r="S3" s="628"/>
      <c r="T3" s="629"/>
      <c r="U3" s="161"/>
      <c r="W3" s="72">
        <v>4</v>
      </c>
      <c r="X3" s="73">
        <v>8</v>
      </c>
      <c r="Y3" s="73">
        <v>12</v>
      </c>
      <c r="Z3" s="73">
        <v>16</v>
      </c>
      <c r="AA3" s="73">
        <v>20</v>
      </c>
      <c r="AB3" s="73">
        <v>24</v>
      </c>
      <c r="AC3" s="73">
        <v>28</v>
      </c>
      <c r="AD3" s="73">
        <v>32</v>
      </c>
      <c r="AE3" s="73">
        <v>36</v>
      </c>
      <c r="AF3" s="73">
        <v>40</v>
      </c>
      <c r="AG3" s="73">
        <v>44</v>
      </c>
      <c r="AH3" s="73">
        <v>48</v>
      </c>
      <c r="AI3" s="73">
        <v>52</v>
      </c>
      <c r="AJ3" s="623" t="s">
        <v>150</v>
      </c>
      <c r="AK3" s="623"/>
      <c r="AL3" s="623"/>
      <c r="AM3" s="623"/>
      <c r="AN3" s="623"/>
      <c r="AO3" s="623"/>
      <c r="AP3" s="624"/>
    </row>
    <row r="4" spans="1:82">
      <c r="G4" s="68"/>
      <c r="K4" s="75">
        <f ca="1">N7</f>
        <v>41952</v>
      </c>
      <c r="L4" s="76">
        <f ca="1">N7</f>
        <v>41952</v>
      </c>
      <c r="M4" s="77">
        <f ca="1">N7</f>
        <v>41952</v>
      </c>
      <c r="N4" s="78">
        <f ca="1">YEAR(NOW())</f>
        <v>2014</v>
      </c>
      <c r="O4" s="326">
        <f ca="1">_xlfn.ISOWEEKNUM(M4)</f>
        <v>45</v>
      </c>
      <c r="P4" s="312"/>
      <c r="Q4" s="136" t="s">
        <v>163</v>
      </c>
      <c r="R4" s="99" t="s">
        <v>164</v>
      </c>
      <c r="S4" s="316" t="s">
        <v>250</v>
      </c>
      <c r="T4" s="165" t="s">
        <v>230</v>
      </c>
      <c r="U4" s="278">
        <f ca="1">K4</f>
        <v>41952</v>
      </c>
      <c r="W4" s="80">
        <v>1</v>
      </c>
      <c r="X4" s="81">
        <v>5</v>
      </c>
      <c r="Y4" s="81">
        <v>9</v>
      </c>
      <c r="Z4" s="81">
        <v>13</v>
      </c>
      <c r="AA4" s="81">
        <v>17</v>
      </c>
      <c r="AB4" s="81">
        <v>21</v>
      </c>
      <c r="AC4" s="81">
        <v>25</v>
      </c>
      <c r="AD4" s="81">
        <v>29</v>
      </c>
      <c r="AE4" s="81">
        <v>33</v>
      </c>
      <c r="AF4" s="81">
        <v>37</v>
      </c>
      <c r="AG4" s="81">
        <v>41</v>
      </c>
      <c r="AH4" s="81">
        <v>45</v>
      </c>
      <c r="AI4" s="81">
        <v>49</v>
      </c>
      <c r="AJ4" s="625" t="s">
        <v>147</v>
      </c>
      <c r="AK4" s="625"/>
      <c r="AL4" s="625"/>
      <c r="AM4" s="625"/>
      <c r="AN4" s="625"/>
      <c r="AO4" s="625"/>
      <c r="AP4" s="626"/>
    </row>
    <row r="5" spans="1:82">
      <c r="A5" s="65" t="s">
        <v>165</v>
      </c>
      <c r="B5" s="612" t="s">
        <v>146</v>
      </c>
      <c r="C5" s="612"/>
      <c r="D5" s="612"/>
      <c r="E5" s="612"/>
      <c r="G5" s="68"/>
      <c r="K5" s="638" t="s">
        <v>162</v>
      </c>
      <c r="L5" s="639"/>
      <c r="M5" s="595" t="s">
        <v>178</v>
      </c>
      <c r="N5" s="596" t="s">
        <v>77</v>
      </c>
      <c r="O5" s="596" t="s">
        <v>397</v>
      </c>
      <c r="Q5" s="109">
        <f ca="1">DATE($N$4,1,2)-WEEKDAY(DATE($N$4,1,2))+7*$S$5-5</f>
        <v>41953</v>
      </c>
      <c r="R5" s="89">
        <f ca="1">DATE($N$4,1,2)-WEEKDAY(DATE($N$4,1,3))+7*$S$5</f>
        <v>41957</v>
      </c>
      <c r="S5" s="135">
        <f ca="1">O4+1</f>
        <v>46</v>
      </c>
      <c r="T5" s="100" t="s">
        <v>231</v>
      </c>
      <c r="U5" s="278">
        <f ca="1">K4-1</f>
        <v>41951</v>
      </c>
      <c r="W5" s="82">
        <v>2</v>
      </c>
      <c r="X5" s="83">
        <v>6</v>
      </c>
      <c r="Y5" s="83">
        <v>10</v>
      </c>
      <c r="Z5" s="83">
        <v>14</v>
      </c>
      <c r="AA5" s="83">
        <v>18</v>
      </c>
      <c r="AB5" s="83">
        <v>22</v>
      </c>
      <c r="AC5" s="83">
        <v>26</v>
      </c>
      <c r="AD5" s="83">
        <v>30</v>
      </c>
      <c r="AE5" s="83">
        <v>34</v>
      </c>
      <c r="AF5" s="83">
        <v>38</v>
      </c>
      <c r="AG5" s="83">
        <v>42</v>
      </c>
      <c r="AH5" s="83">
        <v>46</v>
      </c>
      <c r="AI5" s="83">
        <v>50</v>
      </c>
      <c r="AJ5" s="642" t="s">
        <v>148</v>
      </c>
      <c r="AK5" s="642"/>
      <c r="AL5" s="642"/>
      <c r="AM5" s="642"/>
      <c r="AN5" s="642"/>
      <c r="AO5" s="642"/>
      <c r="AP5" s="643"/>
    </row>
    <row r="6" spans="1:82" ht="15.75" thickBot="1">
      <c r="A6" s="65" t="s">
        <v>166</v>
      </c>
      <c r="B6" s="612" t="s">
        <v>145</v>
      </c>
      <c r="C6" s="612"/>
      <c r="D6" s="612"/>
      <c r="E6" s="612"/>
      <c r="K6" s="64" t="s">
        <v>163</v>
      </c>
      <c r="L6" s="64" t="s">
        <v>164</v>
      </c>
      <c r="M6" s="595"/>
      <c r="N6" s="596"/>
      <c r="O6" s="596"/>
      <c r="Q6" s="109">
        <f ca="1">DATE($N$4,1,2)-WEEKDAY(DATE($N$4,1,2))+7*$S$6-5</f>
        <v>41946</v>
      </c>
      <c r="R6" s="89">
        <f ca="1">DATE($N$4,1,2)-WEEKDAY(DATE($N$4,1,3))+7*$S$6</f>
        <v>41950</v>
      </c>
      <c r="S6" s="135">
        <f ca="1">O4</f>
        <v>45</v>
      </c>
      <c r="T6" s="100" t="s">
        <v>162</v>
      </c>
      <c r="U6" s="278">
        <f ca="1">K4-2</f>
        <v>41950</v>
      </c>
      <c r="W6" s="85">
        <v>3</v>
      </c>
      <c r="X6" s="86">
        <v>7</v>
      </c>
      <c r="Y6" s="86">
        <v>11</v>
      </c>
      <c r="Z6" s="86">
        <v>15</v>
      </c>
      <c r="AA6" s="86">
        <v>19</v>
      </c>
      <c r="AB6" s="86">
        <v>23</v>
      </c>
      <c r="AC6" s="86">
        <v>27</v>
      </c>
      <c r="AD6" s="86">
        <v>31</v>
      </c>
      <c r="AE6" s="86">
        <v>35</v>
      </c>
      <c r="AF6" s="86">
        <v>39</v>
      </c>
      <c r="AG6" s="86">
        <v>43</v>
      </c>
      <c r="AH6" s="86">
        <v>47</v>
      </c>
      <c r="AI6" s="86">
        <v>51</v>
      </c>
      <c r="AJ6" s="644" t="s">
        <v>149</v>
      </c>
      <c r="AK6" s="644"/>
      <c r="AL6" s="644"/>
      <c r="AM6" s="644"/>
      <c r="AN6" s="644"/>
      <c r="AO6" s="644"/>
      <c r="AP6" s="645"/>
    </row>
    <row r="7" spans="1:82" ht="15.75" thickBot="1">
      <c r="K7" s="89">
        <f ca="1">DATE($N$4,1,2)-WEEKDAY(DATE($N$4,1,2))+7*$O$4-5</f>
        <v>41946</v>
      </c>
      <c r="L7" s="89">
        <f ca="1">DATE($N$4,1,2)-WEEKDAY(DATE($N$4,1,3))+7*$O$4</f>
        <v>41950</v>
      </c>
      <c r="M7" s="90">
        <f ca="1">EOMONTH(N7,-1)+1</f>
        <v>41944</v>
      </c>
      <c r="N7" s="91">
        <f ca="1">TODAY()</f>
        <v>41952</v>
      </c>
      <c r="O7" s="330">
        <f ca="1">Q28</f>
        <v>40</v>
      </c>
      <c r="Q7" s="110">
        <f ca="1">DATE($N$4,1,2)-WEEKDAY(DATE($N$4,1,2))+7*$S$7-5</f>
        <v>41939</v>
      </c>
      <c r="R7" s="111">
        <f ca="1">DATE($N$4,1,2)-WEEKDAY(DATE($N$4,1,3))+7*$S$7</f>
        <v>41943</v>
      </c>
      <c r="S7" s="317">
        <f ca="1">O4-1</f>
        <v>44</v>
      </c>
      <c r="T7" s="104" t="s">
        <v>232</v>
      </c>
      <c r="U7" s="279">
        <f ca="1">K4+1</f>
        <v>41953</v>
      </c>
      <c r="V7" s="23"/>
    </row>
    <row r="8" spans="1:82">
      <c r="A8" s="597" t="s">
        <v>167</v>
      </c>
      <c r="B8" s="598"/>
      <c r="C8" s="598"/>
      <c r="D8" s="598"/>
      <c r="E8" s="598"/>
      <c r="F8" s="598"/>
      <c r="K8" s="616" t="s">
        <v>202</v>
      </c>
      <c r="L8" s="616"/>
      <c r="M8" s="616"/>
      <c r="N8" s="616"/>
      <c r="O8" s="616"/>
      <c r="P8" s="616"/>
      <c r="V8" s="23"/>
      <c r="CD8" s="589" t="s">
        <v>487</v>
      </c>
    </row>
    <row r="9" spans="1:82" ht="15.75" thickBot="1">
      <c r="A9" s="58" t="s">
        <v>151</v>
      </c>
      <c r="B9" s="93" t="s">
        <v>334</v>
      </c>
      <c r="C9" s="64" t="s">
        <v>152</v>
      </c>
      <c r="D9" s="93" t="s">
        <v>153</v>
      </c>
      <c r="E9" s="285" t="str">
        <f>CONCATENATE(B9,"-",D9)</f>
        <v>GUIN-Maurice</v>
      </c>
      <c r="F9" s="225" t="s">
        <v>387</v>
      </c>
      <c r="K9" s="617" t="s">
        <v>274</v>
      </c>
      <c r="L9" s="617"/>
      <c r="M9" s="67" t="s">
        <v>260</v>
      </c>
      <c r="N9" s="67" t="s">
        <v>275</v>
      </c>
      <c r="O9" s="67"/>
      <c r="P9" s="67" t="s">
        <v>162</v>
      </c>
      <c r="Q9" s="640" t="s">
        <v>349</v>
      </c>
      <c r="R9" s="640"/>
      <c r="S9" s="640"/>
      <c r="T9" s="640"/>
      <c r="U9" s="640"/>
      <c r="V9" s="640"/>
      <c r="W9" s="633"/>
      <c r="X9" s="634"/>
      <c r="Y9" s="632">
        <v>1.666666667E-2</v>
      </c>
      <c r="Z9" s="632"/>
      <c r="AA9" s="632"/>
      <c r="AB9" s="632"/>
      <c r="AC9" s="632"/>
      <c r="AD9" s="631">
        <f>B13</f>
        <v>0.83333333333333337</v>
      </c>
      <c r="AE9" s="631"/>
      <c r="AF9" s="631"/>
      <c r="AG9" s="631"/>
      <c r="AH9" s="631"/>
      <c r="AI9" s="631"/>
      <c r="AJ9" s="611">
        <f>C13</f>
        <v>70</v>
      </c>
      <c r="AK9" s="611"/>
      <c r="AL9" s="611"/>
      <c r="AM9" s="611"/>
      <c r="AN9" s="611"/>
      <c r="AO9" s="611"/>
      <c r="AP9" s="646">
        <f>AJ9</f>
        <v>70</v>
      </c>
      <c r="AQ9" s="646"/>
      <c r="AR9" s="646"/>
      <c r="AS9" s="646"/>
    </row>
    <row r="10" spans="1:82" ht="15.75" thickBot="1">
      <c r="A10" s="59" t="s">
        <v>159</v>
      </c>
      <c r="B10" s="462" t="s">
        <v>160</v>
      </c>
      <c r="C10" s="66" t="s">
        <v>161</v>
      </c>
      <c r="D10" s="463">
        <v>1</v>
      </c>
      <c r="E10" s="286" t="str">
        <f>CONCATENATE("!","Ligne",F10)</f>
        <v>!Ligne2</v>
      </c>
      <c r="F10" s="457">
        <v>2</v>
      </c>
      <c r="K10" s="117" t="s">
        <v>176</v>
      </c>
      <c r="L10" s="613" t="s">
        <v>193</v>
      </c>
      <c r="M10" s="613"/>
      <c r="N10" s="165" t="s">
        <v>203</v>
      </c>
      <c r="O10" s="165" t="s">
        <v>412</v>
      </c>
      <c r="P10" s="174" t="s">
        <v>7</v>
      </c>
      <c r="Q10" s="175" t="s">
        <v>358</v>
      </c>
      <c r="R10" s="171" t="s">
        <v>359</v>
      </c>
      <c r="S10" s="176" t="s">
        <v>347</v>
      </c>
      <c r="T10" s="176" t="s">
        <v>346</v>
      </c>
      <c r="U10" s="171" t="s">
        <v>350</v>
      </c>
      <c r="V10" s="177" t="s">
        <v>348</v>
      </c>
      <c r="W10" s="635"/>
      <c r="X10" s="636"/>
      <c r="Y10" s="61" t="s">
        <v>196</v>
      </c>
      <c r="Z10" s="96"/>
      <c r="AA10" s="96"/>
      <c r="AB10" s="96"/>
      <c r="AC10" s="96"/>
      <c r="AD10" s="630" t="s">
        <v>197</v>
      </c>
      <c r="AE10" s="630"/>
      <c r="AF10" s="630"/>
      <c r="AG10" s="630"/>
      <c r="AH10" s="630"/>
      <c r="AI10" s="630"/>
      <c r="AJ10" s="610" t="s">
        <v>198</v>
      </c>
      <c r="AK10" s="610"/>
      <c r="AL10" s="610"/>
      <c r="AM10" s="610"/>
      <c r="AN10" s="610"/>
      <c r="AO10" s="610"/>
      <c r="AP10" s="647" t="s">
        <v>199</v>
      </c>
      <c r="AQ10" s="647"/>
      <c r="AR10" s="647"/>
      <c r="AS10" s="647"/>
    </row>
    <row r="11" spans="1:82" ht="15.75" thickBot="1">
      <c r="I11" s="607" t="s">
        <v>158</v>
      </c>
      <c r="J11" s="608"/>
      <c r="K11" s="154">
        <f ca="1">$N$7</f>
        <v>41952</v>
      </c>
      <c r="L11" s="195">
        <f ca="1">DATE(N4,1,1)</f>
        <v>41640</v>
      </c>
      <c r="M11" s="153" t="s">
        <v>180</v>
      </c>
      <c r="N11" s="339">
        <f ca="1">N4</f>
        <v>2014</v>
      </c>
      <c r="O11" s="429">
        <f ca="1">P28</f>
        <v>44</v>
      </c>
      <c r="P11" s="432"/>
      <c r="Q11" s="319" t="str">
        <f ca="1">TEXT(U11,"mmmm-aa")</f>
        <v>novembre-14</v>
      </c>
      <c r="R11" s="320" t="str">
        <f ca="1">TEXT(V11,"jjjj")</f>
        <v>samedi</v>
      </c>
      <c r="S11" s="321">
        <f ca="1">EOMONTH(TODAY(),-1)+1</f>
        <v>41944</v>
      </c>
      <c r="T11" s="322">
        <f ca="1">EOMONTH(TODAY(),0)+0</f>
        <v>41973</v>
      </c>
      <c r="U11" s="182">
        <f ca="1">N7</f>
        <v>41952</v>
      </c>
      <c r="V11" s="183">
        <f ca="1">EOMONTH(TODAY(),-1)+1</f>
        <v>41944</v>
      </c>
      <c r="W11" s="649" t="s">
        <v>66</v>
      </c>
      <c r="X11" s="610"/>
      <c r="Y11" s="641" t="e">
        <f ca="1">IF(RecapMois!G13&gt;=$AN$42,RecapMois!G13-$AN$42,0)</f>
        <v>#REF!</v>
      </c>
      <c r="Z11" s="641"/>
      <c r="AA11" s="641"/>
      <c r="AB11" s="641"/>
      <c r="AC11" s="641"/>
      <c r="AD11" s="620" t="e">
        <f ca="1">HOUR(Y11)</f>
        <v>#REF!</v>
      </c>
      <c r="AE11" s="620"/>
      <c r="AF11" s="620"/>
      <c r="AG11" s="620"/>
      <c r="AH11" s="620"/>
      <c r="AI11" s="620"/>
      <c r="AJ11" s="648" t="e">
        <f ca="1">MINUTE(Y11)</f>
        <v>#REF!</v>
      </c>
      <c r="AK11" s="648"/>
      <c r="AL11" s="648"/>
      <c r="AM11" s="648"/>
      <c r="AN11" s="648"/>
      <c r="AO11" s="648"/>
      <c r="AP11" s="619" t="e">
        <f ca="1">(AD11)+(AJ11*$Y$9)</f>
        <v>#REF!</v>
      </c>
      <c r="AQ11" s="619"/>
      <c r="AR11" s="619"/>
      <c r="AS11" s="619"/>
    </row>
    <row r="12" spans="1:82">
      <c r="A12" s="98" t="s">
        <v>174</v>
      </c>
      <c r="B12" s="99" t="s">
        <v>70</v>
      </c>
      <c r="C12" s="316" t="s">
        <v>175</v>
      </c>
      <c r="D12" s="666" t="s">
        <v>411</v>
      </c>
      <c r="E12" s="667"/>
      <c r="F12" s="118" t="s">
        <v>476</v>
      </c>
      <c r="I12" s="136"/>
      <c r="J12" s="137" t="s">
        <v>155</v>
      </c>
      <c r="K12" s="157">
        <f ca="1">EDATE($K$11,-1)</f>
        <v>41921</v>
      </c>
      <c r="L12" s="196">
        <f ca="1">FLOOR(DAY(MINUTE(N4/38)/2+56)&amp;"/5/"&amp;N4,7)-34</f>
        <v>41749</v>
      </c>
      <c r="M12" s="102" t="s">
        <v>181</v>
      </c>
      <c r="N12" s="339">
        <f ca="1">N4-1</f>
        <v>2013</v>
      </c>
      <c r="O12" s="429">
        <f ca="1">O11+1</f>
        <v>45</v>
      </c>
      <c r="P12" s="433">
        <f ca="1">K4</f>
        <v>41952</v>
      </c>
      <c r="Q12" s="181" t="str">
        <f ca="1">TEXT(U12,"mmmm-aa")</f>
        <v>octobre-14</v>
      </c>
      <c r="R12" s="184" t="str">
        <f ca="1">TEXT(V12,"jjjj")</f>
        <v>mercredi</v>
      </c>
      <c r="S12" s="185">
        <f ca="1">EOMONTH(TODAY(),-2)+1</f>
        <v>41913</v>
      </c>
      <c r="T12" s="186">
        <f ca="1">EOMONTH(TODAY(),-1)+0</f>
        <v>41943</v>
      </c>
      <c r="U12" s="182">
        <f ca="1">EDATE($U$11,-1)</f>
        <v>41921</v>
      </c>
      <c r="V12" s="183">
        <f ca="1">EOMONTH(TODAY(),-2)+1</f>
        <v>41913</v>
      </c>
      <c r="W12" s="649" t="s">
        <v>194</v>
      </c>
      <c r="X12" s="610"/>
      <c r="Y12" s="641" t="e">
        <f ca="1">IF(RecapMois!G20&gt;=$AN$42,RecapMois!G20-$AN$42,0)</f>
        <v>#REF!</v>
      </c>
      <c r="Z12" s="641"/>
      <c r="AA12" s="641"/>
      <c r="AB12" s="641"/>
      <c r="AC12" s="641"/>
      <c r="AD12" s="620" t="e">
        <f ca="1">HOUR(Y12)</f>
        <v>#REF!</v>
      </c>
      <c r="AE12" s="620"/>
      <c r="AF12" s="620"/>
      <c r="AG12" s="620"/>
      <c r="AH12" s="620"/>
      <c r="AI12" s="620"/>
      <c r="AJ12" s="648" t="e">
        <f t="shared" ref="AJ12:AJ16" ca="1" si="0">MINUTE(Y12)</f>
        <v>#REF!</v>
      </c>
      <c r="AK12" s="648"/>
      <c r="AL12" s="648"/>
      <c r="AM12" s="648"/>
      <c r="AN12" s="648"/>
      <c r="AO12" s="648"/>
      <c r="AP12" s="619" t="e">
        <f t="shared" ref="AP12:AP16" ca="1" si="1">(AD12)+(AJ12*$Y$9)</f>
        <v>#REF!</v>
      </c>
      <c r="AQ12" s="619"/>
      <c r="AR12" s="619"/>
      <c r="AS12" s="619"/>
    </row>
    <row r="13" spans="1:82" ht="15.75" thickBot="1">
      <c r="A13" s="94"/>
      <c r="B13" s="60">
        <v>0.83333333333333337</v>
      </c>
      <c r="C13" s="384">
        <v>70</v>
      </c>
      <c r="D13" s="668">
        <v>1.3888888888888888E-2</v>
      </c>
      <c r="E13" s="669"/>
      <c r="F13" s="463">
        <v>42082</v>
      </c>
      <c r="I13" s="180"/>
      <c r="J13" s="74" t="s">
        <v>156</v>
      </c>
      <c r="K13" s="155">
        <f ca="1">EDATE($K$11,1)</f>
        <v>41982</v>
      </c>
      <c r="L13" s="196">
        <f ca="1">L12+1</f>
        <v>41750</v>
      </c>
      <c r="M13" s="102" t="s">
        <v>182</v>
      </c>
      <c r="N13" s="431">
        <f ca="1">N4+1</f>
        <v>2015</v>
      </c>
      <c r="O13" s="429">
        <f ca="1">O11+2</f>
        <v>46</v>
      </c>
      <c r="P13" s="434" t="s">
        <v>233</v>
      </c>
      <c r="Q13" s="181" t="str">
        <f t="shared" ref="Q13:Q25" ca="1" si="2">TEXT(U13,"mmmm-aa")</f>
        <v>novembre-14</v>
      </c>
      <c r="R13" s="184" t="str">
        <f t="shared" ref="R13:R25" ca="1" si="3">TEXT(V13,"jjjj")</f>
        <v>samedi</v>
      </c>
      <c r="S13" s="185">
        <f ca="1">EOMONTH(TODAY(),-1)+1</f>
        <v>41944</v>
      </c>
      <c r="T13" s="186">
        <f ca="1">EOMONTH(TODAY(),0)+0</f>
        <v>41973</v>
      </c>
      <c r="U13" s="182">
        <f ca="1">EDATE($U$11,0)</f>
        <v>41952</v>
      </c>
      <c r="V13" s="183">
        <f ca="1">EOMONTH(TODAY(),-1)+1</f>
        <v>41944</v>
      </c>
      <c r="W13" s="649" t="s">
        <v>195</v>
      </c>
      <c r="X13" s="610"/>
      <c r="Y13" s="641" t="e">
        <f ca="1">IF(RecapMois!G27&gt;=$AN$42,RecapMois!G27-$AN$42,0)</f>
        <v>#REF!</v>
      </c>
      <c r="Z13" s="641"/>
      <c r="AA13" s="641"/>
      <c r="AB13" s="641"/>
      <c r="AC13" s="641"/>
      <c r="AD13" s="620" t="e">
        <f t="shared" ref="AD13:AD16" ca="1" si="4">HOUR(Y13)</f>
        <v>#REF!</v>
      </c>
      <c r="AE13" s="620"/>
      <c r="AF13" s="620"/>
      <c r="AG13" s="620"/>
      <c r="AH13" s="620"/>
      <c r="AI13" s="620"/>
      <c r="AJ13" s="648" t="e">
        <f t="shared" ca="1" si="0"/>
        <v>#REF!</v>
      </c>
      <c r="AK13" s="648"/>
      <c r="AL13" s="648"/>
      <c r="AM13" s="648"/>
      <c r="AN13" s="648"/>
      <c r="AO13" s="648"/>
      <c r="AP13" s="619" t="e">
        <f t="shared" ca="1" si="1"/>
        <v>#REF!</v>
      </c>
      <c r="AQ13" s="619"/>
      <c r="AR13" s="619"/>
      <c r="AS13" s="619"/>
    </row>
    <row r="14" spans="1:82">
      <c r="I14" s="84"/>
      <c r="J14" s="74" t="s">
        <v>157</v>
      </c>
      <c r="K14" s="155">
        <f ca="1">EDATE($K$11,2)</f>
        <v>42013</v>
      </c>
      <c r="L14" s="196">
        <f ca="1">DATE(N4,5,1)</f>
        <v>41760</v>
      </c>
      <c r="M14" s="102" t="s">
        <v>183</v>
      </c>
      <c r="O14" s="429">
        <f ca="1">O11+3</f>
        <v>47</v>
      </c>
      <c r="P14" s="433">
        <f ca="1">K4+1</f>
        <v>41953</v>
      </c>
      <c r="Q14" s="181" t="str">
        <f t="shared" ca="1" si="2"/>
        <v>décembre-14</v>
      </c>
      <c r="R14" s="184" t="str">
        <f t="shared" ca="1" si="3"/>
        <v>lundi</v>
      </c>
      <c r="S14" s="185">
        <f ca="1">EOMONTH(TODAY(),0)+1</f>
        <v>41974</v>
      </c>
      <c r="T14" s="186">
        <f ca="1">EOMONTH(TODAY(),1)+0</f>
        <v>42004</v>
      </c>
      <c r="U14" s="182">
        <f ca="1">EDATE($U$11,1)</f>
        <v>41982</v>
      </c>
      <c r="V14" s="183">
        <f ca="1">EOMONTH(TODAY(),0)+1</f>
        <v>41974</v>
      </c>
      <c r="W14" s="649" t="s">
        <v>67</v>
      </c>
      <c r="X14" s="610"/>
      <c r="Y14" s="641" t="e">
        <f ca="1">IF(RecapMois!G34&gt;=$AN$42,RecapMois!G34-$AN$42,0)</f>
        <v>#REF!</v>
      </c>
      <c r="Z14" s="641"/>
      <c r="AA14" s="641"/>
      <c r="AB14" s="641"/>
      <c r="AC14" s="641"/>
      <c r="AD14" s="620" t="e">
        <f t="shared" ca="1" si="4"/>
        <v>#REF!</v>
      </c>
      <c r="AE14" s="620"/>
      <c r="AF14" s="620"/>
      <c r="AG14" s="620"/>
      <c r="AH14" s="620"/>
      <c r="AI14" s="620"/>
      <c r="AJ14" s="648" t="e">
        <f t="shared" ca="1" si="0"/>
        <v>#REF!</v>
      </c>
      <c r="AK14" s="648"/>
      <c r="AL14" s="648"/>
      <c r="AM14" s="648"/>
      <c r="AN14" s="648"/>
      <c r="AO14" s="648"/>
      <c r="AP14" s="619" t="e">
        <f t="shared" ca="1" si="1"/>
        <v>#REF!</v>
      </c>
      <c r="AQ14" s="619"/>
      <c r="AR14" s="619"/>
      <c r="AS14" s="619"/>
    </row>
    <row r="15" spans="1:82">
      <c r="A15" s="519" t="s">
        <v>467</v>
      </c>
      <c r="B15" s="518"/>
      <c r="I15" s="87"/>
      <c r="J15" s="88" t="s">
        <v>201</v>
      </c>
      <c r="K15" s="155">
        <f ca="1">EDATE($K$11,3)</f>
        <v>42044</v>
      </c>
      <c r="L15" s="196">
        <f ca="1">DATE(N4,5,8)</f>
        <v>41767</v>
      </c>
      <c r="M15" s="103" t="s">
        <v>184</v>
      </c>
      <c r="O15" s="429">
        <f ca="1">O11+4</f>
        <v>48</v>
      </c>
      <c r="P15" s="433">
        <f ca="1">K4+2</f>
        <v>41954</v>
      </c>
      <c r="Q15" s="181" t="str">
        <f t="shared" ca="1" si="2"/>
        <v>janvier-15</v>
      </c>
      <c r="R15" s="184" t="str">
        <f t="shared" ca="1" si="3"/>
        <v>jeudi</v>
      </c>
      <c r="S15" s="185">
        <f ca="1">EOMONTH(TODAY(),1)+1</f>
        <v>42005</v>
      </c>
      <c r="T15" s="186">
        <f ca="1">EOMONTH(TODAY(),2)+0</f>
        <v>42035</v>
      </c>
      <c r="U15" s="182">
        <f ca="1">EDATE($U$11,2)</f>
        <v>42013</v>
      </c>
      <c r="V15" s="183">
        <f ca="1">EOMONTH(TODAY(),1)+1</f>
        <v>42005</v>
      </c>
      <c r="W15" s="649" t="s">
        <v>68</v>
      </c>
      <c r="X15" s="610"/>
      <c r="Y15" s="641" t="e">
        <f ca="1">IF(RecapMois!G41&gt;=$AN$42,RecapMois!G41-$AN$42,0)</f>
        <v>#REF!</v>
      </c>
      <c r="Z15" s="641"/>
      <c r="AA15" s="641"/>
      <c r="AB15" s="641"/>
      <c r="AC15" s="641"/>
      <c r="AD15" s="620" t="e">
        <f t="shared" ca="1" si="4"/>
        <v>#REF!</v>
      </c>
      <c r="AE15" s="620"/>
      <c r="AF15" s="620"/>
      <c r="AG15" s="620"/>
      <c r="AH15" s="620"/>
      <c r="AI15" s="620"/>
      <c r="AJ15" s="648" t="e">
        <f t="shared" ca="1" si="0"/>
        <v>#REF!</v>
      </c>
      <c r="AK15" s="648"/>
      <c r="AL15" s="648"/>
      <c r="AM15" s="648"/>
      <c r="AN15" s="648"/>
      <c r="AO15" s="648"/>
      <c r="AP15" s="619" t="e">
        <f t="shared" ca="1" si="1"/>
        <v>#REF!</v>
      </c>
      <c r="AQ15" s="619"/>
      <c r="AR15" s="619"/>
      <c r="AS15" s="619"/>
    </row>
    <row r="16" spans="1:82" ht="15.75" thickBot="1">
      <c r="A16" s="603" t="s">
        <v>169</v>
      </c>
      <c r="B16" s="603"/>
      <c r="C16" s="603"/>
      <c r="D16" s="603"/>
      <c r="E16" s="603"/>
      <c r="I16" s="92"/>
      <c r="J16" s="88" t="s">
        <v>200</v>
      </c>
      <c r="K16" s="155">
        <f ca="1">EDATE($K$11,4)</f>
        <v>42072</v>
      </c>
      <c r="L16" s="196">
        <f ca="1">L12+39</f>
        <v>41788</v>
      </c>
      <c r="M16" s="103" t="s">
        <v>185</v>
      </c>
      <c r="P16" s="318">
        <f ca="1">K4-1</f>
        <v>41951</v>
      </c>
      <c r="Q16" s="181" t="str">
        <f t="shared" ca="1" si="2"/>
        <v>février-15</v>
      </c>
      <c r="R16" s="184" t="str">
        <f t="shared" ca="1" si="3"/>
        <v>dimanche</v>
      </c>
      <c r="S16" s="185">
        <f ca="1">EOMONTH(TODAY(),2)+1</f>
        <v>42036</v>
      </c>
      <c r="T16" s="186">
        <f ca="1">EOMONTH(TODAY(),3)+0</f>
        <v>42063</v>
      </c>
      <c r="U16" s="182">
        <f ca="1">EDATE($U$11,3)</f>
        <v>42044</v>
      </c>
      <c r="V16" s="183">
        <f ca="1">EOMONTH(TODAY(),2)+1</f>
        <v>42036</v>
      </c>
      <c r="W16" s="649" t="s">
        <v>69</v>
      </c>
      <c r="X16" s="610"/>
      <c r="Y16" s="641">
        <f ca="1">IF(RecapMois!G44&gt;=$AN$42,RecapMois!G44-$AN$42,0)</f>
        <v>0</v>
      </c>
      <c r="Z16" s="641"/>
      <c r="AA16" s="641"/>
      <c r="AB16" s="641"/>
      <c r="AC16" s="641"/>
      <c r="AD16" s="620">
        <f t="shared" ca="1" si="4"/>
        <v>0</v>
      </c>
      <c r="AE16" s="620"/>
      <c r="AF16" s="620"/>
      <c r="AG16" s="620"/>
      <c r="AH16" s="620"/>
      <c r="AI16" s="620"/>
      <c r="AJ16" s="648">
        <f t="shared" ca="1" si="0"/>
        <v>0</v>
      </c>
      <c r="AK16" s="648"/>
      <c r="AL16" s="648"/>
      <c r="AM16" s="648"/>
      <c r="AN16" s="648"/>
      <c r="AO16" s="648"/>
      <c r="AP16" s="619">
        <f t="shared" ca="1" si="1"/>
        <v>0</v>
      </c>
      <c r="AQ16" s="619"/>
      <c r="AR16" s="619"/>
      <c r="AS16" s="619"/>
    </row>
    <row r="17" spans="1:45">
      <c r="I17" s="138"/>
      <c r="J17" s="74" t="s">
        <v>168</v>
      </c>
      <c r="K17" s="155">
        <f ca="1">EDATE($K$11,5)</f>
        <v>42103</v>
      </c>
      <c r="L17" s="196">
        <f ca="1">(L12+49)-1</f>
        <v>41797</v>
      </c>
      <c r="M17" s="103" t="s">
        <v>186</v>
      </c>
      <c r="Q17" s="181" t="str">
        <f t="shared" ca="1" si="2"/>
        <v>mars-15</v>
      </c>
      <c r="R17" s="184" t="str">
        <f t="shared" ca="1" si="3"/>
        <v>dimanche</v>
      </c>
      <c r="S17" s="185">
        <f ca="1">EOMONTH(TODAY(),3)+1</f>
        <v>42064</v>
      </c>
      <c r="T17" s="186">
        <f ca="1">EOMONTH(TODAY(),4)+0</f>
        <v>42094</v>
      </c>
      <c r="U17" s="182">
        <f ca="1">EDATE($U$11,4)</f>
        <v>42072</v>
      </c>
      <c r="V17" s="183">
        <f ca="1">EOMONTH(TODAY(),3)+1</f>
        <v>42064</v>
      </c>
      <c r="W17" s="650"/>
      <c r="X17" s="632"/>
      <c r="Y17" s="641" t="e">
        <f ca="1">SUM(Y11:AC16)</f>
        <v>#REF!</v>
      </c>
      <c r="Z17" s="641"/>
      <c r="AA17" s="641"/>
      <c r="AB17" s="641"/>
      <c r="AC17" s="641"/>
      <c r="AD17" s="651"/>
      <c r="AE17" s="652"/>
      <c r="AF17" s="652"/>
      <c r="AG17" s="652"/>
      <c r="AH17" s="652"/>
      <c r="AI17" s="652"/>
      <c r="AJ17" s="652"/>
      <c r="AK17" s="652"/>
      <c r="AL17" s="652"/>
      <c r="AM17" s="652"/>
      <c r="AN17" s="652"/>
      <c r="AO17" s="653"/>
      <c r="AP17" s="619" t="e">
        <f ca="1">SUM(AP11:AS16)</f>
        <v>#REF!</v>
      </c>
      <c r="AQ17" s="619"/>
      <c r="AR17" s="619"/>
      <c r="AS17" s="619"/>
    </row>
    <row r="18" spans="1:45" ht="15.75" thickBot="1">
      <c r="A18" s="327"/>
      <c r="B18" s="604" t="s">
        <v>173</v>
      </c>
      <c r="C18" s="605"/>
      <c r="D18" s="606"/>
      <c r="E18" s="327"/>
      <c r="I18" s="139"/>
      <c r="J18" s="140" t="s">
        <v>311</v>
      </c>
      <c r="K18" s="155">
        <f ca="1">EDATE($K$11,6)</f>
        <v>42133</v>
      </c>
      <c r="L18" s="196">
        <f ca="1">L12+50</f>
        <v>41799</v>
      </c>
      <c r="M18" s="103" t="s">
        <v>191</v>
      </c>
      <c r="Q18" s="181" t="str">
        <f t="shared" ca="1" si="2"/>
        <v>avril-15</v>
      </c>
      <c r="R18" s="184" t="str">
        <f t="shared" ca="1" si="3"/>
        <v>mercredi</v>
      </c>
      <c r="S18" s="185">
        <f ca="1">EOMONTH(TODAY(),4)+1</f>
        <v>42095</v>
      </c>
      <c r="T18" s="186">
        <f ca="1">EOMONTH(TODAY(),5)+0</f>
        <v>42124</v>
      </c>
      <c r="U18" s="182">
        <f ca="1">EDATE($U$11,5)</f>
        <v>42103</v>
      </c>
      <c r="V18" s="183">
        <f ca="1">EOMONTH(TODAY(),4)+1</f>
        <v>42095</v>
      </c>
    </row>
    <row r="19" spans="1:45">
      <c r="A19" s="327"/>
      <c r="B19" s="328" t="s">
        <v>163</v>
      </c>
      <c r="C19" s="328" t="s">
        <v>171</v>
      </c>
      <c r="D19" s="328" t="s">
        <v>164</v>
      </c>
      <c r="E19" s="327"/>
      <c r="J19" s="167"/>
      <c r="K19" s="155">
        <f ca="1">EDATE($K$11,7)</f>
        <v>42164</v>
      </c>
      <c r="L19" s="196">
        <f ca="1">DATE(N4,7,14)</f>
        <v>41834</v>
      </c>
      <c r="M19" s="103" t="s">
        <v>187</v>
      </c>
      <c r="Q19" s="181" t="str">
        <f t="shared" ca="1" si="2"/>
        <v>mai-15</v>
      </c>
      <c r="R19" s="184" t="str">
        <f t="shared" ca="1" si="3"/>
        <v>vendredi</v>
      </c>
      <c r="S19" s="185">
        <f ca="1">EOMONTH(TODAY(),5)+1</f>
        <v>42125</v>
      </c>
      <c r="T19" s="186">
        <f ca="1">EOMONTH(TODAY(),6)+0</f>
        <v>42155</v>
      </c>
      <c r="U19" s="182">
        <f ca="1">EDATE($U$11,6)</f>
        <v>42133</v>
      </c>
      <c r="V19" s="183">
        <f ca="1">EOMONTH(TODAY(),5)+1</f>
        <v>42125</v>
      </c>
    </row>
    <row r="20" spans="1:45">
      <c r="A20" s="327"/>
      <c r="B20" s="459">
        <v>0.27083333333333331</v>
      </c>
      <c r="C20" s="459">
        <v>0.30208333333333331</v>
      </c>
      <c r="D20" s="460">
        <v>0.375</v>
      </c>
      <c r="E20" s="327"/>
      <c r="J20" s="167"/>
      <c r="K20" s="155">
        <f ca="1">EDATE($K$11,8)</f>
        <v>42194</v>
      </c>
      <c r="L20" s="196">
        <f ca="1">DATE(N4,8,15)</f>
        <v>41866</v>
      </c>
      <c r="M20" s="103" t="s">
        <v>188</v>
      </c>
      <c r="Q20" s="181" t="str">
        <f t="shared" ca="1" si="2"/>
        <v>juin-15</v>
      </c>
      <c r="R20" s="184" t="str">
        <f t="shared" ca="1" si="3"/>
        <v>lundi</v>
      </c>
      <c r="S20" s="185">
        <f ca="1">EOMONTH(TODAY(),6)+1</f>
        <v>42156</v>
      </c>
      <c r="T20" s="186">
        <f ca="1">EOMONTH(TODAY(),7)+0</f>
        <v>42185</v>
      </c>
      <c r="U20" s="182">
        <f ca="1">EDATE($U$11,7)</f>
        <v>42164</v>
      </c>
      <c r="V20" s="183">
        <f ca="1">EOMONTH(TODAY(),6)+1</f>
        <v>42156</v>
      </c>
    </row>
    <row r="21" spans="1:45">
      <c r="A21" s="327"/>
      <c r="B21" s="604" t="s">
        <v>172</v>
      </c>
      <c r="C21" s="605"/>
      <c r="D21" s="606"/>
      <c r="E21" s="327"/>
      <c r="J21" s="167"/>
      <c r="K21" s="155">
        <f ca="1">EDATE($K$11,9)</f>
        <v>42225</v>
      </c>
      <c r="L21" s="196">
        <f ca="1">DATE(N4,11,1)</f>
        <v>41944</v>
      </c>
      <c r="M21" s="103" t="s">
        <v>189</v>
      </c>
      <c r="Q21" s="181" t="str">
        <f t="shared" ca="1" si="2"/>
        <v>juillet-15</v>
      </c>
      <c r="R21" s="184" t="str">
        <f t="shared" ca="1" si="3"/>
        <v>mercredi</v>
      </c>
      <c r="S21" s="185">
        <f ca="1">EOMONTH(TODAY(),7)+1</f>
        <v>42186</v>
      </c>
      <c r="T21" s="186">
        <f ca="1">EOMONTH(TODAY(),8)+0</f>
        <v>42216</v>
      </c>
      <c r="U21" s="182">
        <f ca="1">EDATE($U$11,8)</f>
        <v>42194</v>
      </c>
      <c r="V21" s="183">
        <f ca="1">EOMONTH(TODAY(),7)+1</f>
        <v>42186</v>
      </c>
    </row>
    <row r="22" spans="1:45">
      <c r="A22" s="327"/>
      <c r="B22" s="328" t="s">
        <v>163</v>
      </c>
      <c r="C22" s="328" t="s">
        <v>171</v>
      </c>
      <c r="D22" s="328" t="s">
        <v>164</v>
      </c>
      <c r="E22" s="327"/>
      <c r="J22" s="167"/>
      <c r="K22" s="155">
        <f ca="1">EDATE($K$11,10)</f>
        <v>42256</v>
      </c>
      <c r="L22" s="196">
        <f ca="1">DATE(N4,11,11)</f>
        <v>41954</v>
      </c>
      <c r="M22" s="103" t="s">
        <v>192</v>
      </c>
      <c r="Q22" s="181" t="str">
        <f t="shared" ca="1" si="2"/>
        <v>août-15</v>
      </c>
      <c r="R22" s="184" t="str">
        <f t="shared" ca="1" si="3"/>
        <v>samedi</v>
      </c>
      <c r="S22" s="185">
        <f ca="1">EOMONTH(TODAY(),8)+1</f>
        <v>42217</v>
      </c>
      <c r="T22" s="186">
        <f ca="1">EOMONTH(TODAY(),9)+0</f>
        <v>42247</v>
      </c>
      <c r="U22" s="182">
        <f ca="1">EDATE($U$11,9)</f>
        <v>42225</v>
      </c>
      <c r="V22" s="183">
        <f ca="1">EOMONTH(TODAY(),8)+1</f>
        <v>42217</v>
      </c>
    </row>
    <row r="23" spans="1:45" ht="15.75" thickBot="1">
      <c r="A23" s="327"/>
      <c r="B23" s="461">
        <v>0.64583333333333337</v>
      </c>
      <c r="C23" s="459">
        <v>0.75694444444444453</v>
      </c>
      <c r="D23" s="459">
        <v>0.8125</v>
      </c>
      <c r="E23" s="327"/>
      <c r="J23" s="167"/>
      <c r="K23" s="155">
        <f ca="1">EDATE($K$11,11)</f>
        <v>42286</v>
      </c>
      <c r="L23" s="197">
        <f ca="1">DATE(N4,12,24)</f>
        <v>41997</v>
      </c>
      <c r="M23" s="105" t="s">
        <v>190</v>
      </c>
      <c r="Q23" s="181" t="str">
        <f t="shared" ca="1" si="2"/>
        <v>septembre-15</v>
      </c>
      <c r="R23" s="184" t="str">
        <f t="shared" ca="1" si="3"/>
        <v>mardi</v>
      </c>
      <c r="S23" s="185">
        <f ca="1">EOMONTH(TODAY(),9)+1</f>
        <v>42248</v>
      </c>
      <c r="T23" s="186">
        <f ca="1">EOMONTH(TODAY(),10)+0</f>
        <v>42277</v>
      </c>
      <c r="U23" s="182">
        <f ca="1">EDATE($U$11,10)</f>
        <v>42256</v>
      </c>
      <c r="V23" s="183">
        <f ca="1">EOMONTH(TODAY(),9)+1</f>
        <v>42248</v>
      </c>
    </row>
    <row r="24" spans="1:45" ht="15.75" thickBot="1">
      <c r="A24" s="327"/>
      <c r="B24" s="327"/>
      <c r="C24" s="327"/>
      <c r="D24" s="327"/>
      <c r="E24" s="327"/>
      <c r="J24" s="167"/>
      <c r="K24" s="156">
        <f ca="1">EDATE($K$11,12)</f>
        <v>42317</v>
      </c>
      <c r="Q24" s="181" t="str">
        <f t="shared" ca="1" si="2"/>
        <v>octobre-15</v>
      </c>
      <c r="R24" s="184" t="str">
        <f t="shared" ca="1" si="3"/>
        <v>jeudi</v>
      </c>
      <c r="S24" s="185">
        <f ca="1">EOMONTH(TODAY(),10)+1</f>
        <v>42278</v>
      </c>
      <c r="T24" s="186">
        <f ca="1">EOMONTH(TODAY(),11)+0</f>
        <v>42308</v>
      </c>
      <c r="U24" s="182">
        <f ca="1">EDATE($U$11,11)</f>
        <v>42286</v>
      </c>
      <c r="V24" s="183">
        <f ca="1">EOMONTH(TODAY(),10)+1</f>
        <v>42278</v>
      </c>
    </row>
    <row r="25" spans="1:45" ht="15.75" thickBot="1">
      <c r="Q25" s="343" t="str">
        <f t="shared" ca="1" si="2"/>
        <v>novembre-15</v>
      </c>
      <c r="R25" s="344" t="str">
        <f t="shared" ca="1" si="3"/>
        <v>dimanche</v>
      </c>
      <c r="S25" s="345">
        <f ca="1">EOMONTH(TODAY(),11)+1</f>
        <v>42309</v>
      </c>
      <c r="T25" s="346">
        <f ca="1">EOMONTH(TODAY(),12)+0</f>
        <v>42338</v>
      </c>
      <c r="U25" s="347">
        <f ca="1">EDATE($U$11,12)</f>
        <v>42317</v>
      </c>
      <c r="V25" s="348">
        <f ca="1">EOMONTH(TODAY(),11)+1</f>
        <v>42309</v>
      </c>
    </row>
    <row r="26" spans="1:45" ht="15.75" thickBot="1">
      <c r="A26" s="672" t="s">
        <v>237</v>
      </c>
      <c r="B26" s="673"/>
      <c r="C26" s="673"/>
      <c r="D26" s="674"/>
      <c r="E26" s="106" t="s">
        <v>162</v>
      </c>
      <c r="F26" s="106"/>
      <c r="L26" s="179"/>
      <c r="M26" s="329"/>
      <c r="N26" s="329"/>
      <c r="P26" s="359" t="s">
        <v>398</v>
      </c>
      <c r="Q26" s="357">
        <f ca="1">EOMONTH(TODAY(),-2)+1</f>
        <v>41913</v>
      </c>
      <c r="R26" s="351">
        <f ca="1">EOMONTH(TODAY(),-1)+1</f>
        <v>41944</v>
      </c>
      <c r="S26" s="351">
        <f ca="1">EOMONTH(TODAY(),0)+1</f>
        <v>41974</v>
      </c>
      <c r="T26" s="351">
        <f ca="1">EOMONTH(TODAY(),1)+1</f>
        <v>42005</v>
      </c>
      <c r="U26" s="351">
        <f ca="1">EOMONTH(TODAY(),2)+1</f>
        <v>42036</v>
      </c>
      <c r="V26" s="352">
        <f ca="1">EOMONTH(TODAY(),3)+1</f>
        <v>42064</v>
      </c>
    </row>
    <row r="27" spans="1:45" ht="15.75" thickBot="1">
      <c r="A27" s="63" t="s">
        <v>238</v>
      </c>
      <c r="B27" s="107" t="s">
        <v>239</v>
      </c>
      <c r="C27" s="675" t="s">
        <v>244</v>
      </c>
      <c r="D27" s="676"/>
      <c r="E27" s="465" t="s">
        <v>60</v>
      </c>
      <c r="F27" s="464" t="s">
        <v>424</v>
      </c>
      <c r="L27" s="179"/>
      <c r="P27" s="100" t="str">
        <f>RecapMois!K2</f>
        <v>novembre-14</v>
      </c>
      <c r="Q27" s="342" t="str">
        <f ca="1">TEXT(Q26,"mmmm-aa")</f>
        <v>octobre-14</v>
      </c>
      <c r="R27" s="341" t="str">
        <f t="shared" ref="R27:V27" ca="1" si="5">TEXT(R26,"mmmm-aa")</f>
        <v>novembre-14</v>
      </c>
      <c r="S27" s="341" t="str">
        <f t="shared" ca="1" si="5"/>
        <v>décembre-14</v>
      </c>
      <c r="T27" s="341" t="str">
        <f t="shared" ca="1" si="5"/>
        <v>janvier-15</v>
      </c>
      <c r="U27" s="341" t="str">
        <f t="shared" ca="1" si="5"/>
        <v>février-15</v>
      </c>
      <c r="V27" s="353" t="str">
        <f t="shared" ca="1" si="5"/>
        <v>mars-15</v>
      </c>
    </row>
    <row r="28" spans="1:45" ht="15.75" thickBot="1">
      <c r="A28" s="454" t="s">
        <v>335</v>
      </c>
      <c r="B28" s="455" t="s">
        <v>240</v>
      </c>
      <c r="C28" s="670" t="str">
        <f>CONCATENATE(B28,"-",A28)</f>
        <v>Océane-GAURIN</v>
      </c>
      <c r="D28" s="671"/>
      <c r="E28" s="468" t="s">
        <v>245</v>
      </c>
      <c r="F28" s="516" t="str">
        <f>CONCATENATE(A28," ",MID(B28,1,1))</f>
        <v>GAURIN O</v>
      </c>
      <c r="G28" s="108"/>
      <c r="P28" s="162">
        <f ca="1">HLOOKUP(P27,Q27:V28,2,0)</f>
        <v>44</v>
      </c>
      <c r="Q28" s="358">
        <f t="shared" ref="Q28:V28" ca="1" si="6">_xlfn.ISOWEEKNUM(Q26)</f>
        <v>40</v>
      </c>
      <c r="R28" s="355">
        <f t="shared" ca="1" si="6"/>
        <v>44</v>
      </c>
      <c r="S28" s="355">
        <f t="shared" ca="1" si="6"/>
        <v>49</v>
      </c>
      <c r="T28" s="355">
        <f t="shared" ca="1" si="6"/>
        <v>1</v>
      </c>
      <c r="U28" s="355">
        <f t="shared" ca="1" si="6"/>
        <v>5</v>
      </c>
      <c r="V28" s="356">
        <f t="shared" ca="1" si="6"/>
        <v>9</v>
      </c>
    </row>
    <row r="29" spans="1:45">
      <c r="A29" s="456" t="s">
        <v>336</v>
      </c>
      <c r="B29" s="457" t="s">
        <v>241</v>
      </c>
      <c r="C29" s="600" t="str">
        <f>CONCATENATE(B29,"-",A29)</f>
        <v>Lucie-BARNIER</v>
      </c>
      <c r="D29" s="601"/>
      <c r="E29" s="469" t="s">
        <v>245</v>
      </c>
      <c r="F29" s="516" t="str">
        <f t="shared" ref="F29:F36" si="7">CONCATENATE(A29," ",MID(B29,1,1))</f>
        <v>BARNIER L</v>
      </c>
      <c r="G29" s="108"/>
      <c r="Q29" s="350">
        <f ca="1">EOMONTH(TODAY(),4)+1</f>
        <v>42095</v>
      </c>
      <c r="R29" s="351">
        <f ca="1">EOMONTH(TODAY(),5)+1</f>
        <v>42125</v>
      </c>
      <c r="S29" s="351">
        <f ca="1">EOMONTH(TODAY(),6)+1</f>
        <v>42156</v>
      </c>
      <c r="T29" s="351">
        <f ca="1">EOMONTH(TODAY(),7)+1</f>
        <v>42186</v>
      </c>
      <c r="U29" s="351">
        <f ca="1">EOMONTH(TODAY(),8)+1</f>
        <v>42217</v>
      </c>
      <c r="V29" s="352">
        <f ca="1">EOMONTH(TODAY(),9)+1</f>
        <v>42248</v>
      </c>
      <c r="W29" s="128"/>
      <c r="X29" s="128"/>
      <c r="Y29" s="128"/>
      <c r="AA29" s="128"/>
      <c r="AB29" s="128"/>
      <c r="AC29" s="128"/>
      <c r="AD29" s="128"/>
      <c r="AE29" s="128"/>
      <c r="AF29" s="128"/>
      <c r="AH29" s="128"/>
      <c r="AI29" s="128"/>
      <c r="AJ29" s="128"/>
      <c r="AK29" s="128"/>
      <c r="AL29" s="128"/>
      <c r="AM29" s="128"/>
      <c r="AN29" s="128"/>
    </row>
    <row r="30" spans="1:45" ht="15.75" thickBot="1">
      <c r="A30" s="456" t="s">
        <v>335</v>
      </c>
      <c r="B30" s="458" t="s">
        <v>240</v>
      </c>
      <c r="C30" s="600" t="str">
        <f t="shared" ref="C30:C36" si="8">CONCATENATE(B30,"-",A30)</f>
        <v>Océane-GAURIN</v>
      </c>
      <c r="D30" s="601"/>
      <c r="E30" s="469" t="s">
        <v>246</v>
      </c>
      <c r="F30" s="516" t="str">
        <f t="shared" si="7"/>
        <v>GAURIN O</v>
      </c>
      <c r="G30" s="108"/>
      <c r="K30" s="664" t="s">
        <v>202</v>
      </c>
      <c r="L30" s="664"/>
      <c r="M30" s="664"/>
      <c r="N30" s="664"/>
      <c r="O30" s="664"/>
      <c r="P30" s="664"/>
      <c r="Q30" s="354">
        <f ca="1">_xlfn.ISOWEEKNUM(Q29)</f>
        <v>14</v>
      </c>
      <c r="R30" s="355">
        <f t="shared" ref="R30:V30" ca="1" si="9">_xlfn.ISOWEEKNUM(R29)</f>
        <v>18</v>
      </c>
      <c r="S30" s="355">
        <f t="shared" ca="1" si="9"/>
        <v>23</v>
      </c>
      <c r="T30" s="355">
        <f t="shared" ca="1" si="9"/>
        <v>27</v>
      </c>
      <c r="U30" s="355">
        <f t="shared" ca="1" si="9"/>
        <v>31</v>
      </c>
      <c r="V30" s="356">
        <f t="shared" ca="1" si="9"/>
        <v>36</v>
      </c>
      <c r="W30" s="128"/>
      <c r="X30" s="128"/>
      <c r="Y30" s="128"/>
      <c r="AA30" s="128"/>
      <c r="AB30" s="128"/>
      <c r="AC30" s="128"/>
      <c r="AD30" s="128"/>
      <c r="AE30" s="128"/>
      <c r="AF30" s="128"/>
      <c r="AH30" s="128"/>
      <c r="AI30" s="128"/>
      <c r="AJ30" s="128"/>
      <c r="AK30" s="128"/>
      <c r="AL30" s="128"/>
      <c r="AM30" s="128"/>
      <c r="AN30" s="128"/>
    </row>
    <row r="31" spans="1:45" ht="15.75" thickBot="1">
      <c r="A31" s="456" t="s">
        <v>337</v>
      </c>
      <c r="B31" s="457" t="s">
        <v>242</v>
      </c>
      <c r="C31" s="600" t="str">
        <f t="shared" si="8"/>
        <v>Laétithia-JEANNIN</v>
      </c>
      <c r="D31" s="601"/>
      <c r="E31" s="469" t="s">
        <v>247</v>
      </c>
      <c r="F31" s="516" t="str">
        <f t="shared" si="7"/>
        <v>JEANNIN L</v>
      </c>
      <c r="G31" s="108"/>
      <c r="K31" s="340" t="s">
        <v>256</v>
      </c>
      <c r="L31" s="340" t="s">
        <v>257</v>
      </c>
      <c r="M31" s="602" t="s">
        <v>260</v>
      </c>
      <c r="N31" s="602"/>
      <c r="O31" s="1"/>
      <c r="P31" s="1"/>
      <c r="Q31" s="1"/>
      <c r="R31" s="1"/>
      <c r="S31" s="1"/>
      <c r="T31" s="1"/>
      <c r="U31" s="1"/>
      <c r="V31" s="23"/>
      <c r="W31" s="23"/>
      <c r="X31" s="128"/>
      <c r="Y31" s="128"/>
      <c r="AA31" s="128"/>
      <c r="AB31" s="128"/>
      <c r="AC31" s="128"/>
      <c r="AD31" s="128"/>
      <c r="AE31" s="128"/>
      <c r="AF31" s="128"/>
      <c r="AH31" s="128"/>
      <c r="AI31" s="128"/>
      <c r="AJ31" s="128"/>
      <c r="AK31" s="128"/>
      <c r="AL31" s="128"/>
      <c r="AM31" s="128"/>
      <c r="AN31" s="128"/>
    </row>
    <row r="32" spans="1:45" ht="15.75" thickBot="1">
      <c r="A32" s="456" t="s">
        <v>338</v>
      </c>
      <c r="B32" s="457" t="s">
        <v>389</v>
      </c>
      <c r="C32" s="600" t="str">
        <f t="shared" si="8"/>
        <v>Mégane-PERSONNE</v>
      </c>
      <c r="D32" s="601"/>
      <c r="E32" s="469" t="s">
        <v>248</v>
      </c>
      <c r="F32" s="516" t="str">
        <f t="shared" si="7"/>
        <v>PERSONNE M</v>
      </c>
      <c r="G32" s="108"/>
      <c r="K32" s="119" t="s">
        <v>235</v>
      </c>
      <c r="L32" s="119" t="s">
        <v>252</v>
      </c>
      <c r="M32" s="349" t="s">
        <v>343</v>
      </c>
      <c r="N32" s="119" t="s">
        <v>261</v>
      </c>
      <c r="O32" s="177" t="s">
        <v>266</v>
      </c>
      <c r="P32" s="106" t="s">
        <v>406</v>
      </c>
      <c r="Q32" s="106" t="s">
        <v>273</v>
      </c>
      <c r="R32"/>
      <c r="S32"/>
      <c r="T32"/>
      <c r="U32"/>
      <c r="V32"/>
      <c r="W32"/>
      <c r="X32"/>
      <c r="Y32" s="128"/>
      <c r="AA32" s="128"/>
      <c r="AB32" s="128"/>
      <c r="AC32" s="128"/>
      <c r="AD32" s="128"/>
      <c r="AE32" s="128"/>
      <c r="AF32" s="128"/>
      <c r="AH32" s="128"/>
      <c r="AI32" s="128"/>
      <c r="AJ32" s="128"/>
      <c r="AK32" s="128"/>
      <c r="AL32" s="128"/>
      <c r="AM32" s="128"/>
      <c r="AN32" s="128"/>
    </row>
    <row r="33" spans="1:43">
      <c r="A33" s="456" t="s">
        <v>339</v>
      </c>
      <c r="B33" s="457" t="s">
        <v>243</v>
      </c>
      <c r="C33" s="600" t="str">
        <f t="shared" si="8"/>
        <v>Valentin-CHARLES</v>
      </c>
      <c r="D33" s="601"/>
      <c r="E33" s="469" t="s">
        <v>249</v>
      </c>
      <c r="F33" s="516" t="str">
        <f t="shared" si="7"/>
        <v>CHARLES V</v>
      </c>
      <c r="G33" s="108"/>
      <c r="K33" s="115"/>
      <c r="L33" s="115"/>
      <c r="M33" s="118"/>
      <c r="N33" s="164"/>
      <c r="O33" s="387"/>
      <c r="P33" s="389"/>
      <c r="Q33" s="385"/>
      <c r="R33"/>
      <c r="S33"/>
      <c r="T33"/>
      <c r="U33"/>
      <c r="V33"/>
      <c r="W33"/>
      <c r="X33"/>
      <c r="Y33" s="128"/>
      <c r="AA33" s="128"/>
      <c r="AB33" s="128"/>
      <c r="AC33" s="128"/>
      <c r="AD33" s="128"/>
      <c r="AE33" s="128"/>
      <c r="AF33" s="128"/>
      <c r="AH33" s="128"/>
      <c r="AI33" s="128"/>
      <c r="AJ33" s="128"/>
      <c r="AK33" s="128"/>
      <c r="AL33" s="128"/>
      <c r="AM33" s="128"/>
      <c r="AN33" s="128"/>
    </row>
    <row r="34" spans="1:43" ht="18.75">
      <c r="A34" s="456"/>
      <c r="B34" s="457"/>
      <c r="C34" s="600" t="str">
        <f t="shared" si="8"/>
        <v>-</v>
      </c>
      <c r="D34" s="601"/>
      <c r="E34" s="469"/>
      <c r="F34" s="516" t="str">
        <f t="shared" si="7"/>
        <v xml:space="preserve"> </v>
      </c>
      <c r="G34" s="108"/>
      <c r="K34" s="113" t="s">
        <v>144</v>
      </c>
      <c r="L34" s="212" t="s">
        <v>363</v>
      </c>
      <c r="M34" s="100" t="s">
        <v>258</v>
      </c>
      <c r="N34" s="163" t="s">
        <v>262</v>
      </c>
      <c r="O34" s="388" t="s">
        <v>267</v>
      </c>
      <c r="P34" s="390" t="s">
        <v>48</v>
      </c>
      <c r="Q34" s="386" t="str">
        <f t="shared" ref="Q34:Q40" si="10">IF(A40="","",A40)</f>
        <v>Domicile</v>
      </c>
      <c r="R34"/>
      <c r="S34"/>
      <c r="T34"/>
      <c r="U34"/>
      <c r="V34"/>
      <c r="W34"/>
      <c r="X34"/>
      <c r="Y34" s="128"/>
      <c r="Z34" s="128"/>
      <c r="AA34" s="128"/>
      <c r="AB34" s="128"/>
      <c r="AC34" s="128"/>
      <c r="AD34" s="128"/>
      <c r="AE34" s="128"/>
      <c r="AF34" s="128"/>
      <c r="AH34" s="128"/>
      <c r="AI34" s="128"/>
      <c r="AJ34" s="128"/>
      <c r="AK34" s="128"/>
      <c r="AL34" s="128"/>
      <c r="AM34" s="128"/>
      <c r="AN34" s="128"/>
    </row>
    <row r="35" spans="1:43" ht="19.5" thickBot="1">
      <c r="A35" s="456"/>
      <c r="B35" s="457"/>
      <c r="C35" s="600" t="str">
        <f t="shared" si="8"/>
        <v>-</v>
      </c>
      <c r="D35" s="601"/>
      <c r="E35" s="469"/>
      <c r="F35" s="516" t="str">
        <f t="shared" si="7"/>
        <v xml:space="preserve"> </v>
      </c>
      <c r="G35" s="108"/>
      <c r="K35" s="114" t="s">
        <v>236</v>
      </c>
      <c r="L35" s="212" t="s">
        <v>254</v>
      </c>
      <c r="M35" s="100" t="s">
        <v>342</v>
      </c>
      <c r="N35" s="163" t="s">
        <v>263</v>
      </c>
      <c r="O35" s="388" t="s">
        <v>268</v>
      </c>
      <c r="P35" s="390" t="s">
        <v>404</v>
      </c>
      <c r="Q35" s="386" t="str">
        <f t="shared" si="10"/>
        <v>Tours</v>
      </c>
      <c r="R35"/>
      <c r="S35"/>
      <c r="T35"/>
      <c r="U35"/>
      <c r="V35"/>
      <c r="W35"/>
      <c r="X35"/>
      <c r="Y35" s="128"/>
      <c r="Z35" s="128"/>
      <c r="AA35" s="128"/>
      <c r="AB35" s="128"/>
      <c r="AC35" s="128"/>
      <c r="AD35" s="128"/>
      <c r="AE35" s="128"/>
      <c r="AF35" s="128"/>
      <c r="AH35" s="128"/>
      <c r="AI35" s="128"/>
      <c r="AJ35" s="128"/>
      <c r="AK35" s="128"/>
      <c r="AL35" s="128"/>
      <c r="AM35" s="128"/>
      <c r="AN35" s="128"/>
    </row>
    <row r="36" spans="1:43" ht="15.75" thickBot="1">
      <c r="A36" s="456"/>
      <c r="B36" s="457"/>
      <c r="C36" s="600" t="str">
        <f t="shared" si="8"/>
        <v>-</v>
      </c>
      <c r="D36" s="601"/>
      <c r="E36" s="469"/>
      <c r="F36" s="516" t="str">
        <f t="shared" si="7"/>
        <v xml:space="preserve"> </v>
      </c>
      <c r="G36" s="108"/>
      <c r="L36" s="212" t="s">
        <v>14</v>
      </c>
      <c r="M36" s="104" t="s">
        <v>259</v>
      </c>
      <c r="N36" s="163" t="s">
        <v>264</v>
      </c>
      <c r="O36" s="388" t="s">
        <v>269</v>
      </c>
      <c r="P36" s="391" t="s">
        <v>405</v>
      </c>
      <c r="Q36" s="386" t="str">
        <f t="shared" si="10"/>
        <v>La Ville aux Dames</v>
      </c>
      <c r="R36"/>
      <c r="S36"/>
      <c r="T36"/>
      <c r="U36"/>
      <c r="V36"/>
      <c r="W36"/>
      <c r="X36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</row>
    <row r="37" spans="1:43" ht="15.75" thickBot="1">
      <c r="A37" s="233"/>
      <c r="B37" s="95"/>
      <c r="C37" s="658" t="str">
        <f>E10</f>
        <v>!Ligne2</v>
      </c>
      <c r="D37" s="659"/>
      <c r="E37" s="234"/>
      <c r="F37" s="517"/>
      <c r="G37" s="108"/>
      <c r="I37" s="607" t="s">
        <v>158</v>
      </c>
      <c r="J37" s="608"/>
      <c r="K37" s="106" t="s">
        <v>348</v>
      </c>
      <c r="L37" s="584" t="s">
        <v>255</v>
      </c>
      <c r="M37" s="112"/>
      <c r="N37" s="101" t="s">
        <v>265</v>
      </c>
      <c r="O37" s="388" t="s">
        <v>253</v>
      </c>
      <c r="P37" s="391" t="s">
        <v>407</v>
      </c>
      <c r="Q37" s="386" t="str">
        <f t="shared" si="10"/>
        <v>Joué les Tours</v>
      </c>
      <c r="R37"/>
      <c r="S37"/>
      <c r="T37"/>
      <c r="U37"/>
      <c r="V37"/>
      <c r="W37"/>
      <c r="X37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</row>
    <row r="38" spans="1:43" ht="15.75" thickBot="1">
      <c r="I38" s="136"/>
      <c r="J38" s="137" t="s">
        <v>155</v>
      </c>
      <c r="K38" s="586"/>
      <c r="L38" s="585" t="s">
        <v>270</v>
      </c>
      <c r="M38" s="165" t="s">
        <v>344</v>
      </c>
      <c r="O38" s="388" t="s">
        <v>254</v>
      </c>
      <c r="P38" s="391" t="s">
        <v>395</v>
      </c>
      <c r="Q38" s="386" t="str">
        <f t="shared" si="10"/>
        <v>Reugny</v>
      </c>
      <c r="R38"/>
      <c r="S38"/>
      <c r="T38"/>
      <c r="U38"/>
      <c r="V38"/>
      <c r="W38"/>
      <c r="X3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2"/>
      <c r="AP38" s="122"/>
      <c r="AQ38" s="122"/>
    </row>
    <row r="39" spans="1:43" ht="15.75" thickBot="1">
      <c r="A39" s="280" t="s">
        <v>383</v>
      </c>
      <c r="B39" s="221"/>
      <c r="I39" s="133"/>
      <c r="J39" s="74" t="s">
        <v>156</v>
      </c>
      <c r="K39" s="587" t="s">
        <v>272</v>
      </c>
      <c r="L39" s="577" t="s">
        <v>65</v>
      </c>
      <c r="M39" s="100"/>
      <c r="O39" s="388" t="s">
        <v>384</v>
      </c>
      <c r="P39" s="391" t="s">
        <v>408</v>
      </c>
      <c r="Q39" s="386" t="str">
        <f t="shared" si="10"/>
        <v/>
      </c>
      <c r="R39"/>
      <c r="S39"/>
      <c r="T39"/>
      <c r="U39"/>
      <c r="V39"/>
      <c r="W39"/>
      <c r="X39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2"/>
      <c r="AP39" s="122"/>
      <c r="AQ39" s="122"/>
    </row>
    <row r="40" spans="1:43" ht="15.75" thickBot="1">
      <c r="A40" s="281" t="s">
        <v>277</v>
      </c>
      <c r="B40" s="221"/>
      <c r="D40" s="599" t="s">
        <v>362</v>
      </c>
      <c r="E40" s="599"/>
      <c r="I40" s="84"/>
      <c r="J40" s="74" t="s">
        <v>157</v>
      </c>
      <c r="K40" s="588" t="s">
        <v>486</v>
      </c>
      <c r="M40" s="100" t="s">
        <v>259</v>
      </c>
      <c r="O40" s="388" t="s">
        <v>270</v>
      </c>
      <c r="P40" s="391" t="s">
        <v>396</v>
      </c>
      <c r="Q40" s="386" t="str">
        <f t="shared" si="10"/>
        <v/>
      </c>
      <c r="R40"/>
      <c r="S40"/>
      <c r="T40"/>
      <c r="U40"/>
      <c r="V40"/>
      <c r="W40"/>
      <c r="X40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</row>
    <row r="41" spans="1:43" ht="15.75" thickBot="1">
      <c r="A41" s="282" t="s">
        <v>278</v>
      </c>
      <c r="B41" s="221"/>
      <c r="D41" s="599"/>
      <c r="E41" s="599"/>
      <c r="I41" s="87"/>
      <c r="J41" s="88" t="s">
        <v>201</v>
      </c>
      <c r="M41" s="104" t="s">
        <v>258</v>
      </c>
      <c r="O41" s="388" t="s">
        <v>271</v>
      </c>
      <c r="P41" s="392"/>
      <c r="Q41" s="386" t="str">
        <f t="shared" ref="Q41:Q50" si="11">IF(E28="","",E28)</f>
        <v>Ste Maure de T</v>
      </c>
      <c r="R41"/>
      <c r="S41"/>
      <c r="T41"/>
      <c r="U41"/>
      <c r="V41"/>
      <c r="W41"/>
      <c r="X41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</row>
    <row r="42" spans="1:43" ht="15" customHeight="1">
      <c r="A42" s="282" t="s">
        <v>279</v>
      </c>
      <c r="B42" s="221"/>
      <c r="D42" s="599"/>
      <c r="E42" s="599"/>
      <c r="I42" s="92"/>
      <c r="J42" s="88" t="s">
        <v>200</v>
      </c>
      <c r="O42" s="213" t="s">
        <v>272</v>
      </c>
      <c r="P42"/>
      <c r="Q42" s="161" t="str">
        <f t="shared" si="11"/>
        <v>Ste Maure de T</v>
      </c>
      <c r="R42"/>
      <c r="S42"/>
      <c r="T42"/>
      <c r="U42"/>
      <c r="V42"/>
      <c r="W42"/>
      <c r="X42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</row>
    <row r="43" spans="1:43">
      <c r="A43" s="282" t="s">
        <v>249</v>
      </c>
      <c r="B43" s="221"/>
      <c r="I43" s="138"/>
      <c r="J43" s="74" t="s">
        <v>168</v>
      </c>
      <c r="Q43" s="161" t="str">
        <f t="shared" si="11"/>
        <v>Chinon</v>
      </c>
      <c r="R43"/>
      <c r="S43"/>
      <c r="T43"/>
      <c r="U43"/>
      <c r="V43"/>
      <c r="W43"/>
      <c r="X43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</row>
    <row r="44" spans="1:43" ht="15.75" thickBot="1">
      <c r="A44" s="282" t="s">
        <v>365</v>
      </c>
      <c r="B44" s="221"/>
      <c r="I44" s="139"/>
      <c r="J44" s="140" t="s">
        <v>311</v>
      </c>
      <c r="K44" s="616" t="s">
        <v>202</v>
      </c>
      <c r="L44" s="616"/>
      <c r="M44" s="616"/>
      <c r="N44" s="616"/>
      <c r="O44" s="616"/>
      <c r="P44" s="616"/>
      <c r="Q44" s="161" t="str">
        <f t="shared" si="11"/>
        <v>Cheville</v>
      </c>
      <c r="R44"/>
      <c r="S44"/>
      <c r="T44"/>
      <c r="U44"/>
      <c r="V44"/>
      <c r="W44"/>
      <c r="X44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</row>
    <row r="45" spans="1:43" ht="15.75" thickBot="1">
      <c r="A45" s="282"/>
      <c r="B45" s="221"/>
      <c r="D45" s="599" t="s">
        <v>361</v>
      </c>
      <c r="E45" s="599"/>
      <c r="K45" s="124" t="s">
        <v>290</v>
      </c>
      <c r="L45" s="125" t="s">
        <v>280</v>
      </c>
      <c r="M45" s="123" t="s">
        <v>276</v>
      </c>
      <c r="N45" s="123" t="s">
        <v>299</v>
      </c>
      <c r="Q45" s="161" t="str">
        <f t="shared" si="11"/>
        <v>Artannes / Indre</v>
      </c>
      <c r="R45"/>
      <c r="S45"/>
      <c r="T45"/>
      <c r="U45"/>
      <c r="V45"/>
      <c r="W45"/>
      <c r="X45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</row>
    <row r="46" spans="1:43" ht="15.75" thickBot="1">
      <c r="A46" s="282"/>
      <c r="B46" s="221"/>
      <c r="D46" s="599"/>
      <c r="E46" s="599"/>
      <c r="K46" s="106" t="s">
        <v>281</v>
      </c>
      <c r="L46" s="119" t="s">
        <v>286</v>
      </c>
      <c r="M46" s="117" t="s">
        <v>291</v>
      </c>
      <c r="N46" s="174" t="s">
        <v>300</v>
      </c>
      <c r="O46" s="119" t="s">
        <v>385</v>
      </c>
      <c r="P46" s="165" t="s">
        <v>422</v>
      </c>
      <c r="Q46" s="386" t="str">
        <f t="shared" si="11"/>
        <v>Joué les Tours</v>
      </c>
      <c r="R46"/>
      <c r="S46"/>
      <c r="T46"/>
      <c r="U46"/>
      <c r="V46"/>
      <c r="W46"/>
      <c r="X46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</row>
    <row r="47" spans="1:43">
      <c r="D47" s="599"/>
      <c r="E47" s="599"/>
      <c r="K47" s="126"/>
      <c r="L47" s="115"/>
      <c r="M47" s="166"/>
      <c r="N47" s="118"/>
      <c r="O47" s="164"/>
      <c r="P47" s="100"/>
      <c r="Q47" s="386" t="str">
        <f t="shared" si="11"/>
        <v/>
      </c>
      <c r="R47"/>
      <c r="S47"/>
      <c r="T47"/>
      <c r="U47"/>
      <c r="V47"/>
      <c r="W47"/>
      <c r="X47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</row>
    <row r="48" spans="1:43" ht="18.75">
      <c r="K48" s="100" t="s">
        <v>14</v>
      </c>
      <c r="L48" s="179" t="str">
        <f>CONCATENATE(L53,B10)</f>
        <v>Carte ESSO : DB-436-GD</v>
      </c>
      <c r="M48" s="333" t="s">
        <v>297</v>
      </c>
      <c r="N48" s="337" t="s">
        <v>144</v>
      </c>
      <c r="O48" s="466" t="str">
        <f>B10</f>
        <v>DB-436-GD</v>
      </c>
      <c r="P48" s="100" t="s">
        <v>423</v>
      </c>
      <c r="Q48" s="386" t="str">
        <f t="shared" si="11"/>
        <v/>
      </c>
      <c r="R48"/>
      <c r="S48"/>
      <c r="T48"/>
      <c r="U48"/>
      <c r="V48"/>
      <c r="W48"/>
      <c r="X4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</row>
    <row r="49" spans="1:41" ht="18.75">
      <c r="A49" s="691" t="s">
        <v>470</v>
      </c>
      <c r="B49" s="691"/>
      <c r="C49" s="663" t="s">
        <v>469</v>
      </c>
      <c r="D49" s="663"/>
      <c r="E49" s="663"/>
      <c r="K49" s="100" t="s">
        <v>255</v>
      </c>
      <c r="L49" s="97" t="s">
        <v>287</v>
      </c>
      <c r="M49" s="334" t="s">
        <v>294</v>
      </c>
      <c r="N49" s="337" t="s">
        <v>393</v>
      </c>
      <c r="O49" s="466" t="str">
        <f>IF(K73="","",K73)</f>
        <v>Laétithia-JEANNIN</v>
      </c>
      <c r="P49" s="100" t="s">
        <v>391</v>
      </c>
      <c r="Q49" s="386" t="str">
        <f t="shared" si="11"/>
        <v/>
      </c>
      <c r="R49"/>
      <c r="S49"/>
      <c r="T49"/>
      <c r="U49"/>
      <c r="V49"/>
      <c r="W49"/>
      <c r="X49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</row>
    <row r="50" spans="1:41" ht="19.5" thickBot="1">
      <c r="A50" s="677" t="s">
        <v>419</v>
      </c>
      <c r="B50" s="677"/>
      <c r="C50" s="677"/>
      <c r="D50" s="677"/>
      <c r="E50" s="677"/>
      <c r="K50" s="100" t="s">
        <v>270</v>
      </c>
      <c r="L50" s="97" t="s">
        <v>288</v>
      </c>
      <c r="M50" s="336" t="s">
        <v>292</v>
      </c>
      <c r="N50" s="337" t="s">
        <v>395</v>
      </c>
      <c r="O50" s="466" t="str">
        <f t="shared" ref="O50:O57" si="12">IF(K74="","",K74)</f>
        <v>Lucie-BARNIER</v>
      </c>
      <c r="P50" s="104" t="s">
        <v>392</v>
      </c>
      <c r="Q50" s="467" t="str">
        <f t="shared" si="11"/>
        <v/>
      </c>
      <c r="U50" s="158"/>
    </row>
    <row r="51" spans="1:41" ht="19.5" thickBot="1">
      <c r="A51" s="665" t="str">
        <f>CONCATENATE(A50,"\")</f>
        <v>O:\Rapport activité\6-Macro\Sauv\</v>
      </c>
      <c r="B51" s="665"/>
      <c r="C51" s="665"/>
      <c r="D51" s="665"/>
      <c r="E51" s="665"/>
      <c r="K51" s="100" t="s">
        <v>282</v>
      </c>
      <c r="L51" s="101" t="s">
        <v>289</v>
      </c>
      <c r="M51" s="377" t="s">
        <v>296</v>
      </c>
      <c r="N51" s="337" t="s">
        <v>394</v>
      </c>
      <c r="O51" s="335" t="str">
        <f t="shared" si="12"/>
        <v>Mégane-PERSONNE</v>
      </c>
      <c r="U51" s="158"/>
    </row>
    <row r="52" spans="1:41" ht="19.5" thickBot="1">
      <c r="A52" s="691" t="s">
        <v>471</v>
      </c>
      <c r="B52" s="691"/>
      <c r="C52" s="663" t="s">
        <v>468</v>
      </c>
      <c r="D52" s="663"/>
      <c r="E52" s="663"/>
      <c r="K52" s="100" t="s">
        <v>283</v>
      </c>
      <c r="M52" s="339" t="s">
        <v>293</v>
      </c>
      <c r="N52" s="338" t="s">
        <v>396</v>
      </c>
      <c r="O52" s="335" t="str">
        <f t="shared" si="12"/>
        <v>Océane-GAURIN</v>
      </c>
    </row>
    <row r="53" spans="1:41">
      <c r="A53" s="677" t="s">
        <v>420</v>
      </c>
      <c r="B53" s="677"/>
      <c r="C53" s="677"/>
      <c r="D53" s="677"/>
      <c r="E53" s="677"/>
      <c r="F53" s="435"/>
      <c r="G53" s="116"/>
      <c r="K53" s="100" t="s">
        <v>284</v>
      </c>
      <c r="L53" s="198" t="s">
        <v>360</v>
      </c>
      <c r="M53" s="324" t="s">
        <v>295</v>
      </c>
      <c r="O53" s="287" t="str">
        <f t="shared" si="12"/>
        <v>Valentin-CHARLES</v>
      </c>
      <c r="Z53" s="128"/>
      <c r="AA53" s="128"/>
      <c r="AB53" s="128"/>
      <c r="AC53" s="128"/>
      <c r="AD53" s="128"/>
      <c r="AE53" s="128"/>
      <c r="AF53" s="23"/>
      <c r="AG53" s="23"/>
      <c r="AH53" s="23"/>
    </row>
    <row r="54" spans="1:41" ht="15.75" thickBot="1">
      <c r="A54" s="665" t="str">
        <f>CONCATENATE(A53,"\")</f>
        <v>O:\Rapport activité\6-Macro\Sauv\Securité\</v>
      </c>
      <c r="B54" s="665"/>
      <c r="C54" s="665"/>
      <c r="D54" s="665"/>
      <c r="E54" s="665"/>
      <c r="F54" s="435"/>
      <c r="K54" s="104" t="s">
        <v>285</v>
      </c>
      <c r="M54" s="325" t="s">
        <v>298</v>
      </c>
      <c r="O54" s="287" t="str">
        <f t="shared" si="12"/>
        <v/>
      </c>
      <c r="Z54" s="128"/>
      <c r="AA54" s="128"/>
      <c r="AB54" s="128"/>
      <c r="AC54" s="128"/>
      <c r="AD54" s="128"/>
      <c r="AE54" s="128"/>
      <c r="AF54" s="23"/>
      <c r="AG54" s="23"/>
      <c r="AH54" s="1"/>
      <c r="AI54" s="129"/>
      <c r="AJ54" s="129"/>
      <c r="AK54" s="129"/>
      <c r="AL54" s="129"/>
      <c r="AM54" s="129"/>
      <c r="AN54" s="129"/>
      <c r="AO54" s="129"/>
    </row>
    <row r="55" spans="1:41" ht="15.75" thickBot="1">
      <c r="M55" s="323"/>
      <c r="O55" s="287" t="str">
        <f t="shared" si="12"/>
        <v/>
      </c>
      <c r="AF55" s="23"/>
      <c r="AG55" s="23"/>
      <c r="AH55" s="23"/>
    </row>
    <row r="56" spans="1:41">
      <c r="D56" s="435"/>
      <c r="O56" s="287" t="str">
        <f t="shared" si="12"/>
        <v/>
      </c>
    </row>
    <row r="57" spans="1:41" ht="15.75" thickBot="1">
      <c r="K57" s="680" t="s">
        <v>307</v>
      </c>
      <c r="L57" s="664"/>
      <c r="M57" s="664"/>
      <c r="N57" s="681"/>
      <c r="O57" s="288" t="str">
        <f t="shared" si="12"/>
        <v/>
      </c>
      <c r="T57" s="168"/>
    </row>
    <row r="58" spans="1:41" ht="15.75" thickBot="1">
      <c r="K58" s="120" t="s">
        <v>425</v>
      </c>
      <c r="L58" s="678"/>
      <c r="M58" s="690" t="str">
        <f>E9</f>
        <v>GUIN-Maurice</v>
      </c>
      <c r="N58" s="682" t="str">
        <f ca="1">TEXT(N7,"mmmm")</f>
        <v>novembre</v>
      </c>
      <c r="O58" s="685">
        <f ca="1">N4</f>
        <v>2014</v>
      </c>
      <c r="P58" s="688" t="str">
        <f ca="1">CONCATENATE(K58," ",M58," ",N58,"-",O58)</f>
        <v>Fiche de Présence GUIN-Maurice novembre-2014</v>
      </c>
      <c r="Q58" s="689"/>
      <c r="R58" s="689"/>
      <c r="S58" s="600" t="str">
        <f>CONCATENATE(K58," LIGNE ",F10)</f>
        <v>Fiche de Présence LIGNE 2</v>
      </c>
      <c r="T58" s="600"/>
    </row>
    <row r="59" spans="1:41" ht="15.75" thickBot="1">
      <c r="I59" s="607" t="s">
        <v>158</v>
      </c>
      <c r="J59" s="608"/>
      <c r="K59" s="120" t="s">
        <v>421</v>
      </c>
      <c r="L59" s="678"/>
      <c r="M59" s="686"/>
      <c r="N59" s="683"/>
      <c r="O59" s="686"/>
      <c r="P59" s="660" t="str">
        <f ca="1">CONCATENATE(K59," ",M58," ",N58,"-",O58)</f>
        <v>Recapitulatif Frais GUIN-Maurice novembre-2014</v>
      </c>
      <c r="Q59" s="661"/>
      <c r="R59" s="661"/>
      <c r="S59" s="662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E59" s="168"/>
      <c r="AF59" s="168"/>
    </row>
    <row r="60" spans="1:41">
      <c r="I60" s="136"/>
      <c r="J60" s="137" t="s">
        <v>155</v>
      </c>
      <c r="K60" s="120" t="s">
        <v>306</v>
      </c>
      <c r="L60" s="678"/>
      <c r="M60" s="686"/>
      <c r="N60" s="683"/>
      <c r="O60" s="686"/>
      <c r="P60" s="660" t="str">
        <f ca="1">CONCATENATE(K60," ",M58," ",N58,"-",O58)</f>
        <v>Billet Collectif mensuel GUIN-Maurice novembre-2014</v>
      </c>
      <c r="Q60" s="661"/>
      <c r="R60" s="661"/>
      <c r="S60" s="661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</row>
    <row r="61" spans="1:41">
      <c r="I61" s="133"/>
      <c r="J61" s="74" t="s">
        <v>156</v>
      </c>
      <c r="K61" s="120" t="s">
        <v>302</v>
      </c>
      <c r="L61" s="678"/>
      <c r="M61" s="686"/>
      <c r="N61" s="683"/>
      <c r="O61" s="686"/>
      <c r="P61" s="660" t="str">
        <f ca="1">CONCATENATE(K61," ",M58," ",N58,"-",O58)</f>
        <v>Justificatifs GUIN-Maurice novembre-2014</v>
      </c>
      <c r="Q61" s="661"/>
      <c r="R61" s="661"/>
      <c r="S61" s="661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E61" s="168"/>
      <c r="AF61" s="168"/>
    </row>
    <row r="62" spans="1:41">
      <c r="D62" s="332"/>
      <c r="I62" s="84"/>
      <c r="J62" s="74" t="s">
        <v>157</v>
      </c>
      <c r="K62" s="120" t="s">
        <v>303</v>
      </c>
      <c r="L62" s="679"/>
      <c r="M62" s="686"/>
      <c r="N62" s="683"/>
      <c r="O62" s="686"/>
      <c r="P62" s="660" t="str">
        <f ca="1">CONCATENATE(K62," ",M58," ",N58,"-",O58)</f>
        <v>Note de Frais GUIN-Maurice novembre-2014</v>
      </c>
      <c r="Q62" s="661"/>
      <c r="R62" s="661"/>
      <c r="S62" s="661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8"/>
      <c r="AE62" s="168"/>
      <c r="AF62" s="168"/>
    </row>
    <row r="63" spans="1:41">
      <c r="E63" s="327"/>
      <c r="I63" s="87"/>
      <c r="J63" s="88" t="s">
        <v>201</v>
      </c>
      <c r="K63" s="120" t="s">
        <v>143</v>
      </c>
      <c r="L63" s="79" t="str">
        <f>E1</f>
        <v>TOURS</v>
      </c>
      <c r="M63" s="686"/>
      <c r="N63" s="684"/>
      <c r="O63" s="687"/>
      <c r="P63" s="660" t="str">
        <f ca="1">CONCATENATE(K63,"-",L63," ",M58," ",N58,"-",O58)</f>
        <v>ULYSSE-TOURS GUIN-Maurice novembre-2014</v>
      </c>
      <c r="Q63" s="661"/>
      <c r="R63" s="661"/>
      <c r="S63" s="661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8"/>
      <c r="AE63" s="168"/>
      <c r="AF63" s="168"/>
    </row>
    <row r="64" spans="1:41">
      <c r="I64" s="92"/>
      <c r="J64" s="88" t="s">
        <v>200</v>
      </c>
      <c r="K64" s="120" t="s">
        <v>304</v>
      </c>
      <c r="L64" s="602"/>
      <c r="M64" s="686"/>
      <c r="N64" s="130" t="str">
        <f ca="1">TEXT(Q6,"du jj-mm")</f>
        <v>du 03-11</v>
      </c>
      <c r="O64" s="131" t="str">
        <f ca="1">TEXT(R6,"jj-mm-aaaa")</f>
        <v>07-11-2014</v>
      </c>
      <c r="P64" s="660" t="str">
        <f ca="1">CONCATENATE(K64," ",M58," ",N64," au ",O64)</f>
        <v>Rapport d'Activité GUIN-Maurice du 03-11 au 07-11-2014</v>
      </c>
      <c r="Q64" s="661"/>
      <c r="R64" s="661"/>
      <c r="S64" s="661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8"/>
      <c r="AE64" s="168"/>
      <c r="AF64" s="168"/>
    </row>
    <row r="65" spans="1:32">
      <c r="I65" s="138"/>
      <c r="J65" s="74" t="s">
        <v>168</v>
      </c>
      <c r="K65" s="120" t="s">
        <v>276</v>
      </c>
      <c r="L65" s="656"/>
      <c r="M65" s="686"/>
      <c r="N65" s="130" t="e">
        <f>TEXT(#REF!,"du jj-mm")</f>
        <v>#REF!</v>
      </c>
      <c r="O65" s="331" t="e">
        <f>TEXT(#REF!+4," jj-mm-aaaa")</f>
        <v>#REF!</v>
      </c>
      <c r="P65" s="660" t="e">
        <f>CONCATENATE(K65," ",M58," ",N65," au ",O65)</f>
        <v>#REF!</v>
      </c>
      <c r="Q65" s="661"/>
      <c r="R65" s="661"/>
      <c r="S65" s="661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</row>
    <row r="66" spans="1:32" ht="15.75" thickBot="1">
      <c r="I66" s="139"/>
      <c r="J66" s="140" t="s">
        <v>311</v>
      </c>
      <c r="K66" s="120" t="s">
        <v>301</v>
      </c>
      <c r="L66" s="657"/>
      <c r="M66" s="686"/>
      <c r="N66" s="79" t="str">
        <f>B10</f>
        <v>DB-436-GD</v>
      </c>
      <c r="O66" s="121"/>
      <c r="P66" s="660" t="str">
        <f>CONCATENATE(K66," ",M58," ",N66)</f>
        <v>Fiche Véhicule GUIN-Maurice DB-436-GD</v>
      </c>
      <c r="Q66" s="661"/>
      <c r="R66" s="661"/>
      <c r="S66" s="661"/>
      <c r="T66" s="169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</row>
    <row r="67" spans="1:32">
      <c r="K67" s="120" t="s">
        <v>429</v>
      </c>
      <c r="M67" s="686"/>
      <c r="N67" s="470" t="str">
        <f ca="1">TEXT(N7,"mmmm")</f>
        <v>novembre</v>
      </c>
      <c r="O67" s="483">
        <f ca="1">N4</f>
        <v>2014</v>
      </c>
      <c r="P67" s="660" t="str">
        <f ca="1">CONCATENATE(K67," ",M58," ",N67," ",O67)</f>
        <v>Congé GUIN-Maurice novembre 2014</v>
      </c>
      <c r="Q67" s="661"/>
      <c r="R67" s="661"/>
      <c r="S67" s="661"/>
    </row>
    <row r="68" spans="1:32" s="169" customFormat="1">
      <c r="A68" s="178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3"/>
    </row>
    <row r="69" spans="1:32" ht="15.75" thickBot="1"/>
    <row r="70" spans="1:32" ht="15.75" customHeight="1">
      <c r="J70" s="141"/>
      <c r="K70" s="132" t="s">
        <v>317</v>
      </c>
      <c r="M70" s="132" t="s">
        <v>328</v>
      </c>
      <c r="P70" s="134"/>
      <c r="Q70" s="145" t="s">
        <v>309</v>
      </c>
      <c r="R70" s="654" t="s">
        <v>310</v>
      </c>
    </row>
    <row r="71" spans="1:32">
      <c r="J71" s="141"/>
      <c r="K71" s="151" t="s">
        <v>308</v>
      </c>
      <c r="M71" s="152"/>
      <c r="P71" s="134"/>
      <c r="Q71" s="151" t="s">
        <v>308</v>
      </c>
      <c r="R71" s="655"/>
    </row>
    <row r="72" spans="1:32">
      <c r="J72" s="141"/>
      <c r="K72" s="151" t="s">
        <v>388</v>
      </c>
      <c r="M72" s="151" t="s">
        <v>242</v>
      </c>
      <c r="P72" s="134"/>
      <c r="Q72" s="151" t="s">
        <v>248</v>
      </c>
      <c r="R72" s="655"/>
    </row>
    <row r="73" spans="1:32">
      <c r="J73" s="141"/>
      <c r="K73" s="151" t="s">
        <v>320</v>
      </c>
      <c r="M73" s="151" t="s">
        <v>241</v>
      </c>
      <c r="P73" s="134"/>
      <c r="Q73" s="151" t="s">
        <v>247</v>
      </c>
      <c r="R73" s="655"/>
    </row>
    <row r="74" spans="1:32">
      <c r="J74" s="141"/>
      <c r="K74" s="151" t="s">
        <v>319</v>
      </c>
      <c r="M74" s="151" t="s">
        <v>389</v>
      </c>
      <c r="P74" s="134"/>
      <c r="Q74" s="151" t="s">
        <v>246</v>
      </c>
      <c r="R74" s="655"/>
    </row>
    <row r="75" spans="1:32">
      <c r="J75" s="141"/>
      <c r="K75" s="151" t="s">
        <v>390</v>
      </c>
      <c r="L75" s="23"/>
      <c r="M75" s="151" t="s">
        <v>240</v>
      </c>
      <c r="P75" s="134"/>
      <c r="Q75" s="151" t="s">
        <v>277</v>
      </c>
      <c r="R75" s="655"/>
    </row>
    <row r="76" spans="1:32">
      <c r="J76" s="141"/>
      <c r="K76" s="151" t="s">
        <v>318</v>
      </c>
      <c r="M76" s="151" t="s">
        <v>243</v>
      </c>
      <c r="P76" s="134"/>
      <c r="Q76" s="151" t="s">
        <v>249</v>
      </c>
      <c r="R76" s="655"/>
    </row>
    <row r="77" spans="1:32">
      <c r="D77" s="141"/>
      <c r="E77" s="141"/>
      <c r="J77" s="141"/>
      <c r="K77" s="151" t="s">
        <v>321</v>
      </c>
      <c r="L77"/>
      <c r="M77" s="151"/>
      <c r="P77" s="134"/>
      <c r="Q77" s="151" t="s">
        <v>279</v>
      </c>
      <c r="R77" s="655"/>
    </row>
    <row r="78" spans="1:32">
      <c r="E78" s="141"/>
      <c r="J78" s="141"/>
      <c r="K78" s="151"/>
      <c r="L78"/>
      <c r="M78" s="151"/>
      <c r="P78" s="134"/>
      <c r="Q78" s="151" t="s">
        <v>365</v>
      </c>
      <c r="R78" s="655"/>
    </row>
    <row r="79" spans="1:32">
      <c r="E79"/>
      <c r="J79" s="141"/>
      <c r="K79" s="151"/>
      <c r="L79"/>
      <c r="M79" s="151"/>
      <c r="P79" s="134"/>
      <c r="Q79" s="151" t="s">
        <v>245</v>
      </c>
      <c r="R79" s="655"/>
    </row>
    <row r="80" spans="1:32">
      <c r="E80"/>
      <c r="J80" s="141"/>
      <c r="K80" s="151"/>
      <c r="L80"/>
      <c r="M80" s="151"/>
      <c r="P80" s="134"/>
      <c r="Q80" s="151" t="s">
        <v>278</v>
      </c>
      <c r="R80" s="655"/>
    </row>
    <row r="81" spans="3:18" ht="15" customHeight="1">
      <c r="E81" s="142"/>
      <c r="J81" s="141"/>
      <c r="K81" s="151"/>
      <c r="M81" s="151"/>
      <c r="P81" s="134"/>
      <c r="Q81" s="151"/>
      <c r="R81" s="655"/>
    </row>
    <row r="82" spans="3:18">
      <c r="J82" s="141"/>
      <c r="K82" s="146" t="s">
        <v>326</v>
      </c>
      <c r="M82" s="132" t="s">
        <v>327</v>
      </c>
      <c r="P82" s="134"/>
      <c r="Q82" s="151"/>
      <c r="R82" s="655"/>
    </row>
    <row r="83" spans="3:18">
      <c r="J83" s="141"/>
      <c r="K83" s="148" t="s">
        <v>329</v>
      </c>
      <c r="M83" s="149" t="s">
        <v>331</v>
      </c>
      <c r="Q83" s="151"/>
      <c r="R83" s="655"/>
    </row>
    <row r="84" spans="3:18">
      <c r="K84" s="148" t="s">
        <v>330</v>
      </c>
      <c r="M84" s="149" t="s">
        <v>332</v>
      </c>
      <c r="Q84" s="151"/>
      <c r="R84" s="655"/>
    </row>
    <row r="85" spans="3:18" ht="15.75" thickBot="1">
      <c r="C85" s="150"/>
      <c r="K85" s="148" t="s">
        <v>316</v>
      </c>
      <c r="M85" s="149" t="s">
        <v>333</v>
      </c>
      <c r="Q85" s="151"/>
      <c r="R85" s="655"/>
    </row>
    <row r="86" spans="3:18" ht="15.75" thickBot="1">
      <c r="K86" s="143"/>
      <c r="M86" s="143"/>
      <c r="Q86" s="151"/>
      <c r="R86" s="655"/>
    </row>
    <row r="87" spans="3:18">
      <c r="K87" s="148" t="s">
        <v>315</v>
      </c>
      <c r="M87" s="149" t="s">
        <v>315</v>
      </c>
      <c r="Q87" s="151"/>
      <c r="R87" s="655"/>
    </row>
    <row r="88" spans="3:18">
      <c r="K88" s="148" t="s">
        <v>323</v>
      </c>
      <c r="M88" s="149" t="s">
        <v>239</v>
      </c>
      <c r="Q88" s="151"/>
      <c r="R88" s="655"/>
    </row>
    <row r="89" spans="3:18">
      <c r="K89" s="148"/>
      <c r="M89" s="148"/>
      <c r="P89" s="134"/>
      <c r="Q89" s="132" t="s">
        <v>327</v>
      </c>
      <c r="R89" s="655"/>
    </row>
    <row r="90" spans="3:18">
      <c r="K90" s="132" t="s">
        <v>323</v>
      </c>
      <c r="M90" s="132" t="s">
        <v>324</v>
      </c>
      <c r="P90" s="134"/>
      <c r="Q90" s="199"/>
      <c r="R90" s="655"/>
    </row>
    <row r="91" spans="3:18">
      <c r="K91" s="144"/>
      <c r="M91" s="144"/>
      <c r="P91" s="134"/>
      <c r="Q91" s="65" t="s">
        <v>312</v>
      </c>
      <c r="R91" s="655"/>
    </row>
    <row r="92" spans="3:18">
      <c r="K92" s="147" t="str">
        <f t="shared" ref="K92:K101" si="13">IF(C28="-","",C28)</f>
        <v>Océane-GAURIN</v>
      </c>
      <c r="M92" s="144" t="str">
        <f t="shared" ref="M92:M101" si="14">IF(B28="","",B28)</f>
        <v>Océane</v>
      </c>
      <c r="P92" s="134"/>
      <c r="Q92" s="65" t="s">
        <v>313</v>
      </c>
      <c r="R92" s="655"/>
    </row>
    <row r="93" spans="3:18" ht="15.75" thickBot="1">
      <c r="K93" s="147" t="str">
        <f t="shared" si="13"/>
        <v>Lucie-BARNIER</v>
      </c>
      <c r="M93" s="144" t="str">
        <f t="shared" si="14"/>
        <v>Lucie</v>
      </c>
      <c r="P93" s="134"/>
      <c r="Q93" s="65" t="s">
        <v>314</v>
      </c>
      <c r="R93" s="655"/>
    </row>
    <row r="94" spans="3:18" ht="15.75" thickBot="1">
      <c r="K94" s="147" t="str">
        <f t="shared" si="13"/>
        <v>Océane-GAURIN</v>
      </c>
      <c r="M94" s="144" t="str">
        <f t="shared" si="14"/>
        <v>Océane</v>
      </c>
      <c r="P94" s="134"/>
      <c r="Q94" s="143"/>
      <c r="R94" s="655"/>
    </row>
    <row r="95" spans="3:18">
      <c r="K95" s="147" t="str">
        <f t="shared" si="13"/>
        <v>Laétithia-JEANNIN</v>
      </c>
      <c r="M95" s="144" t="str">
        <f t="shared" si="14"/>
        <v>Laétithia</v>
      </c>
      <c r="P95" s="134"/>
      <c r="Q95" s="65" t="s">
        <v>315</v>
      </c>
      <c r="R95" s="655"/>
    </row>
    <row r="96" spans="3:18">
      <c r="J96"/>
      <c r="K96" s="147" t="str">
        <f t="shared" si="13"/>
        <v>Mégane-PERSONNE</v>
      </c>
      <c r="M96" s="144" t="str">
        <f t="shared" si="14"/>
        <v>Mégane</v>
      </c>
      <c r="P96" s="134"/>
      <c r="Q96" s="65" t="s">
        <v>322</v>
      </c>
      <c r="R96" s="655"/>
    </row>
    <row r="97" spans="10:18">
      <c r="J97"/>
      <c r="K97" s="147" t="str">
        <f t="shared" si="13"/>
        <v>Valentin-CHARLES</v>
      </c>
      <c r="M97" s="144" t="str">
        <f t="shared" si="14"/>
        <v>Valentin</v>
      </c>
      <c r="Q97" s="199"/>
      <c r="R97" s="655"/>
    </row>
    <row r="98" spans="10:18">
      <c r="J98" s="142"/>
      <c r="K98" s="147" t="str">
        <f t="shared" si="13"/>
        <v/>
      </c>
      <c r="M98" s="144" t="str">
        <f t="shared" si="14"/>
        <v/>
      </c>
      <c r="Q98" s="199"/>
      <c r="R98" s="655"/>
    </row>
    <row r="99" spans="10:18">
      <c r="K99" s="147" t="str">
        <f t="shared" si="13"/>
        <v/>
      </c>
      <c r="M99" s="144" t="str">
        <f t="shared" si="14"/>
        <v/>
      </c>
      <c r="Q99" s="199"/>
      <c r="R99" s="655"/>
    </row>
    <row r="100" spans="10:18">
      <c r="K100" s="147" t="str">
        <f t="shared" si="13"/>
        <v/>
      </c>
      <c r="M100" s="144" t="str">
        <f t="shared" si="14"/>
        <v/>
      </c>
      <c r="Q100" s="199"/>
      <c r="R100" s="655"/>
    </row>
    <row r="101" spans="10:18">
      <c r="K101" s="147" t="str">
        <f t="shared" si="13"/>
        <v>!Ligne2</v>
      </c>
      <c r="M101" s="144" t="str">
        <f t="shared" si="14"/>
        <v/>
      </c>
      <c r="Q101" s="199"/>
      <c r="R101" s="655"/>
    </row>
    <row r="102" spans="10:18">
      <c r="K102" s="132" t="s">
        <v>325</v>
      </c>
      <c r="M102" s="132" t="s">
        <v>325</v>
      </c>
      <c r="Q102" s="199"/>
      <c r="R102" s="655"/>
    </row>
    <row r="103" spans="10:18">
      <c r="Q103" s="199"/>
      <c r="R103" s="199"/>
    </row>
    <row r="104" spans="10:18">
      <c r="Q104" s="199"/>
      <c r="R104" s="199"/>
    </row>
    <row r="105" spans="10:18">
      <c r="Q105" s="199"/>
      <c r="R105" s="199"/>
    </row>
    <row r="106" spans="10:18">
      <c r="Q106" s="199"/>
      <c r="R106" s="199"/>
    </row>
    <row r="107" spans="10:18">
      <c r="Q107" s="199"/>
      <c r="R107" s="199"/>
    </row>
    <row r="108" spans="10:18">
      <c r="Q108" s="199"/>
      <c r="R108" s="199"/>
    </row>
    <row r="109" spans="10:18">
      <c r="Q109" s="199"/>
      <c r="R109" s="199"/>
    </row>
    <row r="110" spans="10:18">
      <c r="Q110" s="199"/>
      <c r="R110" s="199"/>
    </row>
  </sheetData>
  <sheetProtection formatCells="0" selectLockedCells="1"/>
  <sortState ref="M72:M80">
    <sortCondition ref="M71"/>
  </sortState>
  <mergeCells count="117">
    <mergeCell ref="K30:P30"/>
    <mergeCell ref="A51:E51"/>
    <mergeCell ref="P66:S66"/>
    <mergeCell ref="D12:E12"/>
    <mergeCell ref="D13:E13"/>
    <mergeCell ref="C28:D28"/>
    <mergeCell ref="C32:D32"/>
    <mergeCell ref="A26:D26"/>
    <mergeCell ref="C27:D27"/>
    <mergeCell ref="I59:J59"/>
    <mergeCell ref="A54:E54"/>
    <mergeCell ref="A53:E53"/>
    <mergeCell ref="A50:E50"/>
    <mergeCell ref="L58:L62"/>
    <mergeCell ref="K57:N57"/>
    <mergeCell ref="N58:N63"/>
    <mergeCell ref="O58:O63"/>
    <mergeCell ref="P58:R58"/>
    <mergeCell ref="S58:T58"/>
    <mergeCell ref="M58:M67"/>
    <mergeCell ref="P67:S67"/>
    <mergeCell ref="A49:B49"/>
    <mergeCell ref="A52:B52"/>
    <mergeCell ref="R70:R102"/>
    <mergeCell ref="L64:L66"/>
    <mergeCell ref="C36:D36"/>
    <mergeCell ref="C37:D37"/>
    <mergeCell ref="K44:P44"/>
    <mergeCell ref="P60:S60"/>
    <mergeCell ref="P61:S61"/>
    <mergeCell ref="P62:S62"/>
    <mergeCell ref="P63:S63"/>
    <mergeCell ref="P64:S64"/>
    <mergeCell ref="P65:S65"/>
    <mergeCell ref="P59:S59"/>
    <mergeCell ref="C49:E49"/>
    <mergeCell ref="C52:E52"/>
    <mergeCell ref="AP17:AS17"/>
    <mergeCell ref="AJ11:AO11"/>
    <mergeCell ref="AD12:AI12"/>
    <mergeCell ref="W16:X16"/>
    <mergeCell ref="W17:X17"/>
    <mergeCell ref="Y15:AC15"/>
    <mergeCell ref="Y16:AC16"/>
    <mergeCell ref="Y17:AC17"/>
    <mergeCell ref="Y12:AC12"/>
    <mergeCell ref="Y13:AC13"/>
    <mergeCell ref="AP12:AS12"/>
    <mergeCell ref="AD17:AO17"/>
    <mergeCell ref="AP13:AS13"/>
    <mergeCell ref="AD16:AI16"/>
    <mergeCell ref="AP15:AS15"/>
    <mergeCell ref="W14:X14"/>
    <mergeCell ref="W15:X15"/>
    <mergeCell ref="Y11:AC11"/>
    <mergeCell ref="W11:X11"/>
    <mergeCell ref="W12:X12"/>
    <mergeCell ref="W13:X13"/>
    <mergeCell ref="AJ13:AO13"/>
    <mergeCell ref="AJ14:AO14"/>
    <mergeCell ref="AJ12:AO12"/>
    <mergeCell ref="AP14:AS14"/>
    <mergeCell ref="Y14:AC14"/>
    <mergeCell ref="AP16:AS16"/>
    <mergeCell ref="AJ5:AP5"/>
    <mergeCell ref="AJ6:AP6"/>
    <mergeCell ref="AP9:AS9"/>
    <mergeCell ref="AP10:AS10"/>
    <mergeCell ref="AJ15:AO15"/>
    <mergeCell ref="AJ16:AO16"/>
    <mergeCell ref="AD13:AI13"/>
    <mergeCell ref="AD14:AI14"/>
    <mergeCell ref="AD15:AI15"/>
    <mergeCell ref="B5:E5"/>
    <mergeCell ref="B6:E6"/>
    <mergeCell ref="L10:M10"/>
    <mergeCell ref="B2:E3"/>
    <mergeCell ref="K8:P8"/>
    <mergeCell ref="K9:L9"/>
    <mergeCell ref="W2:AE2"/>
    <mergeCell ref="AP11:AS11"/>
    <mergeCell ref="AD11:AI11"/>
    <mergeCell ref="AJ2:AP2"/>
    <mergeCell ref="AJ3:AP3"/>
    <mergeCell ref="AJ4:AP4"/>
    <mergeCell ref="Q3:T3"/>
    <mergeCell ref="AD10:AI10"/>
    <mergeCell ref="AD9:AI9"/>
    <mergeCell ref="Y9:AC9"/>
    <mergeCell ref="W9:X10"/>
    <mergeCell ref="K3:N3"/>
    <mergeCell ref="K5:L5"/>
    <mergeCell ref="Q9:V9"/>
    <mergeCell ref="L1:AU1"/>
    <mergeCell ref="A1:B1"/>
    <mergeCell ref="C1:D1"/>
    <mergeCell ref="M5:M6"/>
    <mergeCell ref="N5:N6"/>
    <mergeCell ref="A8:F8"/>
    <mergeCell ref="D40:E42"/>
    <mergeCell ref="D45:E47"/>
    <mergeCell ref="C33:D33"/>
    <mergeCell ref="C34:D34"/>
    <mergeCell ref="C35:D35"/>
    <mergeCell ref="C29:D29"/>
    <mergeCell ref="C30:D30"/>
    <mergeCell ref="C31:D31"/>
    <mergeCell ref="M31:N31"/>
    <mergeCell ref="A16:E16"/>
    <mergeCell ref="B18:D18"/>
    <mergeCell ref="B21:D21"/>
    <mergeCell ref="I11:J11"/>
    <mergeCell ref="I37:J37"/>
    <mergeCell ref="O5:O6"/>
    <mergeCell ref="AF2:AI2"/>
    <mergeCell ref="AJ10:AO10"/>
    <mergeCell ref="AJ9:AO9"/>
  </mergeCells>
  <conditionalFormatting sqref="J19:J24">
    <cfRule type="expression" dxfId="71" priority="5" stopIfTrue="1">
      <formula>UPPER(J19)</formula>
    </cfRule>
  </conditionalFormatting>
  <dataValidations disablePrompts="1" count="3">
    <dataValidation type="list" allowBlank="1" showInputMessage="1" sqref="Q94">
      <formula1>IF(Q94&lt;&gt;"",OFFSET(f_ville,MATCH(Q94&amp;"*", f_ville,0)-1,,COUNTIF(f_ville, Q94&amp;"*"),1), f_ville)</formula1>
    </dataValidation>
    <dataValidation type="list" allowBlank="1" showInputMessage="1" sqref="K86">
      <formula1>IF(K86&lt;&gt; "",OFFSET(f_noms,MATCH(K86&amp;"*",f_noms,0)-1,,COUNTIF(f_noms,K86&amp;"*"),1),f_noms)</formula1>
    </dataValidation>
    <dataValidation type="list" allowBlank="1" showInputMessage="1" sqref="M86">
      <formula1>IF(M86&lt;&gt;"",OFFSET(f_prenom,MATCH(M86&amp;"*",f_prenom,0)-1,,COUNTIF(f_prenom,M86&amp;"*"),1),f_prenom)</formula1>
    </dataValidation>
  </dataValidations>
  <pageMargins left="0.7" right="0.7" top="0.75" bottom="0.75" header="0.3" footer="0.3"/>
  <pageSetup paperSize="9" orientation="portrait" r:id="rId1"/>
  <ignoredErrors>
    <ignoredError sqref="S12:T12 T17:T18 T19:T25 T14:T16 V1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448"/>
  <sheetViews>
    <sheetView view="pageLayout" zoomScaleNormal="100" workbookViewId="0">
      <selection activeCell="A4" sqref="A4"/>
    </sheetView>
  </sheetViews>
  <sheetFormatPr baseColWidth="10" defaultRowHeight="15"/>
  <cols>
    <col min="1" max="1" width="15.7109375" customWidth="1"/>
    <col min="2" max="2" width="16.85546875" bestFit="1" customWidth="1"/>
    <col min="3" max="3" width="25.7109375" customWidth="1"/>
    <col min="4" max="5" width="18.7109375" customWidth="1"/>
  </cols>
  <sheetData>
    <row r="1" spans="1:5" ht="18.75">
      <c r="A1" s="692" t="str">
        <f ca="1">TEXT(MCVS!P61,"Texte")</f>
        <v>Justificatifs GUIN-Maurice novembre-2014</v>
      </c>
      <c r="B1" s="692"/>
      <c r="C1" s="692"/>
      <c r="D1" s="692"/>
      <c r="E1" s="692"/>
    </row>
    <row r="2" spans="1:5" ht="15.75">
      <c r="A2" s="693" t="s">
        <v>399</v>
      </c>
      <c r="B2" s="694"/>
      <c r="C2" s="694"/>
      <c r="D2" s="694"/>
      <c r="E2" s="694"/>
    </row>
    <row r="3" spans="1:5">
      <c r="A3" s="378" t="s">
        <v>7</v>
      </c>
      <c r="B3" s="566" t="s">
        <v>400</v>
      </c>
      <c r="C3" s="566" t="s">
        <v>401</v>
      </c>
      <c r="D3" s="379" t="s">
        <v>402</v>
      </c>
      <c r="E3" s="380" t="s">
        <v>403</v>
      </c>
    </row>
    <row r="4" spans="1:5">
      <c r="A4" s="289"/>
      <c r="B4" s="290"/>
      <c r="C4" s="290"/>
      <c r="D4" s="291"/>
      <c r="E4" s="292"/>
    </row>
    <row r="5" spans="1:5">
      <c r="A5" s="289"/>
      <c r="B5" s="290"/>
      <c r="C5" s="290"/>
      <c r="D5" s="291"/>
      <c r="E5" s="292"/>
    </row>
    <row r="6" spans="1:5">
      <c r="A6" s="289"/>
      <c r="B6" s="290"/>
      <c r="C6" s="290"/>
      <c r="D6" s="291"/>
      <c r="E6" s="292"/>
    </row>
    <row r="7" spans="1:5">
      <c r="A7" s="289"/>
      <c r="B7" s="290"/>
      <c r="C7" s="290"/>
      <c r="D7" s="291"/>
      <c r="E7" s="292"/>
    </row>
    <row r="8" spans="1:5">
      <c r="A8" s="289"/>
      <c r="B8" s="290"/>
      <c r="C8" s="290"/>
      <c r="D8" s="291"/>
      <c r="E8" s="292"/>
    </row>
    <row r="9" spans="1:5">
      <c r="A9" s="289"/>
      <c r="B9" s="290"/>
      <c r="C9" s="290"/>
      <c r="D9" s="291"/>
      <c r="E9" s="292"/>
    </row>
    <row r="10" spans="1:5">
      <c r="A10" s="289"/>
      <c r="B10" s="290"/>
      <c r="C10" s="290"/>
      <c r="D10" s="291"/>
      <c r="E10" s="292"/>
    </row>
    <row r="11" spans="1:5">
      <c r="A11" s="289"/>
      <c r="B11" s="290"/>
      <c r="C11" s="290"/>
      <c r="D11" s="291"/>
      <c r="E11" s="292"/>
    </row>
    <row r="12" spans="1:5">
      <c r="A12" s="289"/>
      <c r="B12" s="290"/>
      <c r="C12" s="290"/>
      <c r="D12" s="291"/>
      <c r="E12" s="292"/>
    </row>
    <row r="13" spans="1:5">
      <c r="A13" s="289"/>
      <c r="B13" s="290"/>
      <c r="C13" s="290"/>
      <c r="D13" s="291"/>
      <c r="E13" s="292"/>
    </row>
    <row r="14" spans="1:5">
      <c r="A14" s="289"/>
      <c r="B14" s="290"/>
      <c r="C14" s="290"/>
      <c r="D14" s="291"/>
      <c r="E14" s="292"/>
    </row>
    <row r="15" spans="1:5">
      <c r="A15" s="289"/>
      <c r="B15" s="290"/>
      <c r="C15" s="290"/>
      <c r="D15" s="291"/>
      <c r="E15" s="292"/>
    </row>
    <row r="16" spans="1:5">
      <c r="A16" s="289"/>
      <c r="B16" s="290"/>
      <c r="C16" s="290"/>
      <c r="D16" s="291"/>
      <c r="E16" s="292"/>
    </row>
    <row r="17" spans="1:5">
      <c r="A17" s="289"/>
      <c r="B17" s="290"/>
      <c r="C17" s="290"/>
      <c r="D17" s="291"/>
      <c r="E17" s="292"/>
    </row>
    <row r="18" spans="1:5">
      <c r="A18" s="289"/>
      <c r="B18" s="290"/>
      <c r="C18" s="290"/>
      <c r="D18" s="291"/>
      <c r="E18" s="292"/>
    </row>
    <row r="19" spans="1:5">
      <c r="A19" s="289"/>
      <c r="B19" s="290"/>
      <c r="C19" s="290"/>
      <c r="D19" s="291"/>
      <c r="E19" s="292"/>
    </row>
    <row r="20" spans="1:5">
      <c r="A20" s="289"/>
      <c r="B20" s="290"/>
      <c r="C20" s="290"/>
      <c r="D20" s="291"/>
      <c r="E20" s="292"/>
    </row>
    <row r="21" spans="1:5">
      <c r="A21" s="289"/>
      <c r="B21" s="290"/>
      <c r="C21" s="290"/>
      <c r="D21" s="291"/>
      <c r="E21" s="292"/>
    </row>
    <row r="22" spans="1:5">
      <c r="A22" s="289"/>
      <c r="B22" s="290"/>
      <c r="C22" s="290"/>
      <c r="D22" s="291"/>
      <c r="E22" s="292"/>
    </row>
    <row r="23" spans="1:5">
      <c r="A23" s="289"/>
      <c r="B23" s="290"/>
      <c r="C23" s="290"/>
      <c r="D23" s="291"/>
      <c r="E23" s="292"/>
    </row>
    <row r="24" spans="1:5">
      <c r="A24" s="289"/>
      <c r="B24" s="290"/>
      <c r="C24" s="290"/>
      <c r="D24" s="291"/>
      <c r="E24" s="292"/>
    </row>
    <row r="25" spans="1:5">
      <c r="A25" s="289"/>
      <c r="B25" s="290"/>
      <c r="C25" s="290"/>
      <c r="D25" s="291"/>
      <c r="E25" s="292"/>
    </row>
    <row r="26" spans="1:5">
      <c r="A26" s="289"/>
      <c r="B26" s="290"/>
      <c r="C26" s="290"/>
      <c r="D26" s="291"/>
      <c r="E26" s="292"/>
    </row>
    <row r="27" spans="1:5">
      <c r="A27" s="289"/>
      <c r="B27" s="290"/>
      <c r="C27" s="290"/>
      <c r="D27" s="291"/>
      <c r="E27" s="292"/>
    </row>
    <row r="28" spans="1:5">
      <c r="A28" s="289"/>
      <c r="B28" s="290"/>
      <c r="C28" s="290"/>
      <c r="D28" s="291"/>
      <c r="E28" s="292"/>
    </row>
    <row r="29" spans="1:5">
      <c r="A29" s="289"/>
      <c r="B29" s="290"/>
      <c r="C29" s="290"/>
      <c r="D29" s="291"/>
      <c r="E29" s="292"/>
    </row>
    <row r="30" spans="1:5">
      <c r="A30" s="289"/>
      <c r="B30" s="290"/>
      <c r="C30" s="290"/>
      <c r="D30" s="291"/>
      <c r="E30" s="292"/>
    </row>
    <row r="31" spans="1:5">
      <c r="A31" s="289"/>
      <c r="B31" s="290"/>
      <c r="C31" s="290"/>
      <c r="D31" s="291"/>
      <c r="E31" s="292"/>
    </row>
    <row r="32" spans="1:5">
      <c r="A32" s="289"/>
      <c r="B32" s="290"/>
      <c r="C32" s="290"/>
      <c r="D32" s="291"/>
      <c r="E32" s="292"/>
    </row>
    <row r="33" spans="1:5">
      <c r="A33" s="289"/>
      <c r="B33" s="290"/>
      <c r="C33" s="290"/>
      <c r="D33" s="291"/>
      <c r="E33" s="292"/>
    </row>
    <row r="34" spans="1:5">
      <c r="A34" s="289"/>
      <c r="B34" s="290"/>
      <c r="C34" s="290"/>
      <c r="D34" s="291"/>
      <c r="E34" s="292"/>
    </row>
    <row r="35" spans="1:5">
      <c r="A35" s="289"/>
      <c r="B35" s="290"/>
      <c r="C35" s="290"/>
      <c r="D35" s="291"/>
      <c r="E35" s="292"/>
    </row>
    <row r="36" spans="1:5">
      <c r="A36" s="289"/>
      <c r="B36" s="290"/>
      <c r="C36" s="290"/>
      <c r="D36" s="291"/>
      <c r="E36" s="292"/>
    </row>
    <row r="37" spans="1:5">
      <c r="A37" s="289"/>
      <c r="B37" s="290"/>
      <c r="C37" s="290"/>
      <c r="D37" s="291"/>
      <c r="E37" s="292"/>
    </row>
    <row r="38" spans="1:5">
      <c r="A38" s="289"/>
      <c r="B38" s="290"/>
      <c r="C38" s="290"/>
      <c r="D38" s="291"/>
      <c r="E38" s="292"/>
    </row>
    <row r="39" spans="1:5">
      <c r="A39" s="289"/>
      <c r="B39" s="290"/>
      <c r="C39" s="290"/>
      <c r="D39" s="291"/>
      <c r="E39" s="292"/>
    </row>
    <row r="40" spans="1:5">
      <c r="A40" s="289"/>
      <c r="B40" s="290"/>
      <c r="C40" s="290"/>
      <c r="D40" s="291"/>
      <c r="E40" s="292"/>
    </row>
    <row r="41" spans="1:5">
      <c r="A41" s="289"/>
      <c r="B41" s="290"/>
      <c r="C41" s="290"/>
      <c r="D41" s="291"/>
      <c r="E41" s="292"/>
    </row>
    <row r="42" spans="1:5">
      <c r="A42" s="289"/>
      <c r="B42" s="290"/>
      <c r="C42" s="290"/>
      <c r="D42" s="291"/>
      <c r="E42" s="292"/>
    </row>
    <row r="43" spans="1:5">
      <c r="A43" s="289"/>
      <c r="B43" s="290"/>
      <c r="C43" s="290"/>
      <c r="D43" s="291"/>
      <c r="E43" s="292"/>
    </row>
    <row r="44" spans="1:5">
      <c r="A44" s="289"/>
      <c r="B44" s="290"/>
      <c r="C44" s="290"/>
      <c r="D44" s="291"/>
      <c r="E44" s="292"/>
    </row>
    <row r="45" spans="1:5">
      <c r="A45" s="289"/>
      <c r="B45" s="290"/>
      <c r="C45" s="290"/>
      <c r="D45" s="291"/>
      <c r="E45" s="292"/>
    </row>
    <row r="46" spans="1:5">
      <c r="A46" s="289"/>
      <c r="B46" s="290"/>
      <c r="C46" s="290"/>
      <c r="D46" s="291"/>
      <c r="E46" s="292"/>
    </row>
    <row r="47" spans="1:5">
      <c r="A47" s="289"/>
      <c r="B47" s="290"/>
      <c r="C47" s="290"/>
      <c r="D47" s="291"/>
      <c r="E47" s="292"/>
    </row>
    <row r="48" spans="1:5">
      <c r="A48" s="289"/>
      <c r="B48" s="290"/>
      <c r="C48" s="290"/>
      <c r="D48" s="291"/>
      <c r="E48" s="292"/>
    </row>
    <row r="49" spans="1:5">
      <c r="A49" s="289"/>
      <c r="B49" s="290"/>
      <c r="C49" s="290"/>
      <c r="D49" s="291"/>
      <c r="E49" s="292"/>
    </row>
    <row r="50" spans="1:5">
      <c r="A50" s="289"/>
      <c r="B50" s="290"/>
      <c r="C50" s="290"/>
      <c r="D50" s="291"/>
      <c r="E50" s="292"/>
    </row>
    <row r="51" spans="1:5">
      <c r="A51" s="289"/>
      <c r="B51" s="290"/>
      <c r="C51" s="290"/>
      <c r="D51" s="291"/>
      <c r="E51" s="292"/>
    </row>
    <row r="52" spans="1:5">
      <c r="A52" s="289"/>
      <c r="B52" s="290"/>
      <c r="C52" s="290"/>
      <c r="D52" s="291"/>
      <c r="E52" s="292"/>
    </row>
    <row r="53" spans="1:5">
      <c r="A53" s="289"/>
      <c r="B53" s="290"/>
      <c r="C53" s="290"/>
      <c r="D53" s="291"/>
      <c r="E53" s="292"/>
    </row>
    <row r="54" spans="1:5">
      <c r="A54" s="289"/>
      <c r="B54" s="290"/>
      <c r="C54" s="290"/>
      <c r="D54" s="291"/>
      <c r="E54" s="292"/>
    </row>
    <row r="55" spans="1:5">
      <c r="A55" s="289"/>
      <c r="B55" s="290"/>
      <c r="C55" s="290"/>
      <c r="D55" s="291"/>
      <c r="E55" s="292"/>
    </row>
    <row r="56" spans="1:5">
      <c r="A56" s="289"/>
      <c r="B56" s="290"/>
      <c r="C56" s="290"/>
      <c r="D56" s="291"/>
      <c r="E56" s="292"/>
    </row>
    <row r="57" spans="1:5">
      <c r="A57" s="289"/>
      <c r="B57" s="290"/>
      <c r="C57" s="290"/>
      <c r="D57" s="291"/>
      <c r="E57" s="292"/>
    </row>
    <row r="58" spans="1:5">
      <c r="A58" s="289"/>
      <c r="B58" s="290"/>
      <c r="C58" s="290"/>
      <c r="D58" s="291"/>
      <c r="E58" s="292"/>
    </row>
    <row r="59" spans="1:5">
      <c r="A59" s="289"/>
      <c r="B59" s="290"/>
      <c r="C59" s="290"/>
      <c r="D59" s="291"/>
      <c r="E59" s="292"/>
    </row>
    <row r="60" spans="1:5">
      <c r="A60" s="289"/>
      <c r="B60" s="290"/>
      <c r="C60" s="290"/>
      <c r="D60" s="291"/>
      <c r="E60" s="292"/>
    </row>
    <row r="61" spans="1:5">
      <c r="A61" s="289"/>
      <c r="B61" s="290"/>
      <c r="C61" s="290"/>
      <c r="D61" s="291"/>
      <c r="E61" s="292"/>
    </row>
    <row r="62" spans="1:5">
      <c r="A62" s="289"/>
      <c r="B62" s="290"/>
      <c r="C62" s="290"/>
      <c r="D62" s="291"/>
      <c r="E62" s="292"/>
    </row>
    <row r="63" spans="1:5">
      <c r="A63" s="289"/>
      <c r="B63" s="290"/>
      <c r="C63" s="290"/>
      <c r="D63" s="291"/>
      <c r="E63" s="292"/>
    </row>
    <row r="64" spans="1:5">
      <c r="A64" s="289"/>
      <c r="B64" s="290"/>
      <c r="C64" s="290"/>
      <c r="D64" s="291"/>
      <c r="E64" s="292"/>
    </row>
    <row r="65" spans="1:5">
      <c r="A65" s="289"/>
      <c r="B65" s="290"/>
      <c r="C65" s="290"/>
      <c r="D65" s="291"/>
      <c r="E65" s="292"/>
    </row>
    <row r="66" spans="1:5">
      <c r="A66" s="289"/>
      <c r="B66" s="290"/>
      <c r="C66" s="290"/>
      <c r="D66" s="291"/>
      <c r="E66" s="292"/>
    </row>
    <row r="67" spans="1:5">
      <c r="A67" s="289"/>
      <c r="B67" s="290"/>
      <c r="C67" s="290"/>
      <c r="D67" s="291"/>
      <c r="E67" s="292"/>
    </row>
    <row r="68" spans="1:5">
      <c r="A68" s="289"/>
      <c r="B68" s="290"/>
      <c r="C68" s="290"/>
      <c r="D68" s="291"/>
      <c r="E68" s="292"/>
    </row>
    <row r="69" spans="1:5">
      <c r="A69" s="289"/>
      <c r="B69" s="290"/>
      <c r="C69" s="290"/>
      <c r="D69" s="291"/>
      <c r="E69" s="292"/>
    </row>
    <row r="70" spans="1:5">
      <c r="A70" s="289"/>
      <c r="B70" s="290"/>
      <c r="C70" s="290"/>
      <c r="D70" s="291"/>
      <c r="E70" s="292"/>
    </row>
    <row r="71" spans="1:5">
      <c r="A71" s="289"/>
      <c r="B71" s="290"/>
      <c r="C71" s="290"/>
      <c r="D71" s="291"/>
      <c r="E71" s="292"/>
    </row>
    <row r="72" spans="1:5">
      <c r="A72" s="289"/>
      <c r="B72" s="290"/>
      <c r="C72" s="290"/>
      <c r="D72" s="291"/>
      <c r="E72" s="292"/>
    </row>
    <row r="73" spans="1:5">
      <c r="A73" s="289"/>
      <c r="B73" s="290"/>
      <c r="C73" s="290"/>
      <c r="D73" s="291"/>
      <c r="E73" s="292"/>
    </row>
    <row r="74" spans="1:5">
      <c r="A74" s="289"/>
      <c r="B74" s="290"/>
      <c r="C74" s="290"/>
      <c r="D74" s="291"/>
      <c r="E74" s="292"/>
    </row>
    <row r="75" spans="1:5">
      <c r="A75" s="289"/>
      <c r="B75" s="290"/>
      <c r="C75" s="290"/>
      <c r="D75" s="291"/>
      <c r="E75" s="292"/>
    </row>
    <row r="76" spans="1:5">
      <c r="A76" s="289"/>
      <c r="B76" s="290"/>
      <c r="C76" s="290"/>
      <c r="D76" s="291"/>
      <c r="E76" s="292"/>
    </row>
    <row r="77" spans="1:5">
      <c r="A77" s="289"/>
      <c r="B77" s="290"/>
      <c r="C77" s="290"/>
      <c r="D77" s="291"/>
      <c r="E77" s="292"/>
    </row>
    <row r="78" spans="1:5">
      <c r="A78" s="289"/>
      <c r="B78" s="290"/>
      <c r="C78" s="290"/>
      <c r="D78" s="291"/>
      <c r="E78" s="292"/>
    </row>
    <row r="79" spans="1:5">
      <c r="A79" s="289"/>
      <c r="B79" s="290"/>
      <c r="C79" s="290"/>
      <c r="D79" s="291"/>
      <c r="E79" s="292"/>
    </row>
    <row r="80" spans="1:5">
      <c r="A80" s="289"/>
      <c r="B80" s="290"/>
      <c r="C80" s="290"/>
      <c r="D80" s="291"/>
      <c r="E80" s="292"/>
    </row>
    <row r="81" spans="1:5">
      <c r="A81" s="289"/>
      <c r="B81" s="290"/>
      <c r="C81" s="290"/>
      <c r="D81" s="291"/>
      <c r="E81" s="292"/>
    </row>
    <row r="82" spans="1:5">
      <c r="A82" s="289"/>
      <c r="B82" s="290"/>
      <c r="C82" s="290"/>
      <c r="D82" s="291"/>
      <c r="E82" s="292"/>
    </row>
    <row r="83" spans="1:5">
      <c r="A83" s="289"/>
      <c r="B83" s="290"/>
      <c r="C83" s="290"/>
      <c r="D83" s="291"/>
      <c r="E83" s="292"/>
    </row>
    <row r="84" spans="1:5">
      <c r="A84" s="289"/>
      <c r="B84" s="290"/>
      <c r="C84" s="290"/>
      <c r="D84" s="291"/>
      <c r="E84" s="292"/>
    </row>
    <row r="85" spans="1:5">
      <c r="A85" s="289"/>
      <c r="B85" s="290"/>
      <c r="C85" s="290"/>
      <c r="D85" s="291"/>
      <c r="E85" s="292"/>
    </row>
    <row r="86" spans="1:5">
      <c r="A86" s="289"/>
      <c r="B86" s="290"/>
      <c r="C86" s="290"/>
      <c r="D86" s="291"/>
      <c r="E86" s="292"/>
    </row>
    <row r="87" spans="1:5">
      <c r="A87" s="289"/>
      <c r="B87" s="290"/>
      <c r="C87" s="290"/>
      <c r="D87" s="291"/>
      <c r="E87" s="292"/>
    </row>
    <row r="88" spans="1:5">
      <c r="A88" s="289"/>
      <c r="B88" s="290"/>
      <c r="C88" s="290"/>
      <c r="D88" s="291"/>
      <c r="E88" s="292"/>
    </row>
    <row r="89" spans="1:5">
      <c r="A89" s="289"/>
      <c r="B89" s="290"/>
      <c r="C89" s="290"/>
      <c r="D89" s="291"/>
      <c r="E89" s="292"/>
    </row>
    <row r="90" spans="1:5">
      <c r="A90" s="289"/>
      <c r="B90" s="290"/>
      <c r="C90" s="290"/>
      <c r="D90" s="291"/>
      <c r="E90" s="292"/>
    </row>
    <row r="91" spans="1:5">
      <c r="A91" s="289"/>
      <c r="B91" s="290"/>
      <c r="C91" s="290"/>
      <c r="D91" s="291"/>
      <c r="E91" s="292"/>
    </row>
    <row r="92" spans="1:5">
      <c r="A92" s="289"/>
      <c r="B92" s="290"/>
      <c r="C92" s="290"/>
      <c r="D92" s="291"/>
      <c r="E92" s="292"/>
    </row>
    <row r="93" spans="1:5">
      <c r="A93" s="289"/>
      <c r="B93" s="290"/>
      <c r="C93" s="290"/>
      <c r="D93" s="291"/>
      <c r="E93" s="292"/>
    </row>
    <row r="94" spans="1:5">
      <c r="A94" s="289"/>
      <c r="B94" s="290"/>
      <c r="C94" s="290"/>
      <c r="D94" s="291"/>
      <c r="E94" s="292"/>
    </row>
    <row r="95" spans="1:5">
      <c r="A95" s="289"/>
      <c r="B95" s="290"/>
      <c r="C95" s="290"/>
      <c r="D95" s="291"/>
      <c r="E95" s="292"/>
    </row>
    <row r="96" spans="1:5">
      <c r="A96" s="289"/>
      <c r="B96" s="290"/>
      <c r="C96" s="290"/>
      <c r="D96" s="291"/>
      <c r="E96" s="292"/>
    </row>
    <row r="97" spans="1:5">
      <c r="A97" s="289"/>
      <c r="B97" s="290"/>
      <c r="C97" s="290"/>
      <c r="D97" s="291"/>
      <c r="E97" s="292"/>
    </row>
    <row r="98" spans="1:5">
      <c r="A98" s="289"/>
      <c r="B98" s="290"/>
      <c r="C98" s="290"/>
      <c r="D98" s="291"/>
      <c r="E98" s="292"/>
    </row>
    <row r="99" spans="1:5">
      <c r="A99" s="289"/>
      <c r="B99" s="290"/>
      <c r="C99" s="290"/>
      <c r="D99" s="291"/>
      <c r="E99" s="292"/>
    </row>
    <row r="100" spans="1:5">
      <c r="A100" s="289"/>
      <c r="B100" s="290"/>
      <c r="C100" s="290"/>
      <c r="D100" s="291"/>
      <c r="E100" s="292"/>
    </row>
    <row r="101" spans="1:5">
      <c r="A101" s="289"/>
      <c r="B101" s="290"/>
      <c r="C101" s="290"/>
      <c r="D101" s="291"/>
      <c r="E101" s="292"/>
    </row>
    <row r="102" spans="1:5">
      <c r="A102" s="289"/>
      <c r="B102" s="290"/>
      <c r="C102" s="290"/>
      <c r="D102" s="291"/>
      <c r="E102" s="292"/>
    </row>
    <row r="103" spans="1:5">
      <c r="A103" s="289"/>
      <c r="B103" s="290"/>
      <c r="C103" s="290"/>
      <c r="D103" s="291"/>
      <c r="E103" s="292"/>
    </row>
    <row r="104" spans="1:5">
      <c r="A104" s="289"/>
      <c r="B104" s="290"/>
      <c r="C104" s="290"/>
      <c r="D104" s="291"/>
      <c r="E104" s="292"/>
    </row>
    <row r="105" spans="1:5">
      <c r="A105" s="289"/>
      <c r="B105" s="290"/>
      <c r="C105" s="290"/>
      <c r="D105" s="291"/>
      <c r="E105" s="292"/>
    </row>
    <row r="106" spans="1:5">
      <c r="A106" s="289"/>
      <c r="B106" s="290"/>
      <c r="C106" s="290"/>
      <c r="D106" s="291"/>
      <c r="E106" s="292"/>
    </row>
    <row r="107" spans="1:5">
      <c r="A107" s="289"/>
      <c r="B107" s="290"/>
      <c r="C107" s="290"/>
      <c r="D107" s="291"/>
      <c r="E107" s="292"/>
    </row>
    <row r="108" spans="1:5">
      <c r="A108" s="289"/>
      <c r="B108" s="290"/>
      <c r="C108" s="290"/>
      <c r="D108" s="291"/>
      <c r="E108" s="292"/>
    </row>
    <row r="109" spans="1:5">
      <c r="A109" s="289"/>
      <c r="B109" s="290"/>
      <c r="C109" s="290"/>
      <c r="D109" s="291"/>
      <c r="E109" s="292"/>
    </row>
    <row r="110" spans="1:5">
      <c r="A110" s="289"/>
      <c r="B110" s="290"/>
      <c r="C110" s="290"/>
      <c r="D110" s="291"/>
      <c r="E110" s="292"/>
    </row>
    <row r="111" spans="1:5">
      <c r="A111" s="289"/>
      <c r="B111" s="290"/>
      <c r="C111" s="290"/>
      <c r="D111" s="291"/>
      <c r="E111" s="292"/>
    </row>
    <row r="112" spans="1:5">
      <c r="A112" s="289"/>
      <c r="B112" s="290"/>
      <c r="C112" s="290"/>
      <c r="D112" s="291"/>
      <c r="E112" s="292"/>
    </row>
    <row r="113" spans="1:5">
      <c r="A113" s="289"/>
      <c r="B113" s="290"/>
      <c r="C113" s="290"/>
      <c r="D113" s="291"/>
      <c r="E113" s="292"/>
    </row>
    <row r="114" spans="1:5">
      <c r="A114" s="289"/>
      <c r="B114" s="290"/>
      <c r="C114" s="290"/>
      <c r="D114" s="291"/>
      <c r="E114" s="292"/>
    </row>
    <row r="115" spans="1:5">
      <c r="A115" s="289"/>
      <c r="B115" s="290"/>
      <c r="C115" s="290"/>
      <c r="D115" s="291"/>
      <c r="E115" s="292"/>
    </row>
    <row r="116" spans="1:5">
      <c r="A116" s="289"/>
      <c r="B116" s="290"/>
      <c r="C116" s="290"/>
      <c r="D116" s="291"/>
      <c r="E116" s="292"/>
    </row>
    <row r="117" spans="1:5">
      <c r="A117" s="289"/>
      <c r="B117" s="290"/>
      <c r="C117" s="290"/>
      <c r="D117" s="291"/>
      <c r="E117" s="292"/>
    </row>
    <row r="118" spans="1:5">
      <c r="A118" s="289"/>
      <c r="B118" s="290"/>
      <c r="C118" s="290"/>
      <c r="D118" s="291"/>
      <c r="E118" s="292"/>
    </row>
    <row r="119" spans="1:5">
      <c r="A119" s="289"/>
      <c r="B119" s="290"/>
      <c r="C119" s="290"/>
      <c r="D119" s="291"/>
      <c r="E119" s="292"/>
    </row>
    <row r="120" spans="1:5">
      <c r="A120" s="289"/>
      <c r="B120" s="290"/>
      <c r="C120" s="290"/>
      <c r="D120" s="291"/>
      <c r="E120" s="292"/>
    </row>
    <row r="121" spans="1:5">
      <c r="A121" s="289"/>
      <c r="B121" s="290"/>
      <c r="C121" s="290"/>
      <c r="D121" s="291"/>
      <c r="E121" s="292"/>
    </row>
    <row r="122" spans="1:5">
      <c r="A122" s="289"/>
      <c r="B122" s="290"/>
      <c r="C122" s="290"/>
      <c r="D122" s="291"/>
      <c r="E122" s="292"/>
    </row>
    <row r="123" spans="1:5">
      <c r="A123" s="289"/>
      <c r="B123" s="290"/>
      <c r="C123" s="290"/>
      <c r="D123" s="291"/>
      <c r="E123" s="292"/>
    </row>
    <row r="124" spans="1:5">
      <c r="A124" s="289"/>
      <c r="B124" s="290"/>
      <c r="C124" s="290"/>
      <c r="D124" s="291"/>
      <c r="E124" s="292"/>
    </row>
    <row r="125" spans="1:5">
      <c r="A125" s="289"/>
      <c r="B125" s="290"/>
      <c r="C125" s="290"/>
      <c r="D125" s="291"/>
      <c r="E125" s="292"/>
    </row>
    <row r="126" spans="1:5">
      <c r="A126" s="289"/>
      <c r="B126" s="290"/>
      <c r="C126" s="290"/>
      <c r="D126" s="291"/>
      <c r="E126" s="292"/>
    </row>
    <row r="127" spans="1:5">
      <c r="A127" s="289"/>
      <c r="B127" s="290"/>
      <c r="C127" s="290"/>
      <c r="D127" s="291"/>
      <c r="E127" s="292"/>
    </row>
    <row r="128" spans="1:5">
      <c r="A128" s="289"/>
      <c r="B128" s="290"/>
      <c r="C128" s="290"/>
      <c r="D128" s="291"/>
      <c r="E128" s="292"/>
    </row>
    <row r="129" spans="1:5">
      <c r="A129" s="289"/>
      <c r="B129" s="290"/>
      <c r="C129" s="290"/>
      <c r="D129" s="291"/>
      <c r="E129" s="292"/>
    </row>
    <row r="130" spans="1:5">
      <c r="A130" s="289"/>
      <c r="B130" s="290"/>
      <c r="C130" s="290"/>
      <c r="D130" s="291"/>
      <c r="E130" s="292"/>
    </row>
    <row r="131" spans="1:5">
      <c r="A131" s="289"/>
      <c r="B131" s="290"/>
      <c r="C131" s="290"/>
      <c r="D131" s="291"/>
      <c r="E131" s="292"/>
    </row>
    <row r="132" spans="1:5">
      <c r="A132" s="289"/>
      <c r="B132" s="290"/>
      <c r="C132" s="290"/>
      <c r="D132" s="291"/>
      <c r="E132" s="292"/>
    </row>
    <row r="133" spans="1:5">
      <c r="A133" s="289"/>
      <c r="B133" s="290"/>
      <c r="C133" s="290"/>
      <c r="D133" s="291"/>
      <c r="E133" s="292"/>
    </row>
    <row r="134" spans="1:5">
      <c r="A134" s="289"/>
      <c r="B134" s="290"/>
      <c r="C134" s="290"/>
      <c r="D134" s="291"/>
      <c r="E134" s="292"/>
    </row>
    <row r="135" spans="1:5">
      <c r="A135" s="289"/>
      <c r="B135" s="290"/>
      <c r="C135" s="290"/>
      <c r="D135" s="291"/>
      <c r="E135" s="292"/>
    </row>
    <row r="136" spans="1:5">
      <c r="A136" s="289"/>
      <c r="B136" s="290"/>
      <c r="C136" s="290"/>
      <c r="D136" s="291"/>
      <c r="E136" s="292"/>
    </row>
    <row r="137" spans="1:5">
      <c r="A137" s="289"/>
      <c r="B137" s="290"/>
      <c r="C137" s="290"/>
      <c r="D137" s="291"/>
      <c r="E137" s="292"/>
    </row>
    <row r="138" spans="1:5">
      <c r="A138" s="289"/>
      <c r="B138" s="290"/>
      <c r="C138" s="290"/>
      <c r="D138" s="291"/>
      <c r="E138" s="292"/>
    </row>
    <row r="139" spans="1:5">
      <c r="A139" s="289"/>
      <c r="B139" s="290"/>
      <c r="C139" s="290"/>
      <c r="D139" s="291"/>
      <c r="E139" s="292"/>
    </row>
    <row r="140" spans="1:5">
      <c r="A140" s="289"/>
      <c r="B140" s="290"/>
      <c r="C140" s="290"/>
      <c r="D140" s="291"/>
      <c r="E140" s="292"/>
    </row>
    <row r="141" spans="1:5">
      <c r="A141" s="289"/>
      <c r="B141" s="290"/>
      <c r="C141" s="290"/>
      <c r="D141" s="291"/>
      <c r="E141" s="292"/>
    </row>
    <row r="142" spans="1:5">
      <c r="A142" s="289"/>
      <c r="B142" s="290"/>
      <c r="C142" s="290"/>
      <c r="D142" s="291"/>
      <c r="E142" s="292"/>
    </row>
    <row r="143" spans="1:5">
      <c r="A143" s="289"/>
      <c r="B143" s="290"/>
      <c r="C143" s="290"/>
      <c r="D143" s="291"/>
      <c r="E143" s="292"/>
    </row>
    <row r="144" spans="1:5">
      <c r="A144" s="289"/>
      <c r="B144" s="290"/>
      <c r="C144" s="290"/>
      <c r="D144" s="291"/>
      <c r="E144" s="292"/>
    </row>
    <row r="145" spans="1:5">
      <c r="A145" s="289"/>
      <c r="B145" s="290"/>
      <c r="C145" s="290"/>
      <c r="D145" s="291"/>
      <c r="E145" s="292"/>
    </row>
    <row r="146" spans="1:5">
      <c r="A146" s="289"/>
      <c r="B146" s="290"/>
      <c r="C146" s="290"/>
      <c r="D146" s="291"/>
      <c r="E146" s="292"/>
    </row>
    <row r="147" spans="1:5">
      <c r="A147" s="289"/>
      <c r="B147" s="290"/>
      <c r="C147" s="290"/>
      <c r="D147" s="291"/>
      <c r="E147" s="292"/>
    </row>
    <row r="148" spans="1:5">
      <c r="A148" s="289"/>
      <c r="B148" s="290"/>
      <c r="C148" s="290"/>
      <c r="D148" s="291"/>
      <c r="E148" s="292"/>
    </row>
    <row r="149" spans="1:5">
      <c r="A149" s="289"/>
      <c r="B149" s="290"/>
      <c r="C149" s="290"/>
      <c r="D149" s="291"/>
      <c r="E149" s="292"/>
    </row>
    <row r="150" spans="1:5">
      <c r="A150" s="289"/>
      <c r="B150" s="290"/>
      <c r="C150" s="290"/>
      <c r="D150" s="291"/>
      <c r="E150" s="292"/>
    </row>
    <row r="151" spans="1:5">
      <c r="A151" s="289"/>
      <c r="B151" s="290"/>
      <c r="C151" s="290"/>
      <c r="D151" s="291"/>
      <c r="E151" s="292"/>
    </row>
    <row r="152" spans="1:5">
      <c r="A152" s="289"/>
      <c r="B152" s="290"/>
      <c r="C152" s="290"/>
      <c r="D152" s="291"/>
      <c r="E152" s="292"/>
    </row>
    <row r="153" spans="1:5">
      <c r="A153" s="289"/>
      <c r="B153" s="290"/>
      <c r="C153" s="290"/>
      <c r="D153" s="291"/>
      <c r="E153" s="292"/>
    </row>
    <row r="154" spans="1:5">
      <c r="A154" s="289"/>
      <c r="B154" s="290"/>
      <c r="C154" s="290"/>
      <c r="D154" s="291"/>
      <c r="E154" s="292"/>
    </row>
    <row r="155" spans="1:5">
      <c r="A155" s="289"/>
      <c r="B155" s="290"/>
      <c r="C155" s="290"/>
      <c r="D155" s="291"/>
      <c r="E155" s="292"/>
    </row>
    <row r="156" spans="1:5">
      <c r="A156" s="289"/>
      <c r="B156" s="290"/>
      <c r="C156" s="290"/>
      <c r="D156" s="291"/>
      <c r="E156" s="292"/>
    </row>
    <row r="157" spans="1:5">
      <c r="A157" s="289"/>
      <c r="B157" s="290"/>
      <c r="C157" s="290"/>
      <c r="D157" s="291"/>
      <c r="E157" s="292"/>
    </row>
    <row r="158" spans="1:5">
      <c r="A158" s="289"/>
      <c r="B158" s="290"/>
      <c r="C158" s="290"/>
      <c r="D158" s="291"/>
      <c r="E158" s="292"/>
    </row>
    <row r="159" spans="1:5">
      <c r="A159" s="289"/>
      <c r="B159" s="290"/>
      <c r="C159" s="290"/>
      <c r="D159" s="291"/>
      <c r="E159" s="292"/>
    </row>
    <row r="160" spans="1:5">
      <c r="A160" s="289"/>
      <c r="B160" s="290"/>
      <c r="C160" s="290"/>
      <c r="D160" s="291"/>
      <c r="E160" s="292"/>
    </row>
    <row r="161" spans="1:5">
      <c r="A161" s="289"/>
      <c r="B161" s="290"/>
      <c r="C161" s="290"/>
      <c r="D161" s="291"/>
      <c r="E161" s="292"/>
    </row>
    <row r="162" spans="1:5">
      <c r="A162" s="289"/>
      <c r="B162" s="290"/>
      <c r="C162" s="290"/>
      <c r="D162" s="291"/>
      <c r="E162" s="292"/>
    </row>
    <row r="163" spans="1:5">
      <c r="A163" s="289"/>
      <c r="B163" s="290"/>
      <c r="C163" s="290"/>
      <c r="D163" s="291"/>
      <c r="E163" s="292"/>
    </row>
    <row r="164" spans="1:5">
      <c r="A164" s="289"/>
      <c r="B164" s="290"/>
      <c r="C164" s="290"/>
      <c r="D164" s="291"/>
      <c r="E164" s="292"/>
    </row>
    <row r="165" spans="1:5">
      <c r="A165" s="289"/>
      <c r="B165" s="290"/>
      <c r="C165" s="290"/>
      <c r="D165" s="291"/>
      <c r="E165" s="292"/>
    </row>
    <row r="166" spans="1:5">
      <c r="A166" s="289"/>
      <c r="B166" s="290"/>
      <c r="C166" s="290"/>
      <c r="D166" s="291"/>
      <c r="E166" s="292"/>
    </row>
    <row r="167" spans="1:5">
      <c r="A167" s="289"/>
      <c r="B167" s="290"/>
      <c r="C167" s="290"/>
      <c r="D167" s="291"/>
      <c r="E167" s="292"/>
    </row>
    <row r="168" spans="1:5">
      <c r="A168" s="289"/>
      <c r="B168" s="290"/>
      <c r="C168" s="290"/>
      <c r="D168" s="291"/>
      <c r="E168" s="292"/>
    </row>
    <row r="169" spans="1:5">
      <c r="A169" s="289"/>
      <c r="B169" s="290"/>
      <c r="C169" s="290"/>
      <c r="D169" s="291"/>
      <c r="E169" s="292"/>
    </row>
    <row r="170" spans="1:5">
      <c r="A170" s="289"/>
      <c r="B170" s="290"/>
      <c r="C170" s="290"/>
      <c r="D170" s="291"/>
      <c r="E170" s="292"/>
    </row>
    <row r="171" spans="1:5">
      <c r="A171" s="289"/>
      <c r="B171" s="290"/>
      <c r="C171" s="290"/>
      <c r="D171" s="291"/>
      <c r="E171" s="292"/>
    </row>
    <row r="172" spans="1:5">
      <c r="A172" s="289"/>
      <c r="B172" s="290"/>
      <c r="C172" s="290"/>
      <c r="D172" s="291"/>
      <c r="E172" s="292"/>
    </row>
    <row r="173" spans="1:5">
      <c r="A173" s="289"/>
      <c r="B173" s="290"/>
      <c r="C173" s="290"/>
      <c r="D173" s="291"/>
      <c r="E173" s="292"/>
    </row>
    <row r="174" spans="1:5">
      <c r="A174" s="289"/>
      <c r="B174" s="290"/>
      <c r="C174" s="290"/>
      <c r="D174" s="291"/>
      <c r="E174" s="292"/>
    </row>
    <row r="175" spans="1:5">
      <c r="A175" s="289"/>
      <c r="B175" s="290"/>
      <c r="C175" s="290"/>
      <c r="D175" s="291"/>
      <c r="E175" s="292"/>
    </row>
    <row r="176" spans="1:5">
      <c r="A176" s="289"/>
      <c r="B176" s="290"/>
      <c r="C176" s="290"/>
      <c r="D176" s="291"/>
      <c r="E176" s="292"/>
    </row>
    <row r="177" spans="1:5">
      <c r="A177" s="289"/>
      <c r="B177" s="290"/>
      <c r="C177" s="290"/>
      <c r="D177" s="291"/>
      <c r="E177" s="292"/>
    </row>
    <row r="178" spans="1:5">
      <c r="A178" s="289"/>
      <c r="B178" s="290"/>
      <c r="C178" s="290"/>
      <c r="D178" s="291"/>
      <c r="E178" s="292"/>
    </row>
    <row r="179" spans="1:5">
      <c r="A179" s="289"/>
      <c r="B179" s="290"/>
      <c r="C179" s="290"/>
      <c r="D179" s="291"/>
      <c r="E179" s="292"/>
    </row>
    <row r="180" spans="1:5">
      <c r="A180" s="289"/>
      <c r="B180" s="290"/>
      <c r="C180" s="290"/>
      <c r="D180" s="291"/>
      <c r="E180" s="292"/>
    </row>
    <row r="181" spans="1:5">
      <c r="A181" s="289"/>
      <c r="B181" s="290"/>
      <c r="C181" s="290"/>
      <c r="D181" s="291"/>
      <c r="E181" s="292"/>
    </row>
    <row r="182" spans="1:5">
      <c r="A182" s="289"/>
      <c r="B182" s="290"/>
      <c r="C182" s="290"/>
      <c r="D182" s="291"/>
      <c r="E182" s="292"/>
    </row>
    <row r="183" spans="1:5">
      <c r="A183" s="289"/>
      <c r="B183" s="290"/>
      <c r="C183" s="290"/>
      <c r="D183" s="291"/>
      <c r="E183" s="292"/>
    </row>
    <row r="184" spans="1:5">
      <c r="A184" s="289"/>
      <c r="B184" s="290"/>
      <c r="C184" s="290"/>
      <c r="D184" s="291"/>
      <c r="E184" s="292"/>
    </row>
    <row r="185" spans="1:5">
      <c r="A185" s="289"/>
      <c r="B185" s="290"/>
      <c r="C185" s="290"/>
      <c r="D185" s="291"/>
      <c r="E185" s="292"/>
    </row>
    <row r="186" spans="1:5">
      <c r="A186" s="289"/>
      <c r="B186" s="290"/>
      <c r="C186" s="290"/>
      <c r="D186" s="291"/>
      <c r="E186" s="292"/>
    </row>
    <row r="187" spans="1:5">
      <c r="A187" s="289"/>
      <c r="B187" s="290"/>
      <c r="C187" s="290"/>
      <c r="D187" s="291"/>
      <c r="E187" s="292"/>
    </row>
    <row r="188" spans="1:5">
      <c r="A188" s="289"/>
      <c r="B188" s="290"/>
      <c r="C188" s="290"/>
      <c r="D188" s="291"/>
      <c r="E188" s="292"/>
    </row>
    <row r="189" spans="1:5">
      <c r="A189" s="289"/>
      <c r="B189" s="290"/>
      <c r="C189" s="290"/>
      <c r="D189" s="291"/>
      <c r="E189" s="292"/>
    </row>
    <row r="190" spans="1:5">
      <c r="A190" s="289"/>
      <c r="B190" s="290"/>
      <c r="C190" s="290"/>
      <c r="D190" s="291"/>
      <c r="E190" s="292"/>
    </row>
    <row r="191" spans="1:5">
      <c r="A191" s="289"/>
      <c r="B191" s="290"/>
      <c r="C191" s="290"/>
      <c r="D191" s="291"/>
      <c r="E191" s="292"/>
    </row>
    <row r="192" spans="1:5">
      <c r="A192" s="289"/>
      <c r="B192" s="290"/>
      <c r="C192" s="290"/>
      <c r="D192" s="291"/>
      <c r="E192" s="292"/>
    </row>
    <row r="193" spans="1:5">
      <c r="A193" s="289"/>
      <c r="B193" s="290"/>
      <c r="C193" s="290"/>
      <c r="D193" s="291"/>
      <c r="E193" s="292"/>
    </row>
    <row r="194" spans="1:5">
      <c r="A194" s="289"/>
      <c r="B194" s="290"/>
      <c r="C194" s="290"/>
      <c r="D194" s="291"/>
      <c r="E194" s="292"/>
    </row>
    <row r="195" spans="1:5">
      <c r="A195" s="289"/>
      <c r="B195" s="290"/>
      <c r="C195" s="290"/>
      <c r="D195" s="291"/>
      <c r="E195" s="292"/>
    </row>
    <row r="196" spans="1:5">
      <c r="A196" s="289"/>
      <c r="B196" s="290"/>
      <c r="C196" s="290"/>
      <c r="D196" s="291"/>
      <c r="E196" s="292"/>
    </row>
    <row r="197" spans="1:5">
      <c r="A197" s="289"/>
      <c r="B197" s="290"/>
      <c r="C197" s="290"/>
      <c r="D197" s="291"/>
      <c r="E197" s="292"/>
    </row>
    <row r="198" spans="1:5">
      <c r="A198" s="289"/>
      <c r="B198" s="290"/>
      <c r="C198" s="290"/>
      <c r="D198" s="291"/>
      <c r="E198" s="292"/>
    </row>
    <row r="199" spans="1:5">
      <c r="A199" s="289"/>
      <c r="B199" s="290"/>
      <c r="C199" s="290"/>
      <c r="D199" s="291"/>
      <c r="E199" s="292"/>
    </row>
    <row r="200" spans="1:5">
      <c r="A200" s="289"/>
      <c r="B200" s="290"/>
      <c r="C200" s="290"/>
      <c r="D200" s="291"/>
      <c r="E200" s="292"/>
    </row>
    <row r="201" spans="1:5">
      <c r="A201" s="289"/>
      <c r="B201" s="290"/>
      <c r="C201" s="290"/>
      <c r="D201" s="291"/>
      <c r="E201" s="292"/>
    </row>
    <row r="202" spans="1:5">
      <c r="A202" s="289"/>
      <c r="B202" s="290"/>
      <c r="C202" s="290"/>
      <c r="D202" s="291"/>
      <c r="E202" s="292"/>
    </row>
    <row r="203" spans="1:5">
      <c r="A203" s="289"/>
      <c r="B203" s="290"/>
      <c r="C203" s="290"/>
      <c r="D203" s="291"/>
      <c r="E203" s="292"/>
    </row>
    <row r="204" spans="1:5">
      <c r="A204" s="289"/>
      <c r="B204" s="290"/>
      <c r="C204" s="290"/>
      <c r="D204" s="291"/>
      <c r="E204" s="292"/>
    </row>
    <row r="205" spans="1:5">
      <c r="A205" s="289"/>
      <c r="B205" s="290"/>
      <c r="C205" s="290"/>
      <c r="D205" s="291"/>
      <c r="E205" s="292"/>
    </row>
    <row r="206" spans="1:5">
      <c r="A206" s="289"/>
      <c r="B206" s="290"/>
      <c r="C206" s="290"/>
      <c r="D206" s="291"/>
      <c r="E206" s="292"/>
    </row>
    <row r="207" spans="1:5">
      <c r="A207" s="289"/>
      <c r="B207" s="290"/>
      <c r="C207" s="290"/>
      <c r="D207" s="291"/>
      <c r="E207" s="292"/>
    </row>
    <row r="208" spans="1:5">
      <c r="A208" s="289"/>
      <c r="B208" s="290"/>
      <c r="C208" s="290"/>
      <c r="D208" s="291"/>
      <c r="E208" s="292"/>
    </row>
    <row r="209" spans="1:5">
      <c r="A209" s="289"/>
      <c r="B209" s="290"/>
      <c r="C209" s="290"/>
      <c r="D209" s="291"/>
      <c r="E209" s="292"/>
    </row>
    <row r="210" spans="1:5">
      <c r="A210" s="289"/>
      <c r="B210" s="290"/>
      <c r="C210" s="290"/>
      <c r="D210" s="291"/>
      <c r="E210" s="292"/>
    </row>
    <row r="211" spans="1:5">
      <c r="A211" s="289"/>
      <c r="B211" s="290"/>
      <c r="C211" s="290"/>
      <c r="D211" s="291"/>
      <c r="E211" s="292"/>
    </row>
    <row r="212" spans="1:5">
      <c r="A212" s="289"/>
      <c r="B212" s="290"/>
      <c r="C212" s="290"/>
      <c r="D212" s="291"/>
      <c r="E212" s="292"/>
    </row>
    <row r="213" spans="1:5">
      <c r="A213" s="289"/>
      <c r="B213" s="290"/>
      <c r="C213" s="290"/>
      <c r="D213" s="291"/>
      <c r="E213" s="292"/>
    </row>
    <row r="214" spans="1:5">
      <c r="A214" s="289"/>
      <c r="B214" s="290"/>
      <c r="C214" s="290"/>
      <c r="D214" s="291"/>
      <c r="E214" s="292"/>
    </row>
    <row r="215" spans="1:5">
      <c r="A215" s="289"/>
      <c r="B215" s="290"/>
      <c r="C215" s="290"/>
      <c r="D215" s="291"/>
      <c r="E215" s="292"/>
    </row>
    <row r="216" spans="1:5">
      <c r="A216" s="289"/>
      <c r="B216" s="290"/>
      <c r="C216" s="290"/>
      <c r="D216" s="291"/>
      <c r="E216" s="292"/>
    </row>
    <row r="217" spans="1:5">
      <c r="A217" s="289"/>
      <c r="B217" s="290"/>
      <c r="C217" s="290"/>
      <c r="D217" s="291"/>
      <c r="E217" s="292"/>
    </row>
    <row r="218" spans="1:5">
      <c r="A218" s="289"/>
      <c r="B218" s="290"/>
      <c r="C218" s="290"/>
      <c r="D218" s="291"/>
      <c r="E218" s="292"/>
    </row>
    <row r="219" spans="1:5">
      <c r="A219" s="289"/>
      <c r="B219" s="290"/>
      <c r="C219" s="290"/>
      <c r="D219" s="291"/>
      <c r="E219" s="292"/>
    </row>
    <row r="220" spans="1:5">
      <c r="A220" s="289"/>
      <c r="B220" s="290"/>
      <c r="C220" s="290"/>
      <c r="D220" s="291"/>
      <c r="E220" s="292"/>
    </row>
    <row r="221" spans="1:5">
      <c r="A221" s="289"/>
      <c r="B221" s="290"/>
      <c r="C221" s="290"/>
      <c r="D221" s="291"/>
      <c r="E221" s="292"/>
    </row>
    <row r="222" spans="1:5">
      <c r="A222" s="289"/>
      <c r="B222" s="290"/>
      <c r="C222" s="290"/>
      <c r="D222" s="291"/>
      <c r="E222" s="292"/>
    </row>
    <row r="223" spans="1:5">
      <c r="A223" s="289"/>
      <c r="B223" s="290"/>
      <c r="C223" s="290"/>
      <c r="D223" s="291"/>
      <c r="E223" s="292"/>
    </row>
    <row r="224" spans="1:5">
      <c r="A224" s="289"/>
      <c r="B224" s="290"/>
      <c r="C224" s="290"/>
      <c r="D224" s="291"/>
      <c r="E224" s="292"/>
    </row>
    <row r="225" spans="1:5">
      <c r="A225" s="289"/>
      <c r="B225" s="290"/>
      <c r="C225" s="290"/>
      <c r="D225" s="291"/>
      <c r="E225" s="292"/>
    </row>
    <row r="226" spans="1:5">
      <c r="A226" s="289"/>
      <c r="B226" s="290"/>
      <c r="C226" s="290"/>
      <c r="D226" s="291"/>
      <c r="E226" s="292"/>
    </row>
    <row r="227" spans="1:5">
      <c r="A227" s="289"/>
      <c r="B227" s="290"/>
      <c r="C227" s="290"/>
      <c r="D227" s="291"/>
      <c r="E227" s="292"/>
    </row>
    <row r="228" spans="1:5">
      <c r="A228" s="289"/>
      <c r="B228" s="290"/>
      <c r="C228" s="290"/>
      <c r="D228" s="291"/>
      <c r="E228" s="292"/>
    </row>
    <row r="229" spans="1:5">
      <c r="A229" s="289"/>
      <c r="B229" s="290"/>
      <c r="C229" s="290"/>
      <c r="D229" s="291"/>
      <c r="E229" s="292"/>
    </row>
    <row r="230" spans="1:5">
      <c r="A230" s="289"/>
      <c r="B230" s="290"/>
      <c r="C230" s="290"/>
      <c r="D230" s="291"/>
      <c r="E230" s="292"/>
    </row>
    <row r="231" spans="1:5">
      <c r="A231" s="289"/>
      <c r="B231" s="290"/>
      <c r="C231" s="290"/>
      <c r="D231" s="291"/>
      <c r="E231" s="292"/>
    </row>
    <row r="232" spans="1:5">
      <c r="A232" s="289"/>
      <c r="B232" s="290"/>
      <c r="C232" s="290"/>
      <c r="D232" s="291"/>
      <c r="E232" s="292"/>
    </row>
    <row r="233" spans="1:5">
      <c r="A233" s="289"/>
      <c r="B233" s="290"/>
      <c r="C233" s="290"/>
      <c r="D233" s="291"/>
      <c r="E233" s="292"/>
    </row>
    <row r="234" spans="1:5">
      <c r="A234" s="289"/>
      <c r="B234" s="290"/>
      <c r="C234" s="290"/>
      <c r="D234" s="291"/>
      <c r="E234" s="292"/>
    </row>
    <row r="235" spans="1:5">
      <c r="A235" s="289"/>
      <c r="B235" s="290"/>
      <c r="C235" s="290"/>
      <c r="D235" s="291"/>
      <c r="E235" s="292"/>
    </row>
    <row r="236" spans="1:5">
      <c r="A236" s="289"/>
      <c r="B236" s="290"/>
      <c r="C236" s="290"/>
      <c r="D236" s="291"/>
      <c r="E236" s="292"/>
    </row>
    <row r="237" spans="1:5">
      <c r="A237" s="289"/>
      <c r="B237" s="290"/>
      <c r="C237" s="290"/>
      <c r="D237" s="291"/>
      <c r="E237" s="292"/>
    </row>
    <row r="238" spans="1:5">
      <c r="A238" s="289"/>
      <c r="B238" s="290"/>
      <c r="C238" s="290"/>
      <c r="D238" s="291"/>
      <c r="E238" s="292"/>
    </row>
    <row r="239" spans="1:5">
      <c r="A239" s="289"/>
      <c r="B239" s="290"/>
      <c r="C239" s="290"/>
      <c r="D239" s="291"/>
      <c r="E239" s="292"/>
    </row>
    <row r="240" spans="1:5">
      <c r="A240" s="289"/>
      <c r="B240" s="290"/>
      <c r="C240" s="290"/>
      <c r="D240" s="291"/>
      <c r="E240" s="292"/>
    </row>
    <row r="241" spans="1:5">
      <c r="A241" s="289"/>
      <c r="B241" s="290"/>
      <c r="C241" s="290"/>
      <c r="D241" s="291"/>
      <c r="E241" s="292"/>
    </row>
    <row r="242" spans="1:5">
      <c r="A242" s="289"/>
      <c r="B242" s="290"/>
      <c r="C242" s="290"/>
      <c r="D242" s="291"/>
      <c r="E242" s="292"/>
    </row>
    <row r="243" spans="1:5">
      <c r="A243" s="289"/>
      <c r="B243" s="290"/>
      <c r="C243" s="290"/>
      <c r="D243" s="291"/>
      <c r="E243" s="292"/>
    </row>
    <row r="244" spans="1:5">
      <c r="A244" s="289"/>
      <c r="B244" s="290"/>
      <c r="C244" s="290"/>
      <c r="D244" s="291"/>
      <c r="E244" s="292"/>
    </row>
    <row r="245" spans="1:5">
      <c r="A245" s="289"/>
      <c r="B245" s="290"/>
      <c r="C245" s="290"/>
      <c r="D245" s="291"/>
      <c r="E245" s="292"/>
    </row>
    <row r="246" spans="1:5">
      <c r="A246" s="289"/>
      <c r="B246" s="290"/>
      <c r="C246" s="290"/>
      <c r="D246" s="291"/>
      <c r="E246" s="292"/>
    </row>
    <row r="247" spans="1:5">
      <c r="A247" s="289"/>
      <c r="B247" s="290"/>
      <c r="C247" s="290"/>
      <c r="D247" s="291"/>
      <c r="E247" s="292"/>
    </row>
    <row r="248" spans="1:5">
      <c r="A248" s="289"/>
      <c r="B248" s="290"/>
      <c r="C248" s="290"/>
      <c r="D248" s="291"/>
      <c r="E248" s="292"/>
    </row>
    <row r="249" spans="1:5">
      <c r="A249" s="289"/>
      <c r="B249" s="290"/>
      <c r="C249" s="290"/>
      <c r="D249" s="291"/>
      <c r="E249" s="292"/>
    </row>
    <row r="250" spans="1:5">
      <c r="A250" s="289"/>
      <c r="B250" s="290"/>
      <c r="C250" s="290"/>
      <c r="D250" s="291"/>
      <c r="E250" s="292"/>
    </row>
    <row r="251" spans="1:5">
      <c r="A251" s="289"/>
      <c r="B251" s="290"/>
      <c r="C251" s="290"/>
      <c r="D251" s="291"/>
      <c r="E251" s="292"/>
    </row>
    <row r="252" spans="1:5">
      <c r="A252" s="289"/>
      <c r="B252" s="290"/>
      <c r="C252" s="290"/>
      <c r="D252" s="291"/>
      <c r="E252" s="292"/>
    </row>
    <row r="253" spans="1:5">
      <c r="A253" s="289"/>
      <c r="B253" s="290"/>
      <c r="C253" s="290"/>
      <c r="D253" s="291"/>
      <c r="E253" s="292"/>
    </row>
    <row r="254" spans="1:5">
      <c r="A254" s="289"/>
      <c r="B254" s="290"/>
      <c r="C254" s="290"/>
      <c r="D254" s="291"/>
      <c r="E254" s="292"/>
    </row>
    <row r="255" spans="1:5">
      <c r="A255" s="289"/>
      <c r="B255" s="290"/>
      <c r="C255" s="290"/>
      <c r="D255" s="291"/>
      <c r="E255" s="292"/>
    </row>
    <row r="256" spans="1:5">
      <c r="A256" s="289"/>
      <c r="B256" s="290"/>
      <c r="C256" s="290"/>
      <c r="D256" s="291"/>
      <c r="E256" s="292"/>
    </row>
    <row r="257" spans="1:5">
      <c r="A257" s="289"/>
      <c r="B257" s="290"/>
      <c r="C257" s="290"/>
      <c r="D257" s="291"/>
      <c r="E257" s="292"/>
    </row>
    <row r="258" spans="1:5">
      <c r="A258" s="289"/>
      <c r="B258" s="290"/>
      <c r="C258" s="290"/>
      <c r="D258" s="291"/>
      <c r="E258" s="292"/>
    </row>
    <row r="259" spans="1:5">
      <c r="A259" s="289"/>
      <c r="B259" s="290"/>
      <c r="C259" s="290"/>
      <c r="D259" s="291"/>
      <c r="E259" s="292"/>
    </row>
    <row r="260" spans="1:5">
      <c r="A260" s="289"/>
      <c r="B260" s="290"/>
      <c r="C260" s="290"/>
      <c r="D260" s="291"/>
      <c r="E260" s="292"/>
    </row>
    <row r="261" spans="1:5">
      <c r="A261" s="289"/>
      <c r="B261" s="290"/>
      <c r="C261" s="290"/>
      <c r="D261" s="291"/>
      <c r="E261" s="292"/>
    </row>
    <row r="262" spans="1:5">
      <c r="A262" s="289"/>
      <c r="B262" s="290"/>
      <c r="C262" s="290"/>
      <c r="D262" s="291"/>
      <c r="E262" s="292"/>
    </row>
    <row r="263" spans="1:5">
      <c r="A263" s="289"/>
      <c r="B263" s="290"/>
      <c r="C263" s="290"/>
      <c r="D263" s="291"/>
      <c r="E263" s="292"/>
    </row>
    <row r="264" spans="1:5">
      <c r="A264" s="289"/>
      <c r="B264" s="290"/>
      <c r="C264" s="290"/>
      <c r="D264" s="291"/>
      <c r="E264" s="292"/>
    </row>
    <row r="265" spans="1:5">
      <c r="A265" s="289"/>
      <c r="B265" s="290"/>
      <c r="C265" s="290"/>
      <c r="D265" s="291"/>
      <c r="E265" s="292"/>
    </row>
    <row r="266" spans="1:5">
      <c r="A266" s="289"/>
      <c r="B266" s="290"/>
      <c r="C266" s="290"/>
      <c r="D266" s="291"/>
      <c r="E266" s="292"/>
    </row>
    <row r="267" spans="1:5">
      <c r="A267" s="289"/>
      <c r="B267" s="290"/>
      <c r="C267" s="290"/>
      <c r="D267" s="291"/>
      <c r="E267" s="292"/>
    </row>
    <row r="268" spans="1:5">
      <c r="A268" s="289"/>
      <c r="B268" s="290"/>
      <c r="C268" s="290"/>
      <c r="D268" s="291"/>
      <c r="E268" s="292"/>
    </row>
    <row r="269" spans="1:5">
      <c r="A269" s="289"/>
      <c r="B269" s="290"/>
      <c r="C269" s="290"/>
      <c r="D269" s="291"/>
      <c r="E269" s="292"/>
    </row>
    <row r="270" spans="1:5">
      <c r="A270" s="289"/>
      <c r="B270" s="290"/>
      <c r="C270" s="290"/>
      <c r="D270" s="291"/>
      <c r="E270" s="292"/>
    </row>
    <row r="271" spans="1:5">
      <c r="A271" s="289"/>
      <c r="B271" s="290"/>
      <c r="C271" s="290"/>
      <c r="D271" s="291"/>
      <c r="E271" s="292"/>
    </row>
    <row r="272" spans="1:5">
      <c r="A272" s="289"/>
      <c r="B272" s="290"/>
      <c r="C272" s="290"/>
      <c r="D272" s="291"/>
      <c r="E272" s="292"/>
    </row>
    <row r="273" spans="1:5">
      <c r="A273" s="289"/>
      <c r="B273" s="290"/>
      <c r="C273" s="290"/>
      <c r="D273" s="291"/>
      <c r="E273" s="292"/>
    </row>
    <row r="274" spans="1:5">
      <c r="A274" s="289"/>
      <c r="B274" s="290"/>
      <c r="C274" s="290"/>
      <c r="D274" s="291"/>
      <c r="E274" s="292"/>
    </row>
    <row r="275" spans="1:5">
      <c r="A275" s="289"/>
      <c r="B275" s="290"/>
      <c r="C275" s="290"/>
      <c r="D275" s="291"/>
      <c r="E275" s="292"/>
    </row>
    <row r="276" spans="1:5">
      <c r="A276" s="289"/>
      <c r="B276" s="290"/>
      <c r="C276" s="290"/>
      <c r="D276" s="291"/>
      <c r="E276" s="292"/>
    </row>
    <row r="277" spans="1:5">
      <c r="A277" s="289"/>
      <c r="B277" s="290"/>
      <c r="C277" s="290"/>
      <c r="D277" s="291"/>
      <c r="E277" s="292"/>
    </row>
    <row r="278" spans="1:5">
      <c r="A278" s="289"/>
      <c r="B278" s="290"/>
      <c r="C278" s="290"/>
      <c r="D278" s="291"/>
      <c r="E278" s="292"/>
    </row>
    <row r="279" spans="1:5">
      <c r="A279" s="289"/>
      <c r="B279" s="290"/>
      <c r="C279" s="290"/>
      <c r="D279" s="291"/>
      <c r="E279" s="292"/>
    </row>
    <row r="280" spans="1:5">
      <c r="A280" s="289"/>
      <c r="B280" s="290"/>
      <c r="C280" s="290"/>
      <c r="D280" s="291"/>
      <c r="E280" s="292"/>
    </row>
    <row r="281" spans="1:5">
      <c r="A281" s="289"/>
      <c r="B281" s="290"/>
      <c r="C281" s="290"/>
      <c r="D281" s="291"/>
      <c r="E281" s="292"/>
    </row>
    <row r="282" spans="1:5">
      <c r="A282" s="289"/>
      <c r="B282" s="290"/>
      <c r="C282" s="290"/>
      <c r="D282" s="291"/>
      <c r="E282" s="292"/>
    </row>
    <row r="283" spans="1:5">
      <c r="A283" s="289"/>
      <c r="B283" s="290"/>
      <c r="C283" s="290"/>
      <c r="D283" s="291"/>
      <c r="E283" s="292"/>
    </row>
    <row r="284" spans="1:5">
      <c r="A284" s="289"/>
      <c r="B284" s="290"/>
      <c r="C284" s="290"/>
      <c r="D284" s="291"/>
      <c r="E284" s="292"/>
    </row>
    <row r="285" spans="1:5">
      <c r="A285" s="289"/>
      <c r="B285" s="290"/>
      <c r="C285" s="290"/>
      <c r="D285" s="291"/>
      <c r="E285" s="292"/>
    </row>
    <row r="286" spans="1:5">
      <c r="A286" s="289"/>
      <c r="B286" s="290"/>
      <c r="C286" s="290"/>
      <c r="D286" s="291"/>
      <c r="E286" s="292"/>
    </row>
    <row r="287" spans="1:5">
      <c r="A287" s="289"/>
      <c r="B287" s="290"/>
      <c r="C287" s="290"/>
      <c r="D287" s="291"/>
      <c r="E287" s="292"/>
    </row>
    <row r="288" spans="1:5">
      <c r="A288" s="289"/>
      <c r="B288" s="290"/>
      <c r="C288" s="290"/>
      <c r="D288" s="291"/>
      <c r="E288" s="292"/>
    </row>
    <row r="289" spans="1:5">
      <c r="A289" s="289"/>
      <c r="B289" s="290"/>
      <c r="C289" s="290"/>
      <c r="D289" s="291"/>
      <c r="E289" s="292"/>
    </row>
    <row r="290" spans="1:5">
      <c r="A290" s="289"/>
      <c r="B290" s="290"/>
      <c r="C290" s="290"/>
      <c r="D290" s="291"/>
      <c r="E290" s="292"/>
    </row>
    <row r="291" spans="1:5">
      <c r="A291" s="289"/>
      <c r="B291" s="290"/>
      <c r="C291" s="290"/>
      <c r="D291" s="291"/>
      <c r="E291" s="292"/>
    </row>
    <row r="292" spans="1:5">
      <c r="A292" s="289"/>
      <c r="B292" s="290"/>
      <c r="C292" s="290"/>
      <c r="D292" s="291"/>
      <c r="E292" s="292"/>
    </row>
    <row r="293" spans="1:5">
      <c r="A293" s="289"/>
      <c r="B293" s="290"/>
      <c r="C293" s="290"/>
      <c r="D293" s="291"/>
      <c r="E293" s="292"/>
    </row>
    <row r="294" spans="1:5">
      <c r="A294" s="289"/>
      <c r="B294" s="290"/>
      <c r="C294" s="290"/>
      <c r="D294" s="291"/>
      <c r="E294" s="292"/>
    </row>
    <row r="295" spans="1:5">
      <c r="A295" s="289"/>
      <c r="B295" s="290"/>
      <c r="C295" s="290"/>
      <c r="D295" s="291"/>
      <c r="E295" s="292"/>
    </row>
    <row r="296" spans="1:5">
      <c r="A296" s="289"/>
      <c r="B296" s="290"/>
      <c r="C296" s="290"/>
      <c r="D296" s="291"/>
      <c r="E296" s="292"/>
    </row>
    <row r="297" spans="1:5">
      <c r="A297" s="289"/>
      <c r="B297" s="290"/>
      <c r="C297" s="290"/>
      <c r="D297" s="291"/>
      <c r="E297" s="292"/>
    </row>
    <row r="298" spans="1:5">
      <c r="A298" s="289"/>
      <c r="B298" s="290"/>
      <c r="C298" s="290"/>
      <c r="D298" s="291"/>
      <c r="E298" s="292"/>
    </row>
    <row r="299" spans="1:5">
      <c r="A299" s="289"/>
      <c r="B299" s="290"/>
      <c r="C299" s="290"/>
      <c r="D299" s="291"/>
      <c r="E299" s="292"/>
    </row>
    <row r="300" spans="1:5">
      <c r="A300" s="289"/>
      <c r="B300" s="290"/>
      <c r="C300" s="290"/>
      <c r="D300" s="291"/>
      <c r="E300" s="292"/>
    </row>
    <row r="301" spans="1:5">
      <c r="A301" s="289"/>
      <c r="B301" s="290"/>
      <c r="C301" s="290"/>
      <c r="D301" s="291"/>
      <c r="E301" s="292"/>
    </row>
    <row r="302" spans="1:5">
      <c r="A302" s="289"/>
      <c r="B302" s="290"/>
      <c r="C302" s="290"/>
      <c r="D302" s="291"/>
      <c r="E302" s="292"/>
    </row>
    <row r="303" spans="1:5">
      <c r="A303" s="289"/>
      <c r="B303" s="290"/>
      <c r="C303" s="290"/>
      <c r="D303" s="291"/>
      <c r="E303" s="292"/>
    </row>
    <row r="304" spans="1:5">
      <c r="A304" s="289"/>
      <c r="B304" s="290"/>
      <c r="C304" s="290"/>
      <c r="D304" s="291"/>
      <c r="E304" s="292"/>
    </row>
    <row r="305" spans="1:5">
      <c r="A305" s="289"/>
      <c r="B305" s="290"/>
      <c r="C305" s="290"/>
      <c r="D305" s="291"/>
      <c r="E305" s="292"/>
    </row>
    <row r="306" spans="1:5">
      <c r="A306" s="289"/>
      <c r="B306" s="290"/>
      <c r="C306" s="290"/>
      <c r="D306" s="291"/>
      <c r="E306" s="292"/>
    </row>
    <row r="307" spans="1:5">
      <c r="A307" s="289"/>
      <c r="B307" s="290"/>
      <c r="C307" s="290"/>
      <c r="D307" s="291"/>
      <c r="E307" s="292"/>
    </row>
    <row r="308" spans="1:5">
      <c r="A308" s="289"/>
      <c r="B308" s="290"/>
      <c r="C308" s="290"/>
      <c r="D308" s="291"/>
      <c r="E308" s="292"/>
    </row>
    <row r="309" spans="1:5">
      <c r="A309" s="289"/>
      <c r="B309" s="290"/>
      <c r="C309" s="290"/>
      <c r="D309" s="291"/>
      <c r="E309" s="292"/>
    </row>
    <row r="310" spans="1:5">
      <c r="A310" s="289"/>
      <c r="B310" s="290"/>
      <c r="C310" s="290"/>
      <c r="D310" s="291"/>
      <c r="E310" s="292"/>
    </row>
    <row r="311" spans="1:5">
      <c r="A311" s="289"/>
      <c r="B311" s="290"/>
      <c r="C311" s="290"/>
      <c r="D311" s="291"/>
      <c r="E311" s="292"/>
    </row>
    <row r="312" spans="1:5">
      <c r="A312" s="289"/>
      <c r="B312" s="290"/>
      <c r="C312" s="290"/>
      <c r="D312" s="291"/>
      <c r="E312" s="292"/>
    </row>
    <row r="313" spans="1:5">
      <c r="A313" s="289"/>
      <c r="B313" s="290"/>
      <c r="C313" s="290"/>
      <c r="D313" s="291"/>
      <c r="E313" s="292"/>
    </row>
    <row r="314" spans="1:5">
      <c r="A314" s="289"/>
      <c r="B314" s="290"/>
      <c r="C314" s="290"/>
      <c r="D314" s="291"/>
      <c r="E314" s="292"/>
    </row>
    <row r="315" spans="1:5">
      <c r="A315" s="289"/>
      <c r="B315" s="290"/>
      <c r="C315" s="290"/>
      <c r="D315" s="291"/>
      <c r="E315" s="292"/>
    </row>
    <row r="316" spans="1:5">
      <c r="A316" s="289"/>
      <c r="B316" s="290"/>
      <c r="C316" s="290"/>
      <c r="D316" s="291"/>
      <c r="E316" s="292"/>
    </row>
    <row r="317" spans="1:5">
      <c r="A317" s="289"/>
      <c r="B317" s="290"/>
      <c r="C317" s="290"/>
      <c r="D317" s="291"/>
      <c r="E317" s="292"/>
    </row>
    <row r="318" spans="1:5">
      <c r="A318" s="289"/>
      <c r="B318" s="290"/>
      <c r="C318" s="290"/>
      <c r="D318" s="291"/>
      <c r="E318" s="292"/>
    </row>
    <row r="319" spans="1:5">
      <c r="A319" s="289"/>
      <c r="B319" s="290"/>
      <c r="C319" s="290"/>
      <c r="D319" s="291"/>
      <c r="E319" s="292"/>
    </row>
    <row r="320" spans="1:5">
      <c r="A320" s="289"/>
      <c r="B320" s="290"/>
      <c r="C320" s="290"/>
      <c r="D320" s="291"/>
      <c r="E320" s="292"/>
    </row>
    <row r="321" spans="1:5">
      <c r="A321" s="289"/>
      <c r="B321" s="290"/>
      <c r="C321" s="290"/>
      <c r="D321" s="291"/>
      <c r="E321" s="292"/>
    </row>
    <row r="322" spans="1:5">
      <c r="A322" s="289"/>
      <c r="B322" s="290"/>
      <c r="C322" s="290"/>
      <c r="D322" s="291"/>
      <c r="E322" s="292"/>
    </row>
    <row r="323" spans="1:5">
      <c r="A323" s="289"/>
      <c r="B323" s="290"/>
      <c r="C323" s="290"/>
      <c r="D323" s="291"/>
      <c r="E323" s="292"/>
    </row>
    <row r="324" spans="1:5">
      <c r="A324" s="289"/>
      <c r="B324" s="290"/>
      <c r="C324" s="290"/>
      <c r="D324" s="291"/>
      <c r="E324" s="292"/>
    </row>
    <row r="325" spans="1:5">
      <c r="A325" s="289"/>
      <c r="B325" s="290"/>
      <c r="C325" s="290"/>
      <c r="D325" s="291"/>
      <c r="E325" s="292"/>
    </row>
    <row r="326" spans="1:5">
      <c r="A326" s="289"/>
      <c r="B326" s="290"/>
      <c r="C326" s="290"/>
      <c r="D326" s="291"/>
      <c r="E326" s="292"/>
    </row>
    <row r="327" spans="1:5">
      <c r="A327" s="289"/>
      <c r="B327" s="290"/>
      <c r="C327" s="290"/>
      <c r="D327" s="291"/>
      <c r="E327" s="292"/>
    </row>
    <row r="328" spans="1:5">
      <c r="A328" s="289"/>
      <c r="B328" s="290"/>
      <c r="C328" s="290"/>
      <c r="D328" s="291"/>
      <c r="E328" s="292"/>
    </row>
    <row r="329" spans="1:5">
      <c r="A329" s="289"/>
      <c r="B329" s="290"/>
      <c r="C329" s="290"/>
      <c r="D329" s="291"/>
      <c r="E329" s="292"/>
    </row>
    <row r="330" spans="1:5">
      <c r="A330" s="289"/>
      <c r="B330" s="290"/>
      <c r="C330" s="290"/>
      <c r="D330" s="291"/>
      <c r="E330" s="292"/>
    </row>
    <row r="331" spans="1:5">
      <c r="A331" s="289"/>
      <c r="B331" s="290"/>
      <c r="C331" s="290"/>
      <c r="D331" s="291"/>
      <c r="E331" s="292"/>
    </row>
    <row r="332" spans="1:5">
      <c r="A332" s="289"/>
      <c r="B332" s="290"/>
      <c r="C332" s="290"/>
      <c r="D332" s="291"/>
      <c r="E332" s="292"/>
    </row>
    <row r="333" spans="1:5">
      <c r="A333" s="289"/>
      <c r="B333" s="290"/>
      <c r="C333" s="290"/>
      <c r="D333" s="291"/>
      <c r="E333" s="292"/>
    </row>
    <row r="334" spans="1:5">
      <c r="A334" s="289"/>
      <c r="B334" s="290"/>
      <c r="C334" s="290"/>
      <c r="D334" s="291"/>
      <c r="E334" s="292"/>
    </row>
    <row r="335" spans="1:5">
      <c r="A335" s="289"/>
      <c r="B335" s="290"/>
      <c r="C335" s="290"/>
      <c r="D335" s="291"/>
      <c r="E335" s="292"/>
    </row>
    <row r="336" spans="1:5">
      <c r="A336" s="289"/>
      <c r="B336" s="290"/>
      <c r="C336" s="290"/>
      <c r="D336" s="291"/>
      <c r="E336" s="292"/>
    </row>
    <row r="337" spans="1:5">
      <c r="A337" s="289"/>
      <c r="B337" s="290"/>
      <c r="C337" s="290"/>
      <c r="D337" s="291"/>
      <c r="E337" s="292"/>
    </row>
    <row r="338" spans="1:5">
      <c r="A338" s="289"/>
      <c r="B338" s="290"/>
      <c r="C338" s="290"/>
      <c r="D338" s="291"/>
      <c r="E338" s="292"/>
    </row>
    <row r="339" spans="1:5">
      <c r="A339" s="289"/>
      <c r="B339" s="290"/>
      <c r="C339" s="290"/>
      <c r="D339" s="291"/>
      <c r="E339" s="292"/>
    </row>
    <row r="340" spans="1:5">
      <c r="A340" s="289"/>
      <c r="B340" s="290"/>
      <c r="C340" s="290"/>
      <c r="D340" s="291"/>
      <c r="E340" s="292"/>
    </row>
    <row r="341" spans="1:5">
      <c r="A341" s="289"/>
      <c r="B341" s="290"/>
      <c r="C341" s="290"/>
      <c r="D341" s="291"/>
      <c r="E341" s="292"/>
    </row>
    <row r="342" spans="1:5">
      <c r="A342" s="289"/>
      <c r="B342" s="290"/>
      <c r="C342" s="290"/>
      <c r="D342" s="291"/>
      <c r="E342" s="292"/>
    </row>
    <row r="343" spans="1:5">
      <c r="A343" s="289"/>
      <c r="B343" s="290"/>
      <c r="C343" s="290"/>
      <c r="D343" s="291"/>
      <c r="E343" s="292"/>
    </row>
    <row r="344" spans="1:5">
      <c r="A344" s="289"/>
      <c r="B344" s="290"/>
      <c r="C344" s="290"/>
      <c r="D344" s="291"/>
      <c r="E344" s="292"/>
    </row>
    <row r="345" spans="1:5">
      <c r="A345" s="289"/>
      <c r="B345" s="290"/>
      <c r="C345" s="290"/>
      <c r="D345" s="291"/>
      <c r="E345" s="292"/>
    </row>
    <row r="346" spans="1:5">
      <c r="A346" s="289"/>
      <c r="B346" s="290"/>
      <c r="C346" s="290"/>
      <c r="D346" s="291"/>
      <c r="E346" s="292"/>
    </row>
    <row r="347" spans="1:5">
      <c r="A347" s="289"/>
      <c r="B347" s="290"/>
      <c r="C347" s="290"/>
      <c r="D347" s="291"/>
      <c r="E347" s="292"/>
    </row>
    <row r="348" spans="1:5">
      <c r="A348" s="289"/>
      <c r="B348" s="290"/>
      <c r="C348" s="290"/>
      <c r="D348" s="291"/>
      <c r="E348" s="292"/>
    </row>
    <row r="349" spans="1:5">
      <c r="A349" s="289"/>
      <c r="B349" s="290"/>
      <c r="C349" s="290"/>
      <c r="D349" s="291"/>
      <c r="E349" s="292"/>
    </row>
    <row r="350" spans="1:5">
      <c r="A350" s="289"/>
      <c r="B350" s="290"/>
      <c r="C350" s="290"/>
      <c r="D350" s="291"/>
      <c r="E350" s="292"/>
    </row>
    <row r="351" spans="1:5">
      <c r="A351" s="289"/>
      <c r="B351" s="290"/>
      <c r="C351" s="290"/>
      <c r="D351" s="291"/>
      <c r="E351" s="292"/>
    </row>
    <row r="352" spans="1:5">
      <c r="A352" s="289"/>
      <c r="B352" s="290"/>
      <c r="C352" s="290"/>
      <c r="D352" s="291"/>
      <c r="E352" s="292"/>
    </row>
    <row r="353" spans="1:5">
      <c r="A353" s="289"/>
      <c r="B353" s="290"/>
      <c r="C353" s="290"/>
      <c r="D353" s="291"/>
      <c r="E353" s="292"/>
    </row>
    <row r="354" spans="1:5">
      <c r="A354" s="289"/>
      <c r="B354" s="290"/>
      <c r="C354" s="290"/>
      <c r="D354" s="291"/>
      <c r="E354" s="292"/>
    </row>
    <row r="355" spans="1:5">
      <c r="A355" s="289"/>
      <c r="B355" s="290"/>
      <c r="C355" s="290"/>
      <c r="D355" s="291"/>
      <c r="E355" s="292"/>
    </row>
    <row r="356" spans="1:5">
      <c r="A356" s="289"/>
      <c r="B356" s="290"/>
      <c r="C356" s="290"/>
      <c r="D356" s="291"/>
      <c r="E356" s="292"/>
    </row>
    <row r="357" spans="1:5">
      <c r="A357" s="289"/>
      <c r="B357" s="290"/>
      <c r="C357" s="290"/>
      <c r="D357" s="291"/>
      <c r="E357" s="292"/>
    </row>
    <row r="358" spans="1:5">
      <c r="A358" s="289"/>
      <c r="B358" s="290"/>
      <c r="C358" s="290"/>
      <c r="D358" s="291"/>
      <c r="E358" s="292"/>
    </row>
    <row r="359" spans="1:5">
      <c r="A359" s="289"/>
      <c r="B359" s="290"/>
      <c r="C359" s="290"/>
      <c r="D359" s="291"/>
      <c r="E359" s="292"/>
    </row>
    <row r="360" spans="1:5">
      <c r="A360" s="289"/>
      <c r="B360" s="290"/>
      <c r="C360" s="290"/>
      <c r="D360" s="291"/>
      <c r="E360" s="292"/>
    </row>
    <row r="361" spans="1:5">
      <c r="A361" s="289"/>
      <c r="B361" s="290"/>
      <c r="C361" s="290"/>
      <c r="D361" s="291"/>
      <c r="E361" s="292"/>
    </row>
    <row r="362" spans="1:5">
      <c r="A362" s="289"/>
      <c r="B362" s="290"/>
      <c r="C362" s="290"/>
      <c r="D362" s="291"/>
      <c r="E362" s="292"/>
    </row>
    <row r="363" spans="1:5">
      <c r="A363" s="289"/>
      <c r="B363" s="290"/>
      <c r="C363" s="290"/>
      <c r="D363" s="291"/>
      <c r="E363" s="292"/>
    </row>
    <row r="364" spans="1:5">
      <c r="A364" s="289"/>
      <c r="B364" s="290"/>
      <c r="C364" s="290"/>
      <c r="D364" s="291"/>
      <c r="E364" s="292"/>
    </row>
    <row r="365" spans="1:5">
      <c r="A365" s="289"/>
      <c r="B365" s="290"/>
      <c r="C365" s="290"/>
      <c r="D365" s="291"/>
      <c r="E365" s="292"/>
    </row>
    <row r="366" spans="1:5">
      <c r="A366" s="289"/>
      <c r="B366" s="290"/>
      <c r="C366" s="290"/>
      <c r="D366" s="291"/>
      <c r="E366" s="292"/>
    </row>
    <row r="367" spans="1:5">
      <c r="A367" s="289"/>
      <c r="B367" s="290"/>
      <c r="C367" s="290"/>
      <c r="D367" s="291"/>
      <c r="E367" s="292"/>
    </row>
    <row r="368" spans="1:5">
      <c r="A368" s="289"/>
      <c r="B368" s="290"/>
      <c r="C368" s="290"/>
      <c r="D368" s="291"/>
      <c r="E368" s="292"/>
    </row>
    <row r="369" spans="1:5">
      <c r="A369" s="289"/>
      <c r="B369" s="290"/>
      <c r="C369" s="290"/>
      <c r="D369" s="291"/>
      <c r="E369" s="292"/>
    </row>
    <row r="370" spans="1:5">
      <c r="A370" s="289"/>
      <c r="B370" s="290"/>
      <c r="C370" s="290"/>
      <c r="D370" s="291"/>
      <c r="E370" s="292"/>
    </row>
    <row r="371" spans="1:5">
      <c r="A371" s="289"/>
      <c r="B371" s="290"/>
      <c r="C371" s="290"/>
      <c r="D371" s="291"/>
      <c r="E371" s="292"/>
    </row>
    <row r="372" spans="1:5">
      <c r="A372" s="289"/>
      <c r="B372" s="290"/>
      <c r="C372" s="290"/>
      <c r="D372" s="291"/>
      <c r="E372" s="292"/>
    </row>
    <row r="373" spans="1:5">
      <c r="A373" s="289"/>
      <c r="B373" s="290"/>
      <c r="C373" s="290"/>
      <c r="D373" s="291"/>
      <c r="E373" s="292"/>
    </row>
    <row r="374" spans="1:5">
      <c r="A374" s="289"/>
      <c r="B374" s="290"/>
      <c r="C374" s="290"/>
      <c r="D374" s="291"/>
      <c r="E374" s="292"/>
    </row>
    <row r="375" spans="1:5">
      <c r="A375" s="289"/>
      <c r="B375" s="290"/>
      <c r="C375" s="290"/>
      <c r="D375" s="291"/>
      <c r="E375" s="292"/>
    </row>
    <row r="376" spans="1:5">
      <c r="A376" s="289"/>
      <c r="B376" s="290"/>
      <c r="C376" s="290"/>
      <c r="D376" s="291"/>
      <c r="E376" s="292"/>
    </row>
    <row r="377" spans="1:5">
      <c r="A377" s="289"/>
      <c r="B377" s="290"/>
      <c r="C377" s="290"/>
      <c r="D377" s="291"/>
      <c r="E377" s="292"/>
    </row>
    <row r="378" spans="1:5">
      <c r="A378" s="289"/>
      <c r="B378" s="290"/>
      <c r="C378" s="290"/>
      <c r="D378" s="291"/>
      <c r="E378" s="292"/>
    </row>
    <row r="379" spans="1:5">
      <c r="A379" s="289"/>
      <c r="B379" s="290"/>
      <c r="C379" s="290"/>
      <c r="D379" s="291"/>
      <c r="E379" s="292"/>
    </row>
    <row r="380" spans="1:5">
      <c r="A380" s="289"/>
      <c r="B380" s="290"/>
      <c r="C380" s="290"/>
      <c r="D380" s="291"/>
      <c r="E380" s="292"/>
    </row>
    <row r="381" spans="1:5">
      <c r="A381" s="289"/>
      <c r="B381" s="290"/>
      <c r="C381" s="290"/>
      <c r="D381" s="291"/>
      <c r="E381" s="292"/>
    </row>
    <row r="382" spans="1:5">
      <c r="A382" s="289"/>
      <c r="B382" s="290"/>
      <c r="C382" s="290"/>
      <c r="D382" s="291"/>
      <c r="E382" s="292"/>
    </row>
    <row r="383" spans="1:5">
      <c r="A383" s="289"/>
      <c r="B383" s="290"/>
      <c r="C383" s="290"/>
      <c r="D383" s="291"/>
      <c r="E383" s="292"/>
    </row>
    <row r="384" spans="1:5">
      <c r="A384" s="289"/>
      <c r="B384" s="290"/>
      <c r="C384" s="290"/>
      <c r="D384" s="291"/>
      <c r="E384" s="292"/>
    </row>
    <row r="385" spans="1:5">
      <c r="A385" s="289"/>
      <c r="B385" s="290"/>
      <c r="C385" s="290"/>
      <c r="D385" s="291"/>
      <c r="E385" s="292"/>
    </row>
    <row r="386" spans="1:5">
      <c r="A386" s="289"/>
      <c r="B386" s="290"/>
      <c r="C386" s="290"/>
      <c r="D386" s="291"/>
      <c r="E386" s="292"/>
    </row>
    <row r="387" spans="1:5">
      <c r="A387" s="289"/>
      <c r="B387" s="290"/>
      <c r="C387" s="290"/>
      <c r="D387" s="291"/>
      <c r="E387" s="292"/>
    </row>
    <row r="388" spans="1:5">
      <c r="A388" s="289"/>
      <c r="B388" s="290"/>
      <c r="C388" s="290"/>
      <c r="D388" s="291"/>
      <c r="E388" s="292"/>
    </row>
    <row r="389" spans="1:5">
      <c r="A389" s="289"/>
      <c r="B389" s="290"/>
      <c r="C389" s="290"/>
      <c r="D389" s="291"/>
      <c r="E389" s="292"/>
    </row>
    <row r="390" spans="1:5">
      <c r="A390" s="289"/>
      <c r="B390" s="290"/>
      <c r="C390" s="290"/>
      <c r="D390" s="291"/>
      <c r="E390" s="292"/>
    </row>
    <row r="391" spans="1:5">
      <c r="A391" s="289"/>
      <c r="B391" s="290"/>
      <c r="C391" s="290"/>
      <c r="D391" s="291"/>
      <c r="E391" s="292"/>
    </row>
    <row r="392" spans="1:5">
      <c r="A392" s="289"/>
      <c r="B392" s="290"/>
      <c r="C392" s="290"/>
      <c r="D392" s="291"/>
      <c r="E392" s="292"/>
    </row>
    <row r="393" spans="1:5">
      <c r="A393" s="289"/>
      <c r="B393" s="290"/>
      <c r="C393" s="290"/>
      <c r="D393" s="291"/>
      <c r="E393" s="292"/>
    </row>
    <row r="394" spans="1:5">
      <c r="A394" s="289"/>
      <c r="B394" s="290"/>
      <c r="C394" s="290"/>
      <c r="D394" s="291"/>
      <c r="E394" s="292"/>
    </row>
    <row r="395" spans="1:5">
      <c r="A395" s="289"/>
      <c r="B395" s="290"/>
      <c r="C395" s="290"/>
      <c r="D395" s="291"/>
      <c r="E395" s="292"/>
    </row>
    <row r="396" spans="1:5">
      <c r="A396" s="289"/>
      <c r="B396" s="290"/>
      <c r="C396" s="290"/>
      <c r="D396" s="291"/>
      <c r="E396" s="292"/>
    </row>
    <row r="397" spans="1:5">
      <c r="A397" s="289"/>
      <c r="B397" s="290"/>
      <c r="C397" s="290"/>
      <c r="D397" s="291"/>
      <c r="E397" s="292"/>
    </row>
    <row r="398" spans="1:5">
      <c r="A398" s="289"/>
      <c r="B398" s="290"/>
      <c r="C398" s="290"/>
      <c r="D398" s="291"/>
      <c r="E398" s="292"/>
    </row>
    <row r="399" spans="1:5">
      <c r="A399" s="289"/>
      <c r="B399" s="290"/>
      <c r="C399" s="290"/>
      <c r="D399" s="291"/>
      <c r="E399" s="292"/>
    </row>
    <row r="400" spans="1:5">
      <c r="A400" s="289"/>
      <c r="B400" s="290"/>
      <c r="C400" s="290"/>
      <c r="D400" s="291"/>
      <c r="E400" s="292"/>
    </row>
    <row r="401" spans="1:5">
      <c r="A401" s="289"/>
      <c r="B401" s="290"/>
      <c r="C401" s="290"/>
      <c r="D401" s="291"/>
      <c r="E401" s="292"/>
    </row>
    <row r="402" spans="1:5">
      <c r="A402" s="289"/>
      <c r="B402" s="290"/>
      <c r="C402" s="290"/>
      <c r="D402" s="291"/>
      <c r="E402" s="292"/>
    </row>
    <row r="403" spans="1:5">
      <c r="A403" s="289"/>
      <c r="B403" s="290"/>
      <c r="C403" s="290"/>
      <c r="D403" s="291"/>
      <c r="E403" s="292"/>
    </row>
    <row r="404" spans="1:5">
      <c r="A404" s="289"/>
      <c r="B404" s="290"/>
      <c r="C404" s="290"/>
      <c r="D404" s="291"/>
      <c r="E404" s="292"/>
    </row>
    <row r="405" spans="1:5">
      <c r="A405" s="289"/>
      <c r="B405" s="290"/>
      <c r="C405" s="290"/>
      <c r="D405" s="291"/>
      <c r="E405" s="292"/>
    </row>
    <row r="406" spans="1:5">
      <c r="A406" s="289"/>
      <c r="B406" s="290"/>
      <c r="C406" s="290"/>
      <c r="D406" s="291"/>
      <c r="E406" s="292"/>
    </row>
    <row r="407" spans="1:5">
      <c r="A407" s="289"/>
      <c r="B407" s="290"/>
      <c r="C407" s="290"/>
      <c r="D407" s="291"/>
      <c r="E407" s="292"/>
    </row>
    <row r="408" spans="1:5">
      <c r="A408" s="289"/>
      <c r="B408" s="290"/>
      <c r="C408" s="290"/>
      <c r="D408" s="291"/>
      <c r="E408" s="292"/>
    </row>
    <row r="409" spans="1:5">
      <c r="A409" s="289"/>
      <c r="B409" s="290"/>
      <c r="C409" s="290"/>
      <c r="D409" s="291"/>
      <c r="E409" s="292"/>
    </row>
    <row r="410" spans="1:5">
      <c r="A410" s="289"/>
      <c r="B410" s="290"/>
      <c r="C410" s="290"/>
      <c r="D410" s="291"/>
      <c r="E410" s="292"/>
    </row>
    <row r="411" spans="1:5">
      <c r="A411" s="289"/>
      <c r="B411" s="290"/>
      <c r="C411" s="290"/>
      <c r="D411" s="291"/>
      <c r="E411" s="292"/>
    </row>
    <row r="412" spans="1:5">
      <c r="A412" s="289"/>
      <c r="B412" s="290"/>
      <c r="C412" s="290"/>
      <c r="D412" s="291"/>
      <c r="E412" s="292"/>
    </row>
    <row r="413" spans="1:5">
      <c r="A413" s="289"/>
      <c r="B413" s="290"/>
      <c r="C413" s="290"/>
      <c r="D413" s="291"/>
      <c r="E413" s="292"/>
    </row>
    <row r="414" spans="1:5">
      <c r="A414" s="289"/>
      <c r="B414" s="290"/>
      <c r="C414" s="290"/>
      <c r="D414" s="291"/>
      <c r="E414" s="292"/>
    </row>
    <row r="415" spans="1:5">
      <c r="A415" s="289"/>
      <c r="B415" s="290"/>
      <c r="C415" s="290"/>
      <c r="D415" s="291"/>
      <c r="E415" s="292"/>
    </row>
    <row r="416" spans="1:5">
      <c r="A416" s="289"/>
      <c r="B416" s="290"/>
      <c r="C416" s="290"/>
      <c r="D416" s="291"/>
      <c r="E416" s="292"/>
    </row>
    <row r="417" spans="1:5">
      <c r="A417" s="289"/>
      <c r="B417" s="290"/>
      <c r="C417" s="290"/>
      <c r="D417" s="291"/>
      <c r="E417" s="292"/>
    </row>
    <row r="418" spans="1:5">
      <c r="A418" s="289"/>
      <c r="B418" s="290"/>
      <c r="C418" s="290"/>
      <c r="D418" s="291"/>
      <c r="E418" s="292"/>
    </row>
    <row r="419" spans="1:5">
      <c r="A419" s="289"/>
      <c r="B419" s="290"/>
      <c r="C419" s="290"/>
      <c r="D419" s="291"/>
      <c r="E419" s="292"/>
    </row>
    <row r="420" spans="1:5">
      <c r="A420" s="289"/>
      <c r="B420" s="290"/>
      <c r="C420" s="290"/>
      <c r="D420" s="291"/>
      <c r="E420" s="292"/>
    </row>
    <row r="421" spans="1:5">
      <c r="A421" s="289"/>
      <c r="B421" s="290"/>
      <c r="C421" s="290"/>
      <c r="D421" s="291"/>
      <c r="E421" s="292"/>
    </row>
    <row r="422" spans="1:5">
      <c r="A422" s="289"/>
      <c r="B422" s="290"/>
      <c r="C422" s="290"/>
      <c r="D422" s="291"/>
      <c r="E422" s="292"/>
    </row>
    <row r="423" spans="1:5">
      <c r="A423" s="289"/>
      <c r="B423" s="290"/>
      <c r="C423" s="290"/>
      <c r="D423" s="291"/>
      <c r="E423" s="292"/>
    </row>
    <row r="424" spans="1:5">
      <c r="A424" s="289"/>
      <c r="B424" s="290"/>
      <c r="C424" s="290"/>
      <c r="D424" s="291"/>
      <c r="E424" s="292"/>
    </row>
    <row r="425" spans="1:5">
      <c r="A425" s="289"/>
      <c r="B425" s="290"/>
      <c r="C425" s="290"/>
      <c r="D425" s="291"/>
      <c r="E425" s="292"/>
    </row>
    <row r="426" spans="1:5">
      <c r="A426" s="289"/>
      <c r="B426" s="290"/>
      <c r="C426" s="290"/>
      <c r="D426" s="291"/>
      <c r="E426" s="292"/>
    </row>
    <row r="427" spans="1:5">
      <c r="A427" s="289"/>
      <c r="B427" s="290"/>
      <c r="C427" s="290"/>
      <c r="D427" s="291"/>
      <c r="E427" s="292"/>
    </row>
    <row r="428" spans="1:5">
      <c r="A428" s="289"/>
      <c r="B428" s="290"/>
      <c r="C428" s="290"/>
      <c r="D428" s="291"/>
      <c r="E428" s="292"/>
    </row>
    <row r="429" spans="1:5">
      <c r="A429" s="289"/>
      <c r="B429" s="290"/>
      <c r="C429" s="290"/>
      <c r="D429" s="291"/>
      <c r="E429" s="292"/>
    </row>
    <row r="430" spans="1:5">
      <c r="A430" s="289"/>
      <c r="B430" s="290"/>
      <c r="C430" s="290"/>
      <c r="D430" s="291"/>
      <c r="E430" s="292"/>
    </row>
    <row r="431" spans="1:5">
      <c r="A431" s="289"/>
      <c r="B431" s="290"/>
      <c r="C431" s="290"/>
      <c r="D431" s="291"/>
      <c r="E431" s="292"/>
    </row>
    <row r="432" spans="1:5">
      <c r="A432" s="289"/>
      <c r="B432" s="290"/>
      <c r="C432" s="290"/>
      <c r="D432" s="291"/>
      <c r="E432" s="292"/>
    </row>
    <row r="433" spans="1:5">
      <c r="A433" s="289"/>
      <c r="B433" s="290"/>
      <c r="C433" s="290"/>
      <c r="D433" s="291"/>
      <c r="E433" s="292"/>
    </row>
    <row r="434" spans="1:5">
      <c r="A434" s="289"/>
      <c r="B434" s="290"/>
      <c r="C434" s="290"/>
      <c r="D434" s="291"/>
      <c r="E434" s="292"/>
    </row>
    <row r="435" spans="1:5">
      <c r="A435" s="289"/>
      <c r="B435" s="290"/>
      <c r="C435" s="290"/>
      <c r="D435" s="291"/>
      <c r="E435" s="292"/>
    </row>
    <row r="436" spans="1:5">
      <c r="A436" s="289"/>
      <c r="B436" s="290"/>
      <c r="C436" s="290"/>
      <c r="D436" s="291"/>
      <c r="E436" s="292"/>
    </row>
    <row r="437" spans="1:5">
      <c r="A437" s="289"/>
      <c r="B437" s="290"/>
      <c r="C437" s="290"/>
      <c r="D437" s="291"/>
      <c r="E437" s="292"/>
    </row>
    <row r="438" spans="1:5">
      <c r="A438" s="289"/>
      <c r="B438" s="290"/>
      <c r="C438" s="290"/>
      <c r="D438" s="291"/>
      <c r="E438" s="292"/>
    </row>
    <row r="439" spans="1:5">
      <c r="A439" s="289"/>
      <c r="B439" s="290"/>
      <c r="C439" s="290"/>
      <c r="D439" s="291"/>
      <c r="E439" s="292"/>
    </row>
    <row r="440" spans="1:5">
      <c r="A440" s="289"/>
      <c r="B440" s="290"/>
      <c r="C440" s="290"/>
      <c r="D440" s="291"/>
      <c r="E440" s="292"/>
    </row>
    <row r="441" spans="1:5">
      <c r="A441" s="289"/>
      <c r="B441" s="290"/>
      <c r="C441" s="290"/>
      <c r="D441" s="291"/>
      <c r="E441" s="292"/>
    </row>
    <row r="442" spans="1:5">
      <c r="A442" s="289"/>
      <c r="B442" s="290"/>
      <c r="C442" s="290"/>
      <c r="D442" s="291"/>
      <c r="E442" s="292"/>
    </row>
    <row r="443" spans="1:5">
      <c r="A443" s="289"/>
      <c r="B443" s="290"/>
      <c r="C443" s="290"/>
      <c r="D443" s="291"/>
      <c r="E443" s="292"/>
    </row>
    <row r="444" spans="1:5">
      <c r="A444" s="289"/>
      <c r="B444" s="290"/>
      <c r="C444" s="290"/>
      <c r="D444" s="291"/>
      <c r="E444" s="292"/>
    </row>
    <row r="445" spans="1:5">
      <c r="A445" s="289"/>
      <c r="B445" s="290"/>
      <c r="C445" s="290"/>
      <c r="D445" s="291"/>
      <c r="E445" s="292"/>
    </row>
    <row r="446" spans="1:5">
      <c r="A446" s="289"/>
      <c r="B446" s="290"/>
      <c r="C446" s="290"/>
      <c r="D446" s="291"/>
      <c r="E446" s="292"/>
    </row>
    <row r="447" spans="1:5">
      <c r="A447" s="289"/>
      <c r="B447" s="290"/>
      <c r="C447" s="290"/>
      <c r="D447" s="291"/>
      <c r="E447" s="292"/>
    </row>
    <row r="448" spans="1:5">
      <c r="A448" s="289"/>
      <c r="B448" s="290"/>
      <c r="C448" s="290"/>
      <c r="D448" s="291"/>
      <c r="E448" s="292"/>
    </row>
  </sheetData>
  <sheetProtection password="ECFA" sheet="1" objects="1" scenarios="1" selectLockedCells="1"/>
  <mergeCells count="2">
    <mergeCell ref="A1:E1"/>
    <mergeCell ref="A2:E2"/>
  </mergeCells>
  <dataValidations count="3">
    <dataValidation type="list" allowBlank="1" showInputMessage="1" showErrorMessage="1" sqref="C3:C448">
      <formula1>JJChoix</formula1>
    </dataValidation>
    <dataValidation type="list" allowBlank="1" showInputMessage="1" showErrorMessage="1" sqref="B3:B448">
      <formula1>Jchoix</formula1>
    </dataValidation>
    <dataValidation type="list" allowBlank="1" showInputMessage="1" showErrorMessage="1" sqref="A3:A448">
      <formula1>Date</formula1>
    </dataValidation>
  </dataValidations>
  <printOptions horizontalCentered="1"/>
  <pageMargins left="0" right="0" top="0" bottom="0" header="0" footer="0"/>
  <pageSetup paperSize="9" orientation="portrait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5"/>
  <sheetViews>
    <sheetView zoomScaleNormal="100" workbookViewId="0">
      <selection activeCell="E17" sqref="E17"/>
    </sheetView>
  </sheetViews>
  <sheetFormatPr baseColWidth="10" defaultRowHeight="15"/>
  <cols>
    <col min="1" max="1" width="16.7109375" style="8" customWidth="1"/>
    <col min="2" max="3" width="11.7109375" style="8" customWidth="1"/>
    <col min="4" max="4" width="8" style="8" customWidth="1"/>
    <col min="5" max="6" width="20.7109375" style="8" customWidth="1"/>
    <col min="7" max="9" width="13.7109375" style="8" customWidth="1"/>
    <col min="10" max="17" width="11.42578125" style="8"/>
    <col min="18" max="18" width="11.7109375" style="8" bestFit="1" customWidth="1"/>
    <col min="19" max="16384" width="11.42578125" style="8"/>
  </cols>
  <sheetData>
    <row r="1" spans="1:19" ht="30.75" thickBot="1">
      <c r="A1" s="15"/>
      <c r="B1" s="705"/>
      <c r="C1" s="705"/>
      <c r="D1" s="705"/>
      <c r="E1" s="705"/>
      <c r="F1" s="705"/>
      <c r="G1" s="15"/>
    </row>
    <row r="2" spans="1:19" ht="17.25" thickBot="1">
      <c r="A2" s="19" t="str">
        <f>MCVS!E9</f>
        <v>GUIN-Maurice</v>
      </c>
      <c r="B2" s="18">
        <f ca="1">MCVS!N4</f>
        <v>2014</v>
      </c>
      <c r="C2" s="277">
        <f ca="1">MCVS!N7</f>
        <v>41952</v>
      </c>
      <c r="D2" s="712" t="s">
        <v>381</v>
      </c>
      <c r="E2" s="713"/>
      <c r="F2" s="713"/>
      <c r="G2" s="713"/>
      <c r="H2" s="714" t="str">
        <f>MCVS!E10</f>
        <v>!Ligne2</v>
      </c>
      <c r="I2" s="715"/>
    </row>
    <row r="3" spans="1:19" ht="15.75" thickBot="1">
      <c r="A3" s="16"/>
      <c r="B3" s="15"/>
      <c r="C3" s="15"/>
      <c r="D3" s="15"/>
      <c r="E3" s="15"/>
      <c r="F3" s="15"/>
      <c r="G3" s="15"/>
    </row>
    <row r="4" spans="1:19" ht="15.75" thickBot="1">
      <c r="A4" s="706"/>
      <c r="B4" s="709" t="s">
        <v>54</v>
      </c>
      <c r="C4" s="710"/>
      <c r="D4" s="710"/>
      <c r="E4" s="710"/>
      <c r="F4" s="710"/>
      <c r="G4" s="710"/>
      <c r="H4" s="710"/>
      <c r="I4" s="711"/>
      <c r="N4" s="695" t="s">
        <v>475</v>
      </c>
      <c r="O4" s="695"/>
      <c r="P4" s="695"/>
      <c r="Q4" s="695"/>
      <c r="R4" s="695"/>
      <c r="S4" s="695"/>
    </row>
    <row r="5" spans="1:19" ht="15.75" thickBot="1">
      <c r="A5" s="707"/>
      <c r="B5" s="735" t="s">
        <v>7</v>
      </c>
      <c r="C5" s="736"/>
      <c r="D5" s="735" t="s">
        <v>55</v>
      </c>
      <c r="E5" s="716" t="s">
        <v>56</v>
      </c>
      <c r="F5" s="718" t="s">
        <v>380</v>
      </c>
      <c r="G5" s="739" t="s">
        <v>14</v>
      </c>
      <c r="H5" s="740"/>
      <c r="I5" s="698" t="s">
        <v>58</v>
      </c>
    </row>
    <row r="6" spans="1:19" ht="15.75" thickBot="1">
      <c r="A6" s="708"/>
      <c r="B6" s="737"/>
      <c r="C6" s="738"/>
      <c r="D6" s="737"/>
      <c r="E6" s="717"/>
      <c r="F6" s="719"/>
      <c r="G6" s="20" t="s">
        <v>59</v>
      </c>
      <c r="H6" s="21" t="s">
        <v>57</v>
      </c>
      <c r="I6" s="699"/>
      <c r="M6" s="741" t="s">
        <v>417</v>
      </c>
      <c r="N6" s="702"/>
      <c r="O6" s="702"/>
      <c r="P6" s="702"/>
      <c r="Q6" s="702"/>
      <c r="R6" s="702" t="str">
        <f>MCVS!B10</f>
        <v>DB-436-GD</v>
      </c>
      <c r="S6" s="703"/>
    </row>
    <row r="7" spans="1:19" ht="17.25" customHeight="1" thickBot="1">
      <c r="A7" s="696">
        <f ca="1">MCVS!M4</f>
        <v>41952</v>
      </c>
      <c r="B7" s="283" t="str">
        <f>IF(C7="","",C7)</f>
        <v/>
      </c>
      <c r="C7" s="446"/>
      <c r="D7" s="293"/>
      <c r="E7" s="294"/>
      <c r="F7" s="295"/>
      <c r="G7" s="296"/>
      <c r="H7" s="297"/>
      <c r="I7" s="298"/>
      <c r="M7" s="520" t="s">
        <v>161</v>
      </c>
      <c r="N7" s="228" t="s">
        <v>413</v>
      </c>
      <c r="O7" s="228"/>
      <c r="P7" s="228" t="s">
        <v>414</v>
      </c>
      <c r="Q7" s="521" t="s">
        <v>402</v>
      </c>
      <c r="R7" s="521" t="s">
        <v>415</v>
      </c>
      <c r="S7" s="522" t="s">
        <v>416</v>
      </c>
    </row>
    <row r="8" spans="1:19" ht="16.5" customHeight="1" thickTop="1">
      <c r="A8" s="697"/>
      <c r="B8" s="17" t="str">
        <f t="shared" ref="B8:B29" si="0">IF(C8="","",C8)</f>
        <v/>
      </c>
      <c r="C8" s="447"/>
      <c r="D8" s="293"/>
      <c r="E8" s="299"/>
      <c r="F8" s="295"/>
      <c r="G8" s="296"/>
      <c r="H8" s="300"/>
      <c r="I8" s="301"/>
      <c r="M8" s="557">
        <f>MCVS!F13</f>
        <v>42082</v>
      </c>
      <c r="N8" s="558">
        <v>42082</v>
      </c>
      <c r="O8" s="538">
        <f>IF(N8="","",N8-M8)</f>
        <v>0</v>
      </c>
      <c r="P8" s="530">
        <v>60.21</v>
      </c>
      <c r="Q8" s="531">
        <v>74</v>
      </c>
      <c r="R8" s="532" t="e">
        <f>(P8*100)/O8</f>
        <v>#DIV/0!</v>
      </c>
      <c r="S8" s="533">
        <f>IF(P8="","",Q8/P8)</f>
        <v>1.2290317223052649</v>
      </c>
    </row>
    <row r="9" spans="1:19" ht="16.5" customHeight="1">
      <c r="A9" s="697"/>
      <c r="B9" s="17" t="str">
        <f t="shared" si="0"/>
        <v/>
      </c>
      <c r="C9" s="447"/>
      <c r="D9" s="293"/>
      <c r="E9" s="299"/>
      <c r="F9" s="295"/>
      <c r="G9" s="296"/>
      <c r="H9" s="300"/>
      <c r="I9" s="301"/>
      <c r="M9" s="559">
        <f>N8</f>
        <v>42082</v>
      </c>
      <c r="N9" s="560"/>
      <c r="O9" s="539" t="str">
        <f t="shared" ref="O9:O21" si="1">IF(N9="","",N9-M9)</f>
        <v/>
      </c>
      <c r="P9" s="528"/>
      <c r="Q9" s="529"/>
      <c r="R9" s="507"/>
      <c r="S9" s="523" t="str">
        <f t="shared" ref="S9:S18" si="2">IF(P9="","",Q9/P9)</f>
        <v/>
      </c>
    </row>
    <row r="10" spans="1:19" ht="16.5" customHeight="1">
      <c r="A10" s="697"/>
      <c r="B10" s="17" t="str">
        <f t="shared" si="0"/>
        <v/>
      </c>
      <c r="C10" s="447"/>
      <c r="D10" s="293"/>
      <c r="E10" s="299"/>
      <c r="F10" s="295"/>
      <c r="G10" s="296"/>
      <c r="H10" s="300"/>
      <c r="I10" s="301"/>
      <c r="M10" s="559">
        <f>N9</f>
        <v>0</v>
      </c>
      <c r="N10" s="560"/>
      <c r="O10" s="539" t="str">
        <f t="shared" si="1"/>
        <v/>
      </c>
      <c r="P10" s="528"/>
      <c r="Q10" s="529"/>
      <c r="R10" s="507"/>
      <c r="S10" s="523" t="str">
        <f t="shared" si="2"/>
        <v/>
      </c>
    </row>
    <row r="11" spans="1:19" ht="16.5" customHeight="1" thickBot="1">
      <c r="A11" s="697"/>
      <c r="B11" s="17" t="str">
        <f t="shared" si="0"/>
        <v/>
      </c>
      <c r="C11" s="447"/>
      <c r="D11" s="293"/>
      <c r="E11" s="299"/>
      <c r="F11" s="295"/>
      <c r="G11" s="296"/>
      <c r="H11" s="300"/>
      <c r="I11" s="301"/>
      <c r="M11" s="559">
        <f>N10</f>
        <v>0</v>
      </c>
      <c r="N11" s="560"/>
      <c r="O11" s="539" t="str">
        <f t="shared" si="1"/>
        <v/>
      </c>
      <c r="P11" s="528"/>
      <c r="Q11" s="529"/>
      <c r="R11" s="507"/>
      <c r="S11" s="523" t="str">
        <f t="shared" si="2"/>
        <v/>
      </c>
    </row>
    <row r="12" spans="1:19" ht="16.5" customHeight="1" thickBot="1">
      <c r="A12" s="697"/>
      <c r="B12" s="17" t="str">
        <f t="shared" si="0"/>
        <v/>
      </c>
      <c r="C12" s="447"/>
      <c r="D12" s="293"/>
      <c r="E12" s="299"/>
      <c r="F12" s="295"/>
      <c r="G12" s="296"/>
      <c r="H12" s="300"/>
      <c r="I12" s="301"/>
      <c r="J12" s="700" t="s">
        <v>48</v>
      </c>
      <c r="K12" s="701"/>
      <c r="M12" s="559">
        <f>N11</f>
        <v>0</v>
      </c>
      <c r="N12" s="560"/>
      <c r="O12" s="539" t="str">
        <f t="shared" si="1"/>
        <v/>
      </c>
      <c r="P12" s="528"/>
      <c r="Q12" s="529"/>
      <c r="R12" s="507"/>
      <c r="S12" s="523" t="str">
        <f t="shared" si="2"/>
        <v/>
      </c>
    </row>
    <row r="13" spans="1:19" ht="16.5" customHeight="1" thickBot="1">
      <c r="A13" s="697"/>
      <c r="B13" s="17" t="str">
        <f t="shared" si="0"/>
        <v/>
      </c>
      <c r="C13" s="447"/>
      <c r="D13" s="293"/>
      <c r="E13" s="299"/>
      <c r="F13" s="295"/>
      <c r="G13" s="296"/>
      <c r="H13" s="300"/>
      <c r="I13" s="301"/>
      <c r="J13" s="700" t="s">
        <v>49</v>
      </c>
      <c r="K13" s="701"/>
      <c r="M13" s="559">
        <f>N12</f>
        <v>0</v>
      </c>
      <c r="N13" s="560"/>
      <c r="O13" s="539" t="str">
        <f t="shared" si="1"/>
        <v/>
      </c>
      <c r="P13" s="528"/>
      <c r="Q13" s="529"/>
      <c r="R13" s="507"/>
      <c r="S13" s="523" t="str">
        <f t="shared" si="2"/>
        <v/>
      </c>
    </row>
    <row r="14" spans="1:19" ht="17.25" customHeight="1" thickBot="1">
      <c r="A14" s="697"/>
      <c r="B14" s="17" t="str">
        <f t="shared" si="0"/>
        <v/>
      </c>
      <c r="C14" s="447"/>
      <c r="D14" s="293"/>
      <c r="E14" s="299"/>
      <c r="F14" s="295"/>
      <c r="G14" s="296"/>
      <c r="H14" s="300"/>
      <c r="I14" s="301"/>
      <c r="J14" s="700" t="s">
        <v>404</v>
      </c>
      <c r="K14" s="701"/>
      <c r="M14" s="559">
        <f t="shared" ref="M14:M21" si="3">N13</f>
        <v>0</v>
      </c>
      <c r="N14" s="560"/>
      <c r="O14" s="539" t="str">
        <f t="shared" si="1"/>
        <v/>
      </c>
      <c r="P14" s="528"/>
      <c r="Q14" s="529"/>
      <c r="R14" s="507"/>
      <c r="S14" s="523" t="str">
        <f t="shared" si="2"/>
        <v/>
      </c>
    </row>
    <row r="15" spans="1:19" ht="16.5" customHeight="1" thickBot="1">
      <c r="A15" s="697"/>
      <c r="B15" s="17" t="str">
        <f t="shared" si="0"/>
        <v/>
      </c>
      <c r="C15" s="447"/>
      <c r="D15" s="293"/>
      <c r="E15" s="299"/>
      <c r="F15" s="295"/>
      <c r="G15" s="296"/>
      <c r="H15" s="300"/>
      <c r="I15" s="301"/>
      <c r="J15" s="700" t="s">
        <v>62</v>
      </c>
      <c r="K15" s="701"/>
      <c r="M15" s="559">
        <f t="shared" si="3"/>
        <v>0</v>
      </c>
      <c r="N15" s="560"/>
      <c r="O15" s="539" t="str">
        <f t="shared" si="1"/>
        <v/>
      </c>
      <c r="P15" s="528"/>
      <c r="Q15" s="529"/>
      <c r="R15" s="507"/>
      <c r="S15" s="523" t="str">
        <f t="shared" si="2"/>
        <v/>
      </c>
    </row>
    <row r="16" spans="1:19" ht="16.5" customHeight="1" thickBot="1">
      <c r="A16" s="697"/>
      <c r="B16" s="17" t="str">
        <f t="shared" si="0"/>
        <v/>
      </c>
      <c r="C16" s="447"/>
      <c r="D16" s="293"/>
      <c r="E16" s="299"/>
      <c r="F16" s="295"/>
      <c r="G16" s="296"/>
      <c r="H16" s="300"/>
      <c r="I16" s="301"/>
      <c r="J16" s="700" t="s">
        <v>405</v>
      </c>
      <c r="K16" s="701"/>
      <c r="M16" s="559">
        <f t="shared" si="3"/>
        <v>0</v>
      </c>
      <c r="N16" s="560"/>
      <c r="O16" s="539" t="str">
        <f t="shared" si="1"/>
        <v/>
      </c>
      <c r="P16" s="528"/>
      <c r="Q16" s="529"/>
      <c r="R16" s="507"/>
      <c r="S16" s="523" t="str">
        <f t="shared" si="2"/>
        <v/>
      </c>
    </row>
    <row r="17" spans="1:19" ht="16.5" customHeight="1" thickBot="1">
      <c r="A17" s="697"/>
      <c r="B17" s="17" t="str">
        <f t="shared" si="0"/>
        <v/>
      </c>
      <c r="C17" s="447"/>
      <c r="D17" s="293"/>
      <c r="E17" s="299"/>
      <c r="F17" s="295"/>
      <c r="G17" s="296"/>
      <c r="H17" s="300"/>
      <c r="I17" s="301"/>
      <c r="J17" s="700" t="s">
        <v>51</v>
      </c>
      <c r="K17" s="701"/>
      <c r="M17" s="559">
        <f t="shared" si="3"/>
        <v>0</v>
      </c>
      <c r="N17" s="560"/>
      <c r="O17" s="539" t="str">
        <f t="shared" si="1"/>
        <v/>
      </c>
      <c r="P17" s="528"/>
      <c r="Q17" s="529"/>
      <c r="R17" s="507"/>
      <c r="S17" s="523" t="str">
        <f t="shared" si="2"/>
        <v/>
      </c>
    </row>
    <row r="18" spans="1:19" ht="16.5" customHeight="1" thickBot="1">
      <c r="A18" s="697"/>
      <c r="B18" s="17" t="str">
        <f t="shared" si="0"/>
        <v/>
      </c>
      <c r="C18" s="447"/>
      <c r="D18" s="293"/>
      <c r="E18" s="299"/>
      <c r="F18" s="295"/>
      <c r="G18" s="296"/>
      <c r="H18" s="300"/>
      <c r="I18" s="301"/>
      <c r="J18" s="700" t="s">
        <v>19</v>
      </c>
      <c r="K18" s="701"/>
      <c r="M18" s="559">
        <f t="shared" si="3"/>
        <v>0</v>
      </c>
      <c r="N18" s="560"/>
      <c r="O18" s="539" t="str">
        <f t="shared" si="1"/>
        <v/>
      </c>
      <c r="P18" s="528"/>
      <c r="Q18" s="529"/>
      <c r="R18" s="507"/>
      <c r="S18" s="523" t="str">
        <f t="shared" si="2"/>
        <v/>
      </c>
    </row>
    <row r="19" spans="1:19" ht="16.5" customHeight="1" thickBot="1">
      <c r="A19" s="697"/>
      <c r="B19" s="17" t="str">
        <f t="shared" si="0"/>
        <v/>
      </c>
      <c r="C19" s="447"/>
      <c r="D19" s="293"/>
      <c r="E19" s="299"/>
      <c r="F19" s="295"/>
      <c r="G19" s="296"/>
      <c r="H19" s="300"/>
      <c r="I19" s="301"/>
      <c r="J19" s="700" t="s">
        <v>20</v>
      </c>
      <c r="K19" s="701"/>
      <c r="M19" s="559">
        <f t="shared" si="3"/>
        <v>0</v>
      </c>
      <c r="N19" s="560"/>
      <c r="O19" s="539" t="str">
        <f t="shared" si="1"/>
        <v/>
      </c>
      <c r="P19" s="528"/>
      <c r="Q19" s="529"/>
      <c r="R19" s="507"/>
      <c r="S19" s="523" t="str">
        <f t="shared" ref="S19:S21" si="4">IF(P19="","",Q19/P19)</f>
        <v/>
      </c>
    </row>
    <row r="20" spans="1:19" ht="16.5" customHeight="1" thickBot="1">
      <c r="A20" s="697"/>
      <c r="B20" s="17" t="str">
        <f t="shared" si="0"/>
        <v/>
      </c>
      <c r="C20" s="447"/>
      <c r="D20" s="293"/>
      <c r="E20" s="299"/>
      <c r="F20" s="295"/>
      <c r="G20" s="296"/>
      <c r="H20" s="300"/>
      <c r="I20" s="301"/>
      <c r="J20" s="700" t="s">
        <v>21</v>
      </c>
      <c r="K20" s="701"/>
      <c r="M20" s="559">
        <f t="shared" si="3"/>
        <v>0</v>
      </c>
      <c r="N20" s="560"/>
      <c r="O20" s="539" t="str">
        <f t="shared" si="1"/>
        <v/>
      </c>
      <c r="P20" s="528"/>
      <c r="Q20" s="529"/>
      <c r="R20" s="507"/>
      <c r="S20" s="523" t="str">
        <f t="shared" si="4"/>
        <v/>
      </c>
    </row>
    <row r="21" spans="1:19" ht="16.5" customHeight="1" thickBot="1">
      <c r="A21" s="697"/>
      <c r="B21" s="17" t="str">
        <f t="shared" si="0"/>
        <v/>
      </c>
      <c r="C21" s="447"/>
      <c r="D21" s="293"/>
      <c r="E21" s="299"/>
      <c r="F21" s="295"/>
      <c r="G21" s="296"/>
      <c r="H21" s="300"/>
      <c r="I21" s="301"/>
      <c r="J21" s="700" t="s">
        <v>22</v>
      </c>
      <c r="K21" s="701"/>
      <c r="M21" s="561">
        <f t="shared" si="3"/>
        <v>0</v>
      </c>
      <c r="N21" s="562"/>
      <c r="O21" s="540" t="str">
        <f t="shared" si="1"/>
        <v/>
      </c>
      <c r="P21" s="534"/>
      <c r="Q21" s="535"/>
      <c r="R21" s="536"/>
      <c r="S21" s="537" t="str">
        <f t="shared" si="4"/>
        <v/>
      </c>
    </row>
    <row r="22" spans="1:19" ht="16.5" customHeight="1" thickTop="1" thickBot="1">
      <c r="A22" s="697"/>
      <c r="B22" s="17" t="str">
        <f t="shared" si="0"/>
        <v/>
      </c>
      <c r="C22" s="447"/>
      <c r="D22" s="293"/>
      <c r="E22" s="299"/>
      <c r="F22" s="295"/>
      <c r="G22" s="296"/>
      <c r="H22" s="300"/>
      <c r="I22" s="301"/>
      <c r="J22" s="700" t="s">
        <v>23</v>
      </c>
      <c r="K22" s="701"/>
      <c r="M22" s="564">
        <f>M8</f>
        <v>42082</v>
      </c>
      <c r="N22" s="563">
        <f>M22+O22</f>
        <v>42082</v>
      </c>
      <c r="O22" s="541">
        <f>SUM(O8:O21)</f>
        <v>0</v>
      </c>
      <c r="P22" s="524">
        <f>SUM(P8:P21)</f>
        <v>60.21</v>
      </c>
      <c r="Q22" s="525">
        <f>SUM(Q8:Q21)</f>
        <v>74</v>
      </c>
      <c r="R22" s="526" t="e">
        <f>(P22*100)/O22</f>
        <v>#DIV/0!</v>
      </c>
      <c r="S22" s="527">
        <f>IF(P22="","",Q22/P22)</f>
        <v>1.2290317223052649</v>
      </c>
    </row>
    <row r="23" spans="1:19" ht="16.5" customHeight="1" thickBot="1">
      <c r="A23" s="697"/>
      <c r="B23" s="17" t="str">
        <f t="shared" si="0"/>
        <v/>
      </c>
      <c r="C23" s="447"/>
      <c r="D23" s="293"/>
      <c r="E23" s="299"/>
      <c r="F23" s="295"/>
      <c r="G23" s="296"/>
      <c r="H23" s="300"/>
      <c r="I23" s="301"/>
      <c r="J23" s="700" t="s">
        <v>24</v>
      </c>
      <c r="K23" s="701"/>
    </row>
    <row r="24" spans="1:19" ht="16.5" customHeight="1" thickBot="1">
      <c r="A24" s="697"/>
      <c r="B24" s="17" t="str">
        <f t="shared" si="0"/>
        <v/>
      </c>
      <c r="C24" s="447"/>
      <c r="D24" s="293"/>
      <c r="E24" s="299"/>
      <c r="F24" s="295"/>
      <c r="G24" s="296"/>
      <c r="H24" s="300"/>
      <c r="I24" s="301"/>
      <c r="J24" s="700" t="s">
        <v>17</v>
      </c>
      <c r="K24" s="701"/>
    </row>
    <row r="25" spans="1:19" ht="16.5" customHeight="1" thickBot="1">
      <c r="A25" s="697"/>
      <c r="B25" s="17" t="str">
        <f t="shared" si="0"/>
        <v/>
      </c>
      <c r="C25" s="447"/>
      <c r="D25" s="293"/>
      <c r="E25" s="299"/>
      <c r="F25" s="295"/>
      <c r="G25" s="296"/>
      <c r="H25" s="300"/>
      <c r="I25" s="301"/>
      <c r="J25" s="700" t="s">
        <v>18</v>
      </c>
      <c r="K25" s="701"/>
    </row>
    <row r="26" spans="1:19" ht="16.5" customHeight="1">
      <c r="A26" s="697"/>
      <c r="B26" s="17" t="str">
        <f t="shared" si="0"/>
        <v/>
      </c>
      <c r="C26" s="447"/>
      <c r="D26" s="293"/>
      <c r="E26" s="299"/>
      <c r="F26" s="295"/>
      <c r="G26" s="296"/>
      <c r="H26" s="300"/>
      <c r="I26" s="301"/>
    </row>
    <row r="27" spans="1:19" ht="16.5" customHeight="1">
      <c r="A27" s="697"/>
      <c r="B27" s="17" t="str">
        <f t="shared" si="0"/>
        <v/>
      </c>
      <c r="C27" s="447"/>
      <c r="D27" s="293"/>
      <c r="E27" s="299"/>
      <c r="F27" s="295"/>
      <c r="G27" s="296"/>
      <c r="H27" s="300"/>
      <c r="I27" s="301"/>
    </row>
    <row r="28" spans="1:19" ht="16.5" customHeight="1">
      <c r="A28" s="697"/>
      <c r="B28" s="17" t="str">
        <f t="shared" si="0"/>
        <v/>
      </c>
      <c r="C28" s="447"/>
      <c r="D28" s="293"/>
      <c r="E28" s="299"/>
      <c r="F28" s="295"/>
      <c r="G28" s="296"/>
      <c r="H28" s="300"/>
      <c r="I28" s="301"/>
    </row>
    <row r="29" spans="1:19" ht="17.25" customHeight="1" thickBot="1">
      <c r="A29" s="697"/>
      <c r="B29" s="284" t="str">
        <f t="shared" si="0"/>
        <v/>
      </c>
      <c r="C29" s="448"/>
      <c r="D29" s="302"/>
      <c r="E29" s="303"/>
      <c r="F29" s="295"/>
      <c r="G29" s="296"/>
      <c r="H29" s="304"/>
      <c r="I29" s="305"/>
    </row>
    <row r="30" spans="1:19" ht="16.5" customHeight="1" thickBot="1">
      <c r="A30" s="554" t="s">
        <v>473</v>
      </c>
      <c r="B30" s="720" t="str">
        <f>IF(C7="","Etat néant pour le mois en cours","")</f>
        <v>Etat néant pour le mois en cours</v>
      </c>
      <c r="C30" s="721"/>
      <c r="D30" s="721"/>
      <c r="E30" s="721"/>
      <c r="F30" s="722"/>
      <c r="G30" s="723"/>
      <c r="H30" s="275">
        <f>SUM(H7:H29)</f>
        <v>0</v>
      </c>
      <c r="I30" s="276">
        <f>SUM(I7:I29)</f>
        <v>0</v>
      </c>
    </row>
    <row r="31" spans="1:19" ht="15" customHeight="1" thickBot="1">
      <c r="A31" s="556" t="e">
        <f>R22</f>
        <v>#DIV/0!</v>
      </c>
      <c r="B31" s="724"/>
      <c r="C31" s="721"/>
      <c r="D31" s="721"/>
      <c r="E31" s="721"/>
      <c r="F31" s="721"/>
      <c r="G31" s="725"/>
      <c r="H31" s="729" t="str">
        <f>MCVS!E9</f>
        <v>GUIN-Maurice</v>
      </c>
      <c r="I31" s="730"/>
    </row>
    <row r="32" spans="1:19" ht="15" customHeight="1" thickTop="1">
      <c r="A32" s="555" t="s">
        <v>474</v>
      </c>
      <c r="B32" s="724"/>
      <c r="C32" s="721"/>
      <c r="D32" s="721"/>
      <c r="E32" s="721"/>
      <c r="F32" s="721"/>
      <c r="G32" s="725"/>
      <c r="H32" s="731"/>
      <c r="I32" s="732"/>
    </row>
    <row r="33" spans="1:9" ht="15.75" customHeight="1" thickBot="1">
      <c r="A33" s="553">
        <f>S22</f>
        <v>1.2290317223052649</v>
      </c>
      <c r="B33" s="726"/>
      <c r="C33" s="727"/>
      <c r="D33" s="727"/>
      <c r="E33" s="727"/>
      <c r="F33" s="727"/>
      <c r="G33" s="728"/>
      <c r="H33" s="733"/>
      <c r="I33" s="734"/>
    </row>
    <row r="35" spans="1:9">
      <c r="A35" s="704" t="str">
        <f ca="1">TEXT(MCVS!P59,"Texte")</f>
        <v>Recapitulatif Frais GUIN-Maurice novembre-2014</v>
      </c>
      <c r="B35" s="704"/>
      <c r="C35" s="704"/>
      <c r="D35" s="704"/>
      <c r="E35" s="704"/>
      <c r="F35" s="704"/>
      <c r="G35" s="704"/>
      <c r="H35" s="704"/>
      <c r="I35" s="704"/>
    </row>
  </sheetData>
  <sheetProtection password="ECFA" sheet="1" objects="1" scenarios="1" selectLockedCells="1"/>
  <mergeCells count="32">
    <mergeCell ref="R6:S6"/>
    <mergeCell ref="A35:I35"/>
    <mergeCell ref="B1:F1"/>
    <mergeCell ref="A4:A6"/>
    <mergeCell ref="B4:I4"/>
    <mergeCell ref="D2:G2"/>
    <mergeCell ref="H2:I2"/>
    <mergeCell ref="E5:E6"/>
    <mergeCell ref="F5:F6"/>
    <mergeCell ref="B30:G33"/>
    <mergeCell ref="H31:I33"/>
    <mergeCell ref="B5:C6"/>
    <mergeCell ref="D5:D6"/>
    <mergeCell ref="G5:H5"/>
    <mergeCell ref="J25:K25"/>
    <mergeCell ref="M6:Q6"/>
    <mergeCell ref="N4:S4"/>
    <mergeCell ref="A7:A29"/>
    <mergeCell ref="I5:I6"/>
    <mergeCell ref="J18:K18"/>
    <mergeCell ref="J23:K23"/>
    <mergeCell ref="J24:K24"/>
    <mergeCell ref="J14:K14"/>
    <mergeCell ref="J15:K15"/>
    <mergeCell ref="J16:K16"/>
    <mergeCell ref="J17:K17"/>
    <mergeCell ref="J12:K12"/>
    <mergeCell ref="J13:K13"/>
    <mergeCell ref="J19:K19"/>
    <mergeCell ref="J20:K20"/>
    <mergeCell ref="J21:K21"/>
    <mergeCell ref="J22:K22"/>
  </mergeCells>
  <conditionalFormatting sqref="O8:O22">
    <cfRule type="cellIs" dxfId="70" priority="3" operator="equal">
      <formula>0</formula>
    </cfRule>
  </conditionalFormatting>
  <conditionalFormatting sqref="M9:M22">
    <cfRule type="cellIs" dxfId="69" priority="1" operator="equal">
      <formula>0</formula>
    </cfRule>
  </conditionalFormatting>
  <dataValidations count="3">
    <dataValidation type="list" allowBlank="1" showInputMessage="1" showErrorMessage="1" sqref="C7:C29">
      <formula1>Date2</formula1>
    </dataValidation>
    <dataValidation type="list" allowBlank="1" showInputMessage="1" showErrorMessage="1" sqref="E7:E29">
      <formula1>ville2</formula1>
    </dataValidation>
    <dataValidation type="list" allowBlank="1" showInputMessage="1" showErrorMessage="1" sqref="D7:D29">
      <formula1>Nfrais</formula1>
    </dataValidation>
  </dataValidation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P511"/>
  <sheetViews>
    <sheetView workbookViewId="0">
      <selection activeCell="C12" sqref="C12"/>
    </sheetView>
  </sheetViews>
  <sheetFormatPr baseColWidth="10" defaultRowHeight="15"/>
  <cols>
    <col min="1" max="1" width="10.5703125" style="376" customWidth="1"/>
    <col min="2" max="2" width="23.28515625" style="376" customWidth="1"/>
    <col min="3" max="4" width="34.28515625" style="376" customWidth="1"/>
    <col min="5" max="11" width="9.7109375" style="376" customWidth="1"/>
    <col min="12" max="12" width="7.7109375" style="376" customWidth="1"/>
    <col min="13" max="13" width="13.140625" style="376" customWidth="1"/>
    <col min="14" max="14" width="10.7109375" style="376" customWidth="1"/>
    <col min="15" max="15" width="14.7109375" style="381" customWidth="1"/>
    <col min="16" max="16" width="14.7109375" style="8" customWidth="1"/>
    <col min="17" max="17" width="11.42578125" style="8"/>
    <col min="18" max="18" width="17.42578125" style="8" bestFit="1" customWidth="1"/>
    <col min="19" max="27" width="11.42578125" style="8"/>
    <col min="28" max="28" width="22.140625" style="8" bestFit="1" customWidth="1"/>
    <col min="29" max="16384" width="11.42578125" style="8"/>
  </cols>
  <sheetData>
    <row r="1" spans="1:42" ht="35.25">
      <c r="A1" s="361" t="s">
        <v>0</v>
      </c>
      <c r="B1" s="362" t="str">
        <f>MCVS!E9</f>
        <v>GUIN-Maurice</v>
      </c>
      <c r="C1" s="809" t="s">
        <v>1</v>
      </c>
      <c r="D1" s="809"/>
      <c r="E1" s="810"/>
      <c r="F1" s="810"/>
      <c r="G1" s="810"/>
      <c r="H1" s="382"/>
      <c r="I1" s="382"/>
      <c r="J1" s="382"/>
      <c r="K1" s="363"/>
      <c r="L1" s="364"/>
      <c r="M1" s="364"/>
      <c r="N1" s="363"/>
      <c r="O1" s="23"/>
      <c r="P1" s="2"/>
    </row>
    <row r="2" spans="1:42" ht="21.75" customHeight="1">
      <c r="A2" s="365" t="s">
        <v>2</v>
      </c>
      <c r="B2" s="366" t="str">
        <f>MCVS!E10</f>
        <v>!Ligne2</v>
      </c>
      <c r="C2" s="810"/>
      <c r="D2" s="810"/>
      <c r="E2" s="810"/>
      <c r="F2" s="810"/>
      <c r="G2" s="810"/>
      <c r="H2" s="382"/>
      <c r="I2" s="382"/>
      <c r="J2" s="382"/>
      <c r="K2" s="367" t="s">
        <v>3</v>
      </c>
      <c r="L2" s="811">
        <f ca="1">MCVS!N7</f>
        <v>41952</v>
      </c>
      <c r="M2" s="811"/>
      <c r="N2" s="811"/>
      <c r="O2" s="4" t="s">
        <v>4</v>
      </c>
      <c r="P2" s="5">
        <f ca="1">MCVS!N4</f>
        <v>2014</v>
      </c>
    </row>
    <row r="3" spans="1:42" ht="16.5" thickBot="1">
      <c r="A3" s="368"/>
      <c r="B3" s="365"/>
      <c r="C3" s="812" t="s">
        <v>5</v>
      </c>
      <c r="D3" s="812"/>
      <c r="E3" s="813"/>
      <c r="F3" s="813"/>
      <c r="G3" s="814"/>
      <c r="H3" s="383"/>
      <c r="I3" s="383"/>
      <c r="J3" s="383"/>
      <c r="K3" s="369"/>
      <c r="L3" s="364"/>
      <c r="M3" s="364"/>
      <c r="N3" s="370"/>
      <c r="O3" s="7" t="s">
        <v>6</v>
      </c>
      <c r="P3" s="268">
        <f ca="1">MCVS!O11</f>
        <v>44</v>
      </c>
    </row>
    <row r="4" spans="1:42" ht="15" customHeight="1">
      <c r="A4" s="790" t="s">
        <v>7</v>
      </c>
      <c r="B4" s="793" t="s">
        <v>8</v>
      </c>
      <c r="C4" s="793" t="s">
        <v>369</v>
      </c>
      <c r="D4" s="817" t="s">
        <v>477</v>
      </c>
      <c r="E4" s="790" t="s">
        <v>12</v>
      </c>
      <c r="F4" s="793" t="s">
        <v>409</v>
      </c>
      <c r="G4" s="793" t="s">
        <v>410</v>
      </c>
      <c r="H4" s="796" t="s">
        <v>47</v>
      </c>
      <c r="I4" s="790" t="s">
        <v>9</v>
      </c>
      <c r="J4" s="793" t="s">
        <v>10</v>
      </c>
      <c r="K4" s="796" t="s">
        <v>11</v>
      </c>
      <c r="L4" s="790" t="s">
        <v>13</v>
      </c>
      <c r="M4" s="820" t="s">
        <v>418</v>
      </c>
      <c r="N4" s="796" t="s">
        <v>15</v>
      </c>
      <c r="O4" s="801" t="s">
        <v>16</v>
      </c>
      <c r="P4" s="802"/>
      <c r="R4" s="22"/>
    </row>
    <row r="5" spans="1:42">
      <c r="A5" s="791"/>
      <c r="B5" s="794"/>
      <c r="C5" s="815"/>
      <c r="D5" s="818"/>
      <c r="E5" s="791"/>
      <c r="F5" s="794"/>
      <c r="G5" s="794"/>
      <c r="H5" s="797"/>
      <c r="I5" s="791"/>
      <c r="J5" s="794"/>
      <c r="K5" s="797"/>
      <c r="L5" s="791"/>
      <c r="M5" s="821"/>
      <c r="N5" s="797"/>
      <c r="O5" s="803"/>
      <c r="P5" s="804"/>
    </row>
    <row r="6" spans="1:42" ht="16.5" thickBot="1">
      <c r="A6" s="792"/>
      <c r="B6" s="795"/>
      <c r="C6" s="816"/>
      <c r="D6" s="819"/>
      <c r="E6" s="792"/>
      <c r="F6" s="795"/>
      <c r="G6" s="795"/>
      <c r="H6" s="798"/>
      <c r="I6" s="792"/>
      <c r="J6" s="795"/>
      <c r="K6" s="798"/>
      <c r="L6" s="799"/>
      <c r="M6" s="821"/>
      <c r="N6" s="800"/>
      <c r="O6" s="805"/>
      <c r="P6" s="806"/>
      <c r="Q6" s="449"/>
    </row>
    <row r="7" spans="1:42" s="360" customFormat="1" ht="15.75">
      <c r="A7" s="401"/>
      <c r="B7" s="402"/>
      <c r="C7" s="403"/>
      <c r="D7" s="404"/>
      <c r="E7" s="405"/>
      <c r="F7" s="406"/>
      <c r="G7" s="395" t="str">
        <f>IF(SUM($F7-$E7)=0,"",$F7-$E7)</f>
        <v/>
      </c>
      <c r="H7" s="542" t="str">
        <f>IF($G7="","",IF($D7=MCVS!$O$34,$G7-MCVS!$D$13,IF($D7=MCVS!$O$38,$G7-MCVS!$D$13,$G7)))</f>
        <v/>
      </c>
      <c r="I7" s="393">
        <f>MCVS!D10</f>
        <v>1</v>
      </c>
      <c r="J7" s="415"/>
      <c r="K7" s="450" t="str">
        <f>IF($J7=0,"",$J7-$I7)</f>
        <v/>
      </c>
      <c r="L7" s="418"/>
      <c r="M7" s="419"/>
      <c r="N7" s="420"/>
      <c r="O7" s="807" t="s">
        <v>48</v>
      </c>
      <c r="P7" s="808"/>
      <c r="Q7" s="449"/>
      <c r="R7" s="22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42" ht="15.75">
      <c r="A8" s="407"/>
      <c r="B8" s="408"/>
      <c r="C8" s="409"/>
      <c r="D8" s="404"/>
      <c r="E8" s="410"/>
      <c r="F8" s="411"/>
      <c r="G8" s="396" t="str">
        <f>IF(SUM($F8-$E8)=0,"",$F8-$E8)</f>
        <v/>
      </c>
      <c r="H8" s="543" t="str">
        <f>IF($G8="","",IF($D8=MCVS!$O$34,$G8-MCVS!$D$13,IF($D8=MCVS!$O$38,$G8-MCVS!$D$13,$G8)))</f>
        <v/>
      </c>
      <c r="I8" s="394" t="str">
        <f>IF(A8&gt;0,IF(J7="",J6,J7),"")</f>
        <v/>
      </c>
      <c r="J8" s="416"/>
      <c r="K8" s="451" t="str">
        <f>IF($J8=0,"",$J8-$I8)</f>
        <v/>
      </c>
      <c r="L8" s="421"/>
      <c r="M8" s="422"/>
      <c r="N8" s="423"/>
      <c r="O8" s="782" t="s">
        <v>49</v>
      </c>
      <c r="P8" s="783"/>
      <c r="Q8" s="449"/>
    </row>
    <row r="9" spans="1:42" ht="15" customHeight="1">
      <c r="A9" s="412"/>
      <c r="B9" s="409"/>
      <c r="C9" s="409"/>
      <c r="D9" s="404"/>
      <c r="E9" s="410"/>
      <c r="F9" s="411"/>
      <c r="G9" s="396" t="str">
        <f t="shared" ref="G9:G62" si="0">IF(SUM($F9-$E9)=0,"",$F9-$E9)</f>
        <v/>
      </c>
      <c r="H9" s="543" t="str">
        <f>IF($G9="","",IF($D9=MCVS!$O$34,$G9-MCVS!$D$13,IF($D9=MCVS!$O$38,$G9-MCVS!$D$13,$G9)))</f>
        <v/>
      </c>
      <c r="I9" s="394" t="str">
        <f t="shared" ref="I9:I62" si="1">IF(A9&gt;0,IF(J8="",J7,J8),"")</f>
        <v/>
      </c>
      <c r="J9" s="416"/>
      <c r="K9" s="451" t="str">
        <f t="shared" ref="K9:K62" si="2">IF($J9=0,"",$J9-$I9)</f>
        <v/>
      </c>
      <c r="L9" s="421"/>
      <c r="M9" s="422"/>
      <c r="N9" s="423"/>
      <c r="O9" s="782" t="s">
        <v>404</v>
      </c>
      <c r="P9" s="783"/>
      <c r="Q9" s="449"/>
      <c r="R9" s="449"/>
      <c r="S9" s="449"/>
      <c r="T9" s="449"/>
      <c r="U9" s="449"/>
    </row>
    <row r="10" spans="1:42" ht="15" customHeight="1">
      <c r="A10" s="407"/>
      <c r="B10" s="409"/>
      <c r="C10" s="409"/>
      <c r="D10" s="404"/>
      <c r="E10" s="410"/>
      <c r="F10" s="411"/>
      <c r="G10" s="396" t="str">
        <f t="shared" si="0"/>
        <v/>
      </c>
      <c r="H10" s="543" t="str">
        <f>IF($G10="","",IF($D10=MCVS!$O$34,$G10-MCVS!$D$13,IF($D10=MCVS!$O$38,$G10-MCVS!$D$13,$G10)))</f>
        <v/>
      </c>
      <c r="I10" s="394" t="str">
        <f t="shared" si="1"/>
        <v/>
      </c>
      <c r="J10" s="416"/>
      <c r="K10" s="451" t="str">
        <f t="shared" si="2"/>
        <v/>
      </c>
      <c r="L10" s="421"/>
      <c r="M10" s="422"/>
      <c r="N10" s="423"/>
      <c r="O10" s="780" t="s">
        <v>62</v>
      </c>
      <c r="P10" s="781"/>
      <c r="Q10" s="449"/>
      <c r="R10" s="449"/>
      <c r="S10" s="449"/>
      <c r="T10" s="449"/>
      <c r="U10" s="449"/>
    </row>
    <row r="11" spans="1:42" ht="15" customHeight="1">
      <c r="A11" s="407"/>
      <c r="B11" s="409"/>
      <c r="C11" s="409"/>
      <c r="D11" s="404"/>
      <c r="E11" s="410"/>
      <c r="F11" s="411"/>
      <c r="G11" s="396" t="str">
        <f t="shared" si="0"/>
        <v/>
      </c>
      <c r="H11" s="543" t="str">
        <f>IF($G11="","",IF($D11=MCVS!$O$34,$G11-MCVS!$D$13,IF($D11=MCVS!$O$38,$G11-MCVS!$D$13,$G11)))</f>
        <v/>
      </c>
      <c r="I11" s="394" t="str">
        <f t="shared" si="1"/>
        <v/>
      </c>
      <c r="J11" s="416"/>
      <c r="K11" s="451" t="str">
        <f t="shared" si="2"/>
        <v/>
      </c>
      <c r="L11" s="421"/>
      <c r="M11" s="422"/>
      <c r="N11" s="423"/>
      <c r="O11" s="782" t="s">
        <v>405</v>
      </c>
      <c r="P11" s="783"/>
      <c r="Q11" s="449"/>
      <c r="R11" s="449"/>
      <c r="S11" s="449"/>
      <c r="T11" s="449"/>
      <c r="U11" s="449"/>
    </row>
    <row r="12" spans="1:42" ht="15" customHeight="1">
      <c r="A12" s="407"/>
      <c r="B12" s="409"/>
      <c r="C12" s="409"/>
      <c r="D12" s="404"/>
      <c r="E12" s="410"/>
      <c r="F12" s="411"/>
      <c r="G12" s="396" t="str">
        <f t="shared" si="0"/>
        <v/>
      </c>
      <c r="H12" s="543" t="str">
        <f>IF($G12="","",IF($D12=MCVS!$O$34,$G12-MCVS!$D$13,IF($D12=MCVS!$O$38,$G12-MCVS!$D$13,$G12)))</f>
        <v/>
      </c>
      <c r="I12" s="394" t="str">
        <f t="shared" si="1"/>
        <v/>
      </c>
      <c r="J12" s="416"/>
      <c r="K12" s="451" t="str">
        <f t="shared" si="2"/>
        <v/>
      </c>
      <c r="L12" s="421"/>
      <c r="M12" s="422"/>
      <c r="N12" s="423"/>
      <c r="O12" s="780" t="s">
        <v>51</v>
      </c>
      <c r="P12" s="781"/>
      <c r="Q12" s="449"/>
      <c r="R12" s="449"/>
      <c r="S12" s="449"/>
      <c r="T12" s="449"/>
      <c r="U12" s="449"/>
    </row>
    <row r="13" spans="1:42" ht="15" customHeight="1">
      <c r="A13" s="407"/>
      <c r="B13" s="409"/>
      <c r="C13" s="409"/>
      <c r="D13" s="404"/>
      <c r="E13" s="410"/>
      <c r="F13" s="411"/>
      <c r="G13" s="396" t="str">
        <f t="shared" si="0"/>
        <v/>
      </c>
      <c r="H13" s="543" t="str">
        <f>IF($G13="","",IF($D13=MCVS!$O$34,$G13-MCVS!$D$13,IF($D13=MCVS!$O$38,$G13-MCVS!$D$13,$G13)))</f>
        <v/>
      </c>
      <c r="I13" s="394" t="str">
        <f t="shared" si="1"/>
        <v/>
      </c>
      <c r="J13" s="416"/>
      <c r="K13" s="451" t="str">
        <f t="shared" si="2"/>
        <v/>
      </c>
      <c r="L13" s="421"/>
      <c r="M13" s="422"/>
      <c r="N13" s="423"/>
      <c r="O13" s="782" t="s">
        <v>19</v>
      </c>
      <c r="P13" s="783"/>
      <c r="Q13" s="449"/>
      <c r="R13" s="449"/>
      <c r="S13" s="449"/>
      <c r="T13" s="449"/>
      <c r="U13" s="449"/>
    </row>
    <row r="14" spans="1:42" ht="15" customHeight="1">
      <c r="A14" s="407"/>
      <c r="B14" s="409"/>
      <c r="C14" s="409"/>
      <c r="D14" s="404"/>
      <c r="E14" s="410"/>
      <c r="F14" s="411"/>
      <c r="G14" s="396" t="str">
        <f t="shared" si="0"/>
        <v/>
      </c>
      <c r="H14" s="543" t="str">
        <f>IF($G14="","",IF($D14=MCVS!$O$34,$G14-MCVS!$D$13,IF($D14=MCVS!$O$38,$G14-MCVS!$D$13,$G14)))</f>
        <v/>
      </c>
      <c r="I14" s="394" t="str">
        <f t="shared" si="1"/>
        <v/>
      </c>
      <c r="J14" s="416"/>
      <c r="K14" s="451" t="str">
        <f t="shared" si="2"/>
        <v/>
      </c>
      <c r="L14" s="421"/>
      <c r="M14" s="422"/>
      <c r="N14" s="423"/>
      <c r="O14" s="784" t="s">
        <v>20</v>
      </c>
      <c r="P14" s="785"/>
      <c r="Q14" s="449"/>
      <c r="R14" s="449"/>
      <c r="S14" s="449"/>
      <c r="T14" s="449"/>
      <c r="U14" s="449"/>
    </row>
    <row r="15" spans="1:42" ht="15" customHeight="1">
      <c r="A15" s="407"/>
      <c r="B15" s="409"/>
      <c r="C15" s="409"/>
      <c r="D15" s="404"/>
      <c r="E15" s="410"/>
      <c r="F15" s="411"/>
      <c r="G15" s="396" t="str">
        <f t="shared" si="0"/>
        <v/>
      </c>
      <c r="H15" s="543" t="str">
        <f>IF($G15="","",IF($D15=MCVS!$O$34,$G15-MCVS!$D$13,IF($D15=MCVS!$O$38,$G15-MCVS!$D$13,$G15)))</f>
        <v/>
      </c>
      <c r="I15" s="394" t="str">
        <f t="shared" si="1"/>
        <v/>
      </c>
      <c r="J15" s="416"/>
      <c r="K15" s="451" t="str">
        <f t="shared" si="2"/>
        <v/>
      </c>
      <c r="L15" s="421"/>
      <c r="M15" s="422"/>
      <c r="N15" s="423"/>
      <c r="O15" s="782" t="s">
        <v>21</v>
      </c>
      <c r="P15" s="783"/>
      <c r="Q15" s="449"/>
      <c r="R15" s="449"/>
      <c r="S15" s="449"/>
      <c r="T15" s="449"/>
      <c r="U15" s="449"/>
    </row>
    <row r="16" spans="1:42" ht="15" customHeight="1">
      <c r="A16" s="407"/>
      <c r="B16" s="409"/>
      <c r="C16" s="409"/>
      <c r="D16" s="404"/>
      <c r="E16" s="410"/>
      <c r="F16" s="411"/>
      <c r="G16" s="396" t="str">
        <f t="shared" si="0"/>
        <v/>
      </c>
      <c r="H16" s="543" t="str">
        <f>IF($G16="","",IF($D16=MCVS!$O$34,$G16-MCVS!$D$13,IF($D16=MCVS!$O$38,$G16-MCVS!$D$13,$G16)))</f>
        <v/>
      </c>
      <c r="I16" s="394" t="str">
        <f t="shared" si="1"/>
        <v/>
      </c>
      <c r="J16" s="416"/>
      <c r="K16" s="451" t="str">
        <f t="shared" si="2"/>
        <v/>
      </c>
      <c r="L16" s="424"/>
      <c r="M16" s="425"/>
      <c r="N16" s="423"/>
      <c r="O16" s="780" t="s">
        <v>22</v>
      </c>
      <c r="P16" s="781"/>
      <c r="Q16" s="449"/>
      <c r="R16" s="449"/>
      <c r="S16" s="449"/>
      <c r="T16" s="449"/>
      <c r="U16" s="449"/>
    </row>
    <row r="17" spans="1:21" ht="15" customHeight="1">
      <c r="A17" s="407"/>
      <c r="B17" s="409"/>
      <c r="C17" s="409"/>
      <c r="D17" s="404"/>
      <c r="E17" s="410"/>
      <c r="F17" s="411"/>
      <c r="G17" s="396" t="str">
        <f t="shared" si="0"/>
        <v/>
      </c>
      <c r="H17" s="543" t="str">
        <f>IF($G17="","",IF($D17=MCVS!$O$34,$G17-MCVS!$D$13,IF($D17=MCVS!$O$38,$G17-MCVS!$D$13,$G17)))</f>
        <v/>
      </c>
      <c r="I17" s="394" t="str">
        <f t="shared" si="1"/>
        <v/>
      </c>
      <c r="J17" s="416"/>
      <c r="K17" s="451" t="str">
        <f t="shared" si="2"/>
        <v/>
      </c>
      <c r="L17" s="421"/>
      <c r="M17" s="422"/>
      <c r="N17" s="423"/>
      <c r="O17" s="782" t="s">
        <v>23</v>
      </c>
      <c r="P17" s="783"/>
      <c r="Q17" s="449"/>
      <c r="R17" s="449"/>
      <c r="S17" s="449"/>
      <c r="T17" s="449"/>
      <c r="U17" s="449"/>
    </row>
    <row r="18" spans="1:21" ht="15.75" customHeight="1" thickBot="1">
      <c r="A18" s="407"/>
      <c r="B18" s="409"/>
      <c r="C18" s="409"/>
      <c r="D18" s="404"/>
      <c r="E18" s="410"/>
      <c r="F18" s="411"/>
      <c r="G18" s="396" t="str">
        <f t="shared" si="0"/>
        <v/>
      </c>
      <c r="H18" s="543" t="str">
        <f>IF($G18="","",IF($D18=MCVS!$O$34,$G18-MCVS!$D$13,IF($D18=MCVS!$O$38,$G18-MCVS!$D$13,$G18)))</f>
        <v/>
      </c>
      <c r="I18" s="394" t="str">
        <f t="shared" si="1"/>
        <v/>
      </c>
      <c r="J18" s="416"/>
      <c r="K18" s="451" t="str">
        <f t="shared" si="2"/>
        <v/>
      </c>
      <c r="L18" s="421"/>
      <c r="M18" s="422"/>
      <c r="N18" s="423"/>
      <c r="O18" s="782" t="s">
        <v>24</v>
      </c>
      <c r="P18" s="783"/>
      <c r="R18" s="449"/>
      <c r="S18" s="449"/>
      <c r="T18" s="449"/>
      <c r="U18" s="449"/>
    </row>
    <row r="19" spans="1:21" ht="15" customHeight="1">
      <c r="A19" s="407"/>
      <c r="B19" s="409"/>
      <c r="C19" s="409"/>
      <c r="D19" s="404"/>
      <c r="E19" s="410"/>
      <c r="F19" s="411"/>
      <c r="G19" s="396" t="str">
        <f t="shared" si="0"/>
        <v/>
      </c>
      <c r="H19" s="543" t="str">
        <f>IF($G19="","",IF($D19=MCVS!$O$34,$G19-MCVS!$D$13,IF($D19=MCVS!$O$38,$G19-MCVS!$D$13,$G19)))</f>
        <v/>
      </c>
      <c r="I19" s="394" t="str">
        <f t="shared" si="1"/>
        <v/>
      </c>
      <c r="J19" s="416"/>
      <c r="K19" s="451" t="str">
        <f t="shared" si="2"/>
        <v/>
      </c>
      <c r="L19" s="421"/>
      <c r="M19" s="422"/>
      <c r="N19" s="423"/>
      <c r="O19" s="786" t="s">
        <v>17</v>
      </c>
      <c r="P19" s="787"/>
      <c r="R19" s="449"/>
      <c r="S19" s="449"/>
      <c r="T19" s="449"/>
      <c r="U19" s="449"/>
    </row>
    <row r="20" spans="1:21" ht="15.75" customHeight="1" thickBot="1">
      <c r="A20" s="407"/>
      <c r="B20" s="409"/>
      <c r="C20" s="409"/>
      <c r="D20" s="404"/>
      <c r="E20" s="410"/>
      <c r="F20" s="411"/>
      <c r="G20" s="396" t="str">
        <f t="shared" si="0"/>
        <v/>
      </c>
      <c r="H20" s="543" t="str">
        <f>IF($G20="","",IF($D20=MCVS!$O$34,$G20-MCVS!$D$13,IF($D20=MCVS!$O$38,$G20-MCVS!$D$13,$G20)))</f>
        <v/>
      </c>
      <c r="I20" s="394" t="str">
        <f t="shared" si="1"/>
        <v/>
      </c>
      <c r="J20" s="416"/>
      <c r="K20" s="451" t="str">
        <f t="shared" si="2"/>
        <v/>
      </c>
      <c r="L20" s="421"/>
      <c r="M20" s="422"/>
      <c r="N20" s="423"/>
      <c r="O20" s="782" t="s">
        <v>18</v>
      </c>
      <c r="P20" s="783"/>
      <c r="R20" s="449"/>
      <c r="S20" s="449"/>
      <c r="T20" s="449"/>
      <c r="U20" s="449"/>
    </row>
    <row r="21" spans="1:21" ht="15.75" customHeight="1" thickBot="1">
      <c r="A21" s="407"/>
      <c r="B21" s="409"/>
      <c r="C21" s="409"/>
      <c r="D21" s="404"/>
      <c r="E21" s="410"/>
      <c r="F21" s="411"/>
      <c r="G21" s="396" t="str">
        <f t="shared" si="0"/>
        <v/>
      </c>
      <c r="H21" s="543" t="str">
        <f>IF($G21="","",IF($D21=MCVS!$O$34,$G21-MCVS!$D$13,IF($D21=MCVS!$O$38,$G21-MCVS!$D$13,$G21)))</f>
        <v/>
      </c>
      <c r="I21" s="394" t="str">
        <f t="shared" si="1"/>
        <v/>
      </c>
      <c r="J21" s="416"/>
      <c r="K21" s="451" t="str">
        <f t="shared" si="2"/>
        <v/>
      </c>
      <c r="L21" s="421"/>
      <c r="M21" s="422"/>
      <c r="N21" s="423"/>
      <c r="O21" s="753" t="s">
        <v>25</v>
      </c>
      <c r="P21" s="754"/>
      <c r="R21" s="449"/>
      <c r="S21" s="449"/>
      <c r="T21" s="449"/>
      <c r="U21" s="449"/>
    </row>
    <row r="22" spans="1:21" ht="15" customHeight="1">
      <c r="A22" s="407"/>
      <c r="B22" s="409"/>
      <c r="C22" s="409"/>
      <c r="D22" s="404"/>
      <c r="E22" s="410"/>
      <c r="F22" s="411"/>
      <c r="G22" s="396" t="str">
        <f t="shared" si="0"/>
        <v/>
      </c>
      <c r="H22" s="543" t="str">
        <f>IF($G22="","",IF($D22=MCVS!$O$34,$G22-MCVS!$D$13,IF($D22=MCVS!$O$38,$G22-MCVS!$D$13,$G22)))</f>
        <v/>
      </c>
      <c r="I22" s="394" t="str">
        <f t="shared" si="1"/>
        <v/>
      </c>
      <c r="J22" s="416"/>
      <c r="K22" s="451" t="str">
        <f t="shared" si="2"/>
        <v/>
      </c>
      <c r="L22" s="421"/>
      <c r="M22" s="422"/>
      <c r="N22" s="423"/>
      <c r="O22" s="788"/>
      <c r="P22" s="789"/>
      <c r="R22" s="449"/>
      <c r="S22" s="449"/>
      <c r="T22" s="449"/>
      <c r="U22" s="449"/>
    </row>
    <row r="23" spans="1:21" ht="15" customHeight="1">
      <c r="A23" s="407"/>
      <c r="B23" s="409"/>
      <c r="C23" s="409"/>
      <c r="D23" s="404"/>
      <c r="E23" s="410"/>
      <c r="F23" s="411"/>
      <c r="G23" s="396" t="str">
        <f t="shared" si="0"/>
        <v/>
      </c>
      <c r="H23" s="543" t="str">
        <f>IF($G23="","",IF($D23=MCVS!$O$34,$G23-MCVS!$D$13,IF($D23=MCVS!$O$38,$G23-MCVS!$D$13,$G23)))</f>
        <v/>
      </c>
      <c r="I23" s="394" t="str">
        <f t="shared" si="1"/>
        <v/>
      </c>
      <c r="J23" s="416"/>
      <c r="K23" s="451" t="str">
        <f t="shared" si="2"/>
        <v/>
      </c>
      <c r="L23" s="421"/>
      <c r="M23" s="422"/>
      <c r="N23" s="423"/>
      <c r="O23" s="788"/>
      <c r="P23" s="789"/>
      <c r="R23" s="449"/>
      <c r="S23" s="449"/>
      <c r="T23" s="449"/>
      <c r="U23" s="449"/>
    </row>
    <row r="24" spans="1:21" ht="15" customHeight="1">
      <c r="A24" s="407"/>
      <c r="B24" s="409"/>
      <c r="C24" s="409"/>
      <c r="D24" s="404"/>
      <c r="E24" s="410"/>
      <c r="F24" s="411"/>
      <c r="G24" s="396" t="str">
        <f t="shared" si="0"/>
        <v/>
      </c>
      <c r="H24" s="543" t="str">
        <f>IF($G24="","",IF($D24=MCVS!$O$34,$G24-MCVS!$D$13,IF($D24=MCVS!$O$38,$G24-MCVS!$D$13,$G24)))</f>
        <v/>
      </c>
      <c r="I24" s="394" t="str">
        <f t="shared" si="1"/>
        <v/>
      </c>
      <c r="J24" s="416"/>
      <c r="K24" s="451" t="str">
        <f t="shared" si="2"/>
        <v/>
      </c>
      <c r="L24" s="421"/>
      <c r="M24" s="422"/>
      <c r="N24" s="423"/>
      <c r="O24" s="788"/>
      <c r="P24" s="789"/>
      <c r="R24" s="449"/>
      <c r="S24" s="449"/>
      <c r="T24" s="449"/>
      <c r="U24" s="449"/>
    </row>
    <row r="25" spans="1:21" ht="15" customHeight="1">
      <c r="A25" s="407"/>
      <c r="B25" s="409"/>
      <c r="C25" s="409"/>
      <c r="D25" s="404"/>
      <c r="E25" s="410"/>
      <c r="F25" s="411"/>
      <c r="G25" s="396" t="str">
        <f t="shared" si="0"/>
        <v/>
      </c>
      <c r="H25" s="543" t="str">
        <f>IF($G25="","",IF($D25=MCVS!$O$34,$G25-MCVS!$D$13,IF($D25=MCVS!$O$38,$G25-MCVS!$D$13,$G25)))</f>
        <v/>
      </c>
      <c r="I25" s="394" t="str">
        <f t="shared" si="1"/>
        <v/>
      </c>
      <c r="J25" s="416"/>
      <c r="K25" s="451" t="str">
        <f t="shared" si="2"/>
        <v/>
      </c>
      <c r="L25" s="421"/>
      <c r="M25" s="422"/>
      <c r="N25" s="423"/>
      <c r="O25" s="788"/>
      <c r="P25" s="789"/>
      <c r="R25" s="449"/>
      <c r="S25" s="449"/>
      <c r="T25" s="449"/>
      <c r="U25" s="449"/>
    </row>
    <row r="26" spans="1:21" ht="15" customHeight="1">
      <c r="A26" s="407"/>
      <c r="B26" s="409"/>
      <c r="C26" s="409"/>
      <c r="D26" s="404"/>
      <c r="E26" s="410"/>
      <c r="F26" s="411"/>
      <c r="G26" s="396" t="str">
        <f t="shared" si="0"/>
        <v/>
      </c>
      <c r="H26" s="543" t="str">
        <f>IF($G26="","",IF($D26=MCVS!$O$34,$G26-MCVS!$D$13,IF($D26=MCVS!$O$38,$G26-MCVS!$D$13,$G26)))</f>
        <v/>
      </c>
      <c r="I26" s="394" t="str">
        <f t="shared" si="1"/>
        <v/>
      </c>
      <c r="J26" s="416"/>
      <c r="K26" s="451" t="str">
        <f t="shared" si="2"/>
        <v/>
      </c>
      <c r="L26" s="421"/>
      <c r="M26" s="422"/>
      <c r="N26" s="423"/>
      <c r="O26" s="788"/>
      <c r="P26" s="789"/>
      <c r="R26" s="449"/>
      <c r="S26" s="449"/>
      <c r="T26" s="449"/>
      <c r="U26" s="449"/>
    </row>
    <row r="27" spans="1:21" ht="15" customHeight="1">
      <c r="A27" s="407"/>
      <c r="B27" s="409"/>
      <c r="C27" s="409"/>
      <c r="D27" s="404"/>
      <c r="E27" s="410"/>
      <c r="F27" s="411"/>
      <c r="G27" s="396" t="str">
        <f t="shared" si="0"/>
        <v/>
      </c>
      <c r="H27" s="543" t="str">
        <f>IF($G27="","",IF($D27=MCVS!$O$34,$G27-MCVS!$D$13,IF($D27=MCVS!$O$38,$G27-MCVS!$D$13,$G27)))</f>
        <v/>
      </c>
      <c r="I27" s="394" t="str">
        <f t="shared" si="1"/>
        <v/>
      </c>
      <c r="J27" s="416"/>
      <c r="K27" s="451" t="str">
        <f t="shared" si="2"/>
        <v/>
      </c>
      <c r="L27" s="424"/>
      <c r="M27" s="425"/>
      <c r="N27" s="423"/>
      <c r="O27" s="788"/>
      <c r="P27" s="789"/>
      <c r="R27" s="449"/>
      <c r="S27" s="449"/>
      <c r="T27" s="449"/>
      <c r="U27" s="449"/>
    </row>
    <row r="28" spans="1:21" ht="15" customHeight="1">
      <c r="A28" s="407"/>
      <c r="B28" s="409"/>
      <c r="C28" s="409"/>
      <c r="D28" s="404"/>
      <c r="E28" s="410"/>
      <c r="F28" s="411"/>
      <c r="G28" s="396" t="str">
        <f t="shared" si="0"/>
        <v/>
      </c>
      <c r="H28" s="543" t="str">
        <f>IF($G28="","",IF($D28=MCVS!$O$34,$G28-MCVS!$D$13,IF($D28=MCVS!$O$38,$G28-MCVS!$D$13,$G28)))</f>
        <v/>
      </c>
      <c r="I28" s="394" t="str">
        <f t="shared" si="1"/>
        <v/>
      </c>
      <c r="J28" s="416"/>
      <c r="K28" s="451" t="str">
        <f t="shared" si="2"/>
        <v/>
      </c>
      <c r="L28" s="421"/>
      <c r="M28" s="422"/>
      <c r="N28" s="423"/>
      <c r="O28" s="788"/>
      <c r="P28" s="789"/>
      <c r="R28" s="449"/>
      <c r="S28" s="449"/>
      <c r="T28" s="449"/>
      <c r="U28" s="449"/>
    </row>
    <row r="29" spans="1:21" ht="15" customHeight="1">
      <c r="A29" s="407"/>
      <c r="B29" s="409"/>
      <c r="C29" s="409"/>
      <c r="D29" s="404"/>
      <c r="E29" s="410"/>
      <c r="F29" s="411"/>
      <c r="G29" s="396" t="str">
        <f t="shared" si="0"/>
        <v/>
      </c>
      <c r="H29" s="543" t="str">
        <f>IF($G29="","",IF($D29=MCVS!$O$34,$G29-MCVS!$D$13,IF($D29=MCVS!$O$38,$G29-MCVS!$D$13,$G29)))</f>
        <v/>
      </c>
      <c r="I29" s="394" t="str">
        <f t="shared" si="1"/>
        <v/>
      </c>
      <c r="J29" s="416"/>
      <c r="K29" s="451" t="str">
        <f t="shared" si="2"/>
        <v/>
      </c>
      <c r="L29" s="421"/>
      <c r="M29" s="422"/>
      <c r="N29" s="423"/>
      <c r="O29" s="788"/>
      <c r="P29" s="789"/>
      <c r="R29" s="449"/>
      <c r="S29" s="449"/>
      <c r="T29" s="449"/>
      <c r="U29" s="449"/>
    </row>
    <row r="30" spans="1:21" ht="15" customHeight="1">
      <c r="A30" s="407"/>
      <c r="B30" s="409"/>
      <c r="C30" s="409"/>
      <c r="D30" s="404"/>
      <c r="E30" s="410"/>
      <c r="F30" s="411"/>
      <c r="G30" s="396" t="str">
        <f t="shared" si="0"/>
        <v/>
      </c>
      <c r="H30" s="543" t="str">
        <f>IF($G30="","",IF($D30=MCVS!$O$34,$G30-MCVS!$D$13,IF($D30=MCVS!$O$38,$G30-MCVS!$D$13,$G30)))</f>
        <v/>
      </c>
      <c r="I30" s="394" t="str">
        <f t="shared" si="1"/>
        <v/>
      </c>
      <c r="J30" s="416"/>
      <c r="K30" s="451" t="str">
        <f t="shared" si="2"/>
        <v/>
      </c>
      <c r="L30" s="421"/>
      <c r="M30" s="422"/>
      <c r="N30" s="423"/>
      <c r="O30" s="788"/>
      <c r="P30" s="789"/>
      <c r="R30" s="449"/>
      <c r="S30" s="449"/>
      <c r="T30" s="449"/>
      <c r="U30" s="449"/>
    </row>
    <row r="31" spans="1:21" ht="15" customHeight="1">
      <c r="A31" s="407"/>
      <c r="B31" s="409"/>
      <c r="C31" s="409"/>
      <c r="D31" s="404"/>
      <c r="E31" s="410"/>
      <c r="F31" s="411"/>
      <c r="G31" s="396" t="str">
        <f t="shared" si="0"/>
        <v/>
      </c>
      <c r="H31" s="543" t="str">
        <f>IF($G31="","",IF($D31=MCVS!$O$34,$G31-MCVS!$D$13,IF($D31=MCVS!$O$38,$G31-MCVS!$D$13,$G31)))</f>
        <v/>
      </c>
      <c r="I31" s="394" t="str">
        <f t="shared" si="1"/>
        <v/>
      </c>
      <c r="J31" s="416"/>
      <c r="K31" s="451" t="str">
        <f t="shared" si="2"/>
        <v/>
      </c>
      <c r="L31" s="421"/>
      <c r="M31" s="422"/>
      <c r="N31" s="423"/>
      <c r="O31" s="788"/>
      <c r="P31" s="789"/>
      <c r="R31" s="449"/>
      <c r="S31" s="449"/>
      <c r="T31" s="449"/>
      <c r="U31" s="449"/>
    </row>
    <row r="32" spans="1:21" ht="15" customHeight="1">
      <c r="A32" s="407"/>
      <c r="B32" s="409"/>
      <c r="C32" s="409"/>
      <c r="D32" s="404"/>
      <c r="E32" s="410"/>
      <c r="F32" s="411"/>
      <c r="G32" s="396" t="str">
        <f t="shared" si="0"/>
        <v/>
      </c>
      <c r="H32" s="543" t="str">
        <f>IF($G32="","",IF($D32=MCVS!$O$34,$G32-MCVS!$D$13,IF($D32=MCVS!$O$38,$G32-MCVS!$D$13,$G32)))</f>
        <v/>
      </c>
      <c r="I32" s="394" t="str">
        <f t="shared" si="1"/>
        <v/>
      </c>
      <c r="J32" s="416"/>
      <c r="K32" s="451" t="str">
        <f t="shared" si="2"/>
        <v/>
      </c>
      <c r="L32" s="421"/>
      <c r="M32" s="422"/>
      <c r="N32" s="423"/>
      <c r="O32" s="788"/>
      <c r="P32" s="789"/>
      <c r="R32" s="449"/>
      <c r="S32" s="449"/>
      <c r="T32" s="449"/>
      <c r="U32" s="449"/>
    </row>
    <row r="33" spans="1:21" ht="15.75" customHeight="1" thickBot="1">
      <c r="A33" s="407"/>
      <c r="B33" s="409"/>
      <c r="C33" s="409"/>
      <c r="D33" s="404"/>
      <c r="E33" s="410"/>
      <c r="F33" s="411"/>
      <c r="G33" s="396" t="str">
        <f t="shared" si="0"/>
        <v/>
      </c>
      <c r="H33" s="543" t="str">
        <f>IF($G33="","",IF($D33=MCVS!$O$34,$G33-MCVS!$D$13,IF($D33=MCVS!$O$38,$G33-MCVS!$D$13,$G33)))</f>
        <v/>
      </c>
      <c r="I33" s="394" t="str">
        <f t="shared" si="1"/>
        <v/>
      </c>
      <c r="J33" s="416"/>
      <c r="K33" s="451" t="str">
        <f t="shared" si="2"/>
        <v/>
      </c>
      <c r="L33" s="421"/>
      <c r="M33" s="422"/>
      <c r="N33" s="423"/>
      <c r="O33" s="788"/>
      <c r="P33" s="789"/>
      <c r="R33" s="449"/>
      <c r="S33" s="449"/>
      <c r="T33" s="449"/>
      <c r="U33" s="449"/>
    </row>
    <row r="34" spans="1:21" ht="15.75" thickBot="1">
      <c r="A34" s="407"/>
      <c r="B34" s="409"/>
      <c r="C34" s="409"/>
      <c r="D34" s="404"/>
      <c r="E34" s="410"/>
      <c r="F34" s="411"/>
      <c r="G34" s="396" t="str">
        <f t="shared" si="0"/>
        <v/>
      </c>
      <c r="H34" s="543" t="str">
        <f>IF($G34="","",IF($D34=MCVS!$O$34,$G34-MCVS!$D$13,IF($D34=MCVS!$O$38,$G34-MCVS!$D$13,$G34)))</f>
        <v/>
      </c>
      <c r="I34" s="394" t="str">
        <f t="shared" si="1"/>
        <v/>
      </c>
      <c r="J34" s="416"/>
      <c r="K34" s="451" t="str">
        <f t="shared" si="2"/>
        <v/>
      </c>
      <c r="L34" s="421"/>
      <c r="M34" s="422"/>
      <c r="N34" s="423"/>
      <c r="O34" s="753" t="s">
        <v>26</v>
      </c>
      <c r="P34" s="754"/>
    </row>
    <row r="35" spans="1:21">
      <c r="A35" s="407"/>
      <c r="B35" s="409"/>
      <c r="C35" s="409"/>
      <c r="D35" s="404"/>
      <c r="E35" s="410"/>
      <c r="F35" s="411"/>
      <c r="G35" s="396" t="str">
        <f t="shared" si="0"/>
        <v/>
      </c>
      <c r="H35" s="543" t="str">
        <f>IF($G35="","",IF($D35=MCVS!$O$34,$G35-MCVS!$D$13,IF($D35=MCVS!$O$38,$G35-MCVS!$D$13,$G35)))</f>
        <v/>
      </c>
      <c r="I35" s="394" t="str">
        <f t="shared" si="1"/>
        <v/>
      </c>
      <c r="J35" s="416"/>
      <c r="K35" s="451" t="str">
        <f t="shared" si="2"/>
        <v/>
      </c>
      <c r="L35" s="421"/>
      <c r="M35" s="422"/>
      <c r="N35" s="423"/>
      <c r="O35" s="747"/>
      <c r="P35" s="748"/>
    </row>
    <row r="36" spans="1:21" ht="15.75">
      <c r="A36" s="407"/>
      <c r="B36" s="409"/>
      <c r="C36" s="409"/>
      <c r="D36" s="404"/>
      <c r="E36" s="410"/>
      <c r="F36" s="411"/>
      <c r="G36" s="396" t="str">
        <f t="shared" si="0"/>
        <v/>
      </c>
      <c r="H36" s="543" t="str">
        <f>IF($G36="","",IF($D36=MCVS!$O$34,$G36-MCVS!$D$13,IF($D36=MCVS!$O$38,$G36-MCVS!$D$13,$G36)))</f>
        <v/>
      </c>
      <c r="I36" s="394" t="str">
        <f t="shared" si="1"/>
        <v/>
      </c>
      <c r="J36" s="416"/>
      <c r="K36" s="451" t="str">
        <f t="shared" si="2"/>
        <v/>
      </c>
      <c r="L36" s="424"/>
      <c r="M36" s="425"/>
      <c r="N36" s="423"/>
      <c r="O36" s="749"/>
      <c r="P36" s="750"/>
    </row>
    <row r="37" spans="1:21">
      <c r="A37" s="407"/>
      <c r="B37" s="409"/>
      <c r="C37" s="409"/>
      <c r="D37" s="404"/>
      <c r="E37" s="410"/>
      <c r="F37" s="411"/>
      <c r="G37" s="396" t="str">
        <f t="shared" si="0"/>
        <v/>
      </c>
      <c r="H37" s="543" t="str">
        <f>IF($G37="","",IF($D37=MCVS!$O$34,$G37-MCVS!$D$13,IF($D37=MCVS!$O$38,$G37-MCVS!$D$13,$G37)))</f>
        <v/>
      </c>
      <c r="I37" s="394" t="str">
        <f t="shared" si="1"/>
        <v/>
      </c>
      <c r="J37" s="416"/>
      <c r="K37" s="451" t="str">
        <f t="shared" si="2"/>
        <v/>
      </c>
      <c r="L37" s="421"/>
      <c r="M37" s="422"/>
      <c r="N37" s="423"/>
      <c r="O37" s="749"/>
      <c r="P37" s="750"/>
    </row>
    <row r="38" spans="1:21">
      <c r="A38" s="407"/>
      <c r="B38" s="409"/>
      <c r="C38" s="409"/>
      <c r="D38" s="404"/>
      <c r="E38" s="410"/>
      <c r="F38" s="411"/>
      <c r="G38" s="396" t="str">
        <f t="shared" si="0"/>
        <v/>
      </c>
      <c r="H38" s="543" t="str">
        <f>IF($G38="","",IF($D38=MCVS!$O$34,$G38-MCVS!$D$13,IF($D38=MCVS!$O$38,$G38-MCVS!$D$13,$G38)))</f>
        <v/>
      </c>
      <c r="I38" s="394" t="str">
        <f t="shared" si="1"/>
        <v/>
      </c>
      <c r="J38" s="416"/>
      <c r="K38" s="451" t="str">
        <f t="shared" si="2"/>
        <v/>
      </c>
      <c r="L38" s="421"/>
      <c r="M38" s="422"/>
      <c r="N38" s="423"/>
      <c r="O38" s="749"/>
      <c r="P38" s="750"/>
    </row>
    <row r="39" spans="1:21">
      <c r="A39" s="407"/>
      <c r="B39" s="409"/>
      <c r="C39" s="409"/>
      <c r="D39" s="404"/>
      <c r="E39" s="410"/>
      <c r="F39" s="411"/>
      <c r="G39" s="396" t="str">
        <f t="shared" si="0"/>
        <v/>
      </c>
      <c r="H39" s="543" t="str">
        <f>IF($G39="","",IF($D39=MCVS!$O$34,$G39-MCVS!$D$13,IF($D39=MCVS!$O$38,$G39-MCVS!$D$13,$G39)))</f>
        <v/>
      </c>
      <c r="I39" s="394" t="str">
        <f t="shared" si="1"/>
        <v/>
      </c>
      <c r="J39" s="416"/>
      <c r="K39" s="451" t="str">
        <f t="shared" si="2"/>
        <v/>
      </c>
      <c r="L39" s="421"/>
      <c r="M39" s="422"/>
      <c r="N39" s="423"/>
      <c r="O39" s="749"/>
      <c r="P39" s="750"/>
    </row>
    <row r="40" spans="1:21">
      <c r="A40" s="407"/>
      <c r="B40" s="409"/>
      <c r="C40" s="409"/>
      <c r="D40" s="404"/>
      <c r="E40" s="410"/>
      <c r="F40" s="411"/>
      <c r="G40" s="396" t="str">
        <f t="shared" si="0"/>
        <v/>
      </c>
      <c r="H40" s="543" t="str">
        <f>IF($G40="","",IF($D40=MCVS!$O$34,$G40-MCVS!$D$13,IF($D40=MCVS!$O$38,$G40-MCVS!$D$13,$G40)))</f>
        <v/>
      </c>
      <c r="I40" s="394" t="str">
        <f t="shared" si="1"/>
        <v/>
      </c>
      <c r="J40" s="416"/>
      <c r="K40" s="451" t="str">
        <f t="shared" si="2"/>
        <v/>
      </c>
      <c r="L40" s="421"/>
      <c r="M40" s="422"/>
      <c r="N40" s="423"/>
      <c r="O40" s="749"/>
      <c r="P40" s="750"/>
    </row>
    <row r="41" spans="1:21">
      <c r="A41" s="407"/>
      <c r="B41" s="409"/>
      <c r="C41" s="409"/>
      <c r="D41" s="404"/>
      <c r="E41" s="410"/>
      <c r="F41" s="411"/>
      <c r="G41" s="396" t="str">
        <f t="shared" si="0"/>
        <v/>
      </c>
      <c r="H41" s="543" t="str">
        <f>IF($G41="","",IF($D41=MCVS!$O$34,$G41-MCVS!$D$13,IF($D41=MCVS!$O$38,$G41-MCVS!$D$13,$G41)))</f>
        <v/>
      </c>
      <c r="I41" s="394" t="str">
        <f t="shared" si="1"/>
        <v/>
      </c>
      <c r="J41" s="416"/>
      <c r="K41" s="451" t="str">
        <f t="shared" si="2"/>
        <v/>
      </c>
      <c r="L41" s="421"/>
      <c r="M41" s="422"/>
      <c r="N41" s="423"/>
      <c r="O41" s="749"/>
      <c r="P41" s="750"/>
    </row>
    <row r="42" spans="1:21" ht="15.75" thickBot="1">
      <c r="A42" s="407"/>
      <c r="B42" s="409"/>
      <c r="C42" s="409"/>
      <c r="D42" s="404"/>
      <c r="E42" s="410"/>
      <c r="F42" s="411"/>
      <c r="G42" s="396" t="str">
        <f t="shared" si="0"/>
        <v/>
      </c>
      <c r="H42" s="543" t="str">
        <f>IF($G42="","",IF($D42=MCVS!$O$34,$G42-MCVS!$D$13,IF($D42=MCVS!$O$38,$G42-MCVS!$D$13,$G42)))</f>
        <v/>
      </c>
      <c r="I42" s="394" t="str">
        <f t="shared" si="1"/>
        <v/>
      </c>
      <c r="J42" s="416"/>
      <c r="K42" s="451" t="str">
        <f t="shared" si="2"/>
        <v/>
      </c>
      <c r="L42" s="421"/>
      <c r="M42" s="422"/>
      <c r="N42" s="423"/>
      <c r="O42" s="751"/>
      <c r="P42" s="752"/>
    </row>
    <row r="43" spans="1:21" ht="15.75" thickBot="1">
      <c r="A43" s="407"/>
      <c r="B43" s="409"/>
      <c r="C43" s="409"/>
      <c r="D43" s="404"/>
      <c r="E43" s="410"/>
      <c r="F43" s="411"/>
      <c r="G43" s="396" t="str">
        <f t="shared" si="0"/>
        <v/>
      </c>
      <c r="H43" s="543" t="str">
        <f>IF($G43="","",IF($D43=MCVS!$O$34,$G43-MCVS!$D$13,IF($D43=MCVS!$O$38,$G43-MCVS!$D$13,$G43)))</f>
        <v/>
      </c>
      <c r="I43" s="394" t="str">
        <f t="shared" si="1"/>
        <v/>
      </c>
      <c r="J43" s="416"/>
      <c r="K43" s="451" t="str">
        <f t="shared" si="2"/>
        <v/>
      </c>
      <c r="L43" s="421"/>
      <c r="M43" s="422"/>
      <c r="N43" s="423"/>
      <c r="O43" s="753" t="s">
        <v>65</v>
      </c>
      <c r="P43" s="754"/>
    </row>
    <row r="44" spans="1:21">
      <c r="A44" s="407"/>
      <c r="B44" s="409"/>
      <c r="C44" s="409"/>
      <c r="D44" s="404"/>
      <c r="E44" s="410"/>
      <c r="F44" s="411"/>
      <c r="G44" s="396" t="str">
        <f t="shared" si="0"/>
        <v/>
      </c>
      <c r="H44" s="543" t="str">
        <f>IF($G44="","",IF($D44=MCVS!$O$34,$G44-MCVS!$D$13,IF($D44=MCVS!$O$38,$G44-MCVS!$D$13,$G44)))</f>
        <v/>
      </c>
      <c r="I44" s="394" t="str">
        <f t="shared" si="1"/>
        <v/>
      </c>
      <c r="J44" s="416"/>
      <c r="K44" s="451" t="str">
        <f t="shared" si="2"/>
        <v/>
      </c>
      <c r="L44" s="421"/>
      <c r="M44" s="422"/>
      <c r="N44" s="423"/>
      <c r="O44" s="755"/>
      <c r="P44" s="756"/>
    </row>
    <row r="45" spans="1:21">
      <c r="A45" s="407"/>
      <c r="B45" s="409"/>
      <c r="C45" s="409"/>
      <c r="D45" s="404"/>
      <c r="E45" s="410"/>
      <c r="F45" s="411"/>
      <c r="G45" s="396" t="str">
        <f t="shared" si="0"/>
        <v/>
      </c>
      <c r="H45" s="543" t="str">
        <f>IF($G45="","",IF($D45=MCVS!$O$34,$G45-MCVS!$D$13,IF($D45=MCVS!$O$38,$G45-MCVS!$D$13,$G45)))</f>
        <v/>
      </c>
      <c r="I45" s="394" t="str">
        <f t="shared" si="1"/>
        <v/>
      </c>
      <c r="J45" s="416"/>
      <c r="K45" s="451" t="str">
        <f t="shared" si="2"/>
        <v/>
      </c>
      <c r="L45" s="421"/>
      <c r="M45" s="422"/>
      <c r="N45" s="423"/>
      <c r="O45" s="757"/>
      <c r="P45" s="758"/>
    </row>
    <row r="46" spans="1:21">
      <c r="A46" s="407"/>
      <c r="B46" s="409"/>
      <c r="C46" s="409"/>
      <c r="D46" s="404"/>
      <c r="E46" s="410"/>
      <c r="F46" s="411"/>
      <c r="G46" s="396" t="str">
        <f t="shared" si="0"/>
        <v/>
      </c>
      <c r="H46" s="543" t="str">
        <f>IF($G46="","",IF($D46=MCVS!$O$34,$G46-MCVS!$D$13,IF($D46=MCVS!$O$38,$G46-MCVS!$D$13,$G46)))</f>
        <v/>
      </c>
      <c r="I46" s="394" t="str">
        <f t="shared" si="1"/>
        <v/>
      </c>
      <c r="J46" s="416"/>
      <c r="K46" s="451" t="str">
        <f t="shared" si="2"/>
        <v/>
      </c>
      <c r="L46" s="421"/>
      <c r="M46" s="422"/>
      <c r="N46" s="423"/>
      <c r="O46" s="757"/>
      <c r="P46" s="758"/>
    </row>
    <row r="47" spans="1:21" ht="15.75">
      <c r="A47" s="407"/>
      <c r="B47" s="409"/>
      <c r="C47" s="409"/>
      <c r="D47" s="404"/>
      <c r="E47" s="410"/>
      <c r="F47" s="411"/>
      <c r="G47" s="396" t="str">
        <f t="shared" si="0"/>
        <v/>
      </c>
      <c r="H47" s="543" t="str">
        <f>IF($G47="","",IF($D47=MCVS!$O$34,$G47-MCVS!$D$13,IF($D47=MCVS!$O$38,$G47-MCVS!$D$13,$G47)))</f>
        <v/>
      </c>
      <c r="I47" s="394" t="str">
        <f t="shared" si="1"/>
        <v/>
      </c>
      <c r="J47" s="416"/>
      <c r="K47" s="451" t="str">
        <f t="shared" si="2"/>
        <v/>
      </c>
      <c r="L47" s="424"/>
      <c r="M47" s="422"/>
      <c r="N47" s="423"/>
      <c r="O47" s="757"/>
      <c r="P47" s="758"/>
    </row>
    <row r="48" spans="1:21">
      <c r="A48" s="407"/>
      <c r="B48" s="409"/>
      <c r="C48" s="409"/>
      <c r="D48" s="404"/>
      <c r="E48" s="410"/>
      <c r="F48" s="411"/>
      <c r="G48" s="396" t="str">
        <f t="shared" si="0"/>
        <v/>
      </c>
      <c r="H48" s="543" t="str">
        <f>IF($G48="","",IF($D48=MCVS!$O$34,$G48-MCVS!$D$13,IF($D48=MCVS!$O$38,$G48-MCVS!$D$13,$G48)))</f>
        <v/>
      </c>
      <c r="I48" s="394" t="str">
        <f t="shared" si="1"/>
        <v/>
      </c>
      <c r="J48" s="416"/>
      <c r="K48" s="451" t="str">
        <f t="shared" si="2"/>
        <v/>
      </c>
      <c r="L48" s="421"/>
      <c r="M48" s="422"/>
      <c r="N48" s="423"/>
      <c r="O48" s="757"/>
      <c r="P48" s="758"/>
    </row>
    <row r="49" spans="1:16">
      <c r="A49" s="407"/>
      <c r="B49" s="409"/>
      <c r="C49" s="409"/>
      <c r="D49" s="404"/>
      <c r="E49" s="410"/>
      <c r="F49" s="411"/>
      <c r="G49" s="396" t="str">
        <f t="shared" si="0"/>
        <v/>
      </c>
      <c r="H49" s="543" t="str">
        <f>IF($G49="","",IF($D49=MCVS!$O$34,$G49-MCVS!$D$13,IF($D49=MCVS!$O$38,$G49-MCVS!$D$13,$G49)))</f>
        <v/>
      </c>
      <c r="I49" s="394" t="str">
        <f t="shared" si="1"/>
        <v/>
      </c>
      <c r="J49" s="416"/>
      <c r="K49" s="451" t="str">
        <f t="shared" si="2"/>
        <v/>
      </c>
      <c r="L49" s="421"/>
      <c r="M49" s="422"/>
      <c r="N49" s="423"/>
      <c r="O49" s="757"/>
      <c r="P49" s="758"/>
    </row>
    <row r="50" spans="1:16">
      <c r="A50" s="407"/>
      <c r="B50" s="409"/>
      <c r="C50" s="409"/>
      <c r="D50" s="404"/>
      <c r="E50" s="410"/>
      <c r="F50" s="411"/>
      <c r="G50" s="396" t="str">
        <f t="shared" si="0"/>
        <v/>
      </c>
      <c r="H50" s="543" t="str">
        <f>IF($G50="","",IF($D50=MCVS!$O$34,$G50-MCVS!$D$13,IF($D50=MCVS!$O$38,$G50-MCVS!$D$13,$G50)))</f>
        <v/>
      </c>
      <c r="I50" s="394" t="str">
        <f t="shared" si="1"/>
        <v/>
      </c>
      <c r="J50" s="416"/>
      <c r="K50" s="451" t="str">
        <f t="shared" si="2"/>
        <v/>
      </c>
      <c r="L50" s="421"/>
      <c r="M50" s="422"/>
      <c r="N50" s="423"/>
      <c r="O50" s="757"/>
      <c r="P50" s="758"/>
    </row>
    <row r="51" spans="1:16">
      <c r="A51" s="407"/>
      <c r="B51" s="409"/>
      <c r="C51" s="409"/>
      <c r="D51" s="404"/>
      <c r="E51" s="410"/>
      <c r="F51" s="411"/>
      <c r="G51" s="396" t="str">
        <f t="shared" si="0"/>
        <v/>
      </c>
      <c r="H51" s="543" t="str">
        <f>IF($G51="","",IF($D51=MCVS!$O$34,$G51-MCVS!$D$13,IF($D51=MCVS!$O$38,$G51-MCVS!$D$13,$G51)))</f>
        <v/>
      </c>
      <c r="I51" s="394" t="str">
        <f t="shared" si="1"/>
        <v/>
      </c>
      <c r="J51" s="416"/>
      <c r="K51" s="451" t="str">
        <f t="shared" si="2"/>
        <v/>
      </c>
      <c r="L51" s="421"/>
      <c r="M51" s="422"/>
      <c r="N51" s="423"/>
      <c r="O51" s="757"/>
      <c r="P51" s="758"/>
    </row>
    <row r="52" spans="1:16">
      <c r="A52" s="407"/>
      <c r="B52" s="409"/>
      <c r="C52" s="409"/>
      <c r="D52" s="404"/>
      <c r="E52" s="410"/>
      <c r="F52" s="411"/>
      <c r="G52" s="396" t="str">
        <f t="shared" si="0"/>
        <v/>
      </c>
      <c r="H52" s="543" t="str">
        <f>IF($G52="","",IF($D52=MCVS!$O$34,$G52-MCVS!$D$13,IF($D52=MCVS!$O$38,$G52-MCVS!$D$13,$G52)))</f>
        <v/>
      </c>
      <c r="I52" s="394" t="str">
        <f t="shared" si="1"/>
        <v/>
      </c>
      <c r="J52" s="416"/>
      <c r="K52" s="451" t="str">
        <f t="shared" si="2"/>
        <v/>
      </c>
      <c r="L52" s="421"/>
      <c r="M52" s="422"/>
      <c r="N52" s="423"/>
      <c r="O52" s="757"/>
      <c r="P52" s="758"/>
    </row>
    <row r="53" spans="1:16">
      <c r="A53" s="407"/>
      <c r="B53" s="409"/>
      <c r="C53" s="409"/>
      <c r="D53" s="404"/>
      <c r="E53" s="410"/>
      <c r="F53" s="411"/>
      <c r="G53" s="396" t="str">
        <f t="shared" si="0"/>
        <v/>
      </c>
      <c r="H53" s="543" t="str">
        <f>IF($G53="","",IF($D53=MCVS!$O$34,$G53-MCVS!$D$13,IF($D53=MCVS!$O$38,$G53-MCVS!$D$13,$G53)))</f>
        <v/>
      </c>
      <c r="I53" s="394" t="str">
        <f t="shared" si="1"/>
        <v/>
      </c>
      <c r="J53" s="416"/>
      <c r="K53" s="451" t="str">
        <f t="shared" si="2"/>
        <v/>
      </c>
      <c r="L53" s="421"/>
      <c r="M53" s="422"/>
      <c r="N53" s="423"/>
      <c r="O53" s="757"/>
      <c r="P53" s="758"/>
    </row>
    <row r="54" spans="1:16">
      <c r="A54" s="407"/>
      <c r="B54" s="409"/>
      <c r="C54" s="409"/>
      <c r="D54" s="404"/>
      <c r="E54" s="410"/>
      <c r="F54" s="411"/>
      <c r="G54" s="396" t="str">
        <f t="shared" si="0"/>
        <v/>
      </c>
      <c r="H54" s="543" t="str">
        <f>IF($G54="","",IF($D54=MCVS!$O$34,$G54-MCVS!$D$13,IF($D54=MCVS!$O$38,$G54-MCVS!$D$13,$G54)))</f>
        <v/>
      </c>
      <c r="I54" s="394" t="str">
        <f t="shared" si="1"/>
        <v/>
      </c>
      <c r="J54" s="416"/>
      <c r="K54" s="451" t="str">
        <f t="shared" si="2"/>
        <v/>
      </c>
      <c r="L54" s="421"/>
      <c r="M54" s="422"/>
      <c r="N54" s="423"/>
      <c r="O54" s="757"/>
      <c r="P54" s="758"/>
    </row>
    <row r="55" spans="1:16">
      <c r="A55" s="407"/>
      <c r="B55" s="409"/>
      <c r="C55" s="409"/>
      <c r="D55" s="404"/>
      <c r="E55" s="410"/>
      <c r="F55" s="411"/>
      <c r="G55" s="396" t="str">
        <f t="shared" si="0"/>
        <v/>
      </c>
      <c r="H55" s="543" t="str">
        <f>IF($G55="","",IF($D55=MCVS!$O$34,$G55-MCVS!$D$13,IF($D55=MCVS!$O$38,$G55-MCVS!$D$13,$G55)))</f>
        <v/>
      </c>
      <c r="I55" s="394" t="str">
        <f t="shared" si="1"/>
        <v/>
      </c>
      <c r="J55" s="416"/>
      <c r="K55" s="451" t="str">
        <f t="shared" si="2"/>
        <v/>
      </c>
      <c r="L55" s="421"/>
      <c r="M55" s="422"/>
      <c r="N55" s="423"/>
      <c r="O55" s="757"/>
      <c r="P55" s="758"/>
    </row>
    <row r="56" spans="1:16" ht="15.75">
      <c r="A56" s="407"/>
      <c r="B56" s="409"/>
      <c r="C56" s="409"/>
      <c r="D56" s="404"/>
      <c r="E56" s="410"/>
      <c r="F56" s="411"/>
      <c r="G56" s="396" t="str">
        <f t="shared" si="0"/>
        <v/>
      </c>
      <c r="H56" s="543" t="str">
        <f>IF($G56="","",IF($D56=MCVS!$O$34,$G56-MCVS!$D$13,IF($D56=MCVS!$O$38,$G56-MCVS!$D$13,$G56)))</f>
        <v/>
      </c>
      <c r="I56" s="394" t="str">
        <f t="shared" si="1"/>
        <v/>
      </c>
      <c r="J56" s="416"/>
      <c r="K56" s="451" t="str">
        <f t="shared" si="2"/>
        <v/>
      </c>
      <c r="L56" s="424"/>
      <c r="M56" s="422"/>
      <c r="N56" s="423"/>
      <c r="O56" s="757"/>
      <c r="P56" s="758"/>
    </row>
    <row r="57" spans="1:16" ht="15.75">
      <c r="A57" s="407"/>
      <c r="B57" s="409"/>
      <c r="C57" s="409"/>
      <c r="D57" s="404"/>
      <c r="E57" s="410"/>
      <c r="F57" s="411"/>
      <c r="G57" s="396" t="str">
        <f t="shared" si="0"/>
        <v/>
      </c>
      <c r="H57" s="543" t="str">
        <f>IF($G57="","",IF($D57=MCVS!$O$34,$G57-MCVS!$D$13,IF($D57=MCVS!$O$38,$G57-MCVS!$D$13,$G57)))</f>
        <v/>
      </c>
      <c r="I57" s="394" t="str">
        <f t="shared" si="1"/>
        <v/>
      </c>
      <c r="J57" s="416"/>
      <c r="K57" s="451" t="str">
        <f t="shared" si="2"/>
        <v/>
      </c>
      <c r="L57" s="424"/>
      <c r="M57" s="422"/>
      <c r="N57" s="423"/>
      <c r="O57" s="757"/>
      <c r="P57" s="758"/>
    </row>
    <row r="58" spans="1:16" ht="15.75">
      <c r="A58" s="407"/>
      <c r="B58" s="409"/>
      <c r="C58" s="409"/>
      <c r="D58" s="404"/>
      <c r="E58" s="410"/>
      <c r="F58" s="411"/>
      <c r="G58" s="396" t="str">
        <f t="shared" si="0"/>
        <v/>
      </c>
      <c r="H58" s="543" t="str">
        <f>IF($G58="","",IF($D58=MCVS!$O$34,$G58-MCVS!$D$13,IF($D58=MCVS!$O$38,$G58-MCVS!$D$13,$G58)))</f>
        <v/>
      </c>
      <c r="I58" s="394" t="str">
        <f t="shared" si="1"/>
        <v/>
      </c>
      <c r="J58" s="416"/>
      <c r="K58" s="451" t="str">
        <f t="shared" si="2"/>
        <v/>
      </c>
      <c r="L58" s="424"/>
      <c r="M58" s="422"/>
      <c r="N58" s="423"/>
      <c r="O58" s="757"/>
      <c r="P58" s="758"/>
    </row>
    <row r="59" spans="1:16" ht="15.75">
      <c r="A59" s="407"/>
      <c r="B59" s="409"/>
      <c r="C59" s="409"/>
      <c r="D59" s="404"/>
      <c r="E59" s="410"/>
      <c r="F59" s="411"/>
      <c r="G59" s="396" t="str">
        <f t="shared" si="0"/>
        <v/>
      </c>
      <c r="H59" s="543" t="str">
        <f>IF($G59="","",IF($D59=MCVS!$O$34,$G59-MCVS!$D$13,IF($D59=MCVS!$O$38,$G59-MCVS!$D$13,$G59)))</f>
        <v/>
      </c>
      <c r="I59" s="394" t="str">
        <f t="shared" si="1"/>
        <v/>
      </c>
      <c r="J59" s="416"/>
      <c r="K59" s="451" t="str">
        <f t="shared" si="2"/>
        <v/>
      </c>
      <c r="L59" s="424"/>
      <c r="M59" s="422"/>
      <c r="N59" s="423"/>
      <c r="O59" s="757"/>
      <c r="P59" s="758"/>
    </row>
    <row r="60" spans="1:16" ht="15.75">
      <c r="A60" s="407"/>
      <c r="B60" s="409"/>
      <c r="C60" s="409"/>
      <c r="D60" s="404"/>
      <c r="E60" s="410"/>
      <c r="F60" s="411"/>
      <c r="G60" s="396" t="str">
        <f t="shared" si="0"/>
        <v/>
      </c>
      <c r="H60" s="543" t="str">
        <f>IF($G60="","",IF($D60=MCVS!$O$34,$G60-MCVS!$D$13,IF($D60=MCVS!$O$38,$G60-MCVS!$D$13,$G60)))</f>
        <v/>
      </c>
      <c r="I60" s="394" t="str">
        <f t="shared" si="1"/>
        <v/>
      </c>
      <c r="J60" s="416"/>
      <c r="K60" s="451" t="str">
        <f t="shared" si="2"/>
        <v/>
      </c>
      <c r="L60" s="424"/>
      <c r="M60" s="422"/>
      <c r="N60" s="423"/>
      <c r="O60" s="757"/>
      <c r="P60" s="758"/>
    </row>
    <row r="61" spans="1:16" ht="15.75">
      <c r="A61" s="407"/>
      <c r="B61" s="409"/>
      <c r="C61" s="409"/>
      <c r="D61" s="404"/>
      <c r="E61" s="410"/>
      <c r="F61" s="411"/>
      <c r="G61" s="396" t="str">
        <f t="shared" si="0"/>
        <v/>
      </c>
      <c r="H61" s="543" t="str">
        <f>IF($G61="","",IF($D61=MCVS!$O$34,$G61-MCVS!$D$13,IF($D61=MCVS!$O$38,$G61-MCVS!$D$13,$G61)))</f>
        <v/>
      </c>
      <c r="I61" s="394" t="str">
        <f t="shared" si="1"/>
        <v/>
      </c>
      <c r="J61" s="416"/>
      <c r="K61" s="451" t="str">
        <f t="shared" si="2"/>
        <v/>
      </c>
      <c r="L61" s="424"/>
      <c r="M61" s="422"/>
      <c r="N61" s="423"/>
      <c r="O61" s="757"/>
      <c r="P61" s="758"/>
    </row>
    <row r="62" spans="1:16" ht="16.5" thickBot="1">
      <c r="A62" s="407"/>
      <c r="B62" s="409"/>
      <c r="C62" s="409"/>
      <c r="D62" s="404"/>
      <c r="E62" s="413"/>
      <c r="F62" s="414"/>
      <c r="G62" s="430" t="str">
        <f t="shared" si="0"/>
        <v/>
      </c>
      <c r="H62" s="551" t="str">
        <f>IF($G62="","",IF($D62=MCVS!$O$34,$G62-MCVS!$D$13,IF($D62=MCVS!$O$38,$G62-MCVS!$D$13,$G62)))</f>
        <v/>
      </c>
      <c r="I62" s="394" t="str">
        <f t="shared" si="1"/>
        <v/>
      </c>
      <c r="J62" s="417"/>
      <c r="K62" s="452" t="str">
        <f t="shared" si="2"/>
        <v/>
      </c>
      <c r="L62" s="426"/>
      <c r="M62" s="427"/>
      <c r="N62" s="428"/>
      <c r="O62" s="757"/>
      <c r="P62" s="758"/>
    </row>
    <row r="63" spans="1:16" ht="15.75" customHeight="1" thickBot="1">
      <c r="A63" s="761" t="s">
        <v>27</v>
      </c>
      <c r="B63" s="762"/>
      <c r="C63" s="742" t="str">
        <f>MCVS!E9</f>
        <v>GUIN-Maurice</v>
      </c>
      <c r="D63" s="371"/>
      <c r="E63" s="397"/>
      <c r="F63" s="398"/>
      <c r="G63" s="399">
        <f>SUM(G7:G62)</f>
        <v>0</v>
      </c>
      <c r="H63" s="400">
        <f>SUM(H7:H62)</f>
        <v>0</v>
      </c>
      <c r="I63" s="544">
        <f>I7</f>
        <v>1</v>
      </c>
      <c r="J63" s="545">
        <f>I63+K63</f>
        <v>1</v>
      </c>
      <c r="K63" s="546">
        <f>SUM(K7:K62)</f>
        <v>0</v>
      </c>
      <c r="L63" s="547"/>
      <c r="M63" s="548">
        <f>SUM(M7:M62)</f>
        <v>0</v>
      </c>
      <c r="N63" s="549">
        <f>SUM(N7:N62)</f>
        <v>0</v>
      </c>
      <c r="O63" s="759"/>
      <c r="P63" s="760"/>
    </row>
    <row r="64" spans="1:16" ht="15" customHeight="1">
      <c r="A64" s="745" t="s">
        <v>28</v>
      </c>
      <c r="B64" s="746"/>
      <c r="C64" s="743"/>
      <c r="D64" s="372"/>
      <c r="E64" s="763" t="s">
        <v>29</v>
      </c>
      <c r="F64" s="764"/>
      <c r="G64" s="764"/>
      <c r="H64" s="764"/>
      <c r="I64" s="765"/>
      <c r="J64" s="765"/>
      <c r="K64" s="765"/>
      <c r="L64" s="766"/>
      <c r="M64" s="765"/>
      <c r="N64" s="767"/>
      <c r="O64" s="775"/>
      <c r="P64" s="676"/>
    </row>
    <row r="65" spans="1:16" ht="15.75" customHeight="1" thickBot="1">
      <c r="A65" s="745"/>
      <c r="B65" s="746"/>
      <c r="C65" s="744"/>
      <c r="D65" s="372"/>
      <c r="E65" s="768"/>
      <c r="F65" s="769"/>
      <c r="G65" s="769"/>
      <c r="H65" s="769"/>
      <c r="I65" s="766"/>
      <c r="J65" s="766"/>
      <c r="K65" s="766"/>
      <c r="L65" s="766"/>
      <c r="M65" s="766"/>
      <c r="N65" s="770"/>
      <c r="O65" s="776"/>
      <c r="P65" s="777"/>
    </row>
    <row r="66" spans="1:16" ht="15" customHeight="1">
      <c r="A66" s="761" t="s">
        <v>30</v>
      </c>
      <c r="B66" s="762"/>
      <c r="C66" s="742"/>
      <c r="D66" s="372"/>
      <c r="E66" s="768"/>
      <c r="F66" s="769"/>
      <c r="G66" s="769"/>
      <c r="H66" s="769"/>
      <c r="I66" s="766"/>
      <c r="J66" s="766"/>
      <c r="K66" s="766"/>
      <c r="L66" s="766"/>
      <c r="M66" s="766"/>
      <c r="N66" s="770"/>
      <c r="O66" s="776"/>
      <c r="P66" s="777"/>
    </row>
    <row r="67" spans="1:16" ht="15" customHeight="1">
      <c r="A67" s="745" t="s">
        <v>28</v>
      </c>
      <c r="B67" s="746"/>
      <c r="C67" s="743"/>
      <c r="D67" s="372"/>
      <c r="E67" s="768"/>
      <c r="F67" s="769"/>
      <c r="G67" s="769"/>
      <c r="H67" s="769"/>
      <c r="I67" s="766"/>
      <c r="J67" s="766"/>
      <c r="K67" s="766"/>
      <c r="L67" s="766"/>
      <c r="M67" s="766"/>
      <c r="N67" s="770"/>
      <c r="O67" s="776"/>
      <c r="P67" s="777"/>
    </row>
    <row r="68" spans="1:16" ht="15.75" customHeight="1" thickBot="1">
      <c r="A68" s="373"/>
      <c r="B68" s="374"/>
      <c r="C68" s="744"/>
      <c r="D68" s="375"/>
      <c r="E68" s="771"/>
      <c r="F68" s="772"/>
      <c r="G68" s="772"/>
      <c r="H68" s="772"/>
      <c r="I68" s="773"/>
      <c r="J68" s="773"/>
      <c r="K68" s="773"/>
      <c r="L68" s="773"/>
      <c r="M68" s="773"/>
      <c r="N68" s="774"/>
      <c r="O68" s="778"/>
      <c r="P68" s="779"/>
    </row>
    <row r="69" spans="1:16">
      <c r="I69" s="550"/>
      <c r="J69" s="550"/>
      <c r="K69" s="550"/>
      <c r="L69" s="550"/>
      <c r="M69" s="550"/>
      <c r="N69" s="550"/>
    </row>
    <row r="70" spans="1:16">
      <c r="I70" s="550"/>
      <c r="J70" s="550"/>
      <c r="K70" s="550"/>
      <c r="L70" s="550"/>
      <c r="M70" s="550"/>
      <c r="N70" s="550"/>
    </row>
    <row r="71" spans="1:16">
      <c r="I71" s="550"/>
      <c r="J71" s="550"/>
      <c r="K71" s="550"/>
      <c r="L71" s="550"/>
      <c r="M71" s="550"/>
      <c r="N71" s="550"/>
    </row>
    <row r="72" spans="1:16">
      <c r="I72" s="550"/>
      <c r="J72" s="550"/>
      <c r="K72" s="550"/>
      <c r="L72" s="550"/>
      <c r="M72" s="550"/>
      <c r="N72" s="550"/>
    </row>
    <row r="73" spans="1:16">
      <c r="I73" s="550"/>
      <c r="J73" s="550"/>
      <c r="K73" s="550"/>
      <c r="L73" s="550"/>
      <c r="M73" s="550"/>
      <c r="N73" s="550"/>
    </row>
    <row r="74" spans="1:16">
      <c r="I74" s="550"/>
      <c r="J74" s="550"/>
      <c r="K74" s="550"/>
      <c r="L74" s="550"/>
      <c r="M74" s="550"/>
      <c r="N74" s="550"/>
    </row>
    <row r="75" spans="1:16">
      <c r="I75" s="550"/>
      <c r="J75" s="550"/>
      <c r="K75" s="550"/>
      <c r="L75" s="550"/>
      <c r="M75" s="550"/>
      <c r="N75" s="550"/>
    </row>
    <row r="76" spans="1:16">
      <c r="I76" s="550"/>
      <c r="J76" s="550"/>
      <c r="K76" s="550"/>
      <c r="L76" s="550"/>
      <c r="M76" s="550"/>
      <c r="N76" s="550"/>
    </row>
    <row r="77" spans="1:16">
      <c r="I77" s="550"/>
      <c r="J77" s="550"/>
      <c r="K77" s="550"/>
      <c r="L77" s="550"/>
      <c r="M77" s="550"/>
      <c r="N77" s="550"/>
    </row>
    <row r="78" spans="1:16">
      <c r="I78" s="550"/>
      <c r="J78" s="550"/>
      <c r="K78" s="550"/>
      <c r="L78" s="550"/>
      <c r="M78" s="550"/>
      <c r="N78" s="550"/>
    </row>
    <row r="79" spans="1:16">
      <c r="I79" s="550"/>
      <c r="J79" s="550"/>
      <c r="K79" s="550"/>
      <c r="L79" s="550"/>
      <c r="M79" s="550"/>
      <c r="N79" s="550"/>
    </row>
    <row r="80" spans="1:16">
      <c r="I80" s="550"/>
      <c r="J80" s="550"/>
      <c r="K80" s="550"/>
      <c r="L80" s="550"/>
      <c r="M80" s="550"/>
      <c r="N80" s="550"/>
    </row>
    <row r="81" spans="9:14">
      <c r="I81" s="550"/>
      <c r="J81" s="550"/>
      <c r="K81" s="550"/>
      <c r="L81" s="550"/>
      <c r="M81" s="550"/>
      <c r="N81" s="550"/>
    </row>
    <row r="82" spans="9:14">
      <c r="I82" s="550"/>
      <c r="J82" s="550"/>
      <c r="K82" s="550"/>
      <c r="L82" s="550"/>
      <c r="M82" s="550"/>
      <c r="N82" s="550"/>
    </row>
    <row r="83" spans="9:14">
      <c r="I83" s="550"/>
      <c r="J83" s="550"/>
      <c r="K83" s="550"/>
      <c r="L83" s="550"/>
      <c r="M83" s="550"/>
      <c r="N83" s="550"/>
    </row>
    <row r="84" spans="9:14">
      <c r="I84" s="550"/>
      <c r="J84" s="550"/>
      <c r="K84" s="550"/>
      <c r="L84" s="550"/>
      <c r="M84" s="550"/>
      <c r="N84" s="550"/>
    </row>
    <row r="85" spans="9:14">
      <c r="I85" s="550"/>
      <c r="J85" s="550"/>
      <c r="K85" s="550"/>
      <c r="L85" s="550"/>
      <c r="M85" s="550"/>
      <c r="N85" s="550"/>
    </row>
    <row r="86" spans="9:14">
      <c r="I86" s="550"/>
      <c r="J86" s="550"/>
      <c r="K86" s="550"/>
      <c r="L86" s="550"/>
      <c r="M86" s="550"/>
      <c r="N86" s="550"/>
    </row>
    <row r="87" spans="9:14">
      <c r="I87" s="550"/>
      <c r="J87" s="550"/>
      <c r="K87" s="550"/>
      <c r="L87" s="550"/>
      <c r="M87" s="550"/>
      <c r="N87" s="550"/>
    </row>
    <row r="88" spans="9:14">
      <c r="I88" s="550"/>
      <c r="J88" s="550"/>
      <c r="K88" s="550"/>
      <c r="L88" s="550"/>
      <c r="M88" s="550"/>
      <c r="N88" s="550"/>
    </row>
    <row r="89" spans="9:14">
      <c r="I89" s="550"/>
      <c r="J89" s="550"/>
      <c r="K89" s="550"/>
      <c r="L89" s="550"/>
      <c r="M89" s="550"/>
      <c r="N89" s="550"/>
    </row>
    <row r="90" spans="9:14">
      <c r="I90" s="550"/>
      <c r="J90" s="550"/>
      <c r="K90" s="550"/>
      <c r="L90" s="550"/>
      <c r="M90" s="550"/>
      <c r="N90" s="550"/>
    </row>
    <row r="91" spans="9:14">
      <c r="I91" s="550"/>
      <c r="J91" s="550"/>
      <c r="K91" s="550"/>
      <c r="L91" s="550"/>
      <c r="M91" s="550"/>
      <c r="N91" s="550"/>
    </row>
    <row r="92" spans="9:14">
      <c r="I92" s="550"/>
      <c r="J92" s="550"/>
      <c r="K92" s="550"/>
      <c r="L92" s="550"/>
      <c r="M92" s="550"/>
      <c r="N92" s="550"/>
    </row>
    <row r="93" spans="9:14">
      <c r="I93" s="550"/>
      <c r="J93" s="550"/>
      <c r="K93" s="550"/>
      <c r="L93" s="550"/>
      <c r="M93" s="550"/>
      <c r="N93" s="550"/>
    </row>
    <row r="94" spans="9:14">
      <c r="I94" s="550"/>
      <c r="J94" s="550"/>
      <c r="K94" s="550"/>
      <c r="L94" s="550"/>
      <c r="M94" s="550"/>
      <c r="N94" s="550"/>
    </row>
    <row r="95" spans="9:14">
      <c r="I95" s="550"/>
      <c r="J95" s="550"/>
      <c r="K95" s="550"/>
      <c r="L95" s="550"/>
      <c r="M95" s="550"/>
      <c r="N95" s="550"/>
    </row>
    <row r="96" spans="9:14">
      <c r="I96" s="550"/>
      <c r="J96" s="550"/>
      <c r="K96" s="550"/>
      <c r="L96" s="550"/>
      <c r="M96" s="550"/>
      <c r="N96" s="550"/>
    </row>
    <row r="97" spans="9:14">
      <c r="I97" s="550"/>
      <c r="J97" s="550"/>
      <c r="K97" s="550"/>
      <c r="L97" s="550"/>
      <c r="M97" s="550"/>
      <c r="N97" s="550"/>
    </row>
    <row r="98" spans="9:14">
      <c r="I98" s="550"/>
      <c r="J98" s="550"/>
      <c r="K98" s="550"/>
      <c r="L98" s="550"/>
      <c r="M98" s="550"/>
      <c r="N98" s="550"/>
    </row>
    <row r="99" spans="9:14">
      <c r="I99" s="550"/>
      <c r="J99" s="550"/>
      <c r="K99" s="550"/>
      <c r="L99" s="550"/>
      <c r="M99" s="550"/>
      <c r="N99" s="550"/>
    </row>
    <row r="100" spans="9:14">
      <c r="I100" s="550"/>
      <c r="J100" s="550"/>
      <c r="K100" s="550"/>
      <c r="L100" s="550"/>
      <c r="M100" s="550"/>
      <c r="N100" s="550"/>
    </row>
    <row r="101" spans="9:14">
      <c r="I101" s="550"/>
      <c r="J101" s="550"/>
      <c r="K101" s="550"/>
      <c r="L101" s="550"/>
      <c r="M101" s="550"/>
      <c r="N101" s="550"/>
    </row>
    <row r="102" spans="9:14">
      <c r="I102" s="550"/>
      <c r="J102" s="550"/>
      <c r="K102" s="550"/>
      <c r="L102" s="550"/>
      <c r="M102" s="550"/>
      <c r="N102" s="550"/>
    </row>
    <row r="103" spans="9:14">
      <c r="I103" s="550"/>
      <c r="J103" s="550"/>
      <c r="K103" s="550"/>
      <c r="L103" s="550"/>
      <c r="M103" s="550"/>
      <c r="N103" s="550"/>
    </row>
    <row r="104" spans="9:14">
      <c r="I104" s="550"/>
      <c r="J104" s="550"/>
      <c r="K104" s="550"/>
      <c r="L104" s="550"/>
      <c r="M104" s="550"/>
      <c r="N104" s="550"/>
    </row>
    <row r="105" spans="9:14">
      <c r="I105" s="550"/>
      <c r="J105" s="550"/>
      <c r="K105" s="550"/>
      <c r="L105" s="550"/>
      <c r="M105" s="550"/>
      <c r="N105" s="550"/>
    </row>
    <row r="106" spans="9:14">
      <c r="I106" s="550"/>
      <c r="J106" s="550"/>
      <c r="K106" s="550"/>
      <c r="L106" s="550"/>
      <c r="M106" s="550"/>
      <c r="N106" s="550"/>
    </row>
    <row r="107" spans="9:14">
      <c r="I107" s="550"/>
      <c r="J107" s="550"/>
      <c r="K107" s="550"/>
      <c r="L107" s="550"/>
      <c r="M107" s="550"/>
      <c r="N107" s="550"/>
    </row>
    <row r="108" spans="9:14">
      <c r="I108" s="550"/>
      <c r="J108" s="550"/>
      <c r="K108" s="550"/>
      <c r="L108" s="550"/>
      <c r="M108" s="550"/>
      <c r="N108" s="550"/>
    </row>
    <row r="109" spans="9:14">
      <c r="I109" s="550"/>
      <c r="J109" s="550"/>
      <c r="K109" s="550"/>
      <c r="L109" s="550"/>
      <c r="M109" s="550"/>
      <c r="N109" s="550"/>
    </row>
    <row r="110" spans="9:14">
      <c r="I110" s="550"/>
      <c r="J110" s="550"/>
      <c r="K110" s="550"/>
      <c r="L110" s="550"/>
      <c r="M110" s="550"/>
      <c r="N110" s="550"/>
    </row>
    <row r="111" spans="9:14">
      <c r="I111" s="550"/>
      <c r="J111" s="550"/>
      <c r="K111" s="550"/>
      <c r="L111" s="550"/>
      <c r="M111" s="550"/>
      <c r="N111" s="550"/>
    </row>
    <row r="112" spans="9:14">
      <c r="I112" s="550"/>
      <c r="J112" s="550"/>
      <c r="K112" s="550"/>
      <c r="L112" s="550"/>
      <c r="M112" s="550"/>
      <c r="N112" s="550"/>
    </row>
    <row r="113" spans="9:14">
      <c r="I113" s="550"/>
      <c r="J113" s="550"/>
      <c r="K113" s="550"/>
      <c r="L113" s="550"/>
      <c r="M113" s="550"/>
      <c r="N113" s="550"/>
    </row>
    <row r="114" spans="9:14">
      <c r="I114" s="550"/>
      <c r="J114" s="550"/>
      <c r="K114" s="550"/>
      <c r="L114" s="550"/>
      <c r="M114" s="550"/>
      <c r="N114" s="550"/>
    </row>
    <row r="115" spans="9:14">
      <c r="I115" s="550"/>
      <c r="J115" s="550"/>
      <c r="K115" s="550"/>
      <c r="L115" s="550"/>
      <c r="M115" s="550"/>
      <c r="N115" s="550"/>
    </row>
    <row r="116" spans="9:14">
      <c r="I116" s="550"/>
      <c r="J116" s="550"/>
      <c r="K116" s="550"/>
      <c r="L116" s="550"/>
      <c r="M116" s="550"/>
      <c r="N116" s="550"/>
    </row>
    <row r="117" spans="9:14">
      <c r="I117" s="550"/>
      <c r="J117" s="550"/>
      <c r="K117" s="550"/>
      <c r="L117" s="550"/>
      <c r="M117" s="550"/>
      <c r="N117" s="550"/>
    </row>
    <row r="118" spans="9:14">
      <c r="I118" s="550"/>
      <c r="J118" s="550"/>
      <c r="K118" s="550"/>
      <c r="L118" s="550"/>
      <c r="M118" s="550"/>
      <c r="N118" s="550"/>
    </row>
    <row r="119" spans="9:14">
      <c r="I119" s="550"/>
      <c r="J119" s="550"/>
      <c r="K119" s="550"/>
      <c r="L119" s="550"/>
      <c r="M119" s="550"/>
      <c r="N119" s="550"/>
    </row>
    <row r="120" spans="9:14">
      <c r="I120" s="550"/>
      <c r="J120" s="550"/>
      <c r="K120" s="550"/>
      <c r="L120" s="550"/>
      <c r="M120" s="550"/>
      <c r="N120" s="550"/>
    </row>
    <row r="121" spans="9:14">
      <c r="I121" s="550"/>
      <c r="J121" s="550"/>
      <c r="K121" s="550"/>
      <c r="L121" s="550"/>
      <c r="M121" s="550"/>
      <c r="N121" s="550"/>
    </row>
    <row r="122" spans="9:14">
      <c r="I122" s="550"/>
      <c r="J122" s="550"/>
      <c r="K122" s="550"/>
      <c r="L122" s="550"/>
      <c r="M122" s="550"/>
      <c r="N122" s="550"/>
    </row>
    <row r="123" spans="9:14">
      <c r="I123" s="550"/>
      <c r="J123" s="550"/>
      <c r="K123" s="550"/>
      <c r="L123" s="550"/>
      <c r="M123" s="550"/>
      <c r="N123" s="550"/>
    </row>
    <row r="124" spans="9:14">
      <c r="I124" s="550"/>
      <c r="J124" s="550"/>
      <c r="K124" s="550"/>
      <c r="L124" s="550"/>
      <c r="M124" s="550"/>
      <c r="N124" s="550"/>
    </row>
    <row r="125" spans="9:14">
      <c r="I125" s="550"/>
      <c r="J125" s="550"/>
      <c r="K125" s="550"/>
      <c r="L125" s="550"/>
      <c r="M125" s="550"/>
      <c r="N125" s="550"/>
    </row>
    <row r="126" spans="9:14">
      <c r="I126" s="550"/>
      <c r="J126" s="550"/>
      <c r="K126" s="550"/>
      <c r="L126" s="550"/>
      <c r="M126" s="550"/>
      <c r="N126" s="550"/>
    </row>
    <row r="127" spans="9:14">
      <c r="I127" s="550"/>
      <c r="J127" s="550"/>
      <c r="K127" s="550"/>
      <c r="L127" s="550"/>
      <c r="M127" s="550"/>
      <c r="N127" s="550"/>
    </row>
    <row r="128" spans="9:14">
      <c r="I128" s="550"/>
      <c r="J128" s="550"/>
      <c r="K128" s="550"/>
      <c r="L128" s="550"/>
      <c r="M128" s="550"/>
      <c r="N128" s="550"/>
    </row>
    <row r="129" spans="9:14">
      <c r="I129" s="550"/>
      <c r="J129" s="550"/>
      <c r="K129" s="550"/>
      <c r="L129" s="550"/>
      <c r="M129" s="550"/>
      <c r="N129" s="550"/>
    </row>
    <row r="130" spans="9:14">
      <c r="I130" s="550"/>
      <c r="J130" s="550"/>
      <c r="K130" s="550"/>
      <c r="L130" s="550"/>
      <c r="M130" s="550"/>
      <c r="N130" s="550"/>
    </row>
    <row r="131" spans="9:14">
      <c r="I131" s="550"/>
      <c r="J131" s="550"/>
      <c r="K131" s="550"/>
      <c r="L131" s="550"/>
      <c r="M131" s="550"/>
      <c r="N131" s="550"/>
    </row>
    <row r="132" spans="9:14">
      <c r="I132" s="550"/>
      <c r="J132" s="550"/>
      <c r="K132" s="550"/>
      <c r="L132" s="550"/>
      <c r="M132" s="550"/>
      <c r="N132" s="550"/>
    </row>
    <row r="133" spans="9:14">
      <c r="I133" s="550"/>
      <c r="J133" s="550"/>
      <c r="K133" s="550"/>
      <c r="L133" s="550"/>
      <c r="M133" s="550"/>
      <c r="N133" s="550"/>
    </row>
    <row r="134" spans="9:14">
      <c r="I134" s="550"/>
      <c r="J134" s="550"/>
      <c r="K134" s="550"/>
      <c r="L134" s="550"/>
      <c r="M134" s="550"/>
      <c r="N134" s="550"/>
    </row>
    <row r="135" spans="9:14">
      <c r="I135" s="550"/>
      <c r="J135" s="550"/>
      <c r="K135" s="550"/>
      <c r="L135" s="550"/>
      <c r="M135" s="550"/>
      <c r="N135" s="550"/>
    </row>
    <row r="136" spans="9:14">
      <c r="I136" s="550"/>
      <c r="J136" s="550"/>
      <c r="K136" s="550"/>
      <c r="L136" s="550"/>
      <c r="M136" s="550"/>
      <c r="N136" s="550"/>
    </row>
    <row r="137" spans="9:14">
      <c r="I137" s="550"/>
      <c r="J137" s="550"/>
      <c r="K137" s="550"/>
      <c r="L137" s="550"/>
      <c r="M137" s="550"/>
      <c r="N137" s="550"/>
    </row>
    <row r="138" spans="9:14">
      <c r="I138" s="550"/>
      <c r="J138" s="550"/>
      <c r="K138" s="550"/>
      <c r="L138" s="550"/>
      <c r="M138" s="550"/>
      <c r="N138" s="550"/>
    </row>
    <row r="139" spans="9:14">
      <c r="I139" s="550"/>
      <c r="J139" s="550"/>
      <c r="K139" s="550"/>
      <c r="L139" s="550"/>
      <c r="M139" s="550"/>
      <c r="N139" s="550"/>
    </row>
    <row r="140" spans="9:14">
      <c r="I140" s="550"/>
      <c r="J140" s="550"/>
      <c r="K140" s="550"/>
      <c r="L140" s="550"/>
      <c r="M140" s="550"/>
      <c r="N140" s="550"/>
    </row>
    <row r="141" spans="9:14">
      <c r="I141" s="550"/>
      <c r="J141" s="550"/>
      <c r="K141" s="550"/>
      <c r="L141" s="550"/>
      <c r="M141" s="550"/>
      <c r="N141" s="550"/>
    </row>
    <row r="142" spans="9:14">
      <c r="I142" s="550"/>
      <c r="J142" s="550"/>
      <c r="K142" s="550"/>
      <c r="L142" s="550"/>
      <c r="M142" s="550"/>
      <c r="N142" s="550"/>
    </row>
    <row r="143" spans="9:14">
      <c r="I143" s="550"/>
      <c r="J143" s="550"/>
      <c r="K143" s="550"/>
      <c r="L143" s="550"/>
      <c r="M143" s="550"/>
      <c r="N143" s="550"/>
    </row>
    <row r="144" spans="9:14">
      <c r="I144" s="550"/>
      <c r="J144" s="550"/>
      <c r="K144" s="550"/>
      <c r="L144" s="550"/>
      <c r="M144" s="550"/>
      <c r="N144" s="550"/>
    </row>
    <row r="145" spans="9:14">
      <c r="I145" s="550"/>
      <c r="J145" s="550"/>
      <c r="K145" s="550"/>
      <c r="L145" s="550"/>
      <c r="M145" s="550"/>
      <c r="N145" s="550"/>
    </row>
    <row r="146" spans="9:14">
      <c r="I146" s="550"/>
      <c r="J146" s="550"/>
      <c r="K146" s="550"/>
      <c r="L146" s="550"/>
      <c r="M146" s="550"/>
      <c r="N146" s="550"/>
    </row>
    <row r="147" spans="9:14">
      <c r="I147" s="550"/>
      <c r="J147" s="550"/>
      <c r="K147" s="550"/>
      <c r="L147" s="550"/>
      <c r="M147" s="550"/>
      <c r="N147" s="550"/>
    </row>
    <row r="148" spans="9:14">
      <c r="I148" s="550"/>
      <c r="J148" s="550"/>
      <c r="K148" s="550"/>
      <c r="L148" s="550"/>
      <c r="M148" s="550"/>
      <c r="N148" s="550"/>
    </row>
    <row r="149" spans="9:14">
      <c r="I149" s="550"/>
      <c r="J149" s="550"/>
      <c r="K149" s="550"/>
      <c r="L149" s="550"/>
      <c r="M149" s="550"/>
      <c r="N149" s="550"/>
    </row>
    <row r="150" spans="9:14">
      <c r="I150" s="550"/>
      <c r="J150" s="550"/>
      <c r="K150" s="550"/>
      <c r="L150" s="550"/>
      <c r="M150" s="550"/>
      <c r="N150" s="550"/>
    </row>
    <row r="151" spans="9:14">
      <c r="I151" s="550"/>
      <c r="J151" s="550"/>
      <c r="K151" s="550"/>
      <c r="L151" s="550"/>
      <c r="M151" s="550"/>
      <c r="N151" s="550"/>
    </row>
    <row r="152" spans="9:14">
      <c r="I152" s="550"/>
      <c r="J152" s="550"/>
      <c r="K152" s="550"/>
      <c r="L152" s="550"/>
      <c r="M152" s="550"/>
      <c r="N152" s="550"/>
    </row>
    <row r="153" spans="9:14">
      <c r="I153" s="550"/>
      <c r="J153" s="550"/>
      <c r="K153" s="550"/>
      <c r="L153" s="550"/>
      <c r="M153" s="550"/>
      <c r="N153" s="550"/>
    </row>
    <row r="154" spans="9:14">
      <c r="I154" s="550"/>
      <c r="J154" s="550"/>
      <c r="K154" s="550"/>
      <c r="L154" s="550"/>
      <c r="M154" s="550"/>
      <c r="N154" s="550"/>
    </row>
    <row r="155" spans="9:14">
      <c r="I155" s="550"/>
      <c r="J155" s="550"/>
      <c r="K155" s="550"/>
      <c r="L155" s="550"/>
      <c r="M155" s="550"/>
      <c r="N155" s="550"/>
    </row>
    <row r="156" spans="9:14">
      <c r="I156" s="550"/>
      <c r="J156" s="550"/>
      <c r="K156" s="550"/>
      <c r="L156" s="550"/>
      <c r="M156" s="550"/>
      <c r="N156" s="550"/>
    </row>
    <row r="157" spans="9:14">
      <c r="I157" s="550"/>
      <c r="J157" s="550"/>
      <c r="K157" s="550"/>
      <c r="L157" s="550"/>
      <c r="M157" s="550"/>
      <c r="N157" s="550"/>
    </row>
    <row r="158" spans="9:14">
      <c r="I158" s="550"/>
      <c r="J158" s="550"/>
      <c r="K158" s="550"/>
      <c r="L158" s="550"/>
      <c r="M158" s="550"/>
      <c r="N158" s="550"/>
    </row>
    <row r="159" spans="9:14">
      <c r="I159" s="550"/>
      <c r="J159" s="550"/>
      <c r="K159" s="550"/>
      <c r="L159" s="550"/>
      <c r="M159" s="550"/>
      <c r="N159" s="550"/>
    </row>
    <row r="160" spans="9:14">
      <c r="I160" s="550"/>
      <c r="J160" s="550"/>
      <c r="K160" s="550"/>
      <c r="L160" s="550"/>
      <c r="M160" s="550"/>
      <c r="N160" s="550"/>
    </row>
    <row r="161" spans="9:14">
      <c r="I161" s="550"/>
      <c r="J161" s="550"/>
      <c r="K161" s="550"/>
      <c r="L161" s="550"/>
      <c r="M161" s="550"/>
      <c r="N161" s="550"/>
    </row>
    <row r="162" spans="9:14">
      <c r="I162" s="550"/>
      <c r="J162" s="550"/>
      <c r="K162" s="550"/>
      <c r="L162" s="550"/>
      <c r="M162" s="550"/>
      <c r="N162" s="550"/>
    </row>
    <row r="163" spans="9:14">
      <c r="I163" s="550"/>
      <c r="J163" s="550"/>
      <c r="K163" s="550"/>
      <c r="L163" s="550"/>
      <c r="M163" s="550"/>
      <c r="N163" s="550"/>
    </row>
    <row r="164" spans="9:14">
      <c r="I164" s="550"/>
      <c r="J164" s="550"/>
      <c r="K164" s="550"/>
      <c r="L164" s="550"/>
      <c r="M164" s="550"/>
      <c r="N164" s="550"/>
    </row>
    <row r="165" spans="9:14">
      <c r="I165" s="550"/>
      <c r="J165" s="550"/>
      <c r="K165" s="550"/>
      <c r="L165" s="550"/>
      <c r="M165" s="550"/>
      <c r="N165" s="550"/>
    </row>
    <row r="166" spans="9:14">
      <c r="I166" s="550"/>
      <c r="J166" s="550"/>
      <c r="K166" s="550"/>
      <c r="L166" s="550"/>
      <c r="M166" s="550"/>
      <c r="N166" s="550"/>
    </row>
    <row r="167" spans="9:14">
      <c r="I167" s="550"/>
      <c r="J167" s="550"/>
      <c r="K167" s="550"/>
      <c r="L167" s="550"/>
      <c r="M167" s="550"/>
      <c r="N167" s="550"/>
    </row>
    <row r="168" spans="9:14">
      <c r="I168" s="550"/>
      <c r="J168" s="550"/>
      <c r="K168" s="550"/>
      <c r="L168" s="550"/>
      <c r="M168" s="550"/>
      <c r="N168" s="550"/>
    </row>
    <row r="169" spans="9:14">
      <c r="I169" s="550"/>
      <c r="J169" s="550"/>
      <c r="K169" s="550"/>
      <c r="L169" s="550"/>
      <c r="M169" s="550"/>
      <c r="N169" s="550"/>
    </row>
    <row r="170" spans="9:14">
      <c r="I170" s="550"/>
      <c r="J170" s="550"/>
      <c r="K170" s="550"/>
      <c r="L170" s="550"/>
      <c r="M170" s="550"/>
      <c r="N170" s="550"/>
    </row>
    <row r="171" spans="9:14">
      <c r="I171" s="550"/>
      <c r="J171" s="550"/>
      <c r="K171" s="550"/>
      <c r="L171" s="550"/>
      <c r="M171" s="550"/>
      <c r="N171" s="550"/>
    </row>
    <row r="172" spans="9:14">
      <c r="I172" s="550"/>
      <c r="J172" s="550"/>
      <c r="K172" s="550"/>
      <c r="L172" s="550"/>
      <c r="M172" s="550"/>
      <c r="N172" s="550"/>
    </row>
    <row r="173" spans="9:14">
      <c r="I173" s="550"/>
      <c r="J173" s="550"/>
      <c r="K173" s="550"/>
      <c r="L173" s="550"/>
      <c r="M173" s="550"/>
      <c r="N173" s="550"/>
    </row>
    <row r="174" spans="9:14">
      <c r="I174" s="550"/>
      <c r="J174" s="550"/>
      <c r="K174" s="550"/>
      <c r="L174" s="550"/>
      <c r="M174" s="550"/>
      <c r="N174" s="550"/>
    </row>
    <row r="175" spans="9:14">
      <c r="I175" s="550"/>
      <c r="J175" s="550"/>
      <c r="K175" s="550"/>
      <c r="L175" s="550"/>
      <c r="M175" s="550"/>
      <c r="N175" s="550"/>
    </row>
    <row r="176" spans="9:14">
      <c r="I176" s="550"/>
      <c r="J176" s="550"/>
      <c r="K176" s="550"/>
      <c r="L176" s="550"/>
      <c r="M176" s="550"/>
      <c r="N176" s="550"/>
    </row>
    <row r="177" spans="9:14">
      <c r="I177" s="550"/>
      <c r="J177" s="550"/>
      <c r="K177" s="550"/>
      <c r="L177" s="550"/>
      <c r="M177" s="550"/>
      <c r="N177" s="550"/>
    </row>
    <row r="178" spans="9:14">
      <c r="I178" s="550"/>
      <c r="J178" s="550"/>
      <c r="K178" s="550"/>
      <c r="L178" s="550"/>
      <c r="M178" s="550"/>
      <c r="N178" s="550"/>
    </row>
    <row r="179" spans="9:14">
      <c r="I179" s="550"/>
      <c r="J179" s="550"/>
      <c r="K179" s="550"/>
      <c r="L179" s="550"/>
      <c r="M179" s="550"/>
      <c r="N179" s="550"/>
    </row>
    <row r="180" spans="9:14">
      <c r="I180" s="550"/>
      <c r="J180" s="550"/>
      <c r="K180" s="550"/>
      <c r="L180" s="550"/>
      <c r="M180" s="550"/>
      <c r="N180" s="550"/>
    </row>
    <row r="181" spans="9:14">
      <c r="I181" s="550"/>
      <c r="J181" s="550"/>
      <c r="K181" s="550"/>
      <c r="L181" s="550"/>
      <c r="M181" s="550"/>
      <c r="N181" s="550"/>
    </row>
    <row r="182" spans="9:14">
      <c r="I182" s="550"/>
      <c r="J182" s="550"/>
      <c r="K182" s="550"/>
      <c r="L182" s="550"/>
      <c r="M182" s="550"/>
      <c r="N182" s="550"/>
    </row>
    <row r="183" spans="9:14">
      <c r="I183" s="550"/>
      <c r="J183" s="550"/>
      <c r="K183" s="550"/>
      <c r="L183" s="550"/>
      <c r="M183" s="550"/>
      <c r="N183" s="550"/>
    </row>
    <row r="184" spans="9:14">
      <c r="I184" s="550"/>
      <c r="J184" s="550"/>
      <c r="K184" s="550"/>
      <c r="L184" s="550"/>
      <c r="M184" s="550"/>
      <c r="N184" s="550"/>
    </row>
    <row r="185" spans="9:14">
      <c r="I185" s="550"/>
      <c r="J185" s="550"/>
      <c r="K185" s="550"/>
      <c r="L185" s="550"/>
      <c r="M185" s="550"/>
      <c r="N185" s="550"/>
    </row>
    <row r="186" spans="9:14">
      <c r="I186" s="550"/>
      <c r="J186" s="550"/>
      <c r="K186" s="550"/>
      <c r="L186" s="550"/>
      <c r="M186" s="550"/>
      <c r="N186" s="550"/>
    </row>
    <row r="187" spans="9:14">
      <c r="I187" s="550"/>
      <c r="J187" s="550"/>
      <c r="K187" s="550"/>
      <c r="L187" s="550"/>
      <c r="M187" s="550"/>
      <c r="N187" s="550"/>
    </row>
    <row r="188" spans="9:14">
      <c r="I188" s="550"/>
      <c r="J188" s="550"/>
      <c r="K188" s="550"/>
      <c r="L188" s="550"/>
      <c r="M188" s="550"/>
      <c r="N188" s="550"/>
    </row>
    <row r="189" spans="9:14">
      <c r="I189" s="550"/>
      <c r="J189" s="550"/>
      <c r="K189" s="550"/>
      <c r="L189" s="550"/>
      <c r="M189" s="550"/>
      <c r="N189" s="550"/>
    </row>
    <row r="190" spans="9:14">
      <c r="I190" s="550"/>
      <c r="J190" s="550"/>
      <c r="K190" s="550"/>
      <c r="L190" s="550"/>
      <c r="M190" s="550"/>
      <c r="N190" s="550"/>
    </row>
    <row r="191" spans="9:14">
      <c r="I191" s="550"/>
      <c r="J191" s="550"/>
      <c r="K191" s="550"/>
      <c r="L191" s="550"/>
      <c r="M191" s="550"/>
      <c r="N191" s="550"/>
    </row>
    <row r="192" spans="9:14">
      <c r="I192" s="550"/>
      <c r="J192" s="550"/>
      <c r="K192" s="550"/>
      <c r="L192" s="550"/>
      <c r="M192" s="550"/>
      <c r="N192" s="550"/>
    </row>
    <row r="193" spans="9:14">
      <c r="I193" s="550"/>
      <c r="J193" s="550"/>
      <c r="K193" s="550"/>
      <c r="L193" s="550"/>
      <c r="M193" s="550"/>
      <c r="N193" s="550"/>
    </row>
    <row r="194" spans="9:14">
      <c r="I194" s="550"/>
      <c r="J194" s="550"/>
      <c r="K194" s="550"/>
      <c r="L194" s="550"/>
      <c r="M194" s="550"/>
      <c r="N194" s="550"/>
    </row>
    <row r="195" spans="9:14">
      <c r="I195" s="550"/>
      <c r="J195" s="550"/>
      <c r="K195" s="550"/>
      <c r="L195" s="550"/>
      <c r="M195" s="550"/>
      <c r="N195" s="550"/>
    </row>
    <row r="196" spans="9:14">
      <c r="I196" s="550"/>
      <c r="J196" s="550"/>
      <c r="K196" s="550"/>
      <c r="L196" s="550"/>
      <c r="M196" s="550"/>
      <c r="N196" s="550"/>
    </row>
    <row r="197" spans="9:14">
      <c r="I197" s="550"/>
      <c r="J197" s="550"/>
      <c r="K197" s="550"/>
      <c r="L197" s="550"/>
      <c r="M197" s="550"/>
      <c r="N197" s="550"/>
    </row>
    <row r="198" spans="9:14">
      <c r="I198" s="550"/>
      <c r="J198" s="550"/>
      <c r="K198" s="550"/>
      <c r="L198" s="550"/>
      <c r="M198" s="550"/>
      <c r="N198" s="550"/>
    </row>
    <row r="199" spans="9:14">
      <c r="I199" s="550"/>
      <c r="J199" s="550"/>
      <c r="K199" s="550"/>
      <c r="L199" s="550"/>
      <c r="M199" s="550"/>
      <c r="N199" s="550"/>
    </row>
    <row r="200" spans="9:14">
      <c r="I200" s="550"/>
      <c r="J200" s="550"/>
      <c r="K200" s="550"/>
      <c r="L200" s="550"/>
      <c r="M200" s="550"/>
      <c r="N200" s="550"/>
    </row>
    <row r="201" spans="9:14">
      <c r="I201" s="550"/>
      <c r="J201" s="550"/>
      <c r="K201" s="550"/>
      <c r="L201" s="550"/>
      <c r="M201" s="550"/>
      <c r="N201" s="550"/>
    </row>
    <row r="202" spans="9:14">
      <c r="I202" s="550"/>
      <c r="J202" s="550"/>
      <c r="K202" s="550"/>
      <c r="L202" s="550"/>
      <c r="M202" s="550"/>
      <c r="N202" s="550"/>
    </row>
    <row r="203" spans="9:14">
      <c r="I203" s="550"/>
      <c r="J203" s="550"/>
      <c r="K203" s="550"/>
      <c r="L203" s="550"/>
      <c r="M203" s="550"/>
      <c r="N203" s="550"/>
    </row>
    <row r="204" spans="9:14">
      <c r="I204" s="550"/>
      <c r="J204" s="550"/>
      <c r="K204" s="550"/>
      <c r="L204" s="550"/>
      <c r="M204" s="550"/>
      <c r="N204" s="550"/>
    </row>
    <row r="205" spans="9:14">
      <c r="I205" s="550"/>
      <c r="J205" s="550"/>
      <c r="K205" s="550"/>
      <c r="L205" s="550"/>
      <c r="M205" s="550"/>
      <c r="N205" s="550"/>
    </row>
    <row r="206" spans="9:14">
      <c r="I206" s="550"/>
      <c r="J206" s="550"/>
      <c r="K206" s="550"/>
      <c r="L206" s="550"/>
      <c r="M206" s="550"/>
      <c r="N206" s="550"/>
    </row>
    <row r="207" spans="9:14">
      <c r="I207" s="550"/>
      <c r="J207" s="550"/>
      <c r="K207" s="550"/>
      <c r="L207" s="550"/>
      <c r="M207" s="550"/>
      <c r="N207" s="550"/>
    </row>
    <row r="208" spans="9:14">
      <c r="I208" s="550"/>
      <c r="J208" s="550"/>
      <c r="K208" s="550"/>
      <c r="L208" s="550"/>
      <c r="M208" s="550"/>
      <c r="N208" s="550"/>
    </row>
    <row r="209" spans="9:14">
      <c r="I209" s="550"/>
      <c r="J209" s="550"/>
      <c r="K209" s="550"/>
      <c r="L209" s="550"/>
      <c r="M209" s="550"/>
      <c r="N209" s="550"/>
    </row>
    <row r="210" spans="9:14">
      <c r="I210" s="550"/>
      <c r="J210" s="550"/>
      <c r="K210" s="550"/>
      <c r="L210" s="550"/>
      <c r="M210" s="550"/>
      <c r="N210" s="550"/>
    </row>
    <row r="211" spans="9:14">
      <c r="I211" s="550"/>
      <c r="J211" s="550"/>
      <c r="K211" s="550"/>
      <c r="L211" s="550"/>
      <c r="M211" s="550"/>
      <c r="N211" s="550"/>
    </row>
    <row r="212" spans="9:14">
      <c r="I212" s="550"/>
      <c r="J212" s="550"/>
      <c r="K212" s="550"/>
      <c r="L212" s="550"/>
      <c r="M212" s="550"/>
      <c r="N212" s="550"/>
    </row>
    <row r="213" spans="9:14">
      <c r="I213" s="550"/>
      <c r="J213" s="550"/>
      <c r="K213" s="550"/>
      <c r="L213" s="550"/>
      <c r="M213" s="550"/>
      <c r="N213" s="550"/>
    </row>
    <row r="214" spans="9:14">
      <c r="I214" s="550"/>
      <c r="J214" s="550"/>
      <c r="K214" s="550"/>
      <c r="L214" s="550"/>
      <c r="M214" s="550"/>
      <c r="N214" s="550"/>
    </row>
    <row r="215" spans="9:14">
      <c r="I215" s="550"/>
      <c r="J215" s="550"/>
      <c r="K215" s="550"/>
      <c r="L215" s="550"/>
      <c r="M215" s="550"/>
      <c r="N215" s="550"/>
    </row>
    <row r="216" spans="9:14">
      <c r="I216" s="550"/>
      <c r="J216" s="550"/>
      <c r="K216" s="550"/>
      <c r="L216" s="550"/>
      <c r="M216" s="550"/>
      <c r="N216" s="550"/>
    </row>
    <row r="217" spans="9:14">
      <c r="I217" s="550"/>
      <c r="J217" s="550"/>
      <c r="K217" s="550"/>
      <c r="L217" s="550"/>
      <c r="M217" s="550"/>
      <c r="N217" s="550"/>
    </row>
    <row r="218" spans="9:14">
      <c r="I218" s="550"/>
      <c r="J218" s="550"/>
      <c r="K218" s="550"/>
      <c r="L218" s="550"/>
      <c r="M218" s="550"/>
      <c r="N218" s="550"/>
    </row>
    <row r="219" spans="9:14">
      <c r="I219" s="550"/>
      <c r="J219" s="550"/>
      <c r="K219" s="550"/>
      <c r="L219" s="550"/>
      <c r="M219" s="550"/>
      <c r="N219" s="550"/>
    </row>
    <row r="220" spans="9:14">
      <c r="I220" s="550"/>
      <c r="J220" s="550"/>
      <c r="K220" s="550"/>
      <c r="L220" s="550"/>
      <c r="M220" s="550"/>
      <c r="N220" s="550"/>
    </row>
    <row r="221" spans="9:14">
      <c r="I221" s="550"/>
      <c r="J221" s="550"/>
      <c r="K221" s="550"/>
      <c r="L221" s="550"/>
      <c r="M221" s="550"/>
      <c r="N221" s="550"/>
    </row>
    <row r="222" spans="9:14">
      <c r="I222" s="550"/>
      <c r="J222" s="550"/>
      <c r="K222" s="550"/>
      <c r="L222" s="550"/>
      <c r="M222" s="550"/>
      <c r="N222" s="550"/>
    </row>
    <row r="223" spans="9:14">
      <c r="I223" s="550"/>
      <c r="J223" s="550"/>
      <c r="K223" s="550"/>
      <c r="L223" s="550"/>
      <c r="M223" s="550"/>
      <c r="N223" s="550"/>
    </row>
    <row r="224" spans="9:14">
      <c r="I224" s="550"/>
      <c r="J224" s="550"/>
      <c r="K224" s="550"/>
      <c r="L224" s="550"/>
      <c r="M224" s="550"/>
      <c r="N224" s="550"/>
    </row>
    <row r="225" spans="9:14">
      <c r="I225" s="550"/>
      <c r="J225" s="550"/>
      <c r="K225" s="550"/>
      <c r="L225" s="550"/>
      <c r="M225" s="550"/>
      <c r="N225" s="550"/>
    </row>
    <row r="226" spans="9:14">
      <c r="I226" s="550"/>
      <c r="J226" s="550"/>
      <c r="K226" s="550"/>
      <c r="L226" s="550"/>
      <c r="M226" s="550"/>
      <c r="N226" s="550"/>
    </row>
    <row r="227" spans="9:14">
      <c r="I227" s="550"/>
      <c r="J227" s="550"/>
      <c r="K227" s="550"/>
      <c r="L227" s="550"/>
      <c r="M227" s="550"/>
      <c r="N227" s="550"/>
    </row>
    <row r="228" spans="9:14">
      <c r="I228" s="550"/>
      <c r="J228" s="550"/>
      <c r="K228" s="550"/>
      <c r="L228" s="550"/>
      <c r="M228" s="550"/>
      <c r="N228" s="550"/>
    </row>
    <row r="229" spans="9:14">
      <c r="I229" s="550"/>
      <c r="J229" s="550"/>
      <c r="K229" s="550"/>
      <c r="L229" s="550"/>
      <c r="M229" s="550"/>
      <c r="N229" s="550"/>
    </row>
    <row r="230" spans="9:14">
      <c r="I230" s="550"/>
      <c r="J230" s="550"/>
      <c r="K230" s="550"/>
      <c r="L230" s="550"/>
      <c r="M230" s="550"/>
      <c r="N230" s="550"/>
    </row>
    <row r="231" spans="9:14">
      <c r="I231" s="550"/>
      <c r="J231" s="550"/>
      <c r="K231" s="550"/>
      <c r="L231" s="550"/>
      <c r="M231" s="550"/>
      <c r="N231" s="550"/>
    </row>
    <row r="232" spans="9:14">
      <c r="I232" s="550"/>
      <c r="J232" s="550"/>
      <c r="K232" s="550"/>
      <c r="L232" s="550"/>
      <c r="M232" s="550"/>
      <c r="N232" s="550"/>
    </row>
    <row r="233" spans="9:14">
      <c r="I233" s="550"/>
      <c r="J233" s="550"/>
      <c r="K233" s="550"/>
      <c r="L233" s="550"/>
      <c r="M233" s="550"/>
      <c r="N233" s="550"/>
    </row>
    <row r="234" spans="9:14">
      <c r="I234" s="550"/>
      <c r="J234" s="550"/>
      <c r="K234" s="550"/>
      <c r="L234" s="550"/>
      <c r="M234" s="550"/>
      <c r="N234" s="550"/>
    </row>
    <row r="235" spans="9:14">
      <c r="I235" s="550"/>
      <c r="J235" s="550"/>
      <c r="K235" s="550"/>
      <c r="L235" s="550"/>
      <c r="M235" s="550"/>
      <c r="N235" s="550"/>
    </row>
    <row r="236" spans="9:14">
      <c r="I236" s="550"/>
      <c r="J236" s="550"/>
      <c r="K236" s="550"/>
      <c r="L236" s="550"/>
      <c r="M236" s="550"/>
      <c r="N236" s="550"/>
    </row>
    <row r="237" spans="9:14">
      <c r="I237" s="550"/>
      <c r="J237" s="550"/>
      <c r="K237" s="550"/>
      <c r="L237" s="550"/>
      <c r="M237" s="550"/>
      <c r="N237" s="550"/>
    </row>
    <row r="238" spans="9:14">
      <c r="I238" s="550"/>
      <c r="J238" s="550"/>
      <c r="K238" s="550"/>
      <c r="L238" s="550"/>
      <c r="M238" s="550"/>
      <c r="N238" s="550"/>
    </row>
    <row r="239" spans="9:14">
      <c r="I239" s="550"/>
      <c r="J239" s="550"/>
      <c r="K239" s="550"/>
      <c r="L239" s="550"/>
      <c r="M239" s="550"/>
      <c r="N239" s="550"/>
    </row>
    <row r="240" spans="9:14">
      <c r="I240" s="550"/>
      <c r="J240" s="550"/>
      <c r="K240" s="550"/>
      <c r="L240" s="550"/>
      <c r="M240" s="550"/>
      <c r="N240" s="550"/>
    </row>
    <row r="241" spans="9:14">
      <c r="I241" s="550"/>
      <c r="J241" s="550"/>
      <c r="K241" s="550"/>
      <c r="L241" s="550"/>
      <c r="M241" s="550"/>
      <c r="N241" s="550"/>
    </row>
    <row r="242" spans="9:14">
      <c r="I242" s="550"/>
      <c r="J242" s="550"/>
      <c r="K242" s="550"/>
      <c r="L242" s="550"/>
      <c r="M242" s="550"/>
      <c r="N242" s="550"/>
    </row>
    <row r="243" spans="9:14">
      <c r="I243" s="550"/>
      <c r="J243" s="550"/>
      <c r="K243" s="550"/>
      <c r="L243" s="550"/>
      <c r="M243" s="550"/>
      <c r="N243" s="550"/>
    </row>
    <row r="244" spans="9:14">
      <c r="I244" s="550"/>
      <c r="J244" s="550"/>
      <c r="K244" s="550"/>
      <c r="L244" s="550"/>
      <c r="M244" s="550"/>
      <c r="N244" s="550"/>
    </row>
    <row r="245" spans="9:14">
      <c r="I245" s="550"/>
      <c r="J245" s="550"/>
      <c r="K245" s="550"/>
      <c r="L245" s="550"/>
      <c r="M245" s="550"/>
      <c r="N245" s="550"/>
    </row>
    <row r="246" spans="9:14">
      <c r="I246" s="550"/>
      <c r="J246" s="550"/>
      <c r="K246" s="550"/>
      <c r="L246" s="550"/>
      <c r="M246" s="550"/>
      <c r="N246" s="550"/>
    </row>
    <row r="247" spans="9:14">
      <c r="I247" s="550"/>
      <c r="J247" s="550"/>
      <c r="K247" s="550"/>
      <c r="L247" s="550"/>
      <c r="M247" s="550"/>
      <c r="N247" s="550"/>
    </row>
    <row r="248" spans="9:14">
      <c r="I248" s="550"/>
      <c r="J248" s="550"/>
      <c r="K248" s="550"/>
      <c r="L248" s="550"/>
      <c r="M248" s="550"/>
      <c r="N248" s="550"/>
    </row>
    <row r="249" spans="9:14">
      <c r="I249" s="550"/>
      <c r="J249" s="550"/>
      <c r="K249" s="550"/>
      <c r="L249" s="550"/>
      <c r="M249" s="550"/>
      <c r="N249" s="550"/>
    </row>
    <row r="250" spans="9:14">
      <c r="I250" s="550"/>
      <c r="J250" s="550"/>
      <c r="K250" s="550"/>
      <c r="L250" s="550"/>
      <c r="M250" s="550"/>
      <c r="N250" s="550"/>
    </row>
    <row r="251" spans="9:14">
      <c r="I251" s="550"/>
      <c r="J251" s="550"/>
      <c r="K251" s="550"/>
      <c r="L251" s="550"/>
      <c r="M251" s="550"/>
      <c r="N251" s="550"/>
    </row>
    <row r="252" spans="9:14">
      <c r="I252" s="550"/>
      <c r="J252" s="550"/>
      <c r="K252" s="550"/>
      <c r="L252" s="550"/>
      <c r="M252" s="550"/>
      <c r="N252" s="550"/>
    </row>
    <row r="253" spans="9:14">
      <c r="I253" s="550"/>
      <c r="J253" s="550"/>
      <c r="K253" s="550"/>
      <c r="L253" s="550"/>
      <c r="M253" s="550"/>
      <c r="N253" s="550"/>
    </row>
    <row r="254" spans="9:14">
      <c r="I254" s="550"/>
      <c r="J254" s="550"/>
      <c r="K254" s="550"/>
      <c r="L254" s="550"/>
      <c r="M254" s="550"/>
      <c r="N254" s="550"/>
    </row>
    <row r="255" spans="9:14">
      <c r="I255" s="550"/>
      <c r="J255" s="550"/>
      <c r="K255" s="550"/>
      <c r="L255" s="550"/>
      <c r="M255" s="550"/>
      <c r="N255" s="550"/>
    </row>
    <row r="256" spans="9:14">
      <c r="I256" s="550"/>
      <c r="J256" s="550"/>
      <c r="K256" s="550"/>
      <c r="L256" s="550"/>
      <c r="M256" s="550"/>
      <c r="N256" s="550"/>
    </row>
    <row r="257" spans="9:14">
      <c r="I257" s="550"/>
      <c r="J257" s="550"/>
      <c r="K257" s="550"/>
      <c r="L257" s="550"/>
      <c r="M257" s="550"/>
      <c r="N257" s="550"/>
    </row>
    <row r="258" spans="9:14">
      <c r="I258" s="550"/>
      <c r="J258" s="550"/>
      <c r="K258" s="550"/>
      <c r="L258" s="550"/>
      <c r="M258" s="550"/>
      <c r="N258" s="550"/>
    </row>
    <row r="259" spans="9:14">
      <c r="I259" s="550"/>
      <c r="J259" s="550"/>
      <c r="K259" s="550"/>
      <c r="L259" s="550"/>
      <c r="M259" s="550"/>
      <c r="N259" s="550"/>
    </row>
    <row r="260" spans="9:14">
      <c r="I260" s="550"/>
      <c r="J260" s="550"/>
      <c r="K260" s="550"/>
      <c r="L260" s="550"/>
      <c r="M260" s="550"/>
      <c r="N260" s="550"/>
    </row>
    <row r="261" spans="9:14">
      <c r="I261" s="550"/>
      <c r="J261" s="550"/>
      <c r="K261" s="550"/>
      <c r="L261" s="550"/>
      <c r="M261" s="550"/>
      <c r="N261" s="550"/>
    </row>
    <row r="262" spans="9:14">
      <c r="I262" s="550"/>
      <c r="J262" s="550"/>
      <c r="K262" s="550"/>
      <c r="L262" s="550"/>
      <c r="M262" s="550"/>
      <c r="N262" s="550"/>
    </row>
    <row r="263" spans="9:14">
      <c r="I263" s="550"/>
      <c r="J263" s="550"/>
      <c r="K263" s="550"/>
      <c r="L263" s="550"/>
      <c r="M263" s="550"/>
      <c r="N263" s="550"/>
    </row>
    <row r="264" spans="9:14">
      <c r="I264" s="550"/>
      <c r="J264" s="550"/>
      <c r="K264" s="550"/>
      <c r="L264" s="550"/>
      <c r="M264" s="550"/>
      <c r="N264" s="550"/>
    </row>
    <row r="265" spans="9:14">
      <c r="I265" s="550"/>
      <c r="J265" s="550"/>
      <c r="K265" s="550"/>
      <c r="L265" s="550"/>
      <c r="M265" s="550"/>
      <c r="N265" s="550"/>
    </row>
    <row r="266" spans="9:14">
      <c r="I266" s="550"/>
      <c r="J266" s="550"/>
      <c r="K266" s="550"/>
      <c r="L266" s="550"/>
      <c r="M266" s="550"/>
      <c r="N266" s="550"/>
    </row>
    <row r="267" spans="9:14">
      <c r="I267" s="550"/>
      <c r="J267" s="550"/>
      <c r="K267" s="550"/>
      <c r="L267" s="550"/>
      <c r="M267" s="550"/>
      <c r="N267" s="550"/>
    </row>
    <row r="268" spans="9:14">
      <c r="I268" s="550"/>
      <c r="J268" s="550"/>
      <c r="K268" s="550"/>
      <c r="L268" s="550"/>
      <c r="M268" s="550"/>
      <c r="N268" s="550"/>
    </row>
    <row r="269" spans="9:14">
      <c r="I269" s="550"/>
      <c r="J269" s="550"/>
      <c r="K269" s="550"/>
      <c r="L269" s="550"/>
      <c r="M269" s="550"/>
      <c r="N269" s="550"/>
    </row>
    <row r="270" spans="9:14">
      <c r="I270" s="550"/>
      <c r="J270" s="550"/>
      <c r="K270" s="550"/>
      <c r="L270" s="550"/>
      <c r="M270" s="550"/>
      <c r="N270" s="550"/>
    </row>
    <row r="271" spans="9:14">
      <c r="I271" s="550"/>
      <c r="J271" s="550"/>
      <c r="K271" s="550"/>
      <c r="L271" s="550"/>
      <c r="M271" s="550"/>
      <c r="N271" s="550"/>
    </row>
    <row r="272" spans="9:14">
      <c r="I272" s="550"/>
      <c r="J272" s="550"/>
      <c r="K272" s="550"/>
      <c r="L272" s="550"/>
      <c r="M272" s="550"/>
      <c r="N272" s="550"/>
    </row>
    <row r="273" spans="9:14">
      <c r="I273" s="550"/>
      <c r="J273" s="550"/>
      <c r="K273" s="550"/>
      <c r="L273" s="550"/>
      <c r="M273" s="550"/>
      <c r="N273" s="550"/>
    </row>
    <row r="274" spans="9:14">
      <c r="I274" s="550"/>
      <c r="J274" s="550"/>
      <c r="K274" s="550"/>
      <c r="L274" s="550"/>
      <c r="M274" s="550"/>
      <c r="N274" s="550"/>
    </row>
    <row r="275" spans="9:14">
      <c r="I275" s="550"/>
      <c r="J275" s="550"/>
      <c r="K275" s="550"/>
      <c r="L275" s="550"/>
      <c r="M275" s="550"/>
      <c r="N275" s="550"/>
    </row>
    <row r="276" spans="9:14">
      <c r="I276" s="550"/>
      <c r="J276" s="550"/>
      <c r="K276" s="550"/>
      <c r="L276" s="550"/>
      <c r="M276" s="550"/>
      <c r="N276" s="550"/>
    </row>
    <row r="277" spans="9:14">
      <c r="I277" s="550"/>
      <c r="J277" s="550"/>
      <c r="K277" s="550"/>
      <c r="L277" s="550"/>
      <c r="M277" s="550"/>
      <c r="N277" s="550"/>
    </row>
    <row r="278" spans="9:14">
      <c r="I278" s="550"/>
      <c r="J278" s="550"/>
      <c r="K278" s="550"/>
      <c r="L278" s="550"/>
      <c r="M278" s="550"/>
      <c r="N278" s="550"/>
    </row>
    <row r="279" spans="9:14">
      <c r="I279" s="550"/>
      <c r="J279" s="550"/>
      <c r="K279" s="550"/>
      <c r="L279" s="550"/>
      <c r="M279" s="550"/>
      <c r="N279" s="550"/>
    </row>
    <row r="280" spans="9:14">
      <c r="I280" s="550"/>
      <c r="J280" s="550"/>
      <c r="K280" s="550"/>
      <c r="L280" s="550"/>
      <c r="M280" s="550"/>
      <c r="N280" s="550"/>
    </row>
    <row r="281" spans="9:14">
      <c r="I281" s="550"/>
      <c r="J281" s="550"/>
      <c r="K281" s="550"/>
      <c r="L281" s="550"/>
      <c r="M281" s="550"/>
      <c r="N281" s="550"/>
    </row>
    <row r="282" spans="9:14">
      <c r="I282" s="550"/>
      <c r="J282" s="550"/>
      <c r="K282" s="550"/>
      <c r="L282" s="550"/>
      <c r="M282" s="550"/>
      <c r="N282" s="550"/>
    </row>
    <row r="283" spans="9:14">
      <c r="I283" s="550"/>
      <c r="J283" s="550"/>
      <c r="K283" s="550"/>
      <c r="L283" s="550"/>
      <c r="M283" s="550"/>
      <c r="N283" s="550"/>
    </row>
    <row r="284" spans="9:14">
      <c r="I284" s="550"/>
      <c r="J284" s="550"/>
      <c r="K284" s="550"/>
      <c r="L284" s="550"/>
      <c r="M284" s="550"/>
      <c r="N284" s="550"/>
    </row>
    <row r="285" spans="9:14">
      <c r="I285" s="550"/>
      <c r="J285" s="550"/>
      <c r="K285" s="550"/>
      <c r="L285" s="550"/>
      <c r="M285" s="550"/>
      <c r="N285" s="550"/>
    </row>
    <row r="286" spans="9:14">
      <c r="I286" s="550"/>
      <c r="J286" s="550"/>
      <c r="K286" s="550"/>
      <c r="L286" s="550"/>
      <c r="M286" s="550"/>
      <c r="N286" s="550"/>
    </row>
    <row r="287" spans="9:14">
      <c r="I287" s="550"/>
      <c r="J287" s="550"/>
      <c r="K287" s="550"/>
      <c r="L287" s="550"/>
      <c r="M287" s="550"/>
      <c r="N287" s="550"/>
    </row>
    <row r="288" spans="9:14">
      <c r="I288" s="550"/>
      <c r="J288" s="550"/>
      <c r="K288" s="550"/>
      <c r="L288" s="550"/>
      <c r="M288" s="550"/>
      <c r="N288" s="550"/>
    </row>
    <row r="289" spans="9:14">
      <c r="I289" s="550"/>
      <c r="J289" s="550"/>
      <c r="K289" s="550"/>
      <c r="L289" s="550"/>
      <c r="M289" s="550"/>
      <c r="N289" s="550"/>
    </row>
    <row r="290" spans="9:14">
      <c r="I290" s="550"/>
      <c r="J290" s="550"/>
      <c r="K290" s="550"/>
      <c r="L290" s="550"/>
      <c r="M290" s="550"/>
      <c r="N290" s="550"/>
    </row>
    <row r="291" spans="9:14">
      <c r="I291" s="550"/>
      <c r="J291" s="550"/>
      <c r="K291" s="550"/>
      <c r="L291" s="550"/>
      <c r="M291" s="550"/>
      <c r="N291" s="550"/>
    </row>
    <row r="292" spans="9:14">
      <c r="I292" s="550"/>
      <c r="J292" s="550"/>
      <c r="K292" s="550"/>
      <c r="L292" s="550"/>
      <c r="M292" s="550"/>
      <c r="N292" s="550"/>
    </row>
    <row r="293" spans="9:14">
      <c r="I293" s="550"/>
      <c r="J293" s="550"/>
      <c r="K293" s="550"/>
      <c r="L293" s="550"/>
      <c r="M293" s="550"/>
      <c r="N293" s="550"/>
    </row>
    <row r="294" spans="9:14">
      <c r="I294" s="550"/>
      <c r="J294" s="550"/>
      <c r="K294" s="550"/>
      <c r="L294" s="550"/>
      <c r="M294" s="550"/>
      <c r="N294" s="550"/>
    </row>
    <row r="295" spans="9:14">
      <c r="I295" s="550"/>
      <c r="J295" s="550"/>
      <c r="K295" s="550"/>
      <c r="L295" s="550"/>
      <c r="M295" s="550"/>
      <c r="N295" s="550"/>
    </row>
    <row r="296" spans="9:14">
      <c r="I296" s="550"/>
      <c r="J296" s="550"/>
      <c r="K296" s="550"/>
      <c r="L296" s="550"/>
      <c r="M296" s="550"/>
      <c r="N296" s="550"/>
    </row>
    <row r="297" spans="9:14">
      <c r="I297" s="550"/>
      <c r="J297" s="550"/>
      <c r="K297" s="550"/>
      <c r="L297" s="550"/>
      <c r="M297" s="550"/>
      <c r="N297" s="550"/>
    </row>
    <row r="298" spans="9:14">
      <c r="I298" s="550"/>
      <c r="J298" s="550"/>
      <c r="K298" s="550"/>
      <c r="L298" s="550"/>
      <c r="M298" s="550"/>
      <c r="N298" s="550"/>
    </row>
    <row r="299" spans="9:14">
      <c r="I299" s="550"/>
      <c r="J299" s="550"/>
      <c r="K299" s="550"/>
      <c r="L299" s="550"/>
      <c r="M299" s="550"/>
      <c r="N299" s="550"/>
    </row>
    <row r="300" spans="9:14">
      <c r="I300" s="550"/>
      <c r="J300" s="550"/>
      <c r="K300" s="550"/>
      <c r="L300" s="550"/>
      <c r="M300" s="550"/>
      <c r="N300" s="550"/>
    </row>
    <row r="301" spans="9:14">
      <c r="I301" s="550"/>
      <c r="J301" s="550"/>
      <c r="K301" s="550"/>
      <c r="L301" s="550"/>
      <c r="M301" s="550"/>
      <c r="N301" s="550"/>
    </row>
    <row r="302" spans="9:14">
      <c r="I302" s="550"/>
      <c r="J302" s="550"/>
      <c r="K302" s="550"/>
      <c r="L302" s="550"/>
      <c r="M302" s="550"/>
      <c r="N302" s="550"/>
    </row>
    <row r="303" spans="9:14">
      <c r="I303" s="550"/>
      <c r="J303" s="550"/>
      <c r="K303" s="550"/>
      <c r="L303" s="550"/>
      <c r="M303" s="550"/>
      <c r="N303" s="550"/>
    </row>
    <row r="304" spans="9:14">
      <c r="I304" s="550"/>
      <c r="J304" s="550"/>
      <c r="K304" s="550"/>
      <c r="L304" s="550"/>
      <c r="M304" s="550"/>
      <c r="N304" s="550"/>
    </row>
    <row r="305" spans="9:14">
      <c r="I305" s="550"/>
      <c r="J305" s="550"/>
      <c r="K305" s="550"/>
      <c r="L305" s="550"/>
      <c r="M305" s="550"/>
      <c r="N305" s="550"/>
    </row>
    <row r="306" spans="9:14">
      <c r="I306" s="550"/>
      <c r="J306" s="550"/>
      <c r="K306" s="550"/>
      <c r="L306" s="550"/>
      <c r="M306" s="550"/>
      <c r="N306" s="550"/>
    </row>
    <row r="307" spans="9:14">
      <c r="I307" s="550"/>
      <c r="J307" s="550"/>
      <c r="K307" s="550"/>
      <c r="L307" s="550"/>
      <c r="M307" s="550"/>
      <c r="N307" s="550"/>
    </row>
    <row r="308" spans="9:14">
      <c r="I308" s="550"/>
      <c r="J308" s="550"/>
      <c r="K308" s="550"/>
      <c r="L308" s="550"/>
      <c r="M308" s="550"/>
      <c r="N308" s="550"/>
    </row>
    <row r="309" spans="9:14">
      <c r="I309" s="550"/>
      <c r="J309" s="550"/>
      <c r="K309" s="550"/>
      <c r="L309" s="550"/>
      <c r="M309" s="550"/>
      <c r="N309" s="550"/>
    </row>
    <row r="310" spans="9:14">
      <c r="I310" s="550"/>
      <c r="J310" s="550"/>
      <c r="K310" s="550"/>
      <c r="L310" s="550"/>
      <c r="M310" s="550"/>
      <c r="N310" s="550"/>
    </row>
    <row r="311" spans="9:14">
      <c r="I311" s="550"/>
      <c r="J311" s="550"/>
      <c r="K311" s="550"/>
      <c r="L311" s="550"/>
      <c r="M311" s="550"/>
      <c r="N311" s="550"/>
    </row>
    <row r="312" spans="9:14">
      <c r="I312" s="550"/>
      <c r="J312" s="550"/>
      <c r="K312" s="550"/>
      <c r="L312" s="550"/>
      <c r="M312" s="550"/>
      <c r="N312" s="550"/>
    </row>
    <row r="313" spans="9:14">
      <c r="I313" s="550"/>
      <c r="J313" s="550"/>
      <c r="K313" s="550"/>
      <c r="L313" s="550"/>
      <c r="M313" s="550"/>
      <c r="N313" s="550"/>
    </row>
    <row r="314" spans="9:14">
      <c r="I314" s="550"/>
      <c r="J314" s="550"/>
      <c r="K314" s="550"/>
      <c r="L314" s="550"/>
      <c r="M314" s="550"/>
      <c r="N314" s="550"/>
    </row>
    <row r="315" spans="9:14">
      <c r="I315" s="550"/>
      <c r="J315" s="550"/>
      <c r="K315" s="550"/>
      <c r="L315" s="550"/>
      <c r="M315" s="550"/>
      <c r="N315" s="550"/>
    </row>
    <row r="316" spans="9:14">
      <c r="I316" s="550"/>
      <c r="J316" s="550"/>
      <c r="K316" s="550"/>
      <c r="L316" s="550"/>
      <c r="M316" s="550"/>
      <c r="N316" s="550"/>
    </row>
    <row r="317" spans="9:14">
      <c r="I317" s="550"/>
      <c r="J317" s="550"/>
      <c r="K317" s="550"/>
      <c r="L317" s="550"/>
      <c r="M317" s="550"/>
      <c r="N317" s="550"/>
    </row>
    <row r="318" spans="9:14">
      <c r="I318" s="550"/>
      <c r="J318" s="550"/>
      <c r="K318" s="550"/>
      <c r="L318" s="550"/>
      <c r="M318" s="550"/>
      <c r="N318" s="550"/>
    </row>
    <row r="319" spans="9:14">
      <c r="I319" s="550"/>
      <c r="J319" s="550"/>
      <c r="K319" s="550"/>
      <c r="L319" s="550"/>
      <c r="M319" s="550"/>
      <c r="N319" s="550"/>
    </row>
    <row r="320" spans="9:14">
      <c r="I320" s="550"/>
      <c r="J320" s="550"/>
      <c r="K320" s="550"/>
      <c r="L320" s="550"/>
      <c r="M320" s="550"/>
      <c r="N320" s="550"/>
    </row>
    <row r="321" spans="9:14">
      <c r="I321" s="550"/>
      <c r="J321" s="550"/>
      <c r="K321" s="550"/>
      <c r="L321" s="550"/>
      <c r="M321" s="550"/>
      <c r="N321" s="550"/>
    </row>
    <row r="322" spans="9:14">
      <c r="I322" s="550"/>
      <c r="J322" s="550"/>
      <c r="K322" s="550"/>
      <c r="L322" s="550"/>
      <c r="M322" s="550"/>
      <c r="N322" s="550"/>
    </row>
    <row r="323" spans="9:14">
      <c r="I323" s="550"/>
      <c r="J323" s="550"/>
      <c r="K323" s="550"/>
      <c r="L323" s="550"/>
      <c r="M323" s="550"/>
      <c r="N323" s="550"/>
    </row>
    <row r="324" spans="9:14">
      <c r="I324" s="550"/>
      <c r="J324" s="550"/>
      <c r="K324" s="550"/>
      <c r="L324" s="550"/>
      <c r="M324" s="550"/>
      <c r="N324" s="550"/>
    </row>
    <row r="325" spans="9:14">
      <c r="I325" s="550"/>
      <c r="J325" s="550"/>
      <c r="K325" s="550"/>
      <c r="L325" s="550"/>
      <c r="M325" s="550"/>
      <c r="N325" s="550"/>
    </row>
    <row r="326" spans="9:14">
      <c r="I326" s="550"/>
      <c r="J326" s="550"/>
      <c r="K326" s="550"/>
      <c r="L326" s="550"/>
      <c r="M326" s="550"/>
      <c r="N326" s="550"/>
    </row>
    <row r="327" spans="9:14">
      <c r="I327" s="550"/>
      <c r="J327" s="550"/>
      <c r="K327" s="550"/>
      <c r="L327" s="550"/>
      <c r="M327" s="550"/>
      <c r="N327" s="550"/>
    </row>
    <row r="328" spans="9:14">
      <c r="I328" s="550"/>
      <c r="J328" s="550"/>
      <c r="K328" s="550"/>
      <c r="L328" s="550"/>
      <c r="M328" s="550"/>
      <c r="N328" s="550"/>
    </row>
    <row r="329" spans="9:14">
      <c r="I329" s="550"/>
      <c r="J329" s="550"/>
      <c r="K329" s="550"/>
      <c r="L329" s="550"/>
      <c r="M329" s="550"/>
      <c r="N329" s="550"/>
    </row>
    <row r="330" spans="9:14">
      <c r="I330" s="550"/>
      <c r="J330" s="550"/>
      <c r="K330" s="550"/>
      <c r="L330" s="550"/>
      <c r="M330" s="550"/>
      <c r="N330" s="550"/>
    </row>
    <row r="331" spans="9:14">
      <c r="I331" s="550"/>
      <c r="J331" s="550"/>
      <c r="K331" s="550"/>
      <c r="L331" s="550"/>
      <c r="M331" s="550"/>
      <c r="N331" s="550"/>
    </row>
    <row r="332" spans="9:14">
      <c r="I332" s="550"/>
      <c r="J332" s="550"/>
      <c r="K332" s="550"/>
      <c r="L332" s="550"/>
      <c r="M332" s="550"/>
      <c r="N332" s="550"/>
    </row>
    <row r="333" spans="9:14">
      <c r="I333" s="550"/>
      <c r="J333" s="550"/>
      <c r="K333" s="550"/>
      <c r="L333" s="550"/>
      <c r="M333" s="550"/>
      <c r="N333" s="550"/>
    </row>
    <row r="334" spans="9:14">
      <c r="I334" s="550"/>
      <c r="J334" s="550"/>
      <c r="K334" s="550"/>
      <c r="L334" s="550"/>
      <c r="M334" s="550"/>
      <c r="N334" s="550"/>
    </row>
    <row r="335" spans="9:14">
      <c r="I335" s="550"/>
      <c r="J335" s="550"/>
      <c r="K335" s="550"/>
      <c r="L335" s="550"/>
      <c r="M335" s="550"/>
      <c r="N335" s="550"/>
    </row>
    <row r="336" spans="9:14">
      <c r="I336" s="550"/>
      <c r="J336" s="550"/>
      <c r="K336" s="550"/>
      <c r="L336" s="550"/>
      <c r="M336" s="550"/>
      <c r="N336" s="550"/>
    </row>
    <row r="337" spans="9:14">
      <c r="I337" s="550"/>
      <c r="J337" s="550"/>
      <c r="K337" s="550"/>
      <c r="L337" s="550"/>
      <c r="M337" s="550"/>
      <c r="N337" s="550"/>
    </row>
    <row r="338" spans="9:14">
      <c r="I338" s="550"/>
      <c r="J338" s="550"/>
      <c r="K338" s="550"/>
      <c r="L338" s="550"/>
      <c r="M338" s="550"/>
      <c r="N338" s="550"/>
    </row>
    <row r="339" spans="9:14">
      <c r="I339" s="550"/>
      <c r="J339" s="550"/>
      <c r="K339" s="550"/>
      <c r="L339" s="550"/>
      <c r="M339" s="550"/>
      <c r="N339" s="550"/>
    </row>
    <row r="340" spans="9:14">
      <c r="I340" s="550"/>
      <c r="J340" s="550"/>
      <c r="K340" s="550"/>
      <c r="L340" s="550"/>
      <c r="M340" s="550"/>
      <c r="N340" s="550"/>
    </row>
    <row r="341" spans="9:14">
      <c r="I341" s="550"/>
      <c r="J341" s="550"/>
      <c r="K341" s="550"/>
      <c r="L341" s="550"/>
      <c r="M341" s="550"/>
      <c r="N341" s="550"/>
    </row>
    <row r="342" spans="9:14">
      <c r="I342" s="550"/>
      <c r="J342" s="550"/>
      <c r="K342" s="550"/>
      <c r="L342" s="550"/>
      <c r="M342" s="550"/>
      <c r="N342" s="550"/>
    </row>
    <row r="343" spans="9:14">
      <c r="I343" s="550"/>
      <c r="J343" s="550"/>
      <c r="K343" s="550"/>
      <c r="L343" s="550"/>
      <c r="M343" s="550"/>
      <c r="N343" s="550"/>
    </row>
    <row r="344" spans="9:14">
      <c r="I344" s="550"/>
      <c r="J344" s="550"/>
      <c r="K344" s="550"/>
      <c r="L344" s="550"/>
      <c r="M344" s="550"/>
      <c r="N344" s="550"/>
    </row>
    <row r="345" spans="9:14">
      <c r="I345" s="550"/>
      <c r="J345" s="550"/>
      <c r="K345" s="550"/>
      <c r="L345" s="550"/>
      <c r="M345" s="550"/>
      <c r="N345" s="550"/>
    </row>
    <row r="346" spans="9:14">
      <c r="I346" s="550"/>
      <c r="J346" s="550"/>
      <c r="K346" s="550"/>
      <c r="L346" s="550"/>
      <c r="M346" s="550"/>
      <c r="N346" s="550"/>
    </row>
    <row r="347" spans="9:14">
      <c r="I347" s="550"/>
      <c r="J347" s="550"/>
      <c r="K347" s="550"/>
      <c r="L347" s="550"/>
      <c r="M347" s="550"/>
      <c r="N347" s="550"/>
    </row>
    <row r="348" spans="9:14">
      <c r="I348" s="550"/>
      <c r="J348" s="550"/>
      <c r="K348" s="550"/>
      <c r="L348" s="550"/>
      <c r="M348" s="550"/>
      <c r="N348" s="550"/>
    </row>
    <row r="349" spans="9:14">
      <c r="I349" s="550"/>
      <c r="J349" s="550"/>
      <c r="K349" s="550"/>
      <c r="L349" s="550"/>
      <c r="M349" s="550"/>
      <c r="N349" s="550"/>
    </row>
    <row r="350" spans="9:14">
      <c r="I350" s="550"/>
      <c r="J350" s="550"/>
      <c r="K350" s="550"/>
      <c r="L350" s="550"/>
      <c r="M350" s="550"/>
      <c r="N350" s="550"/>
    </row>
    <row r="351" spans="9:14">
      <c r="I351" s="550"/>
      <c r="J351" s="550"/>
      <c r="K351" s="550"/>
      <c r="L351" s="550"/>
      <c r="M351" s="550"/>
      <c r="N351" s="550"/>
    </row>
    <row r="352" spans="9:14">
      <c r="I352" s="550"/>
      <c r="J352" s="550"/>
      <c r="K352" s="550"/>
      <c r="L352" s="550"/>
      <c r="M352" s="550"/>
      <c r="N352" s="550"/>
    </row>
    <row r="353" spans="9:14">
      <c r="I353" s="550"/>
      <c r="J353" s="550"/>
      <c r="K353" s="550"/>
      <c r="L353" s="550"/>
      <c r="M353" s="550"/>
      <c r="N353" s="550"/>
    </row>
    <row r="354" spans="9:14">
      <c r="I354" s="550"/>
      <c r="J354" s="550"/>
      <c r="K354" s="550"/>
      <c r="L354" s="550"/>
      <c r="M354" s="550"/>
      <c r="N354" s="550"/>
    </row>
    <row r="355" spans="9:14">
      <c r="I355" s="550"/>
      <c r="J355" s="550"/>
      <c r="K355" s="550"/>
      <c r="L355" s="550"/>
      <c r="M355" s="550"/>
      <c r="N355" s="550"/>
    </row>
    <row r="356" spans="9:14">
      <c r="I356" s="550"/>
      <c r="J356" s="550"/>
      <c r="K356" s="550"/>
      <c r="L356" s="550"/>
      <c r="M356" s="550"/>
      <c r="N356" s="550"/>
    </row>
    <row r="357" spans="9:14">
      <c r="I357" s="550"/>
      <c r="J357" s="550"/>
      <c r="K357" s="550"/>
      <c r="L357" s="550"/>
      <c r="M357" s="550"/>
      <c r="N357" s="550"/>
    </row>
    <row r="358" spans="9:14">
      <c r="I358" s="550"/>
      <c r="J358" s="550"/>
      <c r="K358" s="550"/>
      <c r="L358" s="550"/>
      <c r="M358" s="550"/>
      <c r="N358" s="550"/>
    </row>
    <row r="359" spans="9:14">
      <c r="I359" s="550"/>
      <c r="J359" s="550"/>
      <c r="K359" s="550"/>
      <c r="L359" s="550"/>
      <c r="M359" s="550"/>
      <c r="N359" s="550"/>
    </row>
    <row r="360" spans="9:14">
      <c r="I360" s="550"/>
      <c r="J360" s="550"/>
      <c r="K360" s="550"/>
      <c r="L360" s="550"/>
      <c r="M360" s="550"/>
      <c r="N360" s="550"/>
    </row>
    <row r="361" spans="9:14">
      <c r="I361" s="550"/>
      <c r="J361" s="550"/>
      <c r="K361" s="550"/>
      <c r="L361" s="550"/>
      <c r="M361" s="550"/>
      <c r="N361" s="550"/>
    </row>
    <row r="362" spans="9:14">
      <c r="I362" s="550"/>
      <c r="J362" s="550"/>
      <c r="K362" s="550"/>
      <c r="L362" s="550"/>
      <c r="M362" s="550"/>
      <c r="N362" s="550"/>
    </row>
    <row r="363" spans="9:14">
      <c r="I363" s="550"/>
      <c r="J363" s="550"/>
      <c r="K363" s="550"/>
      <c r="L363" s="550"/>
      <c r="M363" s="550"/>
      <c r="N363" s="550"/>
    </row>
    <row r="364" spans="9:14">
      <c r="I364" s="550"/>
      <c r="J364" s="550"/>
      <c r="K364" s="550"/>
      <c r="L364" s="550"/>
      <c r="M364" s="550"/>
      <c r="N364" s="550"/>
    </row>
    <row r="365" spans="9:14">
      <c r="I365" s="550"/>
      <c r="J365" s="550"/>
      <c r="K365" s="550"/>
      <c r="L365" s="550"/>
      <c r="M365" s="550"/>
      <c r="N365" s="550"/>
    </row>
    <row r="366" spans="9:14">
      <c r="I366" s="550"/>
      <c r="J366" s="550"/>
      <c r="K366" s="550"/>
      <c r="L366" s="550"/>
      <c r="M366" s="550"/>
      <c r="N366" s="550"/>
    </row>
    <row r="367" spans="9:14">
      <c r="I367" s="550"/>
      <c r="J367" s="550"/>
      <c r="K367" s="550"/>
      <c r="L367" s="550"/>
      <c r="M367" s="550"/>
      <c r="N367" s="550"/>
    </row>
    <row r="368" spans="9:14">
      <c r="I368" s="550"/>
      <c r="J368" s="550"/>
      <c r="K368" s="550"/>
      <c r="L368" s="550"/>
      <c r="M368" s="550"/>
      <c r="N368" s="550"/>
    </row>
    <row r="369" spans="9:14">
      <c r="I369" s="550"/>
      <c r="J369" s="550"/>
      <c r="K369" s="550"/>
      <c r="L369" s="550"/>
      <c r="M369" s="550"/>
      <c r="N369" s="550"/>
    </row>
    <row r="370" spans="9:14">
      <c r="I370" s="550"/>
      <c r="J370" s="550"/>
      <c r="K370" s="550"/>
      <c r="L370" s="550"/>
      <c r="M370" s="550"/>
      <c r="N370" s="550"/>
    </row>
    <row r="371" spans="9:14">
      <c r="I371" s="550"/>
      <c r="J371" s="550"/>
      <c r="K371" s="550"/>
      <c r="L371" s="550"/>
      <c r="M371" s="550"/>
      <c r="N371" s="550"/>
    </row>
    <row r="372" spans="9:14">
      <c r="I372" s="550"/>
      <c r="J372" s="550"/>
      <c r="K372" s="550"/>
      <c r="L372" s="550"/>
      <c r="M372" s="550"/>
      <c r="N372" s="550"/>
    </row>
    <row r="373" spans="9:14">
      <c r="I373" s="550"/>
      <c r="J373" s="550"/>
      <c r="K373" s="550"/>
      <c r="L373" s="550"/>
      <c r="M373" s="550"/>
      <c r="N373" s="550"/>
    </row>
    <row r="374" spans="9:14">
      <c r="I374" s="550"/>
      <c r="J374" s="550"/>
      <c r="K374" s="550"/>
      <c r="L374" s="550"/>
      <c r="M374" s="550"/>
      <c r="N374" s="550"/>
    </row>
    <row r="375" spans="9:14">
      <c r="I375" s="550"/>
      <c r="J375" s="550"/>
      <c r="K375" s="550"/>
      <c r="L375" s="550"/>
      <c r="M375" s="550"/>
      <c r="N375" s="550"/>
    </row>
    <row r="376" spans="9:14">
      <c r="I376" s="550"/>
      <c r="J376" s="550"/>
      <c r="K376" s="550"/>
      <c r="L376" s="550"/>
      <c r="M376" s="550"/>
      <c r="N376" s="550"/>
    </row>
    <row r="377" spans="9:14">
      <c r="I377" s="550"/>
      <c r="J377" s="550"/>
      <c r="K377" s="550"/>
      <c r="L377" s="550"/>
      <c r="M377" s="550"/>
      <c r="N377" s="550"/>
    </row>
    <row r="378" spans="9:14">
      <c r="I378" s="550"/>
      <c r="J378" s="550"/>
      <c r="K378" s="550"/>
      <c r="L378" s="550"/>
      <c r="M378" s="550"/>
      <c r="N378" s="550"/>
    </row>
    <row r="379" spans="9:14">
      <c r="I379" s="550"/>
      <c r="J379" s="550"/>
      <c r="K379" s="550"/>
      <c r="L379" s="550"/>
      <c r="M379" s="550"/>
      <c r="N379" s="550"/>
    </row>
    <row r="380" spans="9:14">
      <c r="I380" s="550"/>
      <c r="J380" s="550"/>
      <c r="K380" s="550"/>
      <c r="L380" s="550"/>
      <c r="M380" s="550"/>
      <c r="N380" s="550"/>
    </row>
    <row r="381" spans="9:14">
      <c r="I381" s="550"/>
      <c r="J381" s="550"/>
      <c r="K381" s="550"/>
      <c r="L381" s="550"/>
      <c r="M381" s="550"/>
      <c r="N381" s="550"/>
    </row>
    <row r="382" spans="9:14">
      <c r="I382" s="550"/>
      <c r="J382" s="550"/>
      <c r="K382" s="550"/>
      <c r="L382" s="550"/>
      <c r="M382" s="550"/>
      <c r="N382" s="550"/>
    </row>
    <row r="383" spans="9:14">
      <c r="I383" s="550"/>
      <c r="J383" s="550"/>
      <c r="K383" s="550"/>
      <c r="L383" s="550"/>
      <c r="M383" s="550"/>
      <c r="N383" s="550"/>
    </row>
    <row r="384" spans="9:14">
      <c r="I384" s="550"/>
      <c r="J384" s="550"/>
      <c r="K384" s="550"/>
      <c r="L384" s="550"/>
      <c r="M384" s="550"/>
      <c r="N384" s="550"/>
    </row>
    <row r="385" spans="9:14">
      <c r="I385" s="550"/>
      <c r="J385" s="550"/>
      <c r="K385" s="550"/>
      <c r="L385" s="550"/>
      <c r="M385" s="550"/>
      <c r="N385" s="550"/>
    </row>
    <row r="386" spans="9:14">
      <c r="I386" s="550"/>
      <c r="J386" s="550"/>
      <c r="K386" s="550"/>
      <c r="L386" s="550"/>
      <c r="M386" s="550"/>
      <c r="N386" s="550"/>
    </row>
    <row r="387" spans="9:14">
      <c r="I387" s="550"/>
      <c r="J387" s="550"/>
      <c r="K387" s="550"/>
      <c r="L387" s="550"/>
      <c r="M387" s="550"/>
      <c r="N387" s="550"/>
    </row>
    <row r="388" spans="9:14">
      <c r="I388" s="550"/>
      <c r="J388" s="550"/>
      <c r="K388" s="550"/>
      <c r="L388" s="550"/>
      <c r="M388" s="550"/>
      <c r="N388" s="550"/>
    </row>
    <row r="389" spans="9:14">
      <c r="I389" s="550"/>
      <c r="J389" s="550"/>
      <c r="K389" s="550"/>
      <c r="L389" s="550"/>
      <c r="M389" s="550"/>
      <c r="N389" s="550"/>
    </row>
    <row r="390" spans="9:14">
      <c r="I390" s="550"/>
      <c r="J390" s="550"/>
      <c r="K390" s="550"/>
      <c r="L390" s="550"/>
      <c r="M390" s="550"/>
      <c r="N390" s="550"/>
    </row>
    <row r="391" spans="9:14">
      <c r="I391" s="550"/>
      <c r="J391" s="550"/>
      <c r="K391" s="550"/>
      <c r="L391" s="550"/>
      <c r="M391" s="550"/>
      <c r="N391" s="550"/>
    </row>
    <row r="392" spans="9:14">
      <c r="I392" s="550"/>
      <c r="J392" s="550"/>
      <c r="K392" s="550"/>
      <c r="L392" s="550"/>
      <c r="M392" s="550"/>
      <c r="N392" s="550"/>
    </row>
    <row r="393" spans="9:14">
      <c r="I393" s="550"/>
      <c r="J393" s="550"/>
      <c r="K393" s="550"/>
      <c r="L393" s="550"/>
      <c r="M393" s="550"/>
      <c r="N393" s="550"/>
    </row>
    <row r="394" spans="9:14">
      <c r="I394" s="550"/>
      <c r="J394" s="550"/>
      <c r="K394" s="550"/>
      <c r="L394" s="550"/>
      <c r="M394" s="550"/>
      <c r="N394" s="550"/>
    </row>
    <row r="395" spans="9:14">
      <c r="I395" s="550"/>
      <c r="J395" s="550"/>
      <c r="K395" s="550"/>
      <c r="L395" s="550"/>
      <c r="M395" s="550"/>
      <c r="N395" s="550"/>
    </row>
    <row r="396" spans="9:14">
      <c r="I396" s="550"/>
      <c r="J396" s="550"/>
      <c r="K396" s="550"/>
      <c r="L396" s="550"/>
      <c r="M396" s="550"/>
      <c r="N396" s="550"/>
    </row>
    <row r="397" spans="9:14">
      <c r="I397" s="550"/>
      <c r="J397" s="550"/>
      <c r="K397" s="550"/>
      <c r="L397" s="550"/>
      <c r="M397" s="550"/>
      <c r="N397" s="550"/>
    </row>
    <row r="398" spans="9:14">
      <c r="I398" s="550"/>
      <c r="J398" s="550"/>
      <c r="K398" s="550"/>
      <c r="L398" s="550"/>
      <c r="M398" s="550"/>
      <c r="N398" s="550"/>
    </row>
    <row r="399" spans="9:14">
      <c r="I399" s="550"/>
      <c r="J399" s="550"/>
      <c r="K399" s="550"/>
      <c r="L399" s="550"/>
      <c r="M399" s="550"/>
      <c r="N399" s="550"/>
    </row>
    <row r="400" spans="9:14">
      <c r="I400" s="550"/>
      <c r="J400" s="550"/>
      <c r="K400" s="550"/>
      <c r="L400" s="550"/>
      <c r="M400" s="550"/>
      <c r="N400" s="550"/>
    </row>
    <row r="401" spans="9:14">
      <c r="I401" s="550"/>
      <c r="J401" s="550"/>
      <c r="K401" s="550"/>
      <c r="L401" s="550"/>
      <c r="M401" s="550"/>
      <c r="N401" s="550"/>
    </row>
    <row r="402" spans="9:14">
      <c r="I402" s="550"/>
      <c r="J402" s="550"/>
      <c r="K402" s="550"/>
      <c r="L402" s="550"/>
      <c r="M402" s="550"/>
      <c r="N402" s="550"/>
    </row>
    <row r="403" spans="9:14">
      <c r="I403" s="550"/>
      <c r="J403" s="550"/>
      <c r="K403" s="550"/>
      <c r="L403" s="550"/>
      <c r="M403" s="550"/>
      <c r="N403" s="550"/>
    </row>
    <row r="404" spans="9:14">
      <c r="I404" s="550"/>
      <c r="J404" s="550"/>
      <c r="K404" s="550"/>
      <c r="L404" s="550"/>
      <c r="M404" s="550"/>
      <c r="N404" s="550"/>
    </row>
    <row r="405" spans="9:14">
      <c r="I405" s="550"/>
      <c r="J405" s="550"/>
      <c r="K405" s="550"/>
      <c r="L405" s="550"/>
      <c r="M405" s="550"/>
      <c r="N405" s="550"/>
    </row>
    <row r="406" spans="9:14">
      <c r="I406" s="550"/>
      <c r="J406" s="550"/>
      <c r="K406" s="550"/>
      <c r="L406" s="550"/>
      <c r="M406" s="550"/>
      <c r="N406" s="550"/>
    </row>
    <row r="407" spans="9:14">
      <c r="I407" s="550"/>
      <c r="J407" s="550"/>
      <c r="K407" s="550"/>
      <c r="L407" s="550"/>
      <c r="M407" s="550"/>
      <c r="N407" s="550"/>
    </row>
    <row r="408" spans="9:14">
      <c r="I408" s="550"/>
      <c r="J408" s="550"/>
      <c r="K408" s="550"/>
      <c r="L408" s="550"/>
      <c r="M408" s="550"/>
      <c r="N408" s="550"/>
    </row>
    <row r="409" spans="9:14">
      <c r="I409" s="550"/>
      <c r="J409" s="550"/>
      <c r="K409" s="550"/>
      <c r="L409" s="550"/>
      <c r="M409" s="550"/>
      <c r="N409" s="550"/>
    </row>
    <row r="410" spans="9:14">
      <c r="I410" s="550"/>
      <c r="J410" s="550"/>
      <c r="K410" s="550"/>
      <c r="L410" s="550"/>
      <c r="M410" s="550"/>
      <c r="N410" s="550"/>
    </row>
    <row r="411" spans="9:14">
      <c r="I411" s="550"/>
      <c r="J411" s="550"/>
      <c r="K411" s="550"/>
      <c r="L411" s="550"/>
      <c r="M411" s="550"/>
      <c r="N411" s="550"/>
    </row>
    <row r="412" spans="9:14">
      <c r="I412" s="550"/>
      <c r="J412" s="550"/>
      <c r="K412" s="550"/>
      <c r="L412" s="550"/>
      <c r="M412" s="550"/>
      <c r="N412" s="550"/>
    </row>
    <row r="413" spans="9:14">
      <c r="I413" s="550"/>
      <c r="J413" s="550"/>
      <c r="K413" s="550"/>
      <c r="L413" s="550"/>
      <c r="M413" s="550"/>
      <c r="N413" s="550"/>
    </row>
    <row r="414" spans="9:14">
      <c r="I414" s="550"/>
      <c r="J414" s="550"/>
      <c r="K414" s="550"/>
      <c r="L414" s="550"/>
      <c r="M414" s="550"/>
      <c r="N414" s="550"/>
    </row>
    <row r="415" spans="9:14">
      <c r="I415" s="550"/>
      <c r="J415" s="550"/>
      <c r="K415" s="550"/>
      <c r="L415" s="550"/>
      <c r="M415" s="550"/>
      <c r="N415" s="550"/>
    </row>
    <row r="416" spans="9:14">
      <c r="I416" s="550"/>
      <c r="J416" s="550"/>
      <c r="K416" s="550"/>
      <c r="L416" s="550"/>
      <c r="M416" s="550"/>
      <c r="N416" s="550"/>
    </row>
    <row r="417" spans="9:14">
      <c r="I417" s="550"/>
      <c r="J417" s="550"/>
      <c r="K417" s="550"/>
      <c r="L417" s="550"/>
      <c r="M417" s="550"/>
      <c r="N417" s="550"/>
    </row>
    <row r="418" spans="9:14">
      <c r="I418" s="550"/>
      <c r="J418" s="550"/>
      <c r="K418" s="550"/>
      <c r="L418" s="550"/>
      <c r="M418" s="550"/>
      <c r="N418" s="550"/>
    </row>
    <row r="419" spans="9:14">
      <c r="I419" s="550"/>
      <c r="J419" s="550"/>
      <c r="K419" s="550"/>
      <c r="L419" s="550"/>
      <c r="M419" s="550"/>
      <c r="N419" s="550"/>
    </row>
    <row r="420" spans="9:14">
      <c r="I420" s="550"/>
      <c r="J420" s="550"/>
      <c r="K420" s="550"/>
      <c r="L420" s="550"/>
      <c r="M420" s="550"/>
      <c r="N420" s="550"/>
    </row>
    <row r="421" spans="9:14">
      <c r="I421" s="550"/>
      <c r="J421" s="550"/>
      <c r="K421" s="550"/>
      <c r="L421" s="550"/>
      <c r="M421" s="550"/>
      <c r="N421" s="550"/>
    </row>
    <row r="422" spans="9:14">
      <c r="I422" s="550"/>
      <c r="J422" s="550"/>
      <c r="K422" s="550"/>
      <c r="L422" s="550"/>
      <c r="M422" s="550"/>
      <c r="N422" s="550"/>
    </row>
    <row r="423" spans="9:14">
      <c r="I423" s="550"/>
      <c r="J423" s="550"/>
      <c r="K423" s="550"/>
      <c r="L423" s="550"/>
      <c r="M423" s="550"/>
      <c r="N423" s="550"/>
    </row>
    <row r="424" spans="9:14">
      <c r="I424" s="550"/>
      <c r="J424" s="550"/>
      <c r="K424" s="550"/>
      <c r="L424" s="550"/>
      <c r="M424" s="550"/>
      <c r="N424" s="550"/>
    </row>
    <row r="425" spans="9:14">
      <c r="I425" s="550"/>
      <c r="J425" s="550"/>
      <c r="K425" s="550"/>
      <c r="L425" s="550"/>
      <c r="M425" s="550"/>
      <c r="N425" s="550"/>
    </row>
    <row r="426" spans="9:14">
      <c r="I426" s="550"/>
      <c r="J426" s="550"/>
      <c r="K426" s="550"/>
      <c r="L426" s="550"/>
      <c r="M426" s="550"/>
      <c r="N426" s="550"/>
    </row>
    <row r="427" spans="9:14">
      <c r="I427" s="550"/>
      <c r="J427" s="550"/>
      <c r="K427" s="550"/>
      <c r="L427" s="550"/>
      <c r="M427" s="550"/>
      <c r="N427" s="550"/>
    </row>
    <row r="428" spans="9:14">
      <c r="I428" s="550"/>
      <c r="J428" s="550"/>
      <c r="K428" s="550"/>
      <c r="L428" s="550"/>
      <c r="M428" s="550"/>
      <c r="N428" s="550"/>
    </row>
    <row r="429" spans="9:14">
      <c r="I429" s="550"/>
      <c r="J429" s="550"/>
      <c r="K429" s="550"/>
      <c r="L429" s="550"/>
      <c r="M429" s="550"/>
      <c r="N429" s="550"/>
    </row>
    <row r="430" spans="9:14">
      <c r="I430" s="550"/>
      <c r="J430" s="550"/>
      <c r="K430" s="550"/>
      <c r="L430" s="550"/>
      <c r="M430" s="550"/>
      <c r="N430" s="550"/>
    </row>
    <row r="431" spans="9:14">
      <c r="I431" s="550"/>
      <c r="J431" s="550"/>
      <c r="K431" s="550"/>
      <c r="L431" s="550"/>
      <c r="M431" s="550"/>
      <c r="N431" s="550"/>
    </row>
    <row r="432" spans="9:14">
      <c r="I432" s="550"/>
      <c r="J432" s="550"/>
      <c r="K432" s="550"/>
      <c r="L432" s="550"/>
      <c r="M432" s="550"/>
      <c r="N432" s="550"/>
    </row>
    <row r="433" spans="9:14">
      <c r="I433" s="550"/>
      <c r="J433" s="550"/>
      <c r="K433" s="550"/>
      <c r="L433" s="550"/>
      <c r="M433" s="550"/>
      <c r="N433" s="550"/>
    </row>
    <row r="434" spans="9:14">
      <c r="I434" s="550"/>
      <c r="J434" s="550"/>
      <c r="K434" s="550"/>
      <c r="L434" s="550"/>
      <c r="M434" s="550"/>
      <c r="N434" s="550"/>
    </row>
    <row r="435" spans="9:14">
      <c r="I435" s="550"/>
      <c r="J435" s="550"/>
      <c r="K435" s="550"/>
      <c r="L435" s="550"/>
      <c r="M435" s="550"/>
      <c r="N435" s="550"/>
    </row>
    <row r="436" spans="9:14">
      <c r="I436" s="550"/>
      <c r="J436" s="550"/>
      <c r="K436" s="550"/>
      <c r="L436" s="550"/>
      <c r="M436" s="550"/>
      <c r="N436" s="550"/>
    </row>
    <row r="437" spans="9:14">
      <c r="I437" s="550"/>
      <c r="J437" s="550"/>
      <c r="K437" s="550"/>
      <c r="L437" s="550"/>
      <c r="M437" s="550"/>
      <c r="N437" s="550"/>
    </row>
    <row r="438" spans="9:14">
      <c r="I438" s="550"/>
      <c r="J438" s="550"/>
      <c r="K438" s="550"/>
      <c r="L438" s="550"/>
      <c r="M438" s="550"/>
      <c r="N438" s="550"/>
    </row>
    <row r="439" spans="9:14">
      <c r="I439" s="550"/>
      <c r="J439" s="550"/>
      <c r="K439" s="550"/>
      <c r="L439" s="550"/>
      <c r="M439" s="550"/>
      <c r="N439" s="550"/>
    </row>
    <row r="440" spans="9:14">
      <c r="I440" s="550"/>
      <c r="J440" s="550"/>
      <c r="K440" s="550"/>
      <c r="L440" s="550"/>
      <c r="M440" s="550"/>
      <c r="N440" s="550"/>
    </row>
    <row r="441" spans="9:14">
      <c r="I441" s="550"/>
      <c r="J441" s="550"/>
      <c r="K441" s="550"/>
      <c r="L441" s="550"/>
      <c r="M441" s="550"/>
      <c r="N441" s="550"/>
    </row>
    <row r="442" spans="9:14">
      <c r="I442" s="550"/>
      <c r="J442" s="550"/>
      <c r="K442" s="550"/>
      <c r="L442" s="550"/>
      <c r="M442" s="550"/>
      <c r="N442" s="550"/>
    </row>
    <row r="443" spans="9:14">
      <c r="I443" s="550"/>
      <c r="J443" s="550"/>
      <c r="K443" s="550"/>
      <c r="L443" s="550"/>
      <c r="M443" s="550"/>
      <c r="N443" s="550"/>
    </row>
    <row r="444" spans="9:14">
      <c r="I444" s="550"/>
      <c r="J444" s="550"/>
      <c r="K444" s="550"/>
      <c r="L444" s="550"/>
      <c r="M444" s="550"/>
      <c r="N444" s="550"/>
    </row>
    <row r="445" spans="9:14">
      <c r="I445" s="550"/>
      <c r="J445" s="550"/>
      <c r="K445" s="550"/>
      <c r="L445" s="550"/>
      <c r="M445" s="550"/>
      <c r="N445" s="550"/>
    </row>
    <row r="446" spans="9:14">
      <c r="I446" s="550"/>
      <c r="J446" s="550"/>
      <c r="K446" s="550"/>
      <c r="L446" s="550"/>
      <c r="M446" s="550"/>
      <c r="N446" s="550"/>
    </row>
    <row r="447" spans="9:14">
      <c r="I447" s="550"/>
      <c r="J447" s="550"/>
      <c r="K447" s="550"/>
      <c r="L447" s="550"/>
      <c r="M447" s="550"/>
      <c r="N447" s="550"/>
    </row>
    <row r="448" spans="9:14">
      <c r="I448" s="550"/>
      <c r="J448" s="550"/>
      <c r="K448" s="550"/>
      <c r="L448" s="550"/>
      <c r="M448" s="550"/>
      <c r="N448" s="550"/>
    </row>
    <row r="449" spans="9:14">
      <c r="I449" s="550"/>
      <c r="J449" s="550"/>
      <c r="K449" s="550"/>
      <c r="L449" s="550"/>
      <c r="M449" s="550"/>
      <c r="N449" s="550"/>
    </row>
    <row r="450" spans="9:14">
      <c r="I450" s="550"/>
      <c r="J450" s="550"/>
      <c r="K450" s="550"/>
      <c r="L450" s="550"/>
      <c r="M450" s="550"/>
      <c r="N450" s="550"/>
    </row>
    <row r="451" spans="9:14">
      <c r="I451" s="550"/>
      <c r="J451" s="550"/>
      <c r="K451" s="550"/>
      <c r="L451" s="550"/>
      <c r="M451" s="550"/>
      <c r="N451" s="550"/>
    </row>
    <row r="452" spans="9:14">
      <c r="I452" s="550"/>
      <c r="J452" s="550"/>
      <c r="K452" s="550"/>
      <c r="L452" s="550"/>
      <c r="M452" s="550"/>
      <c r="N452" s="550"/>
    </row>
    <row r="453" spans="9:14">
      <c r="I453" s="550"/>
      <c r="J453" s="550"/>
      <c r="K453" s="550"/>
      <c r="L453" s="550"/>
      <c r="M453" s="550"/>
      <c r="N453" s="550"/>
    </row>
    <row r="454" spans="9:14">
      <c r="I454" s="550"/>
      <c r="J454" s="550"/>
      <c r="K454" s="550"/>
      <c r="L454" s="550"/>
      <c r="M454" s="550"/>
      <c r="N454" s="550"/>
    </row>
    <row r="455" spans="9:14">
      <c r="I455" s="550"/>
      <c r="J455" s="550"/>
      <c r="K455" s="550"/>
      <c r="L455" s="550"/>
      <c r="M455" s="550"/>
      <c r="N455" s="550"/>
    </row>
    <row r="456" spans="9:14">
      <c r="I456" s="550"/>
      <c r="J456" s="550"/>
      <c r="K456" s="550"/>
      <c r="L456" s="550"/>
      <c r="M456" s="550"/>
      <c r="N456" s="550"/>
    </row>
    <row r="457" spans="9:14">
      <c r="I457" s="550"/>
      <c r="J457" s="550"/>
      <c r="K457" s="550"/>
      <c r="L457" s="550"/>
      <c r="M457" s="550"/>
      <c r="N457" s="550"/>
    </row>
    <row r="458" spans="9:14">
      <c r="I458" s="550"/>
      <c r="J458" s="550"/>
      <c r="K458" s="550"/>
      <c r="L458" s="550"/>
      <c r="M458" s="550"/>
      <c r="N458" s="550"/>
    </row>
    <row r="459" spans="9:14">
      <c r="I459" s="550"/>
      <c r="J459" s="550"/>
      <c r="K459" s="550"/>
      <c r="L459" s="550"/>
      <c r="M459" s="550"/>
      <c r="N459" s="550"/>
    </row>
    <row r="460" spans="9:14">
      <c r="I460" s="550"/>
      <c r="J460" s="550"/>
      <c r="K460" s="550"/>
      <c r="L460" s="550"/>
      <c r="M460" s="550"/>
      <c r="N460" s="550"/>
    </row>
    <row r="461" spans="9:14">
      <c r="I461" s="550"/>
      <c r="J461" s="550"/>
      <c r="K461" s="550"/>
      <c r="L461" s="550"/>
      <c r="M461" s="550"/>
      <c r="N461" s="550"/>
    </row>
    <row r="462" spans="9:14">
      <c r="I462" s="550"/>
      <c r="J462" s="550"/>
      <c r="K462" s="550"/>
      <c r="L462" s="550"/>
      <c r="M462" s="550"/>
      <c r="N462" s="550"/>
    </row>
    <row r="463" spans="9:14">
      <c r="I463" s="550"/>
      <c r="J463" s="550"/>
      <c r="K463" s="550"/>
      <c r="L463" s="550"/>
      <c r="M463" s="550"/>
      <c r="N463" s="550"/>
    </row>
    <row r="464" spans="9:14">
      <c r="I464" s="550"/>
      <c r="J464" s="550"/>
      <c r="K464" s="550"/>
      <c r="L464" s="550"/>
      <c r="M464" s="550"/>
      <c r="N464" s="550"/>
    </row>
    <row r="465" spans="9:14">
      <c r="I465" s="550"/>
      <c r="J465" s="550"/>
      <c r="K465" s="550"/>
      <c r="L465" s="550"/>
      <c r="M465" s="550"/>
      <c r="N465" s="550"/>
    </row>
    <row r="466" spans="9:14">
      <c r="I466" s="550"/>
      <c r="J466" s="550"/>
      <c r="K466" s="550"/>
      <c r="L466" s="550"/>
      <c r="M466" s="550"/>
      <c r="N466" s="550"/>
    </row>
    <row r="467" spans="9:14">
      <c r="I467" s="550"/>
      <c r="J467" s="550"/>
      <c r="K467" s="550"/>
      <c r="L467" s="550"/>
      <c r="M467" s="550"/>
      <c r="N467" s="550"/>
    </row>
    <row r="468" spans="9:14">
      <c r="I468" s="550"/>
      <c r="J468" s="550"/>
      <c r="K468" s="550"/>
      <c r="L468" s="550"/>
      <c r="M468" s="550"/>
      <c r="N468" s="550"/>
    </row>
    <row r="469" spans="9:14">
      <c r="I469" s="550"/>
      <c r="J469" s="550"/>
      <c r="K469" s="550"/>
      <c r="L469" s="550"/>
      <c r="M469" s="550"/>
      <c r="N469" s="550"/>
    </row>
    <row r="470" spans="9:14">
      <c r="I470" s="550"/>
      <c r="J470" s="550"/>
      <c r="K470" s="550"/>
      <c r="L470" s="550"/>
      <c r="M470" s="550"/>
      <c r="N470" s="550"/>
    </row>
    <row r="471" spans="9:14">
      <c r="I471" s="550"/>
      <c r="J471" s="550"/>
      <c r="K471" s="550"/>
      <c r="L471" s="550"/>
      <c r="M471" s="550"/>
      <c r="N471" s="550"/>
    </row>
    <row r="472" spans="9:14">
      <c r="I472" s="550"/>
      <c r="J472" s="550"/>
      <c r="K472" s="550"/>
      <c r="L472" s="550"/>
      <c r="M472" s="550"/>
      <c r="N472" s="550"/>
    </row>
    <row r="473" spans="9:14">
      <c r="I473" s="550"/>
      <c r="J473" s="550"/>
      <c r="K473" s="550"/>
      <c r="L473" s="550"/>
      <c r="M473" s="550"/>
      <c r="N473" s="550"/>
    </row>
    <row r="474" spans="9:14">
      <c r="I474" s="550"/>
      <c r="J474" s="550"/>
      <c r="K474" s="550"/>
      <c r="L474" s="550"/>
      <c r="M474" s="550"/>
      <c r="N474" s="550"/>
    </row>
    <row r="475" spans="9:14">
      <c r="I475" s="550"/>
      <c r="J475" s="550"/>
      <c r="K475" s="550"/>
      <c r="L475" s="550"/>
      <c r="M475" s="550"/>
      <c r="N475" s="550"/>
    </row>
    <row r="476" spans="9:14">
      <c r="I476" s="550"/>
      <c r="J476" s="550"/>
      <c r="K476" s="550"/>
      <c r="L476" s="550"/>
      <c r="M476" s="550"/>
      <c r="N476" s="550"/>
    </row>
    <row r="477" spans="9:14">
      <c r="I477" s="550"/>
      <c r="J477" s="550"/>
      <c r="K477" s="550"/>
      <c r="L477" s="550"/>
      <c r="M477" s="550"/>
      <c r="N477" s="550"/>
    </row>
    <row r="478" spans="9:14">
      <c r="I478" s="550"/>
      <c r="J478" s="550"/>
      <c r="K478" s="550"/>
      <c r="L478" s="550"/>
      <c r="M478" s="550"/>
      <c r="N478" s="550"/>
    </row>
    <row r="479" spans="9:14">
      <c r="I479" s="550"/>
      <c r="J479" s="550"/>
      <c r="K479" s="550"/>
      <c r="L479" s="550"/>
      <c r="M479" s="550"/>
      <c r="N479" s="550"/>
    </row>
    <row r="480" spans="9:14">
      <c r="I480" s="550"/>
      <c r="J480" s="550"/>
      <c r="K480" s="550"/>
      <c r="L480" s="550"/>
      <c r="M480" s="550"/>
      <c r="N480" s="550"/>
    </row>
    <row r="481" spans="9:14">
      <c r="I481" s="550"/>
      <c r="J481" s="550"/>
      <c r="K481" s="550"/>
      <c r="L481" s="550"/>
      <c r="M481" s="550"/>
      <c r="N481" s="550"/>
    </row>
    <row r="482" spans="9:14">
      <c r="I482" s="550"/>
      <c r="J482" s="550"/>
      <c r="K482" s="550"/>
      <c r="L482" s="550"/>
      <c r="M482" s="550"/>
      <c r="N482" s="550"/>
    </row>
    <row r="483" spans="9:14">
      <c r="I483" s="550"/>
      <c r="J483" s="550"/>
      <c r="K483" s="550"/>
      <c r="L483" s="550"/>
      <c r="M483" s="550"/>
      <c r="N483" s="550"/>
    </row>
    <row r="484" spans="9:14">
      <c r="I484" s="550"/>
      <c r="J484" s="550"/>
      <c r="K484" s="550"/>
      <c r="L484" s="550"/>
      <c r="M484" s="550"/>
      <c r="N484" s="550"/>
    </row>
    <row r="485" spans="9:14">
      <c r="I485" s="550"/>
      <c r="J485" s="550"/>
      <c r="K485" s="550"/>
      <c r="L485" s="550"/>
      <c r="M485" s="550"/>
      <c r="N485" s="550"/>
    </row>
    <row r="486" spans="9:14">
      <c r="I486" s="550"/>
      <c r="J486" s="550"/>
      <c r="K486" s="550"/>
      <c r="L486" s="550"/>
      <c r="M486" s="550"/>
      <c r="N486" s="550"/>
    </row>
    <row r="487" spans="9:14">
      <c r="I487" s="550"/>
      <c r="J487" s="550"/>
      <c r="K487" s="550"/>
      <c r="L487" s="550"/>
      <c r="M487" s="550"/>
      <c r="N487" s="550"/>
    </row>
    <row r="488" spans="9:14">
      <c r="I488" s="550"/>
      <c r="J488" s="550"/>
      <c r="K488" s="550"/>
      <c r="L488" s="550"/>
      <c r="M488" s="550"/>
      <c r="N488" s="550"/>
    </row>
    <row r="489" spans="9:14">
      <c r="I489" s="550"/>
      <c r="J489" s="550"/>
      <c r="K489" s="550"/>
      <c r="L489" s="550"/>
      <c r="M489" s="550"/>
      <c r="N489" s="550"/>
    </row>
    <row r="490" spans="9:14">
      <c r="I490" s="550"/>
      <c r="J490" s="550"/>
      <c r="K490" s="550"/>
      <c r="L490" s="550"/>
      <c r="M490" s="550"/>
      <c r="N490" s="550"/>
    </row>
    <row r="491" spans="9:14">
      <c r="I491" s="550"/>
      <c r="J491" s="550"/>
      <c r="K491" s="550"/>
      <c r="L491" s="550"/>
      <c r="M491" s="550"/>
      <c r="N491" s="550"/>
    </row>
    <row r="492" spans="9:14">
      <c r="I492" s="550"/>
      <c r="J492" s="550"/>
      <c r="K492" s="550"/>
      <c r="L492" s="550"/>
      <c r="M492" s="550"/>
      <c r="N492" s="550"/>
    </row>
    <row r="493" spans="9:14">
      <c r="I493" s="550"/>
      <c r="J493" s="550"/>
      <c r="K493" s="550"/>
      <c r="L493" s="550"/>
      <c r="M493" s="550"/>
      <c r="N493" s="550"/>
    </row>
    <row r="494" spans="9:14">
      <c r="I494" s="550"/>
      <c r="J494" s="550"/>
      <c r="K494" s="550"/>
      <c r="L494" s="550"/>
      <c r="M494" s="550"/>
      <c r="N494" s="550"/>
    </row>
    <row r="495" spans="9:14">
      <c r="I495" s="550"/>
      <c r="J495" s="550"/>
      <c r="K495" s="550"/>
      <c r="L495" s="550"/>
      <c r="M495" s="550"/>
      <c r="N495" s="550"/>
    </row>
    <row r="496" spans="9:14">
      <c r="I496" s="550"/>
      <c r="J496" s="550"/>
      <c r="K496" s="550"/>
      <c r="L496" s="550"/>
      <c r="M496" s="550"/>
      <c r="N496" s="550"/>
    </row>
    <row r="497" spans="9:14">
      <c r="I497" s="550"/>
      <c r="J497" s="550"/>
      <c r="K497" s="550"/>
      <c r="L497" s="550"/>
      <c r="M497" s="550"/>
      <c r="N497" s="550"/>
    </row>
    <row r="498" spans="9:14">
      <c r="I498" s="550"/>
      <c r="J498" s="550"/>
      <c r="K498" s="550"/>
      <c r="L498" s="550"/>
      <c r="M498" s="550"/>
      <c r="N498" s="550"/>
    </row>
    <row r="499" spans="9:14">
      <c r="I499" s="550"/>
      <c r="J499" s="550"/>
      <c r="K499" s="550"/>
      <c r="L499" s="550"/>
      <c r="M499" s="550"/>
      <c r="N499" s="550"/>
    </row>
    <row r="500" spans="9:14">
      <c r="I500" s="550"/>
      <c r="J500" s="550"/>
      <c r="K500" s="550"/>
      <c r="L500" s="550"/>
      <c r="M500" s="550"/>
      <c r="N500" s="550"/>
    </row>
    <row r="501" spans="9:14">
      <c r="I501" s="550"/>
      <c r="J501" s="550"/>
      <c r="K501" s="550"/>
      <c r="L501" s="550"/>
      <c r="M501" s="550"/>
      <c r="N501" s="550"/>
    </row>
    <row r="502" spans="9:14">
      <c r="I502" s="550"/>
      <c r="J502" s="550"/>
      <c r="K502" s="550"/>
      <c r="L502" s="550"/>
      <c r="M502" s="550"/>
      <c r="N502" s="550"/>
    </row>
    <row r="503" spans="9:14">
      <c r="I503" s="550"/>
      <c r="J503" s="550"/>
      <c r="K503" s="550"/>
      <c r="L503" s="550"/>
      <c r="M503" s="550"/>
      <c r="N503" s="550"/>
    </row>
    <row r="504" spans="9:14">
      <c r="I504" s="550"/>
      <c r="J504" s="550"/>
      <c r="K504" s="550"/>
      <c r="L504" s="550"/>
      <c r="M504" s="550"/>
      <c r="N504" s="550"/>
    </row>
    <row r="505" spans="9:14">
      <c r="I505" s="550"/>
      <c r="J505" s="550"/>
      <c r="K505" s="550"/>
      <c r="L505" s="550"/>
      <c r="M505" s="550"/>
      <c r="N505" s="550"/>
    </row>
    <row r="506" spans="9:14">
      <c r="I506" s="550"/>
      <c r="J506" s="550"/>
      <c r="K506" s="550"/>
      <c r="L506" s="550"/>
      <c r="M506" s="550"/>
      <c r="N506" s="550"/>
    </row>
    <row r="507" spans="9:14">
      <c r="I507" s="550"/>
      <c r="J507" s="550"/>
      <c r="K507" s="550"/>
      <c r="L507" s="550"/>
      <c r="M507" s="550"/>
      <c r="N507" s="550"/>
    </row>
    <row r="508" spans="9:14">
      <c r="I508" s="550"/>
      <c r="J508" s="550"/>
      <c r="K508" s="550"/>
      <c r="L508" s="550"/>
      <c r="M508" s="550"/>
      <c r="N508" s="550"/>
    </row>
    <row r="509" spans="9:14">
      <c r="I509" s="550"/>
      <c r="J509" s="550"/>
      <c r="K509" s="550"/>
      <c r="L509" s="550"/>
      <c r="M509" s="550"/>
      <c r="N509" s="550"/>
    </row>
    <row r="510" spans="9:14">
      <c r="I510" s="550"/>
      <c r="J510" s="550"/>
      <c r="K510" s="550"/>
      <c r="L510" s="550"/>
      <c r="M510" s="550"/>
      <c r="N510" s="550"/>
    </row>
    <row r="511" spans="9:14">
      <c r="I511" s="550"/>
      <c r="J511" s="550"/>
      <c r="K511" s="550"/>
      <c r="L511" s="550"/>
      <c r="M511" s="550"/>
      <c r="N511" s="550"/>
    </row>
  </sheetData>
  <sheetProtection password="ECFA" sheet="1" objects="1" scenarios="1" selectLockedCells="1"/>
  <mergeCells count="47">
    <mergeCell ref="C1:G2"/>
    <mergeCell ref="L2:N2"/>
    <mergeCell ref="C3:G3"/>
    <mergeCell ref="A4:A6"/>
    <mergeCell ref="B4:B6"/>
    <mergeCell ref="C4:C6"/>
    <mergeCell ref="E4:E6"/>
    <mergeCell ref="F4:F6"/>
    <mergeCell ref="G4:G6"/>
    <mergeCell ref="H4:H6"/>
    <mergeCell ref="D4:D6"/>
    <mergeCell ref="M4:M6"/>
    <mergeCell ref="O11:P11"/>
    <mergeCell ref="I4:I6"/>
    <mergeCell ref="J4:J6"/>
    <mergeCell ref="K4:K6"/>
    <mergeCell ref="L4:L6"/>
    <mergeCell ref="N4:N6"/>
    <mergeCell ref="O4:P6"/>
    <mergeCell ref="O7:P7"/>
    <mergeCell ref="O8:P8"/>
    <mergeCell ref="O9:P9"/>
    <mergeCell ref="O10:P10"/>
    <mergeCell ref="O34:P34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33"/>
    <mergeCell ref="C66:C68"/>
    <mergeCell ref="A67:B67"/>
    <mergeCell ref="O35:P42"/>
    <mergeCell ref="O43:P43"/>
    <mergeCell ref="O44:P63"/>
    <mergeCell ref="A63:B63"/>
    <mergeCell ref="C63:C65"/>
    <mergeCell ref="A64:B64"/>
    <mergeCell ref="E64:N68"/>
    <mergeCell ref="O64:P68"/>
    <mergeCell ref="A65:B65"/>
    <mergeCell ref="A66:B66"/>
  </mergeCells>
  <dataValidations count="5">
    <dataValidation type="list" allowBlank="1" showInputMessage="1" showErrorMessage="1" sqref="A7:A62">
      <formula1>Date</formula1>
    </dataValidation>
    <dataValidation type="list" allowBlank="1" showInputMessage="1" sqref="B7:B62">
      <formula1>IF(B7&lt;&gt; "",OFFSET(f_noms,MATCH(B7&amp;"*",f_noms,0)-1,,COUNTIF(f_noms,B7&amp;"*"),1),f_noms)</formula1>
    </dataValidation>
    <dataValidation type="list" allowBlank="1" showInputMessage="1" sqref="C7:C62">
      <formula1>IF(C7&lt;&gt;"",OFFSET(f_ville,MATCH(C7&amp;"*", f_ville,0)-1,,COUNTIF(f_ville, C7&amp;"*"),1), f_ville)</formula1>
    </dataValidation>
    <dataValidation type="list" allowBlank="1" showInputMessage="1" showErrorMessage="1" sqref="D7:D62">
      <formula1>Dchoix</formula1>
    </dataValidation>
    <dataValidation type="list" allowBlank="1" showInputMessage="1" showErrorMessage="1" sqref="L7:L62">
      <formula1>Nfrais</formula1>
    </dataValidation>
  </dataValidations>
  <printOptions horizontalCentered="1" verticalCentered="1"/>
  <pageMargins left="0" right="0" top="0" bottom="0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  <pageSetUpPr fitToPage="1"/>
  </sheetPr>
  <dimension ref="A1:T51"/>
  <sheetViews>
    <sheetView zoomScaleNormal="100" workbookViewId="0">
      <selection activeCell="K2" sqref="K2"/>
    </sheetView>
  </sheetViews>
  <sheetFormatPr baseColWidth="10" defaultRowHeight="15"/>
  <cols>
    <col min="1" max="1" width="11.42578125" style="8" bestFit="1" customWidth="1"/>
    <col min="2" max="2" width="12.7109375" style="8" bestFit="1" customWidth="1"/>
    <col min="3" max="4" width="10.7109375" style="8" customWidth="1"/>
    <col min="5" max="5" width="14.42578125" style="8" bestFit="1" customWidth="1"/>
    <col min="6" max="6" width="18.7109375" style="8" customWidth="1"/>
    <col min="7" max="7" width="18" style="8" customWidth="1"/>
    <col min="8" max="11" width="11.5703125" style="8" customWidth="1"/>
    <col min="12" max="14" width="13.7109375" style="8" customWidth="1"/>
    <col min="15" max="15" width="19" style="8" bestFit="1" customWidth="1"/>
    <col min="16" max="16384" width="11.42578125" style="8"/>
  </cols>
  <sheetData>
    <row r="1" spans="1:20" ht="15.75">
      <c r="A1" s="160"/>
      <c r="B1" s="853" t="str">
        <f>MCVS!E9</f>
        <v>GUIN-Maurice</v>
      </c>
      <c r="C1" s="853"/>
      <c r="E1" s="870" t="s">
        <v>42</v>
      </c>
      <c r="F1" s="871"/>
      <c r="G1" s="871"/>
      <c r="H1" s="871"/>
      <c r="I1" s="872"/>
      <c r="J1" s="11"/>
      <c r="K1" s="23"/>
      <c r="L1" s="23"/>
      <c r="M1" s="23"/>
      <c r="N1" s="2"/>
    </row>
    <row r="2" spans="1:20" ht="15.75" thickBot="1">
      <c r="A2" s="160"/>
      <c r="B2" s="854" t="str">
        <f>MCVS!E10</f>
        <v>!Ligne2</v>
      </c>
      <c r="C2" s="854"/>
      <c r="E2" s="873"/>
      <c r="F2" s="874"/>
      <c r="G2" s="874"/>
      <c r="H2" s="874"/>
      <c r="I2" s="875"/>
      <c r="J2" s="4" t="s">
        <v>41</v>
      </c>
      <c r="K2" s="552" t="s">
        <v>457</v>
      </c>
      <c r="L2" s="4" t="s">
        <v>40</v>
      </c>
      <c r="M2" s="170"/>
      <c r="N2" s="5">
        <f ca="1">MCVS!N4</f>
        <v>2014</v>
      </c>
    </row>
    <row r="3" spans="1:20" ht="16.5" thickBot="1">
      <c r="A3" s="160"/>
      <c r="B3" s="9"/>
      <c r="C3" s="3"/>
      <c r="D3" s="10"/>
      <c r="E3" s="876"/>
      <c r="F3" s="877"/>
      <c r="G3" s="877"/>
      <c r="H3" s="878"/>
      <c r="I3" s="6"/>
      <c r="J3" s="4" t="s">
        <v>52</v>
      </c>
      <c r="K3" s="38">
        <f>MCVS!D10</f>
        <v>1</v>
      </c>
      <c r="L3" s="4" t="s">
        <v>53</v>
      </c>
      <c r="M3" s="4"/>
      <c r="N3" s="38" t="e">
        <f>#REF!</f>
        <v>#REF!</v>
      </c>
    </row>
    <row r="4" spans="1:20" ht="15" customHeight="1">
      <c r="A4" s="879" t="s">
        <v>7</v>
      </c>
      <c r="B4" s="880"/>
      <c r="C4" s="855" t="s">
        <v>31</v>
      </c>
      <c r="D4" s="855" t="s">
        <v>32</v>
      </c>
      <c r="E4" s="222" t="s">
        <v>33</v>
      </c>
      <c r="F4" s="885" t="s">
        <v>193</v>
      </c>
      <c r="G4" s="885" t="s">
        <v>34</v>
      </c>
      <c r="H4" s="855" t="s">
        <v>35</v>
      </c>
      <c r="I4" s="855" t="s">
        <v>46</v>
      </c>
      <c r="J4" s="855" t="s">
        <v>38</v>
      </c>
      <c r="K4" s="858" t="s">
        <v>39</v>
      </c>
      <c r="L4" s="861" t="s">
        <v>16</v>
      </c>
      <c r="M4" s="862"/>
      <c r="N4" s="863"/>
    </row>
    <row r="5" spans="1:20">
      <c r="A5" s="881"/>
      <c r="B5" s="882"/>
      <c r="C5" s="856"/>
      <c r="D5" s="856"/>
      <c r="E5" s="223" t="s">
        <v>36</v>
      </c>
      <c r="F5" s="886"/>
      <c r="G5" s="886"/>
      <c r="H5" s="856"/>
      <c r="I5" s="856"/>
      <c r="J5" s="856"/>
      <c r="K5" s="859"/>
      <c r="L5" s="864"/>
      <c r="M5" s="865"/>
      <c r="N5" s="866"/>
    </row>
    <row r="6" spans="1:20" ht="15.75" thickBot="1">
      <c r="A6" s="883"/>
      <c r="B6" s="884"/>
      <c r="C6" s="857"/>
      <c r="D6" s="857"/>
      <c r="E6" s="224" t="s">
        <v>37</v>
      </c>
      <c r="F6" s="887"/>
      <c r="G6" s="887"/>
      <c r="H6" s="857"/>
      <c r="I6" s="857"/>
      <c r="J6" s="857"/>
      <c r="K6" s="860"/>
      <c r="L6" s="867"/>
      <c r="M6" s="868"/>
      <c r="N6" s="869"/>
    </row>
    <row r="7" spans="1:20" ht="15.75" customHeight="1">
      <c r="A7" s="240" t="s">
        <v>351</v>
      </c>
      <c r="B7" s="241" t="str">
        <f ca="1">IF(B6="",IF($A7&lt;&gt;(VLOOKUP($K$2,MCVS!$Q$11:$R$25,2,0)),"",VLOOKUP($K$2,MCVS!$Q$11:$S$25,3,0)),(B6+1))</f>
        <v/>
      </c>
      <c r="C7" s="568"/>
      <c r="D7" s="569"/>
      <c r="E7" s="574"/>
      <c r="F7" s="264" t="str">
        <f ca="1">IF(ISNA(VLOOKUP($B7,MCVS!$L$11:$M$23,2,0))=TRUE,"",VLOOKUP($B7,MCVS!$L$11:$M$23,2,0))</f>
        <v/>
      </c>
      <c r="G7" s="238"/>
      <c r="H7" s="436" t="str">
        <f ca="1">IF(B7="","",SUMIF(Semaine1!$A$7:$H$62,RecapMois!B7,Semaine1!$H$7:$H62)+SUMIF(#REF!,RecapMois!B7,#REF!)+SUMIF(#REF!,RecapMois!B7,#REF!)+SUMIF(#REF!,RecapMois!B7,#REF!)+SUMIF(#REF!,RecapMois!B7,#REF!))</f>
        <v/>
      </c>
      <c r="I7" s="437" t="str">
        <f ca="1">IF(B7="","",SUMIF(Semaine1!$A$7:$K$62,RecapMois!B7,Semaine1!$K$7:$K62)+SUMIF(#REF!,RecapMois!B7,#REF!)+SUMIF(#REF!,RecapMois!B7,#REF!)+SUMIF(#REF!,RecapMois!B7,#REF!)+SUMIF(#REF!,RecapMois!B7,#REF!))</f>
        <v/>
      </c>
      <c r="J7" s="438" t="str">
        <f ca="1">IF(B7="","",SUMIF(Semaine1!$A$7:$M$62,RecapMois!B7,Semaine1!$M$7:$M62)+SUMIF(#REF!,RecapMois!B7,#REF!)+SUMIF(#REF!,RecapMois!B7,#REF!)+SUMIF(#REF!,RecapMois!B7,#REF!)+SUMIF(#REF!,RecapMois!B7,#REF!))</f>
        <v/>
      </c>
      <c r="K7" s="439" t="str">
        <f ca="1">IF(B7="","",SUMIF(Semaine1!$A$7:$N$62,RecapMois!B7,Semaine1!$N$7:$N62)+SUMIF(#REF!,RecapMois!B7,#REF!)+SUMIF(#REF!,RecapMois!B7,#REF!)+SUMIF(#REF!,RecapMois!B7,#REF!)+SUMIF(#REF!,RecapMois!B7,#REF!))</f>
        <v/>
      </c>
      <c r="L7" s="826" t="s">
        <v>48</v>
      </c>
      <c r="M7" s="786"/>
      <c r="N7" s="787"/>
    </row>
    <row r="8" spans="1:20">
      <c r="A8" s="193" t="s">
        <v>352</v>
      </c>
      <c r="B8" s="191" t="str">
        <f ca="1">IF(B7="",IF($A8&lt;&gt;(VLOOKUP($K$2,MCVS!$Q$11:$R$25,2,0)),"",VLOOKUP($K$2,MCVS!$Q$11:$S$25,3,0)),(B7+1))</f>
        <v/>
      </c>
      <c r="C8" s="570"/>
      <c r="D8" s="571"/>
      <c r="E8" s="575"/>
      <c r="F8" s="265" t="str">
        <f ca="1">IF(ISNA(VLOOKUP($B8,MCVS!$L$11:$M$23,2,0))=TRUE,"",VLOOKUP($B8,MCVS!$L$11:$M$23,2,0))</f>
        <v/>
      </c>
      <c r="G8" s="187"/>
      <c r="H8" s="436" t="str">
        <f ca="1">IF(B8="","",SUMIF(Semaine1!$A$7:$H$62,RecapMois!B8,Semaine1!$H$7:$H63)+SUMIF(#REF!,RecapMois!B8,#REF!)+SUMIF(#REF!,RecapMois!B8,#REF!)+SUMIF(#REF!,RecapMois!B8,#REF!)+SUMIF(#REF!,RecapMois!B8,#REF!))</f>
        <v/>
      </c>
      <c r="I8" s="437" t="str">
        <f ca="1">IF(B8="","",SUMIF(Semaine1!$A$7:$K$62,RecapMois!B8,Semaine1!$K$7:$K63)+SUMIF(#REF!,RecapMois!B8,#REF!)+SUMIF(#REF!,RecapMois!B8,#REF!)+SUMIF(#REF!,RecapMois!B8,#REF!)+SUMIF(#REF!,RecapMois!B8,#REF!))</f>
        <v/>
      </c>
      <c r="J8" s="438" t="str">
        <f ca="1">IF(B8="","",SUMIF(Semaine1!$A$7:$M$62,RecapMois!B8,Semaine1!$M$7:$M63)+SUMIF(#REF!,RecapMois!B8,#REF!)+SUMIF(#REF!,RecapMois!B8,#REF!)+SUMIF(#REF!,RecapMois!B8,#REF!)+SUMIF(#REF!,RecapMois!B8,#REF!))</f>
        <v/>
      </c>
      <c r="K8" s="439" t="str">
        <f ca="1">IF(B8="","",SUMIF(Semaine1!$A$7:$N$62,RecapMois!B8,Semaine1!$N$7:$N63)+SUMIF(#REF!,RecapMois!B8,#REF!)+SUMIF(#REF!,RecapMois!B8,#REF!)+SUMIF(#REF!,RecapMois!B8,#REF!)+SUMIF(#REF!,RecapMois!B8,#REF!))</f>
        <v/>
      </c>
      <c r="L8" s="822" t="s">
        <v>49</v>
      </c>
      <c r="M8" s="782"/>
      <c r="N8" s="783"/>
    </row>
    <row r="9" spans="1:20" ht="15" customHeight="1">
      <c r="A9" s="193" t="s">
        <v>353</v>
      </c>
      <c r="B9" s="191" t="str">
        <f ca="1">IF(B8="",IF($A9&lt;&gt;(VLOOKUP($K$2,MCVS!$Q$11:$R$25,2,0)),"",VLOOKUP($K$2,MCVS!$Q$11:$S$25,3,0)),(B8+1))</f>
        <v/>
      </c>
      <c r="C9" s="570" t="s">
        <v>258</v>
      </c>
      <c r="D9" s="571" t="s">
        <v>259</v>
      </c>
      <c r="E9" s="575" t="s">
        <v>262</v>
      </c>
      <c r="F9" s="265" t="str">
        <f ca="1">IF(ISNA(VLOOKUP($B9,MCVS!$L$11:$M$23,2,0))=TRUE,"",VLOOKUP($B9,MCVS!$L$11:$M$23,2,0))</f>
        <v/>
      </c>
      <c r="G9" s="187"/>
      <c r="H9" s="436" t="str">
        <f ca="1">IF(B9="","",SUMIF(Semaine1!$A$7:$H$62,RecapMois!B9,Semaine1!$H$7:$H64)+SUMIF(#REF!,RecapMois!B9,#REF!)+SUMIF(#REF!,RecapMois!B9,#REF!)+SUMIF(#REF!,RecapMois!B9,#REF!)+SUMIF(#REF!,RecapMois!B9,#REF!))</f>
        <v/>
      </c>
      <c r="I9" s="437" t="str">
        <f ca="1">IF(B9="","",SUMIF(Semaine1!$A$7:$K$62,RecapMois!B9,Semaine1!$K$7:$K64)+SUMIF(#REF!,RecapMois!B9,#REF!)+SUMIF(#REF!,RecapMois!B9,#REF!)+SUMIF(#REF!,RecapMois!B9,#REF!)+SUMIF(#REF!,RecapMois!B9,#REF!))</f>
        <v/>
      </c>
      <c r="J9" s="438" t="str">
        <f ca="1">IF(B9="","",SUMIF(Semaine1!$A$7:$M$62,RecapMois!B9,Semaine1!$M$7:$M64)+SUMIF(#REF!,RecapMois!B9,#REF!)+SUMIF(#REF!,RecapMois!B9,#REF!)+SUMIF(#REF!,RecapMois!B9,#REF!)+SUMIF(#REF!,RecapMois!B9,#REF!))</f>
        <v/>
      </c>
      <c r="K9" s="439" t="str">
        <f ca="1">IF(B9="","",SUMIF(Semaine1!$A$7:$N$62,RecapMois!B9,Semaine1!$N$7:$N64)+SUMIF(#REF!,RecapMois!B9,#REF!)+SUMIF(#REF!,RecapMois!B9,#REF!)+SUMIF(#REF!,RecapMois!B9,#REF!)+SUMIF(#REF!,RecapMois!B9,#REF!))</f>
        <v/>
      </c>
      <c r="L9" s="822" t="s">
        <v>61</v>
      </c>
      <c r="M9" s="782"/>
      <c r="N9" s="783"/>
      <c r="O9" s="444"/>
      <c r="P9" s="445"/>
      <c r="Q9" s="445"/>
      <c r="R9" s="445"/>
      <c r="S9" s="445"/>
      <c r="T9" s="445"/>
    </row>
    <row r="10" spans="1:20" ht="15" customHeight="1">
      <c r="A10" s="193" t="s">
        <v>354</v>
      </c>
      <c r="B10" s="191" t="str">
        <f ca="1">IF(B9="",IF($A10&lt;&gt;(VLOOKUP($K$2,MCVS!$Q$11:$R$25,2,0)),"",VLOOKUP($K$2,MCVS!$Q$11:$S$25,3,0)),(B9+1))</f>
        <v/>
      </c>
      <c r="C10" s="570" t="s">
        <v>258</v>
      </c>
      <c r="D10" s="571" t="s">
        <v>259</v>
      </c>
      <c r="E10" s="575" t="s">
        <v>264</v>
      </c>
      <c r="F10" s="265" t="str">
        <f ca="1">IF(ISNA(VLOOKUP($B10,MCVS!$L$11:$M$23,2,0))=TRUE,"",VLOOKUP($B10,MCVS!$L$11:$M$23,2,0))</f>
        <v/>
      </c>
      <c r="G10" s="187"/>
      <c r="H10" s="436" t="str">
        <f ca="1">IF(B10="","",SUMIF(Semaine1!$A$7:$H$62,RecapMois!B10,Semaine1!$H$7:$H65)+SUMIF(#REF!,RecapMois!B10,#REF!)+SUMIF(#REF!,RecapMois!B10,#REF!)+SUMIF(#REF!,RecapMois!B10,#REF!)+SUMIF(#REF!,RecapMois!B10,#REF!))</f>
        <v/>
      </c>
      <c r="I10" s="437" t="str">
        <f ca="1">IF(B10="","",SUMIF(Semaine1!$A$7:$K$62,RecapMois!B10,Semaine1!$K$7:$K65)+SUMIF(#REF!,RecapMois!B10,#REF!)+SUMIF(#REF!,RecapMois!B10,#REF!)+SUMIF(#REF!,RecapMois!B10,#REF!)+SUMIF(#REF!,RecapMois!B10,#REF!))</f>
        <v/>
      </c>
      <c r="J10" s="438" t="str">
        <f ca="1">IF(B10="","",SUMIF(Semaine1!$A$7:$M$62,RecapMois!B10,Semaine1!$M$7:$M65)+SUMIF(#REF!,RecapMois!B10,#REF!)+SUMIF(#REF!,RecapMois!B10,#REF!)+SUMIF(#REF!,RecapMois!B10,#REF!)+SUMIF(#REF!,RecapMois!B10,#REF!))</f>
        <v/>
      </c>
      <c r="K10" s="439" t="str">
        <f ca="1">IF(B10="","",SUMIF(Semaine1!$A$7:$N$62,RecapMois!B10,Semaine1!$N$7:$N65)+SUMIF(#REF!,RecapMois!B10,#REF!)+SUMIF(#REF!,RecapMois!B10,#REF!)+SUMIF(#REF!,RecapMois!B10,#REF!)+SUMIF(#REF!,RecapMois!B10,#REF!))</f>
        <v/>
      </c>
      <c r="L10" s="917" t="s">
        <v>62</v>
      </c>
      <c r="M10" s="780"/>
      <c r="N10" s="781"/>
      <c r="O10" s="444"/>
      <c r="P10" s="445"/>
      <c r="Q10" s="445"/>
      <c r="R10" s="445"/>
      <c r="S10" s="445"/>
      <c r="T10" s="445"/>
    </row>
    <row r="11" spans="1:20" ht="15" customHeight="1">
      <c r="A11" s="193" t="s">
        <v>355</v>
      </c>
      <c r="B11" s="191" t="str">
        <f ca="1">IF(B10="",IF($A11&lt;&gt;(VLOOKUP($K$2,MCVS!$Q$11:$R$25,2,0)),"",VLOOKUP($K$2,MCVS!$Q$11:$S$25,3,0)),(B10+1))</f>
        <v/>
      </c>
      <c r="C11" s="570" t="s">
        <v>258</v>
      </c>
      <c r="D11" s="571" t="s">
        <v>259</v>
      </c>
      <c r="E11" s="575"/>
      <c r="F11" s="266" t="str">
        <f ca="1">IF(ISNA(VLOOKUP($B11,MCVS!$L$11:$M$23,2,0))=TRUE,"",VLOOKUP($B11,MCVS!$L$11:$M$23,2,0))</f>
        <v/>
      </c>
      <c r="G11" s="187"/>
      <c r="H11" s="436" t="str">
        <f ca="1">IF(B11="","",SUMIF(Semaine1!$A$7:$H$62,RecapMois!B11,Semaine1!$H$7:$H66)+SUMIF(#REF!,RecapMois!B11,#REF!)+SUMIF(#REF!,RecapMois!B11,#REF!)+SUMIF(#REF!,RecapMois!B11,#REF!)+SUMIF(#REF!,RecapMois!B11,#REF!))</f>
        <v/>
      </c>
      <c r="I11" s="437" t="str">
        <f ca="1">IF(B11="","",SUMIF(Semaine1!$A$7:$K$62,RecapMois!B11,Semaine1!$K$7:$K66)+SUMIF(#REF!,RecapMois!B11,#REF!)+SUMIF(#REF!,RecapMois!B11,#REF!)+SUMIF(#REF!,RecapMois!B11,#REF!)+SUMIF(#REF!,RecapMois!B11,#REF!))</f>
        <v/>
      </c>
      <c r="J11" s="438" t="str">
        <f ca="1">IF(B11="","",SUMIF(Semaine1!$A$7:$M$62,RecapMois!B11,Semaine1!$M$7:$M66)+SUMIF(#REF!,RecapMois!B11,#REF!)+SUMIF(#REF!,RecapMois!B11,#REF!)+SUMIF(#REF!,RecapMois!B11,#REF!)+SUMIF(#REF!,RecapMois!B11,#REF!))</f>
        <v/>
      </c>
      <c r="K11" s="439" t="str">
        <f ca="1">IF(B11="","",SUMIF(Semaine1!$A$7:$N$62,RecapMois!B11,Semaine1!$N$7:$N66)+SUMIF(#REF!,RecapMois!B11,#REF!)+SUMIF(#REF!,RecapMois!B11,#REF!)+SUMIF(#REF!,RecapMois!B11,#REF!)+SUMIF(#REF!,RecapMois!B11,#REF!))</f>
        <v/>
      </c>
      <c r="L11" s="822" t="s">
        <v>50</v>
      </c>
      <c r="M11" s="782"/>
      <c r="N11" s="783"/>
      <c r="O11" s="444"/>
      <c r="P11" s="445"/>
      <c r="Q11" s="445"/>
      <c r="R11" s="445"/>
      <c r="S11" s="445"/>
      <c r="T11" s="445"/>
    </row>
    <row r="12" spans="1:20" ht="15" customHeight="1">
      <c r="A12" s="194" t="s">
        <v>356</v>
      </c>
      <c r="B12" s="192">
        <f ca="1">IF(B11="",IF($A12&lt;&gt;(VLOOKUP($K$2,MCVS!$Q$11:$R$25,2,0)),"",VLOOKUP($K$2,MCVS!$Q$11:$S$25,3,0)),(B11+1))</f>
        <v>41944</v>
      </c>
      <c r="C12" s="572" t="s">
        <v>259</v>
      </c>
      <c r="D12" s="573" t="s">
        <v>259</v>
      </c>
      <c r="E12" s="576"/>
      <c r="F12" s="267" t="str">
        <f ca="1">IF(ISNA(VLOOKUP($B12,MCVS!$L$11:$M$23,2,0))=TRUE,"",VLOOKUP($B12,MCVS!$L$11:$M$23,2,0))</f>
        <v xml:space="preserve">Toussaint </v>
      </c>
      <c r="G12" s="239" t="s">
        <v>43</v>
      </c>
      <c r="H12" s="440" t="e">
        <f ca="1">IF(B12="","",SUMIF(Semaine1!$A$7:$H$62,RecapMois!B12,Semaine1!$H$7:$H67)+SUMIF(#REF!,RecapMois!B12,#REF!)+SUMIF(#REF!,RecapMois!B12,#REF!)+SUMIF(#REF!,RecapMois!B12,#REF!)+SUMIF(#REF!,RecapMois!B12,#REF!))</f>
        <v>#REF!</v>
      </c>
      <c r="I12" s="441" t="e">
        <f ca="1">IF(B12="","",SUMIF(Semaine1!$A$7:$K$62,RecapMois!B12,Semaine1!$K$7:$K67)+SUMIF(#REF!,RecapMois!B12,#REF!)+SUMIF(#REF!,RecapMois!B12,#REF!)+SUMIF(#REF!,RecapMois!B12,#REF!)+SUMIF(#REF!,RecapMois!B12,#REF!))</f>
        <v>#REF!</v>
      </c>
      <c r="J12" s="442" t="e">
        <f ca="1">IF(B12="","",SUMIF(Semaine1!$A$7:$M$62,RecapMois!B12,Semaine1!$M$7:$M67)+SUMIF(#REF!,RecapMois!B12,#REF!)+SUMIF(#REF!,RecapMois!B12,#REF!)+SUMIF(#REF!,RecapMois!B12,#REF!)+SUMIF(#REF!,RecapMois!B12,#REF!))</f>
        <v>#REF!</v>
      </c>
      <c r="K12" s="443" t="e">
        <f ca="1">IF(B12="","",SUMIF(Semaine1!$A$7:$N$62,RecapMois!B12,Semaine1!$N$7:$N67)+SUMIF(#REF!,RecapMois!B12,#REF!)+SUMIF(#REF!,RecapMois!B12,#REF!)+SUMIF(#REF!,RecapMois!B12,#REF!)+SUMIF(#REF!,RecapMois!B12,#REF!))</f>
        <v>#REF!</v>
      </c>
      <c r="L12" s="917" t="s">
        <v>51</v>
      </c>
      <c r="M12" s="780"/>
      <c r="N12" s="781"/>
      <c r="O12" s="444"/>
      <c r="P12" s="445"/>
      <c r="Q12" s="445"/>
      <c r="R12" s="445"/>
      <c r="S12" s="445"/>
      <c r="T12" s="445"/>
    </row>
    <row r="13" spans="1:20" ht="15.75" customHeight="1">
      <c r="A13" s="194" t="s">
        <v>357</v>
      </c>
      <c r="B13" s="192">
        <f ca="1">IF(B12="",IF($A13&lt;&gt;(VLOOKUP($K$2,MCVS!$Q$11:$R$25,2,0)),"",VLOOKUP($K$2,MCVS!$Q$11:$S$25,3,0)),(B12+1))</f>
        <v>41945</v>
      </c>
      <c r="C13" s="572" t="s">
        <v>259</v>
      </c>
      <c r="D13" s="573" t="s">
        <v>259</v>
      </c>
      <c r="E13" s="576"/>
      <c r="F13" s="267" t="str">
        <f ca="1">IF(ISNA(VLOOKUP($B13,MCVS!$L$11:$M$23,2,0))=TRUE,"",VLOOKUP($B13,MCVS!$L$11:$M$23,2,0))</f>
        <v/>
      </c>
      <c r="G13" s="188" t="e">
        <f ca="1">SUM(H7:H13)</f>
        <v>#REF!</v>
      </c>
      <c r="H13" s="440" t="e">
        <f ca="1">IF(B13="","",SUMIF(Semaine1!$A$7:$H$62,RecapMois!B13,Semaine1!$H$7:$H68)+SUMIF(#REF!,RecapMois!B13,#REF!)+SUMIF(#REF!,RecapMois!B13,#REF!)+SUMIF(#REF!,RecapMois!B13,#REF!)+SUMIF(#REF!,RecapMois!B13,#REF!))</f>
        <v>#REF!</v>
      </c>
      <c r="I13" s="441" t="e">
        <f ca="1">IF(B13="","",SUMIF(Semaine1!$A$7:$K$62,RecapMois!B13,Semaine1!$K$7:$K68)+SUMIF(#REF!,RecapMois!B13,#REF!)+SUMIF(#REF!,RecapMois!B13,#REF!)+SUMIF(#REF!,RecapMois!B13,#REF!)+SUMIF(#REF!,RecapMois!B13,#REF!))</f>
        <v>#REF!</v>
      </c>
      <c r="J13" s="442" t="e">
        <f ca="1">IF(B13="","",SUMIF(Semaine1!$A$7:$M$62,RecapMois!B13,Semaine1!$M$7:$M68)+SUMIF(#REF!,RecapMois!B13,#REF!)+SUMIF(#REF!,RecapMois!B13,#REF!)+SUMIF(#REF!,RecapMois!B13,#REF!)+SUMIF(#REF!,RecapMois!B13,#REF!))</f>
        <v>#REF!</v>
      </c>
      <c r="K13" s="443" t="e">
        <f ca="1">IF(B13="","",SUMIF(Semaine1!$A$7:$N$62,RecapMois!B13,Semaine1!$N$7:$N68)+SUMIF(#REF!,RecapMois!B13,#REF!)+SUMIF(#REF!,RecapMois!B13,#REF!)+SUMIF(#REF!,RecapMois!B13,#REF!)+SUMIF(#REF!,RecapMois!B13,#REF!))</f>
        <v>#REF!</v>
      </c>
      <c r="L13" s="822" t="s">
        <v>19</v>
      </c>
      <c r="M13" s="782"/>
      <c r="N13" s="783"/>
      <c r="O13" s="444"/>
      <c r="P13" s="445"/>
      <c r="Q13" s="445"/>
      <c r="R13" s="445"/>
      <c r="S13" s="445"/>
      <c r="T13" s="445"/>
    </row>
    <row r="14" spans="1:20" ht="15" customHeight="1">
      <c r="A14" s="193" t="s">
        <v>351</v>
      </c>
      <c r="B14" s="191">
        <f ca="1">IF(B13="",IF($A14&lt;&gt;(VLOOKUP($K$2,MCVS!$Q$11:$R$25,2,0)),"",VLOOKUP($K$2,MCVS!$Q$11:$S$25,3,0)),(B13+1))</f>
        <v>41946</v>
      </c>
      <c r="C14" s="570" t="s">
        <v>258</v>
      </c>
      <c r="D14" s="571" t="s">
        <v>259</v>
      </c>
      <c r="E14" s="575"/>
      <c r="F14" s="265" t="str">
        <f ca="1">IF(ISNA(VLOOKUP($B14,MCVS!$L$11:$M$23,2,0))=TRUE,"",VLOOKUP($B14,MCVS!$L$11:$M$23,2,0))</f>
        <v/>
      </c>
      <c r="G14" s="187"/>
      <c r="H14" s="436" t="e">
        <f ca="1">IF(B14="","",SUMIF(Semaine1!$A$7:$H$62,RecapMois!B14,Semaine1!$H$7:$H69)+SUMIF(#REF!,RecapMois!B14,#REF!)+SUMIF(#REF!,RecapMois!B14,#REF!)+SUMIF(#REF!,RecapMois!B14,#REF!)+SUMIF(#REF!,RecapMois!B14,#REF!))</f>
        <v>#REF!</v>
      </c>
      <c r="I14" s="437" t="e">
        <f ca="1">IF(B14="","",SUMIF(Semaine1!$A$7:$K$62,RecapMois!B14,Semaine1!$K$7:$K69)+SUMIF(#REF!,RecapMois!B14,#REF!)+SUMIF(#REF!,RecapMois!B14,#REF!)+SUMIF(#REF!,RecapMois!B14,#REF!)+SUMIF(#REF!,RecapMois!B14,#REF!))</f>
        <v>#REF!</v>
      </c>
      <c r="J14" s="438" t="e">
        <f ca="1">IF(B14="","",SUMIF(Semaine1!$A$7:$M$62,RecapMois!B14,Semaine1!$M$7:$M69)+SUMIF(#REF!,RecapMois!B14,#REF!)+SUMIF(#REF!,RecapMois!B14,#REF!)+SUMIF(#REF!,RecapMois!B14,#REF!)+SUMIF(#REF!,RecapMois!B14,#REF!))</f>
        <v>#REF!</v>
      </c>
      <c r="K14" s="439" t="e">
        <f ca="1">IF(B14="","",SUMIF(Semaine1!$A$7:$N$62,RecapMois!B14,Semaine1!$N$7:$N69)+SUMIF(#REF!,RecapMois!B14,#REF!)+SUMIF(#REF!,RecapMois!B14,#REF!)+SUMIF(#REF!,RecapMois!B14,#REF!)+SUMIF(#REF!,RecapMois!B14,#REF!))</f>
        <v>#REF!</v>
      </c>
      <c r="L14" s="918" t="s">
        <v>20</v>
      </c>
      <c r="M14" s="780"/>
      <c r="N14" s="785"/>
      <c r="O14" s="444"/>
      <c r="P14" s="445"/>
      <c r="Q14" s="445"/>
      <c r="R14" s="445"/>
      <c r="S14" s="445"/>
      <c r="T14" s="445"/>
    </row>
    <row r="15" spans="1:20" ht="15" customHeight="1">
      <c r="A15" s="193" t="s">
        <v>352</v>
      </c>
      <c r="B15" s="191">
        <f ca="1">IF(B14="",IF($A15&lt;&gt;(VLOOKUP($K$2,MCVS!$Q$11:$R$25,2,0)),"",VLOOKUP($K$2,MCVS!$Q$11:$S$25,3,0)),(B14+1))</f>
        <v>41947</v>
      </c>
      <c r="C15" s="570" t="s">
        <v>258</v>
      </c>
      <c r="D15" s="571" t="s">
        <v>259</v>
      </c>
      <c r="E15" s="575"/>
      <c r="F15" s="265" t="str">
        <f ca="1">IF(ISNA(VLOOKUP($B15,MCVS!$L$11:$M$23,2,0))=TRUE,"",VLOOKUP($B15,MCVS!$L$11:$M$23,2,0))</f>
        <v/>
      </c>
      <c r="G15" s="187"/>
      <c r="H15" s="436" t="e">
        <f ca="1">IF(B15="","",SUMIF(Semaine1!$A$7:$H$62,RecapMois!B15,Semaine1!$H$7:$H70)+SUMIF(#REF!,RecapMois!B15,#REF!)+SUMIF(#REF!,RecapMois!B15,#REF!)+SUMIF(#REF!,RecapMois!B15,#REF!)+SUMIF(#REF!,RecapMois!B15,#REF!))</f>
        <v>#REF!</v>
      </c>
      <c r="I15" s="437" t="e">
        <f ca="1">IF(B15="","",SUMIF(Semaine1!$A$7:$K$62,RecapMois!B15,Semaine1!$K$7:$K70)+SUMIF(#REF!,RecapMois!B15,#REF!)+SUMIF(#REF!,RecapMois!B15,#REF!)+SUMIF(#REF!,RecapMois!B15,#REF!)+SUMIF(#REF!,RecapMois!B15,#REF!))</f>
        <v>#REF!</v>
      </c>
      <c r="J15" s="438" t="e">
        <f ca="1">IF(B15="","",SUMIF(Semaine1!$A$7:$M$62,RecapMois!B15,Semaine1!$M$7:$M70)+SUMIF(#REF!,RecapMois!B15,#REF!)+SUMIF(#REF!,RecapMois!B15,#REF!)+SUMIF(#REF!,RecapMois!B15,#REF!)+SUMIF(#REF!,RecapMois!B15,#REF!))</f>
        <v>#REF!</v>
      </c>
      <c r="K15" s="439" t="e">
        <f ca="1">IF(B15="","",SUMIF(Semaine1!$A$7:$N$62,RecapMois!B15,Semaine1!$N$7:$N70)+SUMIF(#REF!,RecapMois!B15,#REF!)+SUMIF(#REF!,RecapMois!B15,#REF!)+SUMIF(#REF!,RecapMois!B15,#REF!)+SUMIF(#REF!,RecapMois!B15,#REF!))</f>
        <v>#REF!</v>
      </c>
      <c r="L15" s="822" t="s">
        <v>21</v>
      </c>
      <c r="M15" s="782"/>
      <c r="N15" s="783"/>
      <c r="O15" s="444"/>
      <c r="P15" s="445"/>
      <c r="Q15" s="445"/>
      <c r="R15" s="445"/>
      <c r="S15" s="445"/>
      <c r="T15" s="445"/>
    </row>
    <row r="16" spans="1:20" ht="15" customHeight="1">
      <c r="A16" s="193" t="s">
        <v>353</v>
      </c>
      <c r="B16" s="191">
        <f ca="1">IF(B15="",IF($A16&lt;&gt;(VLOOKUP($K$2,MCVS!$Q$11:$R$25,2,0)),"",VLOOKUP($K$2,MCVS!$Q$11:$S$25,3,0)),(B15+1))</f>
        <v>41948</v>
      </c>
      <c r="C16" s="570" t="s">
        <v>258</v>
      </c>
      <c r="D16" s="571" t="s">
        <v>259</v>
      </c>
      <c r="E16" s="575"/>
      <c r="F16" s="265" t="str">
        <f ca="1">IF(ISNA(VLOOKUP($B16,MCVS!$L$11:$M$23,2,0))=TRUE,"",VLOOKUP($B16,MCVS!$L$11:$M$23,2,0))</f>
        <v/>
      </c>
      <c r="G16" s="187"/>
      <c r="H16" s="436" t="e">
        <f ca="1">IF(B16="","",SUMIF(Semaine1!$A$7:$H$62,RecapMois!B16,Semaine1!$H$7:$H71)+SUMIF(#REF!,RecapMois!B16,#REF!)+SUMIF(#REF!,RecapMois!B16,#REF!)+SUMIF(#REF!,RecapMois!B16,#REF!)+SUMIF(#REF!,RecapMois!B16,#REF!))</f>
        <v>#REF!</v>
      </c>
      <c r="I16" s="437" t="e">
        <f ca="1">IF(B16="","",SUMIF(Semaine1!$A$7:$K$62,RecapMois!B16,Semaine1!$K$7:$K71)+SUMIF(#REF!,RecapMois!B16,#REF!)+SUMIF(#REF!,RecapMois!B16,#REF!)+SUMIF(#REF!,RecapMois!B16,#REF!)+SUMIF(#REF!,RecapMois!B16,#REF!))</f>
        <v>#REF!</v>
      </c>
      <c r="J16" s="438" t="e">
        <f ca="1">IF(B16="","",SUMIF(Semaine1!$A$7:$M$62,RecapMois!B16,Semaine1!$M$7:$M71)+SUMIF(#REF!,RecapMois!B16,#REF!)+SUMIF(#REF!,RecapMois!B16,#REF!)+SUMIF(#REF!,RecapMois!B16,#REF!)+SUMIF(#REF!,RecapMois!B16,#REF!))</f>
        <v>#REF!</v>
      </c>
      <c r="K16" s="439" t="e">
        <f ca="1">IF(B16="","",SUMIF(Semaine1!$A$7:$N$62,RecapMois!B16,Semaine1!$N$7:$N71)+SUMIF(#REF!,RecapMois!B16,#REF!)+SUMIF(#REF!,RecapMois!B16,#REF!)+SUMIF(#REF!,RecapMois!B16,#REF!)+SUMIF(#REF!,RecapMois!B16,#REF!))</f>
        <v>#REF!</v>
      </c>
      <c r="L16" s="917" t="s">
        <v>22</v>
      </c>
      <c r="M16" s="780"/>
      <c r="N16" s="781"/>
      <c r="O16" s="444"/>
      <c r="P16" s="445"/>
      <c r="Q16" s="445"/>
      <c r="R16" s="445"/>
      <c r="S16" s="445"/>
      <c r="T16" s="445"/>
    </row>
    <row r="17" spans="1:20" ht="15" customHeight="1">
      <c r="A17" s="193" t="s">
        <v>354</v>
      </c>
      <c r="B17" s="191">
        <f ca="1">IF(B16="",IF($A17&lt;&gt;(VLOOKUP($K$2,MCVS!$Q$11:$R$25,2,0)),"",VLOOKUP($K$2,MCVS!$Q$11:$S$25,3,0)),(B16+1))</f>
        <v>41949</v>
      </c>
      <c r="C17" s="570" t="s">
        <v>258</v>
      </c>
      <c r="D17" s="571" t="s">
        <v>259</v>
      </c>
      <c r="E17" s="575"/>
      <c r="F17" s="265" t="str">
        <f ca="1">IF(ISNA(VLOOKUP($B17,MCVS!$L$11:$M$23,2,0))=TRUE,"",VLOOKUP($B17,MCVS!$L$11:$M$23,2,0))</f>
        <v/>
      </c>
      <c r="G17" s="187"/>
      <c r="H17" s="436" t="e">
        <f ca="1">IF(B17="","",SUMIF(Semaine1!$A$7:$H$62,RecapMois!B17,Semaine1!$H$7:$H72)+SUMIF(#REF!,RecapMois!B17,#REF!)+SUMIF(#REF!,RecapMois!B17,#REF!)+SUMIF(#REF!,RecapMois!B17,#REF!)+SUMIF(#REF!,RecapMois!B17,#REF!))</f>
        <v>#REF!</v>
      </c>
      <c r="I17" s="437" t="e">
        <f ca="1">IF(B17="","",SUMIF(Semaine1!$A$7:$K$62,RecapMois!B17,Semaine1!$K$7:$K72)+SUMIF(#REF!,RecapMois!B17,#REF!)+SUMIF(#REF!,RecapMois!B17,#REF!)+SUMIF(#REF!,RecapMois!B17,#REF!)+SUMIF(#REF!,RecapMois!B17,#REF!))</f>
        <v>#REF!</v>
      </c>
      <c r="J17" s="438" t="e">
        <f ca="1">IF(B17="","",SUMIF(Semaine1!$A$7:$M$62,RecapMois!B17,Semaine1!$M$7:$M72)+SUMIF(#REF!,RecapMois!B17,#REF!)+SUMIF(#REF!,RecapMois!B17,#REF!)+SUMIF(#REF!,RecapMois!B17,#REF!)+SUMIF(#REF!,RecapMois!B17,#REF!))</f>
        <v>#REF!</v>
      </c>
      <c r="K17" s="439" t="e">
        <f ca="1">IF(B17="","",SUMIF(Semaine1!$A$7:$N$62,RecapMois!B17,Semaine1!$N$7:$N72)+SUMIF(#REF!,RecapMois!B17,#REF!)+SUMIF(#REF!,RecapMois!B17,#REF!)+SUMIF(#REF!,RecapMois!B17,#REF!)+SUMIF(#REF!,RecapMois!B17,#REF!))</f>
        <v>#REF!</v>
      </c>
      <c r="L17" s="822" t="s">
        <v>23</v>
      </c>
      <c r="M17" s="782"/>
      <c r="N17" s="783"/>
      <c r="O17" s="444"/>
      <c r="P17" s="445"/>
      <c r="Q17" s="445"/>
      <c r="R17" s="445"/>
      <c r="S17" s="445"/>
      <c r="T17" s="445"/>
    </row>
    <row r="18" spans="1:20" ht="15.75" customHeight="1" thickBot="1">
      <c r="A18" s="193" t="s">
        <v>355</v>
      </c>
      <c r="B18" s="191">
        <f ca="1">IF(B17="",IF($A18&lt;&gt;(VLOOKUP($K$2,MCVS!$Q$11:$R$25,2,0)),"",VLOOKUP($K$2,MCVS!$Q$11:$S$25,3,0)),(B17+1))</f>
        <v>41950</v>
      </c>
      <c r="C18" s="570" t="s">
        <v>258</v>
      </c>
      <c r="D18" s="571" t="s">
        <v>259</v>
      </c>
      <c r="E18" s="575"/>
      <c r="F18" s="265" t="str">
        <f ca="1">IF(ISNA(VLOOKUP($B18,MCVS!$L$11:$M$23,2,0))=TRUE,"",VLOOKUP($B18,MCVS!$L$11:$M$23,2,0))</f>
        <v/>
      </c>
      <c r="G18" s="187"/>
      <c r="H18" s="436" t="e">
        <f ca="1">IF(B18="","",SUMIF(Semaine1!$A$7:$H$62,RecapMois!B18,Semaine1!$H$7:$H73)+SUMIF(#REF!,RecapMois!B18,#REF!)+SUMIF(#REF!,RecapMois!B18,#REF!)+SUMIF(#REF!,RecapMois!B18,#REF!)+SUMIF(#REF!,RecapMois!B18,#REF!))</f>
        <v>#REF!</v>
      </c>
      <c r="I18" s="437" t="e">
        <f ca="1">IF(B18="","",SUMIF(Semaine1!$A$7:$K$62,RecapMois!B18,Semaine1!$K$7:$K73)+SUMIF(#REF!,RecapMois!B18,#REF!)+SUMIF(#REF!,RecapMois!B18,#REF!)+SUMIF(#REF!,RecapMois!B18,#REF!)+SUMIF(#REF!,RecapMois!B18,#REF!))</f>
        <v>#REF!</v>
      </c>
      <c r="J18" s="438" t="e">
        <f ca="1">IF(B18="","",SUMIF(Semaine1!$A$7:$M$62,RecapMois!B18,Semaine1!$M$7:$M73)+SUMIF(#REF!,RecapMois!B18,#REF!)+SUMIF(#REF!,RecapMois!B18,#REF!)+SUMIF(#REF!,RecapMois!B18,#REF!)+SUMIF(#REF!,RecapMois!B18,#REF!))</f>
        <v>#REF!</v>
      </c>
      <c r="K18" s="439" t="e">
        <f ca="1">IF(B18="","",SUMIF(Semaine1!$A$7:$N$62,RecapMois!B18,Semaine1!$N$7:$N73)+SUMIF(#REF!,RecapMois!B18,#REF!)+SUMIF(#REF!,RecapMois!B18,#REF!)+SUMIF(#REF!,RecapMois!B18,#REF!)+SUMIF(#REF!,RecapMois!B18,#REF!))</f>
        <v>#REF!</v>
      </c>
      <c r="L18" s="822" t="s">
        <v>24</v>
      </c>
      <c r="M18" s="782"/>
      <c r="N18" s="783"/>
      <c r="O18" s="444"/>
      <c r="P18" s="445"/>
      <c r="Q18" s="445"/>
      <c r="R18" s="445"/>
      <c r="S18" s="445"/>
      <c r="T18" s="445"/>
    </row>
    <row r="19" spans="1:20" ht="15" customHeight="1">
      <c r="A19" s="194" t="s">
        <v>356</v>
      </c>
      <c r="B19" s="192">
        <f ca="1">IF(B18="",IF($A19&lt;&gt;(VLOOKUP($K$2,MCVS!$Q$11:$R$25,2,0)),"",VLOOKUP($K$2,MCVS!$Q$11:$S$25,3,0)),(B18+1))</f>
        <v>41951</v>
      </c>
      <c r="C19" s="572" t="s">
        <v>259</v>
      </c>
      <c r="D19" s="573" t="s">
        <v>259</v>
      </c>
      <c r="E19" s="576"/>
      <c r="F19" s="267" t="str">
        <f ca="1">IF(ISNA(VLOOKUP($B19,MCVS!$L$11:$M$23,2,0))=TRUE,"",VLOOKUP($B19,MCVS!$L$11:$M$23,2,0))</f>
        <v/>
      </c>
      <c r="G19" s="239" t="s">
        <v>43</v>
      </c>
      <c r="H19" s="440" t="e">
        <f ca="1">IF(B19="","",SUMIF(Semaine1!$A$7:$H$62,RecapMois!B19,Semaine1!$H$7:$H74)+SUMIF(#REF!,RecapMois!B19,#REF!)+SUMIF(#REF!,RecapMois!B19,#REF!)+SUMIF(#REF!,RecapMois!B19,#REF!)+SUMIF(#REF!,RecapMois!B19,#REF!))</f>
        <v>#REF!</v>
      </c>
      <c r="I19" s="441" t="e">
        <f ca="1">IF(B19="","",SUMIF(Semaine1!$A$7:$K$62,RecapMois!B19,Semaine1!$K$7:$K74)+SUMIF(#REF!,RecapMois!B19,#REF!)+SUMIF(#REF!,RecapMois!B19,#REF!)+SUMIF(#REF!,RecapMois!B19,#REF!)+SUMIF(#REF!,RecapMois!B19,#REF!))</f>
        <v>#REF!</v>
      </c>
      <c r="J19" s="442" t="e">
        <f ca="1">IF(B19="","",SUMIF(Semaine1!$A$7:$M$62,RecapMois!B19,Semaine1!$M$7:$M74)+SUMIF(#REF!,RecapMois!B19,#REF!)+SUMIF(#REF!,RecapMois!B19,#REF!)+SUMIF(#REF!,RecapMois!B19,#REF!)+SUMIF(#REF!,RecapMois!B19,#REF!))</f>
        <v>#REF!</v>
      </c>
      <c r="K19" s="443" t="e">
        <f ca="1">IF(B19="","",SUMIF(Semaine1!$A$7:$N$62,RecapMois!B19,Semaine1!$N$7:$N74)+SUMIF(#REF!,RecapMois!B19,#REF!)+SUMIF(#REF!,RecapMois!B19,#REF!)+SUMIF(#REF!,RecapMois!B19,#REF!)+SUMIF(#REF!,RecapMois!B19,#REF!))</f>
        <v>#REF!</v>
      </c>
      <c r="L19" s="826" t="s">
        <v>17</v>
      </c>
      <c r="M19" s="786"/>
      <c r="N19" s="787"/>
      <c r="O19" s="444"/>
      <c r="P19" s="445"/>
      <c r="Q19" s="445"/>
      <c r="R19" s="445"/>
      <c r="S19" s="445"/>
      <c r="T19" s="445"/>
    </row>
    <row r="20" spans="1:20" ht="16.5" customHeight="1" thickBot="1">
      <c r="A20" s="194" t="s">
        <v>357</v>
      </c>
      <c r="B20" s="192">
        <f ca="1">IF(B19="",IF($A20&lt;&gt;(VLOOKUP($K$2,MCVS!$Q$11:$R$25,2,0)),"",VLOOKUP($K$2,MCVS!$Q$11:$S$25,3,0)),(B19+1))</f>
        <v>41952</v>
      </c>
      <c r="C20" s="572" t="s">
        <v>259</v>
      </c>
      <c r="D20" s="573" t="s">
        <v>259</v>
      </c>
      <c r="E20" s="576"/>
      <c r="F20" s="267" t="str">
        <f ca="1">IF(ISNA(VLOOKUP($B20,MCVS!$L$11:$M$23,2,0))=TRUE,"",VLOOKUP($B20,MCVS!$L$11:$M$23,2,0))</f>
        <v/>
      </c>
      <c r="G20" s="188" t="e">
        <f ca="1">SUM(H14:H20)</f>
        <v>#REF!</v>
      </c>
      <c r="H20" s="440" t="e">
        <f ca="1">IF(B20="","",SUMIF(Semaine1!$A$7:$H$62,RecapMois!B20,Semaine1!$H$7:$H75)+SUMIF(#REF!,RecapMois!B20,#REF!)+SUMIF(#REF!,RecapMois!B20,#REF!)+SUMIF(#REF!,RecapMois!B20,#REF!)+SUMIF(#REF!,RecapMois!B20,#REF!))</f>
        <v>#REF!</v>
      </c>
      <c r="I20" s="441" t="e">
        <f ca="1">IF(B20="","",SUMIF(Semaine1!$A$7:$K$62,RecapMois!B20,Semaine1!$K$7:$K75)+SUMIF(#REF!,RecapMois!B20,#REF!)+SUMIF(#REF!,RecapMois!B20,#REF!)+SUMIF(#REF!,RecapMois!B20,#REF!)+SUMIF(#REF!,RecapMois!B20,#REF!))</f>
        <v>#REF!</v>
      </c>
      <c r="J20" s="442" t="e">
        <f ca="1">IF(B20="","",SUMIF(Semaine1!$A$7:$M$62,RecapMois!B20,Semaine1!$M$7:$M75)+SUMIF(#REF!,RecapMois!B20,#REF!)+SUMIF(#REF!,RecapMois!B20,#REF!)+SUMIF(#REF!,RecapMois!B20,#REF!)+SUMIF(#REF!,RecapMois!B20,#REF!))</f>
        <v>#REF!</v>
      </c>
      <c r="K20" s="443" t="e">
        <f ca="1">IF(B20="","",SUMIF(Semaine1!$A$7:$N$62,RecapMois!B20,Semaine1!$N$7:$N75)+SUMIF(#REF!,RecapMois!B20,#REF!)+SUMIF(#REF!,RecapMois!B20,#REF!)+SUMIF(#REF!,RecapMois!B20,#REF!)+SUMIF(#REF!,RecapMois!B20,#REF!))</f>
        <v>#REF!</v>
      </c>
      <c r="L20" s="850" t="s">
        <v>18</v>
      </c>
      <c r="M20" s="851"/>
      <c r="N20" s="852"/>
      <c r="O20" s="444"/>
      <c r="P20" s="445"/>
      <c r="Q20" s="445"/>
      <c r="R20" s="445"/>
      <c r="S20" s="445"/>
      <c r="T20" s="445"/>
    </row>
    <row r="21" spans="1:20" ht="15" customHeight="1">
      <c r="A21" s="193" t="s">
        <v>351</v>
      </c>
      <c r="B21" s="191">
        <f ca="1">IF(B20="",IF($A21&lt;&gt;(VLOOKUP($K$2,MCVS!$Q$11:$R$25,2,0)),"",VLOOKUP($K$2,MCVS!$Q$11:$S$25,3,0)),(B20+1))</f>
        <v>41953</v>
      </c>
      <c r="C21" s="570" t="s">
        <v>258</v>
      </c>
      <c r="D21" s="571" t="s">
        <v>259</v>
      </c>
      <c r="E21" s="575"/>
      <c r="F21" s="265" t="str">
        <f ca="1">IF(ISNA(VLOOKUP($B21,MCVS!$L$11:$M$23,2,0))=TRUE,"",VLOOKUP($B21,MCVS!$L$11:$M$23,2,0))</f>
        <v/>
      </c>
      <c r="G21" s="187"/>
      <c r="H21" s="436" t="e">
        <f ca="1">IF(B21="","",SUMIF(Semaine1!$A$7:$H$62,RecapMois!B21,Semaine1!$H$7:$H76)+SUMIF(#REF!,RecapMois!B21,#REF!)+SUMIF(#REF!,RecapMois!B21,#REF!)+SUMIF(#REF!,RecapMois!B21,#REF!)+SUMIF(#REF!,RecapMois!B21,#REF!))</f>
        <v>#REF!</v>
      </c>
      <c r="I21" s="437" t="e">
        <f ca="1">IF(B21="","",SUMIF(Semaine1!$A$7:$K$62,RecapMois!B21,Semaine1!$K$7:$K76)+SUMIF(#REF!,RecapMois!B21,#REF!)+SUMIF(#REF!,RecapMois!B21,#REF!)+SUMIF(#REF!,RecapMois!B21,#REF!)+SUMIF(#REF!,RecapMois!B21,#REF!))</f>
        <v>#REF!</v>
      </c>
      <c r="J21" s="438" t="e">
        <f ca="1">IF(B21="","",SUMIF(Semaine1!$A$7:$M$62,RecapMois!B21,Semaine1!$M$7:$M76)+SUMIF(#REF!,RecapMois!B21,#REF!)+SUMIF(#REF!,RecapMois!B21,#REF!)+SUMIF(#REF!,RecapMois!B21,#REF!)+SUMIF(#REF!,RecapMois!B21,#REF!))</f>
        <v>#REF!</v>
      </c>
      <c r="K21" s="439" t="e">
        <f ca="1">IF(B21="","",SUMIF(Semaine1!$A$7:$N$62,RecapMois!B21,Semaine1!$N$7:$N76)+SUMIF(#REF!,RecapMois!B21,#REF!)+SUMIF(#REF!,RecapMois!B21,#REF!)+SUMIF(#REF!,RecapMois!B21,#REF!)+SUMIF(#REF!,RecapMois!B21,#REF!))</f>
        <v>#REF!</v>
      </c>
      <c r="L21" s="841" t="s">
        <v>71</v>
      </c>
      <c r="M21" s="842"/>
      <c r="N21" s="843"/>
      <c r="O21" s="444"/>
      <c r="P21" s="445"/>
      <c r="Q21" s="445"/>
      <c r="R21" s="445"/>
      <c r="S21" s="445"/>
      <c r="T21" s="445"/>
    </row>
    <row r="22" spans="1:20" ht="15" customHeight="1">
      <c r="A22" s="193" t="s">
        <v>352</v>
      </c>
      <c r="B22" s="191">
        <f ca="1">IF(B21="",IF($A22&lt;&gt;(VLOOKUP($K$2,MCVS!$Q$11:$R$25,2,0)),"",VLOOKUP($K$2,MCVS!$Q$11:$S$25,3,0)),(B21+1))</f>
        <v>41954</v>
      </c>
      <c r="C22" s="570" t="s">
        <v>258</v>
      </c>
      <c r="D22" s="571" t="s">
        <v>259</v>
      </c>
      <c r="E22" s="575"/>
      <c r="F22" s="265" t="str">
        <f ca="1">IF(ISNA(VLOOKUP($B22,MCVS!$L$11:$M$23,2,0))=TRUE,"",VLOOKUP($B22,MCVS!$L$11:$M$23,2,0))</f>
        <v xml:space="preserve">Armistice14/18 </v>
      </c>
      <c r="G22" s="187"/>
      <c r="H22" s="436" t="e">
        <f ca="1">IF(B22="","",SUMIF(Semaine1!$A$7:$H$62,RecapMois!B22,Semaine1!$H$7:$H77)+SUMIF(#REF!,RecapMois!B22,#REF!)+SUMIF(#REF!,RecapMois!B22,#REF!)+SUMIF(#REF!,RecapMois!B22,#REF!)+SUMIF(#REF!,RecapMois!B22,#REF!))</f>
        <v>#REF!</v>
      </c>
      <c r="I22" s="437" t="e">
        <f ca="1">IF(B22="","",SUMIF(Semaine1!$A$7:$K$62,RecapMois!B22,Semaine1!$K$7:$K77)+SUMIF(#REF!,RecapMois!B22,#REF!)+SUMIF(#REF!,RecapMois!B22,#REF!)+SUMIF(#REF!,RecapMois!B22,#REF!)+SUMIF(#REF!,RecapMois!B22,#REF!))</f>
        <v>#REF!</v>
      </c>
      <c r="J22" s="438" t="e">
        <f ca="1">IF(B22="","",SUMIF(Semaine1!$A$7:$M$62,RecapMois!B22,Semaine1!$M$7:$M77)+SUMIF(#REF!,RecapMois!B22,#REF!)+SUMIF(#REF!,RecapMois!B22,#REF!)+SUMIF(#REF!,RecapMois!B22,#REF!)+SUMIF(#REF!,RecapMois!B22,#REF!))</f>
        <v>#REF!</v>
      </c>
      <c r="K22" s="439" t="e">
        <f ca="1">IF(B22="","",SUMIF(Semaine1!$A$7:$N$62,RecapMois!B22,Semaine1!$N$7:$N77)+SUMIF(#REF!,RecapMois!B22,#REF!)+SUMIF(#REF!,RecapMois!B22,#REF!)+SUMIF(#REF!,RecapMois!B22,#REF!)+SUMIF(#REF!,RecapMois!B22,#REF!))</f>
        <v>#REF!</v>
      </c>
      <c r="L22" s="242" t="s">
        <v>72</v>
      </c>
      <c r="M22" s="839" t="s">
        <v>127</v>
      </c>
      <c r="N22" s="840"/>
      <c r="O22" s="444"/>
      <c r="P22" s="445"/>
      <c r="Q22" s="445"/>
      <c r="R22" s="445"/>
      <c r="S22" s="445"/>
      <c r="T22" s="445"/>
    </row>
    <row r="23" spans="1:20" ht="15" customHeight="1">
      <c r="A23" s="193" t="s">
        <v>353</v>
      </c>
      <c r="B23" s="191">
        <f ca="1">IF(B22="","",IF(($B22+1)&gt;VLOOKUP($K$2,MCVS!$Q$11:$T$25,4,0),"",(B22+1)))</f>
        <v>41955</v>
      </c>
      <c r="C23" s="570" t="s">
        <v>258</v>
      </c>
      <c r="D23" s="571" t="s">
        <v>259</v>
      </c>
      <c r="E23" s="575"/>
      <c r="F23" s="265" t="str">
        <f ca="1">IF(ISNA(VLOOKUP($B23,MCVS!$L$11:$M$23,2,0))=TRUE,"",VLOOKUP($B23,MCVS!$L$11:$M$23,2,0))</f>
        <v/>
      </c>
      <c r="G23" s="187"/>
      <c r="H23" s="436" t="e">
        <f ca="1">IF(B23="","",SUMIF(Semaine1!$A$7:$H$62,RecapMois!B23,Semaine1!$H$7:$H78)+SUMIF(#REF!,RecapMois!B23,#REF!)+SUMIF(#REF!,RecapMois!B23,#REF!)+SUMIF(#REF!,RecapMois!B23,#REF!)+SUMIF(#REF!,RecapMois!B23,#REF!))</f>
        <v>#REF!</v>
      </c>
      <c r="I23" s="437" t="e">
        <f ca="1">IF(B23="","",SUMIF(Semaine1!$A$7:$K$62,RecapMois!B23,Semaine1!$K$7:$K78)+SUMIF(#REF!,RecapMois!B23,#REF!)+SUMIF(#REF!,RecapMois!B23,#REF!)+SUMIF(#REF!,RecapMois!B23,#REF!)+SUMIF(#REF!,RecapMois!B23,#REF!))</f>
        <v>#REF!</v>
      </c>
      <c r="J23" s="438" t="e">
        <f ca="1">IF(B23="","",SUMIF(Semaine1!$A$7:$M$62,RecapMois!B23,Semaine1!$M$7:$M78)+SUMIF(#REF!,RecapMois!B23,#REF!)+SUMIF(#REF!,RecapMois!B23,#REF!)+SUMIF(#REF!,RecapMois!B23,#REF!)+SUMIF(#REF!,RecapMois!B23,#REF!))</f>
        <v>#REF!</v>
      </c>
      <c r="K23" s="439" t="e">
        <f ca="1">IF(B23="","",SUMIF(Semaine1!$A$7:$N$62,RecapMois!B23,Semaine1!$N$7:$N78)+SUMIF(#REF!,RecapMois!B23,#REF!)+SUMIF(#REF!,RecapMois!B23,#REF!)+SUMIF(#REF!,RecapMois!B23,#REF!)+SUMIF(#REF!,RecapMois!B23,#REF!))</f>
        <v>#REF!</v>
      </c>
      <c r="L23" s="243">
        <v>0.83333333333333337</v>
      </c>
      <c r="M23" s="30">
        <v>70</v>
      </c>
      <c r="N23" s="244">
        <v>2.9166666666666665</v>
      </c>
      <c r="O23" s="444"/>
      <c r="P23" s="445"/>
      <c r="Q23" s="445"/>
      <c r="R23" s="445"/>
      <c r="S23" s="445"/>
      <c r="T23" s="445"/>
    </row>
    <row r="24" spans="1:20" ht="15" customHeight="1">
      <c r="A24" s="193" t="s">
        <v>354</v>
      </c>
      <c r="B24" s="191">
        <f ca="1">IF(B23="","",IF(($B23+1)&gt;VLOOKUP($K$2,MCVS!$Q$11:$T$25,4,0),"",(B23+1)))</f>
        <v>41956</v>
      </c>
      <c r="C24" s="570" t="s">
        <v>258</v>
      </c>
      <c r="D24" s="571" t="s">
        <v>259</v>
      </c>
      <c r="E24" s="575"/>
      <c r="F24" s="265" t="str">
        <f ca="1">IF(ISNA(VLOOKUP($B24,MCVS!$L$11:$M$23,2,0))=TRUE,"",VLOOKUP($B24,MCVS!$L$11:$M$23,2,0))</f>
        <v/>
      </c>
      <c r="G24" s="187"/>
      <c r="H24" s="436" t="e">
        <f ca="1">IF(B24="","",SUMIF(Semaine1!$A$7:$H$62,RecapMois!B24,Semaine1!$H$7:$H79)+SUMIF(#REF!,RecapMois!B24,#REF!)+SUMIF(#REF!,RecapMois!B24,#REF!)+SUMIF(#REF!,RecapMois!B24,#REF!)+SUMIF(#REF!,RecapMois!B24,#REF!))</f>
        <v>#REF!</v>
      </c>
      <c r="I24" s="437" t="e">
        <f ca="1">IF(B24="","",SUMIF(Semaine1!$A$7:$K$62,RecapMois!B24,Semaine1!$K$7:$K79)+SUMIF(#REF!,RecapMois!B24,#REF!)+SUMIF(#REF!,RecapMois!B24,#REF!)+SUMIF(#REF!,RecapMois!B24,#REF!)+SUMIF(#REF!,RecapMois!B24,#REF!))</f>
        <v>#REF!</v>
      </c>
      <c r="J24" s="438" t="e">
        <f ca="1">IF(B24="","",SUMIF(Semaine1!$A$7:$M$62,RecapMois!B24,Semaine1!$M$7:$M79)+SUMIF(#REF!,RecapMois!B24,#REF!)+SUMIF(#REF!,RecapMois!B24,#REF!)+SUMIF(#REF!,RecapMois!B24,#REF!)+SUMIF(#REF!,RecapMois!B24,#REF!))</f>
        <v>#REF!</v>
      </c>
      <c r="K24" s="439" t="e">
        <f ca="1">IF(B24="","",SUMIF(Semaine1!$A$7:$N$62,RecapMois!B24,Semaine1!$N$7:$N79)+SUMIF(#REF!,RecapMois!B24,#REF!)+SUMIF(#REF!,RecapMois!B24,#REF!)+SUMIF(#REF!,RecapMois!B24,#REF!)+SUMIF(#REF!,RecapMois!B24,#REF!))</f>
        <v>#REF!</v>
      </c>
      <c r="L24" s="836" t="s">
        <v>130</v>
      </c>
      <c r="M24" s="837"/>
      <c r="N24" s="838"/>
      <c r="O24" s="444"/>
      <c r="P24" s="445"/>
      <c r="Q24" s="445"/>
      <c r="R24" s="445"/>
      <c r="S24" s="445"/>
      <c r="T24" s="445"/>
    </row>
    <row r="25" spans="1:20" ht="15" customHeight="1">
      <c r="A25" s="193" t="s">
        <v>355</v>
      </c>
      <c r="B25" s="191">
        <f ca="1">IF(B24="","",IF(($B24+1)&gt;VLOOKUP($K$2,MCVS!$Q$11:$T$25,4,0),"",(B24+1)))</f>
        <v>41957</v>
      </c>
      <c r="C25" s="570" t="s">
        <v>258</v>
      </c>
      <c r="D25" s="571" t="s">
        <v>259</v>
      </c>
      <c r="E25" s="575"/>
      <c r="F25" s="265" t="str">
        <f ca="1">IF(ISNA(VLOOKUP($B25,MCVS!$L$11:$M$23,2,0))=TRUE,"",VLOOKUP($B25,MCVS!$L$11:$M$23,2,0))</f>
        <v/>
      </c>
      <c r="G25" s="187"/>
      <c r="H25" s="436" t="e">
        <f ca="1">IF(B25="","",SUMIF(Semaine1!$A$7:$H$62,RecapMois!B25,Semaine1!$H$7:$H80)+SUMIF(#REF!,RecapMois!B25,#REF!)+SUMIF(#REF!,RecapMois!B25,#REF!)+SUMIF(#REF!,RecapMois!B25,#REF!)+SUMIF(#REF!,RecapMois!B25,#REF!))</f>
        <v>#REF!</v>
      </c>
      <c r="I25" s="437" t="e">
        <f ca="1">IF(B25="","",SUMIF(Semaine1!$A$7:$K$62,RecapMois!B25,Semaine1!$K$7:$K80)+SUMIF(#REF!,RecapMois!B25,#REF!)+SUMIF(#REF!,RecapMois!B25,#REF!)+SUMIF(#REF!,RecapMois!B25,#REF!)+SUMIF(#REF!,RecapMois!B25,#REF!))</f>
        <v>#REF!</v>
      </c>
      <c r="J25" s="438" t="e">
        <f ca="1">IF(B25="","",SUMIF(Semaine1!$A$7:$M$62,RecapMois!B25,Semaine1!$M$7:$M80)+SUMIF(#REF!,RecapMois!B25,#REF!)+SUMIF(#REF!,RecapMois!B25,#REF!)+SUMIF(#REF!,RecapMois!B25,#REF!)+SUMIF(#REF!,RecapMois!B25,#REF!))</f>
        <v>#REF!</v>
      </c>
      <c r="K25" s="439" t="e">
        <f ca="1">IF(B25="","",SUMIF(Semaine1!$A$7:$N$62,RecapMois!B25,Semaine1!$N$7:$N80)+SUMIF(#REF!,RecapMois!B25,#REF!)+SUMIF(#REF!,RecapMois!B25,#REF!)+SUMIF(#REF!,RecapMois!B25,#REF!)+SUMIF(#REF!,RecapMois!B25,#REF!))</f>
        <v>#REF!</v>
      </c>
      <c r="L25" s="245" t="s">
        <v>70</v>
      </c>
      <c r="M25" s="24" t="s">
        <v>74</v>
      </c>
      <c r="N25" s="246" t="s">
        <v>75</v>
      </c>
      <c r="O25" s="444"/>
      <c r="P25" s="445"/>
      <c r="Q25" s="445"/>
      <c r="R25" s="445"/>
      <c r="S25" s="445"/>
      <c r="T25" s="445"/>
    </row>
    <row r="26" spans="1:20" ht="15" customHeight="1">
      <c r="A26" s="194" t="s">
        <v>356</v>
      </c>
      <c r="B26" s="192">
        <f ca="1">IF(B25="","",IF(($B25+1)&gt;VLOOKUP($K$2,MCVS!$Q$11:$T$25,4,0),"",(B25+1)))</f>
        <v>41958</v>
      </c>
      <c r="C26" s="572" t="s">
        <v>259</v>
      </c>
      <c r="D26" s="573" t="s">
        <v>259</v>
      </c>
      <c r="E26" s="576"/>
      <c r="F26" s="267" t="str">
        <f ca="1">IF(ISNA(VLOOKUP($B26,MCVS!$L$11:$M$23,2,0))=TRUE,"",VLOOKUP($B26,MCVS!$L$11:$M$23,2,0))</f>
        <v/>
      </c>
      <c r="G26" s="239" t="s">
        <v>43</v>
      </c>
      <c r="H26" s="440" t="e">
        <f ca="1">IF(B26="","",SUMIF(Semaine1!$A$7:$H$62,RecapMois!B26,Semaine1!$H$7:$H81)+SUMIF(#REF!,RecapMois!B26,#REF!)+SUMIF(#REF!,RecapMois!B26,#REF!)+SUMIF(#REF!,RecapMois!B26,#REF!)+SUMIF(#REF!,RecapMois!B26,#REF!))</f>
        <v>#REF!</v>
      </c>
      <c r="I26" s="441" t="e">
        <f ca="1">IF(B26="","",SUMIF(Semaine1!$A$7:$K$62,RecapMois!B26,Semaine1!$K$7:$K81)+SUMIF(#REF!,RecapMois!B26,#REF!)+SUMIF(#REF!,RecapMois!B26,#REF!)+SUMIF(#REF!,RecapMois!B26,#REF!)+SUMIF(#REF!,RecapMois!B26,#REF!))</f>
        <v>#REF!</v>
      </c>
      <c r="J26" s="442" t="e">
        <f ca="1">IF(B26="","",SUMIF(Semaine1!$A$7:$M$62,RecapMois!B26,Semaine1!$M$7:$M81)+SUMIF(#REF!,RecapMois!B26,#REF!)+SUMIF(#REF!,RecapMois!B26,#REF!)+SUMIF(#REF!,RecapMois!B26,#REF!)+SUMIF(#REF!,RecapMois!B26,#REF!))</f>
        <v>#REF!</v>
      </c>
      <c r="K26" s="443" t="e">
        <f ca="1">IF(B26="","",SUMIF(Semaine1!$A$7:$N$62,RecapMois!B26,Semaine1!$N$7:$N81)+SUMIF(#REF!,RecapMois!B26,#REF!)+SUMIF(#REF!,RecapMois!B26,#REF!)+SUMIF(#REF!,RecapMois!B26,#REF!)+SUMIF(#REF!,RecapMois!B26,#REF!))</f>
        <v>#REF!</v>
      </c>
      <c r="L26" s="247">
        <v>0</v>
      </c>
      <c r="M26" s="28">
        <v>0</v>
      </c>
      <c r="N26" s="248">
        <v>0</v>
      </c>
      <c r="O26" s="444"/>
      <c r="P26" s="445"/>
      <c r="Q26" s="445"/>
      <c r="R26" s="445"/>
      <c r="S26" s="445"/>
      <c r="T26" s="445"/>
    </row>
    <row r="27" spans="1:20" ht="15.75" customHeight="1">
      <c r="A27" s="194" t="s">
        <v>357</v>
      </c>
      <c r="B27" s="192">
        <f ca="1">IF(B26="","",IF(($B26+1)&gt;VLOOKUP($K$2,MCVS!$Q$11:$T$25,4,0),"",(B26+1)))</f>
        <v>41959</v>
      </c>
      <c r="C27" s="572" t="s">
        <v>259</v>
      </c>
      <c r="D27" s="573" t="s">
        <v>259</v>
      </c>
      <c r="E27" s="576"/>
      <c r="F27" s="267" t="str">
        <f ca="1">IF(ISNA(VLOOKUP($B27,MCVS!$L$11:$M$23,2,0))=TRUE,"",VLOOKUP($B27,MCVS!$L$11:$M$23,2,0))</f>
        <v/>
      </c>
      <c r="G27" s="188" t="e">
        <f ca="1">SUM(H21:H27)</f>
        <v>#REF!</v>
      </c>
      <c r="H27" s="440" t="e">
        <f ca="1">IF(B27="","",SUMIF(Semaine1!$A$7:$H$62,RecapMois!B27,Semaine1!$H$7:$H82)+SUMIF(#REF!,RecapMois!B27,#REF!)+SUMIF(#REF!,RecapMois!B27,#REF!)+SUMIF(#REF!,RecapMois!B27,#REF!)+SUMIF(#REF!,RecapMois!B27,#REF!))</f>
        <v>#REF!</v>
      </c>
      <c r="I27" s="441" t="e">
        <f ca="1">IF(B27="","",SUMIF(Semaine1!$A$7:$K$62,RecapMois!B27,Semaine1!$K$7:$K82)+SUMIF(#REF!,RecapMois!B27,#REF!)+SUMIF(#REF!,RecapMois!B27,#REF!)+SUMIF(#REF!,RecapMois!B27,#REF!)+SUMIF(#REF!,RecapMois!B27,#REF!))</f>
        <v>#REF!</v>
      </c>
      <c r="J27" s="442" t="e">
        <f ca="1">IF(B27="","",SUMIF(Semaine1!$A$7:$M$62,RecapMois!B27,Semaine1!$M$7:$M82)+SUMIF(#REF!,RecapMois!B27,#REF!)+SUMIF(#REF!,RecapMois!B27,#REF!)+SUMIF(#REF!,RecapMois!B27,#REF!)+SUMIF(#REF!,RecapMois!B27,#REF!))</f>
        <v>#REF!</v>
      </c>
      <c r="K27" s="443" t="e">
        <f ca="1">IF(B27="","",SUMIF(Semaine1!$A$7:$N$62,RecapMois!B27,Semaine1!$N$7:$N82)+SUMIF(#REF!,RecapMois!B27,#REF!)+SUMIF(#REF!,RecapMois!B27,#REF!)+SUMIF(#REF!,RecapMois!B27,#REF!)+SUMIF(#REF!,RecapMois!B27,#REF!))</f>
        <v>#REF!</v>
      </c>
      <c r="L27" s="827" t="s">
        <v>76</v>
      </c>
      <c r="M27" s="828"/>
      <c r="N27" s="829"/>
      <c r="O27" s="444"/>
      <c r="P27" s="445"/>
      <c r="Q27" s="445"/>
      <c r="R27" s="445"/>
      <c r="S27" s="445"/>
      <c r="T27" s="445"/>
    </row>
    <row r="28" spans="1:20" ht="15" customHeight="1">
      <c r="A28" s="193" t="s">
        <v>351</v>
      </c>
      <c r="B28" s="191">
        <f ca="1">IF(B27="","",IF(($B27+1)&gt;VLOOKUP($K$2,MCVS!$Q$11:$T$25,4,0),"",(B27+1)))</f>
        <v>41960</v>
      </c>
      <c r="C28" s="570" t="s">
        <v>258</v>
      </c>
      <c r="D28" s="571" t="s">
        <v>259</v>
      </c>
      <c r="E28" s="575"/>
      <c r="F28" s="265" t="str">
        <f ca="1">IF(ISNA(VLOOKUP($B28,MCVS!$L$11:$M$23,2,0))=TRUE,"",VLOOKUP($B28,MCVS!$L$11:$M$23,2,0))</f>
        <v/>
      </c>
      <c r="G28" s="187"/>
      <c r="H28" s="436" t="e">
        <f ca="1">IF(B28="","",SUMIF(Semaine1!$A$7:$H$62,RecapMois!B28,Semaine1!$H$7:$H83)+SUMIF(#REF!,RecapMois!B28,#REF!)+SUMIF(#REF!,RecapMois!B28,#REF!)+SUMIF(#REF!,RecapMois!B28,#REF!)+SUMIF(#REF!,RecapMois!B28,#REF!))</f>
        <v>#REF!</v>
      </c>
      <c r="I28" s="437" t="e">
        <f ca="1">IF(B28="","",SUMIF(Semaine1!$A$7:$K$62,RecapMois!B28,Semaine1!$K$7:$K83)+SUMIF(#REF!,RecapMois!B28,#REF!)+SUMIF(#REF!,RecapMois!B28,#REF!)+SUMIF(#REF!,RecapMois!B28,#REF!)+SUMIF(#REF!,RecapMois!B28,#REF!))</f>
        <v>#REF!</v>
      </c>
      <c r="J28" s="438" t="e">
        <f ca="1">IF(B28="","",SUMIF(Semaine1!$A$7:$M$62,RecapMois!B28,Semaine1!$M$7:$M83)+SUMIF(#REF!,RecapMois!B28,#REF!)+SUMIF(#REF!,RecapMois!B28,#REF!)+SUMIF(#REF!,RecapMois!B28,#REF!)+SUMIF(#REF!,RecapMois!B28,#REF!))</f>
        <v>#REF!</v>
      </c>
      <c r="K28" s="439" t="e">
        <f ca="1">IF(B28="","",SUMIF(Semaine1!$A$7:$N$62,RecapMois!B28,Semaine1!$N$7:$N83)+SUMIF(#REF!,RecapMois!B28,#REF!)+SUMIF(#REF!,RecapMois!B28,#REF!)+SUMIF(#REF!,RecapMois!B28,#REF!)+SUMIF(#REF!,RecapMois!B28,#REF!))</f>
        <v>#REF!</v>
      </c>
      <c r="L28" s="830" t="s">
        <v>77</v>
      </c>
      <c r="M28" s="831"/>
      <c r="N28" s="832"/>
      <c r="O28" s="444"/>
      <c r="P28" s="445"/>
      <c r="Q28" s="445"/>
      <c r="R28" s="445"/>
      <c r="S28" s="445"/>
      <c r="T28" s="445"/>
    </row>
    <row r="29" spans="1:20" ht="15" customHeight="1">
      <c r="A29" s="193" t="s">
        <v>352</v>
      </c>
      <c r="B29" s="191">
        <f ca="1">IF(B28="","",IF(($B28+1)&gt;VLOOKUP($K$2,MCVS!$Q$11:$T$25,4,0),"",(B28+1)))</f>
        <v>41961</v>
      </c>
      <c r="C29" s="570" t="s">
        <v>258</v>
      </c>
      <c r="D29" s="571" t="s">
        <v>259</v>
      </c>
      <c r="E29" s="575"/>
      <c r="F29" s="265" t="str">
        <f ca="1">IF(ISNA(VLOOKUP($B29,MCVS!$L$11:$M$23,2,0))=TRUE,"",VLOOKUP($B29,MCVS!$L$11:$M$23,2,0))</f>
        <v/>
      </c>
      <c r="G29" s="187"/>
      <c r="H29" s="436" t="e">
        <f ca="1">IF(B29="","",SUMIF(Semaine1!$A$7:$H$62,RecapMois!B29,Semaine1!$H$7:$H84)+SUMIF(#REF!,RecapMois!B29,#REF!)+SUMIF(#REF!,RecapMois!B29,#REF!)+SUMIF(#REF!,RecapMois!B29,#REF!)+SUMIF(#REF!,RecapMois!B29,#REF!))</f>
        <v>#REF!</v>
      </c>
      <c r="I29" s="437" t="e">
        <f ca="1">IF(B29="","",SUMIF(Semaine1!$A$7:$K$62,RecapMois!B29,Semaine1!$K$7:$K84)+SUMIF(#REF!,RecapMois!B29,#REF!)+SUMIF(#REF!,RecapMois!B29,#REF!)+SUMIF(#REF!,RecapMois!B29,#REF!)+SUMIF(#REF!,RecapMois!B29,#REF!))</f>
        <v>#REF!</v>
      </c>
      <c r="J29" s="438" t="e">
        <f ca="1">IF(B29="","",SUMIF(Semaine1!$A$7:$M$62,RecapMois!B29,Semaine1!$M$7:$M84)+SUMIF(#REF!,RecapMois!B29,#REF!)+SUMIF(#REF!,RecapMois!B29,#REF!)+SUMIF(#REF!,RecapMois!B29,#REF!)+SUMIF(#REF!,RecapMois!B29,#REF!))</f>
        <v>#REF!</v>
      </c>
      <c r="K29" s="439" t="e">
        <f ca="1">IF(B29="","",SUMIF(Semaine1!$A$7:$N$62,RecapMois!B29,Semaine1!$N$7:$N84)+SUMIF(#REF!,RecapMois!B29,#REF!)+SUMIF(#REF!,RecapMois!B29,#REF!)+SUMIF(#REF!,RecapMois!B29,#REF!)+SUMIF(#REF!,RecapMois!B29,#REF!))</f>
        <v>#REF!</v>
      </c>
      <c r="L29" s="245" t="s">
        <v>70</v>
      </c>
      <c r="M29" s="24" t="s">
        <v>74</v>
      </c>
      <c r="N29" s="246" t="s">
        <v>75</v>
      </c>
      <c r="O29" s="444"/>
      <c r="P29" s="445"/>
      <c r="Q29" s="445"/>
      <c r="R29" s="445"/>
      <c r="S29" s="445"/>
      <c r="T29" s="445"/>
    </row>
    <row r="30" spans="1:20" ht="15" customHeight="1">
      <c r="A30" s="193" t="s">
        <v>353</v>
      </c>
      <c r="B30" s="191">
        <f ca="1">IF(B29="","",IF(($B29+1)&gt;VLOOKUP($K$2,MCVS!$Q$11:$T$25,4,0),"",(B29+1)))</f>
        <v>41962</v>
      </c>
      <c r="C30" s="570" t="s">
        <v>258</v>
      </c>
      <c r="D30" s="571" t="s">
        <v>259</v>
      </c>
      <c r="E30" s="575"/>
      <c r="F30" s="265" t="str">
        <f ca="1">IF(ISNA(VLOOKUP($B30,MCVS!$L$11:$M$23,2,0))=TRUE,"",VLOOKUP($B30,MCVS!$L$11:$M$23,2,0))</f>
        <v/>
      </c>
      <c r="G30" s="187"/>
      <c r="H30" s="436" t="e">
        <f ca="1">IF(B30="","",SUMIF(Semaine1!$A$7:$H$62,RecapMois!B30,Semaine1!$H$7:$H85)+SUMIF(#REF!,RecapMois!B30,#REF!)+SUMIF(#REF!,RecapMois!B30,#REF!)+SUMIF(#REF!,RecapMois!B30,#REF!)+SUMIF(#REF!,RecapMois!B30,#REF!))</f>
        <v>#REF!</v>
      </c>
      <c r="I30" s="437" t="e">
        <f ca="1">IF(B30="","",SUMIF(Semaine1!$A$7:$K$62,RecapMois!B30,Semaine1!$K$7:$K85)+SUMIF(#REF!,RecapMois!B30,#REF!)+SUMIF(#REF!,RecapMois!B30,#REF!)+SUMIF(#REF!,RecapMois!B30,#REF!)+SUMIF(#REF!,RecapMois!B30,#REF!))</f>
        <v>#REF!</v>
      </c>
      <c r="J30" s="438" t="e">
        <f ca="1">IF(B30="","",SUMIF(Semaine1!$A$7:$M$62,RecapMois!B30,Semaine1!$M$7:$M85)+SUMIF(#REF!,RecapMois!B30,#REF!)+SUMIF(#REF!,RecapMois!B30,#REF!)+SUMIF(#REF!,RecapMois!B30,#REF!)+SUMIF(#REF!,RecapMois!B30,#REF!))</f>
        <v>#REF!</v>
      </c>
      <c r="K30" s="439" t="e">
        <f ca="1">IF(B30="","",SUMIF(Semaine1!$A$7:$N$62,RecapMois!B30,Semaine1!$N$7:$N85)+SUMIF(#REF!,RecapMois!B30,#REF!)+SUMIF(#REF!,RecapMois!B30,#REF!)+SUMIF(#REF!,RecapMois!B30,#REF!)+SUMIF(#REF!,RecapMois!B30,#REF!))</f>
        <v>#REF!</v>
      </c>
      <c r="L30" s="245" t="e">
        <f>#REF!</f>
        <v>#REF!</v>
      </c>
      <c r="M30" s="26" t="e">
        <f>#REF!</f>
        <v>#REF!</v>
      </c>
      <c r="N30" s="249" t="e">
        <f>M30*N36</f>
        <v>#REF!</v>
      </c>
      <c r="O30" s="444"/>
      <c r="P30" s="445"/>
      <c r="Q30" s="445"/>
      <c r="R30" s="445"/>
      <c r="S30" s="445"/>
      <c r="T30" s="445"/>
    </row>
    <row r="31" spans="1:20" ht="15" customHeight="1">
      <c r="A31" s="193" t="s">
        <v>354</v>
      </c>
      <c r="B31" s="191">
        <f ca="1">IF(B30="","",IF(($B30+1)&gt;VLOOKUP($K$2,MCVS!$Q$11:$T$25,4,0),"",(B30+1)))</f>
        <v>41963</v>
      </c>
      <c r="C31" s="570" t="s">
        <v>258</v>
      </c>
      <c r="D31" s="571" t="s">
        <v>259</v>
      </c>
      <c r="E31" s="575"/>
      <c r="F31" s="265" t="str">
        <f ca="1">IF(ISNA(VLOOKUP($B31,MCVS!$L$11:$M$23,2,0))=TRUE,"",VLOOKUP($B31,MCVS!$L$11:$M$23,2,0))</f>
        <v/>
      </c>
      <c r="G31" s="187"/>
      <c r="H31" s="436" t="e">
        <f ca="1">IF(B31="","",SUMIF(Semaine1!$A$7:$H$62,RecapMois!B31,Semaine1!$H$7:$H86)+SUMIF(#REF!,RecapMois!B31,#REF!)+SUMIF(#REF!,RecapMois!B31,#REF!)+SUMIF(#REF!,RecapMois!B31,#REF!)+SUMIF(#REF!,RecapMois!B31,#REF!))</f>
        <v>#REF!</v>
      </c>
      <c r="I31" s="437" t="e">
        <f ca="1">IF(B31="","",SUMIF(Semaine1!$A$7:$K$62,RecapMois!B31,Semaine1!$K$7:$K86)+SUMIF(#REF!,RecapMois!B31,#REF!)+SUMIF(#REF!,RecapMois!B31,#REF!)+SUMIF(#REF!,RecapMois!B31,#REF!)+SUMIF(#REF!,RecapMois!B31,#REF!))</f>
        <v>#REF!</v>
      </c>
      <c r="J31" s="438" t="e">
        <f ca="1">IF(B31="","",SUMIF(Semaine1!$A$7:$M$62,RecapMois!B31,Semaine1!$M$7:$M86)+SUMIF(#REF!,RecapMois!B31,#REF!)+SUMIF(#REF!,RecapMois!B31,#REF!)+SUMIF(#REF!,RecapMois!B31,#REF!)+SUMIF(#REF!,RecapMois!B31,#REF!))</f>
        <v>#REF!</v>
      </c>
      <c r="K31" s="439" t="e">
        <f ca="1">IF(B31="","",SUMIF(Semaine1!$A$7:$N$62,RecapMois!B31,Semaine1!$N$7:$N86)+SUMIF(#REF!,RecapMois!B31,#REF!)+SUMIF(#REF!,RecapMois!B31,#REF!)+SUMIF(#REF!,RecapMois!B31,#REF!)+SUMIF(#REF!,RecapMois!B31,#REF!))</f>
        <v>#REF!</v>
      </c>
      <c r="L31" s="833" t="s">
        <v>78</v>
      </c>
      <c r="M31" s="834"/>
      <c r="N31" s="835"/>
      <c r="O31" s="444"/>
      <c r="P31" s="445"/>
      <c r="Q31" s="445"/>
      <c r="R31" s="445"/>
      <c r="S31" s="445"/>
      <c r="T31" s="445"/>
    </row>
    <row r="32" spans="1:20" ht="15" customHeight="1">
      <c r="A32" s="193" t="s">
        <v>355</v>
      </c>
      <c r="B32" s="191">
        <f ca="1">IF(B31="","",IF(($B31+1)&gt;VLOOKUP($K$2,MCVS!$Q$11:$T$25,4,0),"",(B31+1)))</f>
        <v>41964</v>
      </c>
      <c r="C32" s="570" t="s">
        <v>258</v>
      </c>
      <c r="D32" s="571" t="s">
        <v>259</v>
      </c>
      <c r="E32" s="575"/>
      <c r="F32" s="265" t="str">
        <f ca="1">IF(ISNA(VLOOKUP($B32,MCVS!$L$11:$M$23,2,0))=TRUE,"",VLOOKUP($B32,MCVS!$L$11:$M$23,2,0))</f>
        <v/>
      </c>
      <c r="G32" s="187"/>
      <c r="H32" s="436" t="e">
        <f ca="1">IF(B32="","",SUMIF(Semaine1!$A$7:$H$62,RecapMois!B32,Semaine1!$H$7:$H87)+SUMIF(#REF!,RecapMois!B32,#REF!)+SUMIF(#REF!,RecapMois!B32,#REF!)+SUMIF(#REF!,RecapMois!B32,#REF!)+SUMIF(#REF!,RecapMois!B32,#REF!))</f>
        <v>#REF!</v>
      </c>
      <c r="I32" s="437" t="e">
        <f ca="1">IF(B32="","",SUMIF(Semaine1!$A$7:$K$62,RecapMois!B32,Semaine1!$K$7:$K87)+SUMIF(#REF!,RecapMois!B32,#REF!)+SUMIF(#REF!,RecapMois!B32,#REF!)+SUMIF(#REF!,RecapMois!B32,#REF!)+SUMIF(#REF!,RecapMois!B32,#REF!))</f>
        <v>#REF!</v>
      </c>
      <c r="J32" s="438" t="e">
        <f ca="1">IF(B32="","",SUMIF(Semaine1!$A$7:$M$62,RecapMois!B32,Semaine1!$M$7:$M87)+SUMIF(#REF!,RecapMois!B32,#REF!)+SUMIF(#REF!,RecapMois!B32,#REF!)+SUMIF(#REF!,RecapMois!B32,#REF!)+SUMIF(#REF!,RecapMois!B32,#REF!))</f>
        <v>#REF!</v>
      </c>
      <c r="K32" s="439" t="e">
        <f ca="1">IF(B32="","",SUMIF(Semaine1!$A$7:$N$62,RecapMois!B32,Semaine1!$N$7:$N87)+SUMIF(#REF!,RecapMois!B32,#REF!)+SUMIF(#REF!,RecapMois!B32,#REF!)+SUMIF(#REF!,RecapMois!B32,#REF!)+SUMIF(#REF!,RecapMois!B32,#REF!))</f>
        <v>#REF!</v>
      </c>
      <c r="L32" s="245" t="s">
        <v>70</v>
      </c>
      <c r="M32" s="24" t="s">
        <v>74</v>
      </c>
      <c r="N32" s="246" t="s">
        <v>75</v>
      </c>
      <c r="O32" s="444"/>
      <c r="P32" s="445"/>
      <c r="Q32" s="445"/>
      <c r="R32" s="445"/>
      <c r="S32" s="445"/>
      <c r="T32" s="445"/>
    </row>
    <row r="33" spans="1:20" ht="15" customHeight="1">
      <c r="A33" s="194" t="s">
        <v>356</v>
      </c>
      <c r="B33" s="192">
        <f ca="1">IF(B32="","",IF(($B32+1)&gt;VLOOKUP($K$2,MCVS!$Q$11:$T$25,4,0),"",(B32+1)))</f>
        <v>41965</v>
      </c>
      <c r="C33" s="572" t="s">
        <v>259</v>
      </c>
      <c r="D33" s="573" t="s">
        <v>259</v>
      </c>
      <c r="E33" s="576"/>
      <c r="F33" s="267" t="str">
        <f ca="1">IF(ISNA(VLOOKUP($B33,MCVS!$L$11:$M$23,2,0))=TRUE,"",VLOOKUP($B33,MCVS!$L$11:$M$23,2,0))</f>
        <v/>
      </c>
      <c r="G33" s="239" t="s">
        <v>43</v>
      </c>
      <c r="H33" s="440" t="e">
        <f ca="1">IF(B33="","",SUMIF(Semaine1!$A$7:$H$62,RecapMois!B33,Semaine1!$H$7:$H88)+SUMIF(#REF!,RecapMois!B33,#REF!)+SUMIF(#REF!,RecapMois!B33,#REF!)+SUMIF(#REF!,RecapMois!B33,#REF!)+SUMIF(#REF!,RecapMois!B33,#REF!))</f>
        <v>#REF!</v>
      </c>
      <c r="I33" s="441" t="e">
        <f ca="1">IF(B33="","",SUMIF(Semaine1!$A$7:$K$62,RecapMois!B33,Semaine1!$K$7:$K88)+SUMIF(#REF!,RecapMois!B33,#REF!)+SUMIF(#REF!,RecapMois!B33,#REF!)+SUMIF(#REF!,RecapMois!B33,#REF!)+SUMIF(#REF!,RecapMois!B33,#REF!))</f>
        <v>#REF!</v>
      </c>
      <c r="J33" s="442" t="e">
        <f ca="1">IF(B33="","",SUMIF(Semaine1!$A$7:$M$62,RecapMois!B33,Semaine1!$M$7:$M88)+SUMIF(#REF!,RecapMois!B33,#REF!)+SUMIF(#REF!,RecapMois!B33,#REF!)+SUMIF(#REF!,RecapMois!B33,#REF!)+SUMIF(#REF!,RecapMois!B33,#REF!))</f>
        <v>#REF!</v>
      </c>
      <c r="K33" s="443" t="e">
        <f ca="1">IF(B33="","",SUMIF(Semaine1!$A$7:$N$62,RecapMois!B33,Semaine1!$N$7:$N88)+SUMIF(#REF!,RecapMois!B33,#REF!)+SUMIF(#REF!,RecapMois!B33,#REF!)+SUMIF(#REF!,RecapMois!B33,#REF!)+SUMIF(#REF!,RecapMois!B33,#REF!))</f>
        <v>#REF!</v>
      </c>
      <c r="L33" s="250" t="e">
        <f>L30+L36</f>
        <v>#REF!</v>
      </c>
      <c r="M33" s="26" t="e">
        <f>M30+M36</f>
        <v>#REF!</v>
      </c>
      <c r="N33" s="249" t="e">
        <f>M33*N36</f>
        <v>#REF!</v>
      </c>
      <c r="O33" s="444"/>
      <c r="P33" s="445"/>
      <c r="Q33" s="445"/>
      <c r="R33" s="445"/>
      <c r="S33" s="445"/>
      <c r="T33" s="445"/>
    </row>
    <row r="34" spans="1:20" ht="16.5" customHeight="1" thickBot="1">
      <c r="A34" s="194" t="s">
        <v>357</v>
      </c>
      <c r="B34" s="192">
        <f ca="1">IF(B33="","",IF(($B33+1)&gt;VLOOKUP($K$2,MCVS!$Q$11:$T$25,4,0),"",(B33+1)))</f>
        <v>41966</v>
      </c>
      <c r="C34" s="572" t="s">
        <v>259</v>
      </c>
      <c r="D34" s="573" t="s">
        <v>259</v>
      </c>
      <c r="E34" s="576"/>
      <c r="F34" s="267" t="str">
        <f ca="1">IF(ISNA(VLOOKUP($B34,MCVS!$L$11:$M$23,2,0))=TRUE,"",VLOOKUP($B34,MCVS!$L$11:$M$23,2,0))</f>
        <v/>
      </c>
      <c r="G34" s="188" t="e">
        <f ca="1">SUM(H28:H34)</f>
        <v>#REF!</v>
      </c>
      <c r="H34" s="440" t="e">
        <f ca="1">IF(B34="","",SUMIF(Semaine1!$A$7:$H$62,RecapMois!B34,Semaine1!$H$7:$H89)+SUMIF(#REF!,RecapMois!B34,#REF!)+SUMIF(#REF!,RecapMois!B34,#REF!)+SUMIF(#REF!,RecapMois!B34,#REF!)+SUMIF(#REF!,RecapMois!B34,#REF!))</f>
        <v>#REF!</v>
      </c>
      <c r="I34" s="441" t="e">
        <f ca="1">IF(B34="","",SUMIF(Semaine1!$A$7:$K$62,RecapMois!B34,Semaine1!$K$7:$K89)+SUMIF(#REF!,RecapMois!B34,#REF!)+SUMIF(#REF!,RecapMois!B34,#REF!)+SUMIF(#REF!,RecapMois!B34,#REF!)+SUMIF(#REF!,RecapMois!B34,#REF!))</f>
        <v>#REF!</v>
      </c>
      <c r="J34" s="442" t="e">
        <f ca="1">IF(B34="","",SUMIF(Semaine1!$A$7:$M$62,RecapMois!B34,Semaine1!$M$7:$M89)+SUMIF(#REF!,RecapMois!B34,#REF!)+SUMIF(#REF!,RecapMois!B34,#REF!)+SUMIF(#REF!,RecapMois!B34,#REF!)+SUMIF(#REF!,RecapMois!B34,#REF!))</f>
        <v>#REF!</v>
      </c>
      <c r="K34" s="443" t="e">
        <f ca="1">IF(B34="","",SUMIF(Semaine1!$A$7:$N$62,RecapMois!B34,Semaine1!$N$7:$N89)+SUMIF(#REF!,RecapMois!B34,#REF!)+SUMIF(#REF!,RecapMois!B34,#REF!)+SUMIF(#REF!,RecapMois!B34,#REF!)+SUMIF(#REF!,RecapMois!B34,#REF!))</f>
        <v>#REF!</v>
      </c>
      <c r="L34" s="844" t="s">
        <v>82</v>
      </c>
      <c r="M34" s="845"/>
      <c r="N34" s="846"/>
      <c r="O34" s="444"/>
      <c r="P34" s="445"/>
      <c r="Q34" s="445"/>
      <c r="R34" s="445"/>
      <c r="S34" s="445"/>
      <c r="T34" s="445"/>
    </row>
    <row r="35" spans="1:20" ht="15.75" customHeight="1">
      <c r="A35" s="193" t="s">
        <v>351</v>
      </c>
      <c r="B35" s="191">
        <f ca="1">IF(B34="","",IF(($B34+1)&gt;VLOOKUP($K$2,MCVS!$Q$11:$T$25,4,0),"",(B34+1)))</f>
        <v>41967</v>
      </c>
      <c r="C35" s="570" t="s">
        <v>342</v>
      </c>
      <c r="D35" s="571" t="s">
        <v>259</v>
      </c>
      <c r="E35" s="575"/>
      <c r="F35" s="265" t="str">
        <f ca="1">IF(ISNA(VLOOKUP($B35,MCVS!$L$11:$M$23,2,0))=TRUE,"",VLOOKUP($B35,MCVS!$L$11:$M$23,2,0))</f>
        <v/>
      </c>
      <c r="G35" s="189"/>
      <c r="H35" s="436" t="e">
        <f ca="1">IF(B35="","",SUMIF(Semaine1!$A$7:$H$62,RecapMois!B35,Semaine1!$H$7:$H90)+SUMIF(#REF!,RecapMois!B35,#REF!)+SUMIF(#REF!,RecapMois!B35,#REF!)+SUMIF(#REF!,RecapMois!B35,#REF!)+SUMIF(#REF!,RecapMois!B35,#REF!))</f>
        <v>#REF!</v>
      </c>
      <c r="I35" s="437" t="e">
        <f ca="1">IF(B35="","",SUMIF(Semaine1!$A$7:$K$62,RecapMois!B35,Semaine1!$K$7:$K90)+SUMIF(#REF!,RecapMois!B35,#REF!)+SUMIF(#REF!,RecapMois!B35,#REF!)+SUMIF(#REF!,RecapMois!B35,#REF!)+SUMIF(#REF!,RecapMois!B35,#REF!))</f>
        <v>#REF!</v>
      </c>
      <c r="J35" s="438" t="e">
        <f ca="1">IF(B35="","",SUMIF(Semaine1!$A$7:$M$62,RecapMois!B35,Semaine1!$M$7:$M90)+SUMIF(#REF!,RecapMois!B35,#REF!)+SUMIF(#REF!,RecapMois!B35,#REF!)+SUMIF(#REF!,RecapMois!B35,#REF!)+SUMIF(#REF!,RecapMois!B35,#REF!))</f>
        <v>#REF!</v>
      </c>
      <c r="K35" s="439" t="e">
        <f ca="1">IF(B35="","",SUMIF(Semaine1!$A$7:$N$62,RecapMois!B35,Semaine1!$N$7:$N90)+SUMIF(#REF!,RecapMois!B35,#REF!)+SUMIF(#REF!,RecapMois!B35,#REF!)+SUMIF(#REF!,RecapMois!B35,#REF!)+SUMIF(#REF!,RecapMois!B35,#REF!))</f>
        <v>#REF!</v>
      </c>
      <c r="L35" s="251" t="s">
        <v>70</v>
      </c>
      <c r="M35" s="252" t="s">
        <v>74</v>
      </c>
      <c r="N35" s="253" t="s">
        <v>73</v>
      </c>
    </row>
    <row r="36" spans="1:20" ht="15.75" customHeight="1" thickBot="1">
      <c r="A36" s="193" t="s">
        <v>352</v>
      </c>
      <c r="B36" s="191">
        <f ca="1">IF(B35="","",IF(($B35+1)&gt;VLOOKUP($K$2,MCVS!$Q$11:$T$25,4,0),"",(B35+1)))</f>
        <v>41968</v>
      </c>
      <c r="C36" s="570" t="s">
        <v>342</v>
      </c>
      <c r="D36" s="571" t="s">
        <v>259</v>
      </c>
      <c r="E36" s="575"/>
      <c r="F36" s="265" t="str">
        <f ca="1">IF(ISNA(VLOOKUP($B36,MCVS!$L$11:$M$23,2,0))=TRUE,"",VLOOKUP($B36,MCVS!$L$11:$M$23,2,0))</f>
        <v/>
      </c>
      <c r="G36" s="187"/>
      <c r="H36" s="436" t="e">
        <f ca="1">IF(B36="","",SUMIF(Semaine1!$A$7:$H$62,RecapMois!B36,Semaine1!$H$7:$H91)+SUMIF(#REF!,RecapMois!B36,#REF!)+SUMIF(#REF!,RecapMois!B36,#REF!)+SUMIF(#REF!,RecapMois!B36,#REF!)+SUMIF(#REF!,RecapMois!B36,#REF!))</f>
        <v>#REF!</v>
      </c>
      <c r="I36" s="437" t="e">
        <f ca="1">IF(B36="","",SUMIF(Semaine1!$A$7:$K$62,RecapMois!B36,Semaine1!$K$7:$K91)+SUMIF(#REF!,RecapMois!B36,#REF!)+SUMIF(#REF!,RecapMois!B36,#REF!)+SUMIF(#REF!,RecapMois!B36,#REF!)+SUMIF(#REF!,RecapMois!B36,#REF!))</f>
        <v>#REF!</v>
      </c>
      <c r="J36" s="438" t="e">
        <f ca="1">IF(B36="","",SUMIF(Semaine1!$A$7:$M$62,RecapMois!B36,Semaine1!$M$7:$M91)+SUMIF(#REF!,RecapMois!B36,#REF!)+SUMIF(#REF!,RecapMois!B36,#REF!)+SUMIF(#REF!,RecapMois!B36,#REF!)+SUMIF(#REF!,RecapMois!B36,#REF!))</f>
        <v>#REF!</v>
      </c>
      <c r="K36" s="439" t="e">
        <f ca="1">IF(B36="","",SUMIF(Semaine1!$A$7:$N$62,RecapMois!B36,Semaine1!$N$7:$N91)+SUMIF(#REF!,RecapMois!B36,#REF!)+SUMIF(#REF!,RecapMois!B36,#REF!)+SUMIF(#REF!,RecapMois!B36,#REF!)+SUMIF(#REF!,RecapMois!B36,#REF!))</f>
        <v>#REF!</v>
      </c>
      <c r="L36" s="245">
        <v>6.9951388888888886</v>
      </c>
      <c r="M36" s="27">
        <v>172.03300000041003</v>
      </c>
      <c r="N36" s="249">
        <v>7.5229999999999997</v>
      </c>
    </row>
    <row r="37" spans="1:20" ht="15.75" customHeight="1" thickTop="1">
      <c r="A37" s="193" t="s">
        <v>353</v>
      </c>
      <c r="B37" s="191">
        <f ca="1">IF(B36="","",IF(($B36+1)&gt;VLOOKUP($K$2,MCVS!$Q$11:$T$25,4,0),"",(B36+1)))</f>
        <v>41969</v>
      </c>
      <c r="C37" s="570" t="s">
        <v>342</v>
      </c>
      <c r="D37" s="571" t="s">
        <v>259</v>
      </c>
      <c r="E37" s="575"/>
      <c r="F37" s="265" t="str">
        <f ca="1">IF(ISNA(VLOOKUP($B37,MCVS!$L$11:$M$23,2,0))=TRUE,"",VLOOKUP($B37,MCVS!$L$11:$M$23,2,0))</f>
        <v/>
      </c>
      <c r="G37" s="187"/>
      <c r="H37" s="436" t="e">
        <f ca="1">IF(B37="","",SUMIF(Semaine1!$A$7:$H$62,RecapMois!B37,Semaine1!$H$7:$H92)+SUMIF(#REF!,RecapMois!B37,#REF!)+SUMIF(#REF!,RecapMois!B37,#REF!)+SUMIF(#REF!,RecapMois!B37,#REF!)+SUMIF(#REF!,RecapMois!B37,#REF!))</f>
        <v>#REF!</v>
      </c>
      <c r="I37" s="437" t="e">
        <f ca="1">IF(B37="","",SUMIF(Semaine1!$A$7:$K$62,RecapMois!B37,Semaine1!$K$7:$K92)+SUMIF(#REF!,RecapMois!B37,#REF!)+SUMIF(#REF!,RecapMois!B37,#REF!)+SUMIF(#REF!,RecapMois!B37,#REF!)+SUMIF(#REF!,RecapMois!B37,#REF!))</f>
        <v>#REF!</v>
      </c>
      <c r="J37" s="438" t="e">
        <f ca="1">IF(B37="","",SUMIF(Semaine1!$A$7:$M$62,RecapMois!B37,Semaine1!$M$7:$M92)+SUMIF(#REF!,RecapMois!B37,#REF!)+SUMIF(#REF!,RecapMois!B37,#REF!)+SUMIF(#REF!,RecapMois!B37,#REF!)+SUMIF(#REF!,RecapMois!B37,#REF!))</f>
        <v>#REF!</v>
      </c>
      <c r="K37" s="439" t="e">
        <f ca="1">IF(B37="","",SUMIF(Semaine1!$A$7:$N$62,RecapMois!B37,Semaine1!$N$7:$N92)+SUMIF(#REF!,RecapMois!B37,#REF!)+SUMIF(#REF!,RecapMois!B37,#REF!)+SUMIF(#REF!,RecapMois!B37,#REF!)+SUMIF(#REF!,RecapMois!B37,#REF!))</f>
        <v>#REF!</v>
      </c>
      <c r="L37" s="847" t="s">
        <v>81</v>
      </c>
      <c r="M37" s="848"/>
      <c r="N37" s="849"/>
    </row>
    <row r="38" spans="1:20">
      <c r="A38" s="193" t="s">
        <v>354</v>
      </c>
      <c r="B38" s="191">
        <f ca="1">IF(B37="","",IF(($B37+1)&gt;VLOOKUP($K$2,MCVS!$Q$11:$T$25,4,0),"",(B37+1)))</f>
        <v>41970</v>
      </c>
      <c r="C38" s="570" t="s">
        <v>342</v>
      </c>
      <c r="D38" s="571" t="s">
        <v>259</v>
      </c>
      <c r="E38" s="575"/>
      <c r="F38" s="265" t="str">
        <f ca="1">IF(ISNA(VLOOKUP($B38,MCVS!$L$11:$M$23,2,0))=TRUE,"",VLOOKUP($B38,MCVS!$L$11:$M$23,2,0))</f>
        <v/>
      </c>
      <c r="G38" s="187"/>
      <c r="H38" s="436" t="e">
        <f ca="1">IF(B38="","",SUMIF(Semaine1!$A$7:$H$62,RecapMois!B38,Semaine1!$H$7:$H93)+SUMIF(#REF!,RecapMois!B38,#REF!)+SUMIF(#REF!,RecapMois!B38,#REF!)+SUMIF(#REF!,RecapMois!B38,#REF!)+SUMIF(#REF!,RecapMois!B38,#REF!))</f>
        <v>#REF!</v>
      </c>
      <c r="I38" s="437" t="e">
        <f ca="1">IF(B38="","",SUMIF(Semaine1!$A$7:$K$62,RecapMois!B38,Semaine1!$K$7:$K93)+SUMIF(#REF!,RecapMois!B38,#REF!)+SUMIF(#REF!,RecapMois!B38,#REF!)+SUMIF(#REF!,RecapMois!B38,#REF!)+SUMIF(#REF!,RecapMois!B38,#REF!))</f>
        <v>#REF!</v>
      </c>
      <c r="J38" s="438" t="e">
        <f ca="1">IF(B38="","",SUMIF(Semaine1!$A$7:$M$62,RecapMois!B38,Semaine1!$M$7:$M93)+SUMIF(#REF!,RecapMois!B38,#REF!)+SUMIF(#REF!,RecapMois!B38,#REF!)+SUMIF(#REF!,RecapMois!B38,#REF!)+SUMIF(#REF!,RecapMois!B38,#REF!))</f>
        <v>#REF!</v>
      </c>
      <c r="K38" s="439" t="e">
        <f ca="1">IF(B38="","",SUMIF(Semaine1!$A$7:$N$62,RecapMois!B38,Semaine1!$N$7:$N93)+SUMIF(#REF!,RecapMois!B38,#REF!)+SUMIF(#REF!,RecapMois!B38,#REF!)+SUMIF(#REF!,RecapMois!B38,#REF!)+SUMIF(#REF!,RecapMois!B38,#REF!))</f>
        <v>#REF!</v>
      </c>
      <c r="L38" s="254" t="s">
        <v>70</v>
      </c>
      <c r="M38" s="25" t="s">
        <v>79</v>
      </c>
      <c r="N38" s="255"/>
    </row>
    <row r="39" spans="1:20">
      <c r="A39" s="193" t="s">
        <v>355</v>
      </c>
      <c r="B39" s="191">
        <f ca="1">IF(B38="","",IF(($B38+1)&gt;VLOOKUP($K$2,MCVS!$Q$11:$T$25,4,0),"",(B38+1)))</f>
        <v>41971</v>
      </c>
      <c r="C39" s="570" t="s">
        <v>342</v>
      </c>
      <c r="D39" s="571" t="s">
        <v>259</v>
      </c>
      <c r="E39" s="575"/>
      <c r="F39" s="265" t="str">
        <f ca="1">IF(ISNA(VLOOKUP($B39,MCVS!$L$11:$M$23,2,0))=TRUE,"",VLOOKUP($B39,MCVS!$L$11:$M$23,2,0))</f>
        <v/>
      </c>
      <c r="G39" s="187"/>
      <c r="H39" s="436" t="e">
        <f ca="1">IF(B39="","",SUMIF(Semaine1!$A$7:$H$62,RecapMois!B39,Semaine1!$H$7:$H94)+SUMIF(#REF!,RecapMois!B39,#REF!)+SUMIF(#REF!,RecapMois!B39,#REF!)+SUMIF(#REF!,RecapMois!B39,#REF!)+SUMIF(#REF!,RecapMois!B39,#REF!))</f>
        <v>#REF!</v>
      </c>
      <c r="I39" s="437" t="e">
        <f ca="1">IF(B39="","",SUMIF(Semaine1!$A$7:$K$62,RecapMois!B39,Semaine1!$K$7:$K94)+SUMIF(#REF!,RecapMois!B39,#REF!)+SUMIF(#REF!,RecapMois!B39,#REF!)+SUMIF(#REF!,RecapMois!B39,#REF!)+SUMIF(#REF!,RecapMois!B39,#REF!))</f>
        <v>#REF!</v>
      </c>
      <c r="J39" s="438" t="e">
        <f ca="1">IF(B39="","",SUMIF(Semaine1!$A$7:$M$62,RecapMois!B39,Semaine1!$M$7:$M94)+SUMIF(#REF!,RecapMois!B39,#REF!)+SUMIF(#REF!,RecapMois!B39,#REF!)+SUMIF(#REF!,RecapMois!B39,#REF!)+SUMIF(#REF!,RecapMois!B39,#REF!))</f>
        <v>#REF!</v>
      </c>
      <c r="K39" s="439" t="e">
        <f ca="1">IF(B39="","",SUMIF(Semaine1!$A$7:$N$62,RecapMois!B39,Semaine1!$N$7:$N94)+SUMIF(#REF!,RecapMois!B39,#REF!)+SUMIF(#REF!,RecapMois!B39,#REF!)+SUMIF(#REF!,RecapMois!B39,#REF!)+SUMIF(#REF!,RecapMois!B39,#REF!))</f>
        <v>#REF!</v>
      </c>
      <c r="L39" s="245" t="e">
        <f>IF($L$36&lt;=#REF!,$L$36,$L$36-$L$40)</f>
        <v>#REF!</v>
      </c>
      <c r="M39" s="26" t="e">
        <f>IF($M$36&lt;=70,$M$36,$M$36-$M$40)</f>
        <v>#REF!</v>
      </c>
      <c r="N39" s="256" t="s">
        <v>128</v>
      </c>
    </row>
    <row r="40" spans="1:20" ht="15.75" thickBot="1">
      <c r="A40" s="194" t="s">
        <v>356</v>
      </c>
      <c r="B40" s="192">
        <f ca="1">IF(B39="","",IF(($B39+1)&gt;VLOOKUP($K$2,MCVS!$Q$11:$T$25,4,0),"",(B39+1)))</f>
        <v>41972</v>
      </c>
      <c r="C40" s="572"/>
      <c r="D40" s="573"/>
      <c r="E40" s="576"/>
      <c r="F40" s="267" t="str">
        <f ca="1">IF(ISNA(VLOOKUP($B40,MCVS!$L$11:$M$23,2,0))=TRUE,"",VLOOKUP($B40,MCVS!$L$11:$M$23,2,0))</f>
        <v/>
      </c>
      <c r="G40" s="239" t="s">
        <v>43</v>
      </c>
      <c r="H40" s="440" t="e">
        <f ca="1">IF(B40="","",SUMIF(Semaine1!$A$7:$H$62,RecapMois!B40,Semaine1!$H$7:$H95)+SUMIF(#REF!,RecapMois!B40,#REF!)+SUMIF(#REF!,RecapMois!B40,#REF!)+SUMIF(#REF!,RecapMois!B40,#REF!)+SUMIF(#REF!,RecapMois!B40,#REF!))</f>
        <v>#REF!</v>
      </c>
      <c r="I40" s="441" t="e">
        <f ca="1">IF(B40="","",SUMIF(Semaine1!$A$7:$K$62,RecapMois!B40,Semaine1!$K$7:$K95)+SUMIF(#REF!,RecapMois!B40,#REF!)+SUMIF(#REF!,RecapMois!B40,#REF!)+SUMIF(#REF!,RecapMois!B40,#REF!)+SUMIF(#REF!,RecapMois!B40,#REF!))</f>
        <v>#REF!</v>
      </c>
      <c r="J40" s="442" t="e">
        <f ca="1">IF(B40="","",SUMIF(Semaine1!$A$7:$M$62,RecapMois!B40,Semaine1!$M$7:$M95)+SUMIF(#REF!,RecapMois!B40,#REF!)+SUMIF(#REF!,RecapMois!B40,#REF!)+SUMIF(#REF!,RecapMois!B40,#REF!)+SUMIF(#REF!,RecapMois!B40,#REF!))</f>
        <v>#REF!</v>
      </c>
      <c r="K40" s="443" t="e">
        <f ca="1">IF(B40="","",SUMIF(Semaine1!$A$7:$N$62,RecapMois!B40,Semaine1!$N$7:$N95)+SUMIF(#REF!,RecapMois!B40,#REF!)+SUMIF(#REF!,RecapMois!B40,#REF!)+SUMIF(#REF!,RecapMois!B40,#REF!)+SUMIF(#REF!,RecapMois!B40,#REF!))</f>
        <v>#REF!</v>
      </c>
      <c r="L40" s="257" t="e">
        <f>IF(L36&gt;=#REF!,L36-#REF!,0)</f>
        <v>#REF!</v>
      </c>
      <c r="M40" s="29" t="e">
        <f>M36-#REF!</f>
        <v>#REF!</v>
      </c>
      <c r="N40" s="258" t="s">
        <v>80</v>
      </c>
    </row>
    <row r="41" spans="1:20" ht="17.25" thickTop="1" thickBot="1">
      <c r="A41" s="194" t="s">
        <v>357</v>
      </c>
      <c r="B41" s="192">
        <f ca="1">IF(B40="","",IF(($B40+1)&gt;VLOOKUP($K$2,MCVS!$Q$11:$T$25,4,0),"",(B40+1)))</f>
        <v>41973</v>
      </c>
      <c r="C41" s="572"/>
      <c r="D41" s="573"/>
      <c r="E41" s="576"/>
      <c r="F41" s="267" t="str">
        <f ca="1">IF(ISNA(VLOOKUP($B41,MCVS!$L$11:$M$23,2,0))=TRUE,"",VLOOKUP($B41,MCVS!$L$11:$M$23,2,0))</f>
        <v/>
      </c>
      <c r="G41" s="188" t="e">
        <f ca="1">SUM(H35:H41)</f>
        <v>#REF!</v>
      </c>
      <c r="H41" s="440" t="e">
        <f ca="1">IF(B41="","",SUMIF(Semaine1!$A$7:$H$62,RecapMois!B41,Semaine1!$H$7:$H96)+SUMIF(#REF!,RecapMois!B41,#REF!)+SUMIF(#REF!,RecapMois!B41,#REF!)+SUMIF(#REF!,RecapMois!B41,#REF!)+SUMIF(#REF!,RecapMois!B41,#REF!))</f>
        <v>#REF!</v>
      </c>
      <c r="I41" s="441" t="e">
        <f ca="1">IF(B41="","",SUMIF(Semaine1!$A$7:$K$62,RecapMois!B41,Semaine1!$K$7:$K96)+SUMIF(#REF!,RecapMois!B41,#REF!)+SUMIF(#REF!,RecapMois!B41,#REF!)+SUMIF(#REF!,RecapMois!B41,#REF!)+SUMIF(#REF!,RecapMois!B41,#REF!))</f>
        <v>#REF!</v>
      </c>
      <c r="J41" s="442" t="e">
        <f ca="1">IF(B41="","",SUMIF(Semaine1!$A$7:$M$62,RecapMois!B41,Semaine1!$M$7:$M96)+SUMIF(#REF!,RecapMois!B41,#REF!)+SUMIF(#REF!,RecapMois!B41,#REF!)+SUMIF(#REF!,RecapMois!B41,#REF!)+SUMIF(#REF!,RecapMois!B41,#REF!))</f>
        <v>#REF!</v>
      </c>
      <c r="K41" s="443" t="e">
        <f ca="1">IF(B41="","",SUMIF(Semaine1!$A$7:$N$62,RecapMois!B41,Semaine1!$N$7:$N96)+SUMIF(#REF!,RecapMois!B41,#REF!)+SUMIF(#REF!,RecapMois!B41,#REF!)+SUMIF(#REF!,RecapMois!B41,#REF!)+SUMIF(#REF!,RecapMois!B41,#REF!))</f>
        <v>#REF!</v>
      </c>
      <c r="L41" s="259" t="s">
        <v>129</v>
      </c>
      <c r="M41" s="31" t="e">
        <f>M39*N36</f>
        <v>#REF!</v>
      </c>
      <c r="N41" s="260"/>
    </row>
    <row r="42" spans="1:20" ht="16.5" thickBot="1">
      <c r="A42" s="193" t="s">
        <v>351</v>
      </c>
      <c r="B42" s="191" t="str">
        <f ca="1">IF(B41="","",IF(($B41+1)&gt;VLOOKUP($K$2,MCVS!$Q$11:$T$25,4,0),"",(B41+1)))</f>
        <v/>
      </c>
      <c r="C42" s="570"/>
      <c r="D42" s="571"/>
      <c r="E42" s="575"/>
      <c r="F42" s="265" t="str">
        <f ca="1">IF(ISNA(VLOOKUP($B42,MCVS!$L$11:$M$23,2,0))=TRUE,"",VLOOKUP($B42,MCVS!$L$11:$M$23,2,0))</f>
        <v/>
      </c>
      <c r="G42" s="190"/>
      <c r="H42" s="436" t="str">
        <f ca="1">IF(B42="","",SUMIF(Semaine1!$A$7:$H$62,RecapMois!B42,Semaine1!$H$7:$H97)+SUMIF(#REF!,RecapMois!B42,#REF!)+SUMIF(#REF!,RecapMois!B42,#REF!)+SUMIF(#REF!,RecapMois!B42,#REF!)+SUMIF(#REF!,RecapMois!B42,#REF!))</f>
        <v/>
      </c>
      <c r="I42" s="437" t="str">
        <f ca="1">IF(B42="","",SUMIF(Semaine1!$A$7:$K$62,RecapMois!B42,Semaine1!$K$7:$K97)+SUMIF(#REF!,RecapMois!B42,#REF!)+SUMIF(#REF!,RecapMois!B42,#REF!)+SUMIF(#REF!,RecapMois!B42,#REF!)+SUMIF(#REF!,RecapMois!B42,#REF!))</f>
        <v/>
      </c>
      <c r="J42" s="438" t="str">
        <f ca="1">IF(B42="","",SUMIF(Semaine1!$A$7:$M$62,RecapMois!B42,Semaine1!$M$7:$M97)+SUMIF(#REF!,RecapMois!B42,#REF!)+SUMIF(#REF!,RecapMois!B42,#REF!)+SUMIF(#REF!,RecapMois!B42,#REF!)+SUMIF(#REF!,RecapMois!B42,#REF!))</f>
        <v/>
      </c>
      <c r="K42" s="439" t="str">
        <f ca="1">IF(B42="","",SUMIF(Semaine1!$A$7:$N$62,RecapMois!B42,Semaine1!$N$7:$N97)+SUMIF(#REF!,RecapMois!B42,#REF!)+SUMIF(#REF!,RecapMois!B42,#REF!)+SUMIF(#REF!,RecapMois!B42,#REF!)+SUMIF(#REF!,RecapMois!B42,#REF!))</f>
        <v/>
      </c>
      <c r="L42" s="261" t="s">
        <v>83</v>
      </c>
      <c r="M42" s="262" t="e">
        <f>M40*N36</f>
        <v>#REF!</v>
      </c>
      <c r="N42" s="263"/>
    </row>
    <row r="43" spans="1:20" ht="16.5" thickBot="1">
      <c r="A43" s="193" t="s">
        <v>352</v>
      </c>
      <c r="B43" s="191" t="str">
        <f ca="1">IF(B42="","",IF(($B42+1)&gt;VLOOKUP($K$2,MCVS!$Q$11:$T$25,4,0),"",(B42+1)))</f>
        <v/>
      </c>
      <c r="C43" s="570"/>
      <c r="D43" s="571"/>
      <c r="E43" s="575"/>
      <c r="F43" s="265" t="str">
        <f ca="1">IF(ISNA(VLOOKUP($B43,MCVS!$L$11:$M$23,2,0))=TRUE,"",VLOOKUP($B43,MCVS!$L$11:$M$23,2,0))</f>
        <v/>
      </c>
      <c r="G43" s="190"/>
      <c r="H43" s="436" t="str">
        <f ca="1">IF(B43="","",SUMIF(Semaine1!$A$7:$H$62,RecapMois!B43,Semaine1!$H$7:$H98)+SUMIF(#REF!,RecapMois!B43,#REF!)+SUMIF(#REF!,RecapMois!B43,#REF!)+SUMIF(#REF!,RecapMois!B43,#REF!)+SUMIF(#REF!,RecapMois!B43,#REF!))</f>
        <v/>
      </c>
      <c r="I43" s="437" t="str">
        <f ca="1">IF(B43="","",SUMIF(Semaine1!$A$7:$K$62,RecapMois!B43,Semaine1!$K$7:$K98)+SUMIF(#REF!,RecapMois!B43,#REF!)+SUMIF(#REF!,RecapMois!B43,#REF!)+SUMIF(#REF!,RecapMois!B43,#REF!)+SUMIF(#REF!,RecapMois!B43,#REF!))</f>
        <v/>
      </c>
      <c r="J43" s="438" t="str">
        <f ca="1">IF(B43="","",SUMIF(Semaine1!$A$7:$M$62,RecapMois!B43,Semaine1!$M$7:$M98)+SUMIF(#REF!,RecapMois!B43,#REF!)+SUMIF(#REF!,RecapMois!B43,#REF!)+SUMIF(#REF!,RecapMois!B43,#REF!)+SUMIF(#REF!,RecapMois!B43,#REF!))</f>
        <v/>
      </c>
      <c r="K43" s="439" t="str">
        <f ca="1">IF(B43="","",SUMIF(Semaine1!$A$7:$N$62,RecapMois!B43,Semaine1!$N$7:$N98)+SUMIF(#REF!,RecapMois!B43,#REF!)+SUMIF(#REF!,RecapMois!B43,#REF!)+SUMIF(#REF!,RecapMois!B43,#REF!)+SUMIF(#REF!,RecapMois!B43,#REF!))</f>
        <v/>
      </c>
      <c r="L43" s="823" t="s">
        <v>65</v>
      </c>
      <c r="M43" s="824"/>
      <c r="N43" s="825"/>
    </row>
    <row r="44" spans="1:20" ht="16.5" thickBot="1">
      <c r="A44" s="202"/>
      <c r="B44" s="203"/>
      <c r="C44" s="204"/>
      <c r="D44" s="204"/>
      <c r="E44" s="205"/>
      <c r="F44" s="239" t="s">
        <v>43</v>
      </c>
      <c r="G44" s="206">
        <f ca="1">SUM(H42:H43)</f>
        <v>0</v>
      </c>
      <c r="H44" s="207"/>
      <c r="I44" s="207"/>
      <c r="J44" s="207"/>
      <c r="K44" s="208"/>
      <c r="L44" s="894"/>
      <c r="M44" s="894"/>
      <c r="N44" s="895"/>
    </row>
    <row r="45" spans="1:20" ht="15.75" thickBot="1">
      <c r="A45" s="607" t="s">
        <v>44</v>
      </c>
      <c r="B45" s="902"/>
      <c r="C45" s="902"/>
      <c r="D45" s="902"/>
      <c r="E45" s="902"/>
      <c r="F45" s="902"/>
      <c r="G45" s="608"/>
      <c r="H45" s="209" t="e">
        <f ca="1">SUM(G44+G41+G34+G27+G20+G13)</f>
        <v>#REF!</v>
      </c>
      <c r="I45" s="210" t="e">
        <f ca="1">SUM(I7:I43)</f>
        <v>#REF!</v>
      </c>
      <c r="J45" s="211" t="e">
        <f ca="1">SUM(J7:J43)</f>
        <v>#REF!</v>
      </c>
      <c r="K45" s="211" t="e">
        <f ca="1">SUM(K7:K43)</f>
        <v>#REF!</v>
      </c>
      <c r="L45" s="896"/>
      <c r="M45" s="897"/>
      <c r="N45" s="898"/>
    </row>
    <row r="46" spans="1:20" ht="25.5" customHeight="1">
      <c r="A46" s="12" t="s">
        <v>45</v>
      </c>
      <c r="B46" s="905" t="str">
        <f>MCVS!E9</f>
        <v>GUIN-Maurice</v>
      </c>
      <c r="C46" s="906"/>
      <c r="D46" s="888" t="str">
        <f ca="1">TEXT(MCVS!P63,"Texte")</f>
        <v>ULYSSE-TOURS GUIN-Maurice novembre-2014</v>
      </c>
      <c r="E46" s="889"/>
      <c r="F46" s="889"/>
      <c r="G46" s="889"/>
      <c r="H46" s="889"/>
      <c r="I46" s="889"/>
      <c r="J46" s="889"/>
      <c r="K46" s="890"/>
      <c r="L46" s="896"/>
      <c r="M46" s="897"/>
      <c r="N46" s="898"/>
    </row>
    <row r="47" spans="1:20">
      <c r="A47" s="159" t="s">
        <v>28</v>
      </c>
      <c r="B47" s="907"/>
      <c r="C47" s="908"/>
      <c r="D47" s="891"/>
      <c r="E47" s="892"/>
      <c r="F47" s="892"/>
      <c r="G47" s="892"/>
      <c r="H47" s="892"/>
      <c r="I47" s="892"/>
      <c r="J47" s="892"/>
      <c r="K47" s="893"/>
      <c r="L47" s="896"/>
      <c r="M47" s="897"/>
      <c r="N47" s="898"/>
    </row>
    <row r="48" spans="1:20" ht="15" customHeight="1" thickBot="1">
      <c r="A48" s="13"/>
      <c r="B48" s="909"/>
      <c r="C48" s="910"/>
      <c r="D48" s="891"/>
      <c r="E48" s="892"/>
      <c r="F48" s="892"/>
      <c r="G48" s="892"/>
      <c r="H48" s="892"/>
      <c r="I48" s="892"/>
      <c r="J48" s="892"/>
      <c r="K48" s="893"/>
      <c r="L48" s="896"/>
      <c r="M48" s="897"/>
      <c r="N48" s="898"/>
    </row>
    <row r="49" spans="1:14" ht="15" customHeight="1">
      <c r="A49" s="903" t="s">
        <v>64</v>
      </c>
      <c r="B49" s="911"/>
      <c r="C49" s="912"/>
      <c r="D49" s="891"/>
      <c r="E49" s="892"/>
      <c r="F49" s="892"/>
      <c r="G49" s="892"/>
      <c r="H49" s="892"/>
      <c r="I49" s="892"/>
      <c r="J49" s="892"/>
      <c r="K49" s="893"/>
      <c r="L49" s="896"/>
      <c r="M49" s="897"/>
      <c r="N49" s="898"/>
    </row>
    <row r="50" spans="1:14" ht="15" customHeight="1">
      <c r="A50" s="904"/>
      <c r="B50" s="913"/>
      <c r="C50" s="914"/>
      <c r="D50" s="39" t="str">
        <f>B1</f>
        <v>GUIN-Maurice</v>
      </c>
      <c r="E50" s="40">
        <f ca="1">N2</f>
        <v>2014</v>
      </c>
      <c r="F50" s="41" t="str">
        <f>K2</f>
        <v>novembre-14</v>
      </c>
      <c r="G50" s="40" t="str">
        <f>E1</f>
        <v>ULYSSE - TOURS</v>
      </c>
      <c r="H50" s="42" t="s">
        <v>63</v>
      </c>
      <c r="I50" s="43"/>
      <c r="J50" s="43"/>
      <c r="K50" s="44"/>
      <c r="L50" s="896"/>
      <c r="M50" s="897"/>
      <c r="N50" s="898"/>
    </row>
    <row r="51" spans="1:14" ht="15" customHeight="1" thickBot="1">
      <c r="A51" s="14" t="s">
        <v>28</v>
      </c>
      <c r="B51" s="915"/>
      <c r="C51" s="916"/>
      <c r="D51" s="45"/>
      <c r="E51" s="46" t="str">
        <f ca="1">CONCATENATE(H50,F50,H50,E50)</f>
        <v>-novembre-14-2014</v>
      </c>
      <c r="F51" s="47"/>
      <c r="G51" s="46"/>
      <c r="H51" s="48"/>
      <c r="I51" s="49"/>
      <c r="J51" s="49"/>
      <c r="K51" s="50"/>
      <c r="L51" s="899"/>
      <c r="M51" s="900"/>
      <c r="N51" s="901"/>
    </row>
  </sheetData>
  <sheetProtection password="ECFA" sheet="1" objects="1" scenarios="1" selectLockedCells="1"/>
  <mergeCells count="43">
    <mergeCell ref="D46:K49"/>
    <mergeCell ref="H4:H6"/>
    <mergeCell ref="L44:N51"/>
    <mergeCell ref="I4:I6"/>
    <mergeCell ref="A45:G45"/>
    <mergeCell ref="A49:A50"/>
    <mergeCell ref="B46:C48"/>
    <mergeCell ref="B49:C51"/>
    <mergeCell ref="L10:N10"/>
    <mergeCell ref="L12:N12"/>
    <mergeCell ref="L11:N11"/>
    <mergeCell ref="L13:N13"/>
    <mergeCell ref="L14:N14"/>
    <mergeCell ref="L15:N15"/>
    <mergeCell ref="L16:N16"/>
    <mergeCell ref="L17:N17"/>
    <mergeCell ref="B1:C1"/>
    <mergeCell ref="B2:C2"/>
    <mergeCell ref="L7:N7"/>
    <mergeCell ref="L8:N8"/>
    <mergeCell ref="L9:N9"/>
    <mergeCell ref="J4:J6"/>
    <mergeCell ref="K4:K6"/>
    <mergeCell ref="L4:N6"/>
    <mergeCell ref="E1:I2"/>
    <mergeCell ref="E3:H3"/>
    <mergeCell ref="C4:C6"/>
    <mergeCell ref="D4:D6"/>
    <mergeCell ref="A4:B6"/>
    <mergeCell ref="G4:G6"/>
    <mergeCell ref="F4:F6"/>
    <mergeCell ref="L18:N18"/>
    <mergeCell ref="L43:N43"/>
    <mergeCell ref="L19:N19"/>
    <mergeCell ref="L27:N27"/>
    <mergeCell ref="L28:N28"/>
    <mergeCell ref="L31:N31"/>
    <mergeCell ref="L24:N24"/>
    <mergeCell ref="M22:N22"/>
    <mergeCell ref="L21:N21"/>
    <mergeCell ref="L34:N34"/>
    <mergeCell ref="L37:N37"/>
    <mergeCell ref="L20:N20"/>
  </mergeCells>
  <conditionalFormatting sqref="J44:K44">
    <cfRule type="cellIs" dxfId="68" priority="20" operator="greaterThan">
      <formula>0</formula>
    </cfRule>
  </conditionalFormatting>
  <conditionalFormatting sqref="H44">
    <cfRule type="cellIs" dxfId="67" priority="4" operator="greaterThan">
      <formula>0</formula>
    </cfRule>
  </conditionalFormatting>
  <conditionalFormatting sqref="I44">
    <cfRule type="cellIs" dxfId="66" priority="3" operator="greaterThan">
      <formula>0</formula>
    </cfRule>
  </conditionalFormatting>
  <conditionalFormatting sqref="H7:K11 H14:K18 H21:K25 H28:K32 H35:K39 H42:K43">
    <cfRule type="cellIs" dxfId="65" priority="2" operator="equal">
      <formula>0</formula>
    </cfRule>
  </conditionalFormatting>
  <conditionalFormatting sqref="H12:K13 H19:K20 H26:K27 H33:K34 H40:K41">
    <cfRule type="cellIs" dxfId="64" priority="1" operator="equal">
      <formula>0</formula>
    </cfRule>
  </conditionalFormatting>
  <dataValidations count="4">
    <dataValidation type="list" allowBlank="1" showInputMessage="1" showErrorMessage="1" sqref="K2">
      <formula1>Mois</formula1>
    </dataValidation>
    <dataValidation type="list" allowBlank="1" showInputMessage="1" showErrorMessage="1" sqref="C7:C43">
      <formula1>Travail</formula1>
    </dataValidation>
    <dataValidation type="list" allowBlank="1" showInputMessage="1" showErrorMessage="1" sqref="D7:D43">
      <formula1>Formation</formula1>
    </dataValidation>
    <dataValidation type="list" allowBlank="1" showInputMessage="1" showErrorMessage="1" sqref="E7:E43">
      <formula1>Congés</formula1>
    </dataValidation>
  </dataValidations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  <pageSetUpPr fitToPage="1"/>
  </sheetPr>
  <dimension ref="A1:Q66"/>
  <sheetViews>
    <sheetView zoomScale="115" zoomScaleNormal="115" workbookViewId="0">
      <selection activeCell="E15" sqref="E15:H15"/>
    </sheetView>
  </sheetViews>
  <sheetFormatPr baseColWidth="10" defaultRowHeight="15"/>
  <cols>
    <col min="1" max="1" width="9.7109375" style="8" customWidth="1"/>
    <col min="2" max="2" width="3.5703125" style="8" bestFit="1" customWidth="1"/>
    <col min="3" max="3" width="13.5703125" style="8" customWidth="1"/>
    <col min="4" max="4" width="15.7109375" style="8" customWidth="1"/>
    <col min="5" max="7" width="11.7109375" style="8" customWidth="1"/>
    <col min="8" max="8" width="15.7109375" style="8" customWidth="1"/>
    <col min="9" max="9" width="5.42578125" style="8" customWidth="1"/>
    <col min="10" max="16384" width="11.42578125" style="8"/>
  </cols>
  <sheetData>
    <row r="1" spans="1:14" ht="36">
      <c r="A1" s="941" t="s">
        <v>131</v>
      </c>
      <c r="B1" s="941"/>
      <c r="C1" s="941"/>
      <c r="D1" s="941"/>
      <c r="E1" s="941"/>
      <c r="F1" s="941"/>
      <c r="G1" s="941"/>
      <c r="H1" s="941"/>
      <c r="I1" s="941"/>
    </row>
    <row r="2" spans="1:14">
      <c r="A2" s="945" t="s">
        <v>132</v>
      </c>
      <c r="B2" s="945"/>
      <c r="C2" s="945"/>
      <c r="D2" s="945"/>
      <c r="E2" s="945"/>
      <c r="F2" s="945"/>
      <c r="G2" s="945"/>
      <c r="H2" s="945"/>
      <c r="I2" s="945"/>
    </row>
    <row r="3" spans="1:14" ht="6.75" customHeight="1">
      <c r="A3" s="52"/>
      <c r="B3" s="52"/>
      <c r="C3" s="52"/>
      <c r="D3" s="52"/>
      <c r="E3" s="52"/>
      <c r="F3" s="52"/>
      <c r="G3" s="52"/>
      <c r="H3" s="52"/>
    </row>
    <row r="4" spans="1:14" ht="15.75" customHeight="1">
      <c r="A4" s="943" t="s">
        <v>138</v>
      </c>
      <c r="B4" s="943"/>
      <c r="C4" s="943"/>
      <c r="D4" s="942" t="str">
        <f>MCVS!E9</f>
        <v>GUIN-Maurice</v>
      </c>
      <c r="E4" s="942"/>
      <c r="G4" s="53" t="s">
        <v>141</v>
      </c>
      <c r="H4" s="54" t="str">
        <f>MCVS!B10</f>
        <v>DB-436-GD</v>
      </c>
      <c r="K4" s="919" t="s">
        <v>426</v>
      </c>
      <c r="L4" s="919"/>
      <c r="M4" s="919"/>
      <c r="N4" s="919"/>
    </row>
    <row r="5" spans="1:14" ht="8.1" customHeight="1">
      <c r="A5" s="55"/>
      <c r="B5" s="55"/>
      <c r="C5" s="55"/>
      <c r="D5" s="54"/>
      <c r="E5" s="54"/>
      <c r="G5" s="53"/>
      <c r="H5" s="54"/>
      <c r="K5" s="919"/>
      <c r="L5" s="919"/>
      <c r="M5" s="919"/>
      <c r="N5" s="919"/>
    </row>
    <row r="6" spans="1:14" ht="15.75">
      <c r="A6" s="943" t="s">
        <v>139</v>
      </c>
      <c r="B6" s="943"/>
      <c r="C6" s="943"/>
      <c r="D6" s="944">
        <f ca="1">MCVS!K7</f>
        <v>41946</v>
      </c>
      <c r="E6" s="944"/>
      <c r="F6" s="51" t="s">
        <v>140</v>
      </c>
      <c r="G6" s="944">
        <f ca="1">MCVS!L7</f>
        <v>41950</v>
      </c>
      <c r="H6" s="944"/>
      <c r="K6" s="919"/>
      <c r="L6" s="919"/>
      <c r="M6" s="919"/>
      <c r="N6" s="919"/>
    </row>
    <row r="7" spans="1:14" ht="8.1" customHeight="1">
      <c r="A7" s="55"/>
      <c r="B7" s="55"/>
      <c r="C7" s="55"/>
      <c r="D7" s="56"/>
      <c r="E7" s="56"/>
      <c r="F7" s="51"/>
      <c r="G7" s="56"/>
      <c r="H7" s="56"/>
    </row>
    <row r="8" spans="1:14" ht="15.75">
      <c r="A8" s="943" t="s">
        <v>142</v>
      </c>
      <c r="B8" s="943"/>
      <c r="C8" s="943"/>
      <c r="D8" s="943"/>
      <c r="E8" s="943"/>
      <c r="F8" s="943"/>
      <c r="G8" s="923" t="e">
        <f>RecapMois!N3</f>
        <v>#REF!</v>
      </c>
      <c r="H8" s="923"/>
      <c r="I8" s="32"/>
    </row>
    <row r="9" spans="1:14" ht="16.5" thickBot="1">
      <c r="A9" s="927"/>
      <c r="B9" s="928"/>
      <c r="C9" s="928"/>
      <c r="D9" s="928"/>
      <c r="E9" s="928"/>
      <c r="F9" s="928"/>
      <c r="G9" s="928"/>
      <c r="H9" s="928"/>
    </row>
    <row r="10" spans="1:14" ht="12" customHeight="1">
      <c r="A10" s="930" t="s">
        <v>133</v>
      </c>
      <c r="B10" s="306">
        <v>1</v>
      </c>
      <c r="C10" s="307"/>
      <c r="D10" s="307" t="s">
        <v>320</v>
      </c>
      <c r="E10" s="929"/>
      <c r="F10" s="929"/>
      <c r="G10" s="929"/>
      <c r="H10" s="929"/>
      <c r="I10" s="310"/>
    </row>
    <row r="11" spans="1:14" ht="12" customHeight="1">
      <c r="A11" s="931"/>
      <c r="B11" s="308"/>
      <c r="C11" s="309"/>
      <c r="D11" s="309"/>
      <c r="E11" s="922"/>
      <c r="F11" s="922"/>
      <c r="G11" s="922"/>
      <c r="H11" s="922"/>
      <c r="I11" s="311"/>
    </row>
    <row r="12" spans="1:14" ht="12" customHeight="1">
      <c r="A12" s="931"/>
      <c r="B12" s="308"/>
      <c r="C12" s="309"/>
      <c r="D12" s="309" t="s">
        <v>308</v>
      </c>
      <c r="E12" s="922"/>
      <c r="F12" s="922"/>
      <c r="G12" s="922"/>
      <c r="H12" s="922"/>
      <c r="I12" s="311"/>
    </row>
    <row r="13" spans="1:14" ht="12" customHeight="1">
      <c r="A13" s="931"/>
      <c r="B13" s="308"/>
      <c r="C13" s="309"/>
      <c r="D13" s="309"/>
      <c r="E13" s="922"/>
      <c r="F13" s="922"/>
      <c r="G13" s="922"/>
      <c r="H13" s="922"/>
      <c r="I13" s="311"/>
    </row>
    <row r="14" spans="1:14" ht="12" customHeight="1">
      <c r="A14" s="931"/>
      <c r="B14" s="308"/>
      <c r="C14" s="309"/>
      <c r="D14" s="309"/>
      <c r="E14" s="922"/>
      <c r="F14" s="922"/>
      <c r="G14" s="922"/>
      <c r="H14" s="922"/>
      <c r="I14" s="311"/>
    </row>
    <row r="15" spans="1:14" ht="12" customHeight="1">
      <c r="A15" s="931"/>
      <c r="B15" s="308"/>
      <c r="C15" s="309"/>
      <c r="D15" s="309"/>
      <c r="E15" s="922"/>
      <c r="F15" s="922"/>
      <c r="G15" s="922"/>
      <c r="H15" s="922"/>
      <c r="I15" s="311"/>
    </row>
    <row r="16" spans="1:14" ht="12" customHeight="1">
      <c r="A16" s="931"/>
      <c r="B16" s="308"/>
      <c r="C16" s="309"/>
      <c r="D16" s="309"/>
      <c r="E16" s="922"/>
      <c r="F16" s="922"/>
      <c r="G16" s="922"/>
      <c r="H16" s="922"/>
      <c r="I16" s="311"/>
    </row>
    <row r="17" spans="1:17" ht="12" customHeight="1">
      <c r="A17" s="931"/>
      <c r="B17" s="308"/>
      <c r="C17" s="309"/>
      <c r="D17" s="309"/>
      <c r="E17" s="922"/>
      <c r="F17" s="922"/>
      <c r="G17" s="922"/>
      <c r="H17" s="922"/>
      <c r="I17" s="311"/>
    </row>
    <row r="18" spans="1:17" ht="12" customHeight="1">
      <c r="A18" s="931"/>
      <c r="B18" s="308"/>
      <c r="C18" s="309"/>
      <c r="D18" s="309"/>
      <c r="E18" s="922"/>
      <c r="F18" s="922"/>
      <c r="G18" s="922"/>
      <c r="H18" s="922"/>
      <c r="I18" s="311"/>
    </row>
    <row r="19" spans="1:17" ht="12" customHeight="1">
      <c r="A19" s="931"/>
      <c r="B19" s="308"/>
      <c r="C19" s="309"/>
      <c r="D19" s="309"/>
      <c r="E19" s="922"/>
      <c r="F19" s="922"/>
      <c r="G19" s="922"/>
      <c r="H19" s="922"/>
      <c r="I19" s="311"/>
    </row>
    <row r="20" spans="1:17" ht="12" customHeight="1" thickBot="1">
      <c r="A20" s="932"/>
      <c r="B20" s="924"/>
      <c r="C20" s="925"/>
      <c r="D20" s="925"/>
      <c r="E20" s="925"/>
      <c r="F20" s="925"/>
      <c r="G20" s="925"/>
      <c r="H20" s="925"/>
      <c r="I20" s="926"/>
    </row>
    <row r="21" spans="1:17" ht="12" customHeight="1">
      <c r="A21" s="933" t="s">
        <v>134</v>
      </c>
      <c r="B21" s="306"/>
      <c r="C21" s="307"/>
      <c r="D21" s="307"/>
      <c r="E21" s="929"/>
      <c r="F21" s="929"/>
      <c r="G21" s="929"/>
      <c r="H21" s="929"/>
      <c r="I21" s="310"/>
    </row>
    <row r="22" spans="1:17" ht="12" customHeight="1">
      <c r="A22" s="934"/>
      <c r="B22" s="308"/>
      <c r="C22" s="309"/>
      <c r="D22" s="309"/>
      <c r="E22" s="922"/>
      <c r="F22" s="922"/>
      <c r="G22" s="922"/>
      <c r="H22" s="922"/>
      <c r="I22" s="311"/>
    </row>
    <row r="23" spans="1:17" ht="12" customHeight="1">
      <c r="A23" s="934"/>
      <c r="B23" s="308"/>
      <c r="C23" s="309"/>
      <c r="D23" s="309"/>
      <c r="E23" s="922"/>
      <c r="F23" s="922"/>
      <c r="G23" s="922"/>
      <c r="H23" s="922"/>
      <c r="I23" s="311"/>
    </row>
    <row r="24" spans="1:17" ht="12" customHeight="1">
      <c r="A24" s="934"/>
      <c r="B24" s="308"/>
      <c r="C24" s="309"/>
      <c r="D24" s="309"/>
      <c r="E24" s="922"/>
      <c r="F24" s="922"/>
      <c r="G24" s="922"/>
      <c r="H24" s="922"/>
      <c r="I24" s="311"/>
    </row>
    <row r="25" spans="1:17" ht="12" customHeight="1" thickBot="1">
      <c r="A25" s="934"/>
      <c r="B25" s="308"/>
      <c r="C25" s="309"/>
      <c r="D25" s="309"/>
      <c r="E25" s="922"/>
      <c r="F25" s="922"/>
      <c r="G25" s="922"/>
      <c r="H25" s="922"/>
      <c r="I25" s="311"/>
    </row>
    <row r="26" spans="1:17" ht="12" customHeight="1">
      <c r="A26" s="934"/>
      <c r="B26" s="308"/>
      <c r="C26" s="309"/>
      <c r="D26" s="309"/>
      <c r="E26" s="922"/>
      <c r="F26" s="922"/>
      <c r="G26" s="922"/>
      <c r="H26" s="922"/>
      <c r="I26" s="311"/>
      <c r="K26" s="313" t="s">
        <v>204</v>
      </c>
      <c r="L26" s="936" t="s">
        <v>205</v>
      </c>
      <c r="M26" s="936"/>
      <c r="N26" s="936"/>
      <c r="O26" s="936"/>
      <c r="P26" s="936"/>
      <c r="Q26" s="937"/>
    </row>
    <row r="27" spans="1:17" ht="12" customHeight="1">
      <c r="A27" s="934"/>
      <c r="B27" s="308"/>
      <c r="C27" s="309"/>
      <c r="D27" s="309"/>
      <c r="E27" s="922"/>
      <c r="F27" s="922"/>
      <c r="G27" s="922"/>
      <c r="H27" s="922"/>
      <c r="I27" s="311"/>
      <c r="K27" s="314" t="s">
        <v>206</v>
      </c>
      <c r="L27" s="920" t="s">
        <v>207</v>
      </c>
      <c r="M27" s="920"/>
      <c r="N27" s="920"/>
      <c r="O27" s="920"/>
      <c r="P27" s="920"/>
      <c r="Q27" s="921"/>
    </row>
    <row r="28" spans="1:17" ht="12" customHeight="1">
      <c r="A28" s="934"/>
      <c r="B28" s="308"/>
      <c r="C28" s="309"/>
      <c r="D28" s="309"/>
      <c r="E28" s="922"/>
      <c r="F28" s="922"/>
      <c r="G28" s="922"/>
      <c r="H28" s="922"/>
      <c r="I28" s="311"/>
      <c r="K28" s="62" t="s">
        <v>208</v>
      </c>
      <c r="L28" s="920" t="s">
        <v>209</v>
      </c>
      <c r="M28" s="920"/>
      <c r="N28" s="920"/>
      <c r="O28" s="920"/>
      <c r="P28" s="920"/>
      <c r="Q28" s="921"/>
    </row>
    <row r="29" spans="1:17" ht="12" customHeight="1">
      <c r="A29" s="934"/>
      <c r="B29" s="308"/>
      <c r="C29" s="309"/>
      <c r="D29" s="309"/>
      <c r="E29" s="922"/>
      <c r="F29" s="922"/>
      <c r="G29" s="922"/>
      <c r="H29" s="922"/>
      <c r="I29" s="311"/>
      <c r="K29" s="62" t="s">
        <v>210</v>
      </c>
      <c r="L29" s="920" t="s">
        <v>211</v>
      </c>
      <c r="M29" s="920"/>
      <c r="N29" s="920"/>
      <c r="O29" s="920"/>
      <c r="P29" s="920"/>
      <c r="Q29" s="921"/>
    </row>
    <row r="30" spans="1:17" ht="12" customHeight="1">
      <c r="A30" s="934"/>
      <c r="B30" s="308"/>
      <c r="C30" s="309"/>
      <c r="D30" s="309"/>
      <c r="E30" s="922"/>
      <c r="F30" s="922"/>
      <c r="G30" s="922"/>
      <c r="H30" s="922"/>
      <c r="I30" s="311"/>
      <c r="K30" s="62" t="s">
        <v>212</v>
      </c>
      <c r="L30" s="920" t="s">
        <v>213</v>
      </c>
      <c r="M30" s="920"/>
      <c r="N30" s="920"/>
      <c r="O30" s="920"/>
      <c r="P30" s="920"/>
      <c r="Q30" s="921"/>
    </row>
    <row r="31" spans="1:17" ht="12" customHeight="1" thickBot="1">
      <c r="A31" s="935"/>
      <c r="B31" s="924"/>
      <c r="C31" s="925"/>
      <c r="D31" s="925"/>
      <c r="E31" s="925"/>
      <c r="F31" s="925"/>
      <c r="G31" s="925"/>
      <c r="H31" s="925"/>
      <c r="I31" s="926"/>
      <c r="K31" s="62" t="s">
        <v>214</v>
      </c>
      <c r="L31" s="920" t="s">
        <v>215</v>
      </c>
      <c r="M31" s="920"/>
      <c r="N31" s="920"/>
      <c r="O31" s="920"/>
      <c r="P31" s="920"/>
      <c r="Q31" s="921"/>
    </row>
    <row r="32" spans="1:17" ht="12" customHeight="1">
      <c r="A32" s="933" t="s">
        <v>135</v>
      </c>
      <c r="B32" s="306"/>
      <c r="C32" s="307"/>
      <c r="D32" s="307"/>
      <c r="E32" s="929"/>
      <c r="F32" s="929"/>
      <c r="G32" s="929"/>
      <c r="H32" s="929"/>
      <c r="I32" s="310"/>
      <c r="K32" s="62" t="s">
        <v>216</v>
      </c>
      <c r="L32" s="920" t="s">
        <v>217</v>
      </c>
      <c r="M32" s="920"/>
      <c r="N32" s="920"/>
      <c r="O32" s="920"/>
      <c r="P32" s="920"/>
      <c r="Q32" s="921"/>
    </row>
    <row r="33" spans="1:17" ht="12" customHeight="1">
      <c r="A33" s="934"/>
      <c r="B33" s="308"/>
      <c r="C33" s="309"/>
      <c r="D33" s="309"/>
      <c r="E33" s="922"/>
      <c r="F33" s="922"/>
      <c r="G33" s="922"/>
      <c r="H33" s="922"/>
      <c r="I33" s="311"/>
      <c r="K33" s="62" t="s">
        <v>218</v>
      </c>
      <c r="L33" s="920" t="s">
        <v>219</v>
      </c>
      <c r="M33" s="920"/>
      <c r="N33" s="920"/>
      <c r="O33" s="920"/>
      <c r="P33" s="920"/>
      <c r="Q33" s="921"/>
    </row>
    <row r="34" spans="1:17" ht="12" customHeight="1">
      <c r="A34" s="934"/>
      <c r="B34" s="308"/>
      <c r="C34" s="309"/>
      <c r="D34" s="309"/>
      <c r="E34" s="922"/>
      <c r="F34" s="922"/>
      <c r="G34" s="922"/>
      <c r="H34" s="922"/>
      <c r="I34" s="311"/>
      <c r="K34" s="314" t="s">
        <v>220</v>
      </c>
      <c r="L34" s="920" t="s">
        <v>221</v>
      </c>
      <c r="M34" s="920"/>
      <c r="N34" s="920"/>
      <c r="O34" s="920"/>
      <c r="P34" s="920"/>
      <c r="Q34" s="921"/>
    </row>
    <row r="35" spans="1:17" ht="12" customHeight="1">
      <c r="A35" s="934"/>
      <c r="B35" s="308"/>
      <c r="C35" s="309"/>
      <c r="D35" s="309"/>
      <c r="E35" s="922"/>
      <c r="F35" s="922"/>
      <c r="G35" s="922"/>
      <c r="H35" s="922"/>
      <c r="I35" s="311"/>
      <c r="K35" s="62" t="s">
        <v>222</v>
      </c>
      <c r="L35" s="920" t="s">
        <v>223</v>
      </c>
      <c r="M35" s="920"/>
      <c r="N35" s="920"/>
      <c r="O35" s="920"/>
      <c r="P35" s="920"/>
      <c r="Q35" s="921"/>
    </row>
    <row r="36" spans="1:17" ht="12" customHeight="1">
      <c r="A36" s="934"/>
      <c r="B36" s="308"/>
      <c r="C36" s="309"/>
      <c r="D36" s="309"/>
      <c r="E36" s="922"/>
      <c r="F36" s="922"/>
      <c r="G36" s="922"/>
      <c r="H36" s="922"/>
      <c r="I36" s="311"/>
      <c r="K36" s="62" t="s">
        <v>224</v>
      </c>
      <c r="L36" s="920" t="s">
        <v>225</v>
      </c>
      <c r="M36" s="920"/>
      <c r="N36" s="920"/>
      <c r="O36" s="920"/>
      <c r="P36" s="920"/>
      <c r="Q36" s="921"/>
    </row>
    <row r="37" spans="1:17" ht="12" customHeight="1">
      <c r="A37" s="934"/>
      <c r="B37" s="308"/>
      <c r="C37" s="309"/>
      <c r="D37" s="309"/>
      <c r="E37" s="922"/>
      <c r="F37" s="922"/>
      <c r="G37" s="922"/>
      <c r="H37" s="922"/>
      <c r="I37" s="311"/>
      <c r="K37" s="314" t="s">
        <v>226</v>
      </c>
      <c r="L37" s="920" t="s">
        <v>227</v>
      </c>
      <c r="M37" s="920"/>
      <c r="N37" s="920"/>
      <c r="O37" s="920"/>
      <c r="P37" s="920"/>
      <c r="Q37" s="921"/>
    </row>
    <row r="38" spans="1:17" ht="12" customHeight="1" thickBot="1">
      <c r="A38" s="934"/>
      <c r="B38" s="308"/>
      <c r="C38" s="309"/>
      <c r="D38" s="309"/>
      <c r="E38" s="922"/>
      <c r="F38" s="922"/>
      <c r="G38" s="922"/>
      <c r="H38" s="922"/>
      <c r="I38" s="311"/>
      <c r="K38" s="315" t="s">
        <v>228</v>
      </c>
      <c r="L38" s="939" t="s">
        <v>229</v>
      </c>
      <c r="M38" s="939"/>
      <c r="N38" s="939"/>
      <c r="O38" s="939"/>
      <c r="P38" s="939"/>
      <c r="Q38" s="940"/>
    </row>
    <row r="39" spans="1:17" ht="12" customHeight="1">
      <c r="A39" s="934"/>
      <c r="B39" s="308"/>
      <c r="C39" s="309"/>
      <c r="D39" s="309"/>
      <c r="E39" s="922"/>
      <c r="F39" s="922"/>
      <c r="G39" s="922"/>
      <c r="H39" s="922"/>
      <c r="I39" s="311"/>
    </row>
    <row r="40" spans="1:17" ht="12" customHeight="1">
      <c r="A40" s="934"/>
      <c r="B40" s="308"/>
      <c r="C40" s="309"/>
      <c r="D40" s="309"/>
      <c r="E40" s="922"/>
      <c r="F40" s="922"/>
      <c r="G40" s="922"/>
      <c r="H40" s="922"/>
      <c r="I40" s="311"/>
    </row>
    <row r="41" spans="1:17" ht="12" customHeight="1">
      <c r="A41" s="934"/>
      <c r="B41" s="308"/>
      <c r="C41" s="309"/>
      <c r="D41" s="309"/>
      <c r="E41" s="922"/>
      <c r="F41" s="922"/>
      <c r="G41" s="922"/>
      <c r="H41" s="922"/>
      <c r="I41" s="311"/>
    </row>
    <row r="42" spans="1:17" ht="12" customHeight="1" thickBot="1">
      <c r="A42" s="935"/>
      <c r="B42" s="924"/>
      <c r="C42" s="925"/>
      <c r="D42" s="925"/>
      <c r="E42" s="925"/>
      <c r="F42" s="925"/>
      <c r="G42" s="925"/>
      <c r="H42" s="925"/>
      <c r="I42" s="926"/>
    </row>
    <row r="43" spans="1:17" ht="12" customHeight="1">
      <c r="A43" s="933" t="s">
        <v>136</v>
      </c>
      <c r="B43" s="306"/>
      <c r="C43" s="307"/>
      <c r="D43" s="307"/>
      <c r="E43" s="929"/>
      <c r="F43" s="929"/>
      <c r="G43" s="929"/>
      <c r="H43" s="929"/>
      <c r="I43" s="310"/>
    </row>
    <row r="44" spans="1:17" ht="12" customHeight="1">
      <c r="A44" s="934"/>
      <c r="B44" s="308"/>
      <c r="C44" s="309"/>
      <c r="D44" s="309"/>
      <c r="E44" s="922"/>
      <c r="F44" s="922"/>
      <c r="G44" s="922"/>
      <c r="H44" s="922"/>
      <c r="I44" s="311"/>
    </row>
    <row r="45" spans="1:17" ht="12" customHeight="1">
      <c r="A45" s="934"/>
      <c r="B45" s="308"/>
      <c r="C45" s="309"/>
      <c r="D45" s="309"/>
      <c r="E45" s="922"/>
      <c r="F45" s="922"/>
      <c r="G45" s="922"/>
      <c r="H45" s="922"/>
      <c r="I45" s="311"/>
    </row>
    <row r="46" spans="1:17" ht="12" customHeight="1">
      <c r="A46" s="934"/>
      <c r="B46" s="308"/>
      <c r="C46" s="309"/>
      <c r="D46" s="309"/>
      <c r="E46" s="922"/>
      <c r="F46" s="922"/>
      <c r="G46" s="922"/>
      <c r="H46" s="922"/>
      <c r="I46" s="311"/>
    </row>
    <row r="47" spans="1:17" ht="12" customHeight="1">
      <c r="A47" s="934"/>
      <c r="B47" s="308"/>
      <c r="C47" s="309"/>
      <c r="D47" s="309"/>
      <c r="E47" s="922"/>
      <c r="F47" s="922"/>
      <c r="G47" s="922"/>
      <c r="H47" s="922"/>
      <c r="I47" s="311"/>
    </row>
    <row r="48" spans="1:17" ht="12" customHeight="1">
      <c r="A48" s="934"/>
      <c r="B48" s="308"/>
      <c r="C48" s="309"/>
      <c r="D48" s="309"/>
      <c r="E48" s="922"/>
      <c r="F48" s="922"/>
      <c r="G48" s="922"/>
      <c r="H48" s="922"/>
      <c r="I48" s="311"/>
    </row>
    <row r="49" spans="1:9" ht="12" customHeight="1">
      <c r="A49" s="934"/>
      <c r="B49" s="308"/>
      <c r="C49" s="309"/>
      <c r="D49" s="309"/>
      <c r="E49" s="922"/>
      <c r="F49" s="922"/>
      <c r="G49" s="922"/>
      <c r="H49" s="922"/>
      <c r="I49" s="311"/>
    </row>
    <row r="50" spans="1:9" ht="12" customHeight="1">
      <c r="A50" s="934"/>
      <c r="B50" s="308"/>
      <c r="C50" s="309"/>
      <c r="D50" s="309"/>
      <c r="E50" s="922"/>
      <c r="F50" s="922"/>
      <c r="G50" s="922"/>
      <c r="H50" s="922"/>
      <c r="I50" s="311"/>
    </row>
    <row r="51" spans="1:9" ht="12" customHeight="1">
      <c r="A51" s="934"/>
      <c r="B51" s="308"/>
      <c r="C51" s="309"/>
      <c r="D51" s="309"/>
      <c r="E51" s="922"/>
      <c r="F51" s="922"/>
      <c r="G51" s="922"/>
      <c r="H51" s="922"/>
      <c r="I51" s="311"/>
    </row>
    <row r="52" spans="1:9" ht="12" customHeight="1">
      <c r="A52" s="934"/>
      <c r="B52" s="308"/>
      <c r="C52" s="309"/>
      <c r="D52" s="309"/>
      <c r="E52" s="922"/>
      <c r="F52" s="922"/>
      <c r="G52" s="922"/>
      <c r="H52" s="922"/>
      <c r="I52" s="311"/>
    </row>
    <row r="53" spans="1:9" ht="12" customHeight="1" thickBot="1">
      <c r="A53" s="935"/>
      <c r="B53" s="924"/>
      <c r="C53" s="925"/>
      <c r="D53" s="925"/>
      <c r="E53" s="925"/>
      <c r="F53" s="925"/>
      <c r="G53" s="925"/>
      <c r="H53" s="925"/>
      <c r="I53" s="926"/>
    </row>
    <row r="54" spans="1:9" ht="12" customHeight="1">
      <c r="A54" s="933" t="s">
        <v>137</v>
      </c>
      <c r="B54" s="306"/>
      <c r="C54" s="307"/>
      <c r="D54" s="307"/>
      <c r="E54" s="929"/>
      <c r="F54" s="929"/>
      <c r="G54" s="929"/>
      <c r="H54" s="929"/>
      <c r="I54" s="310"/>
    </row>
    <row r="55" spans="1:9" ht="12" customHeight="1">
      <c r="A55" s="934"/>
      <c r="B55" s="308"/>
      <c r="C55" s="309"/>
      <c r="D55" s="309"/>
      <c r="E55" s="922"/>
      <c r="F55" s="922"/>
      <c r="G55" s="922"/>
      <c r="H55" s="922"/>
      <c r="I55" s="311"/>
    </row>
    <row r="56" spans="1:9" ht="12" customHeight="1">
      <c r="A56" s="934"/>
      <c r="B56" s="308"/>
      <c r="C56" s="309"/>
      <c r="D56" s="309"/>
      <c r="E56" s="922"/>
      <c r="F56" s="922"/>
      <c r="G56" s="922"/>
      <c r="H56" s="922"/>
      <c r="I56" s="311"/>
    </row>
    <row r="57" spans="1:9" ht="12" customHeight="1">
      <c r="A57" s="934"/>
      <c r="B57" s="308"/>
      <c r="C57" s="309"/>
      <c r="D57" s="309"/>
      <c r="E57" s="922"/>
      <c r="F57" s="922"/>
      <c r="G57" s="922"/>
      <c r="H57" s="922"/>
      <c r="I57" s="311"/>
    </row>
    <row r="58" spans="1:9" ht="12" customHeight="1">
      <c r="A58" s="934"/>
      <c r="B58" s="308"/>
      <c r="C58" s="309"/>
      <c r="D58" s="309"/>
      <c r="E58" s="922"/>
      <c r="F58" s="922"/>
      <c r="G58" s="922"/>
      <c r="H58" s="922"/>
      <c r="I58" s="311"/>
    </row>
    <row r="59" spans="1:9" ht="12" customHeight="1">
      <c r="A59" s="934"/>
      <c r="B59" s="308"/>
      <c r="C59" s="309"/>
      <c r="D59" s="309"/>
      <c r="E59" s="922"/>
      <c r="F59" s="922"/>
      <c r="G59" s="922"/>
      <c r="H59" s="922"/>
      <c r="I59" s="311"/>
    </row>
    <row r="60" spans="1:9" ht="12" customHeight="1">
      <c r="A60" s="934"/>
      <c r="B60" s="308"/>
      <c r="C60" s="309"/>
      <c r="D60" s="309"/>
      <c r="E60" s="922"/>
      <c r="F60" s="922"/>
      <c r="G60" s="922"/>
      <c r="H60" s="922"/>
      <c r="I60" s="311"/>
    </row>
    <row r="61" spans="1:9" ht="12" customHeight="1">
      <c r="A61" s="934"/>
      <c r="B61" s="308"/>
      <c r="C61" s="309"/>
      <c r="D61" s="309"/>
      <c r="E61" s="922"/>
      <c r="F61" s="922"/>
      <c r="G61" s="922"/>
      <c r="H61" s="922"/>
      <c r="I61" s="311"/>
    </row>
    <row r="62" spans="1:9" ht="12" customHeight="1">
      <c r="A62" s="934"/>
      <c r="B62" s="308"/>
      <c r="C62" s="309"/>
      <c r="D62" s="309"/>
      <c r="E62" s="922"/>
      <c r="F62" s="922"/>
      <c r="G62" s="922"/>
      <c r="H62" s="922"/>
      <c r="I62" s="311"/>
    </row>
    <row r="63" spans="1:9" ht="12" customHeight="1">
      <c r="A63" s="934"/>
      <c r="B63" s="308"/>
      <c r="C63" s="309"/>
      <c r="D63" s="309"/>
      <c r="E63" s="922"/>
      <c r="F63" s="922"/>
      <c r="G63" s="922"/>
      <c r="H63" s="922"/>
      <c r="I63" s="311"/>
    </row>
    <row r="64" spans="1:9" ht="12" customHeight="1" thickBot="1">
      <c r="A64" s="935"/>
      <c r="B64" s="924"/>
      <c r="C64" s="925"/>
      <c r="D64" s="925"/>
      <c r="E64" s="925"/>
      <c r="F64" s="925"/>
      <c r="G64" s="925"/>
      <c r="H64" s="925"/>
      <c r="I64" s="926"/>
    </row>
    <row r="66" spans="1:9">
      <c r="A66" s="938" t="str">
        <f ca="1">TEXT(MCVS!P64,"Texte")</f>
        <v>Rapport d'Activité GUIN-Maurice du 03-11 au 07-11-2014</v>
      </c>
      <c r="B66" s="938"/>
      <c r="C66" s="938"/>
      <c r="D66" s="938"/>
      <c r="E66" s="938"/>
      <c r="F66" s="938"/>
      <c r="G66" s="938"/>
      <c r="H66" s="938"/>
      <c r="I66" s="938"/>
    </row>
  </sheetData>
  <sheetProtection password="ECFA" sheet="1" objects="1" scenarios="1" selectLockedCells="1"/>
  <mergeCells count="85">
    <mergeCell ref="E50:H50"/>
    <mergeCell ref="E51:H51"/>
    <mergeCell ref="E52:H52"/>
    <mergeCell ref="E49:H49"/>
    <mergeCell ref="E37:H37"/>
    <mergeCell ref="E38:H38"/>
    <mergeCell ref="E39:H39"/>
    <mergeCell ref="E40:H40"/>
    <mergeCell ref="E41:H41"/>
    <mergeCell ref="E46:H46"/>
    <mergeCell ref="E47:H47"/>
    <mergeCell ref="B42:I42"/>
    <mergeCell ref="E26:H26"/>
    <mergeCell ref="E27:H27"/>
    <mergeCell ref="E28:H28"/>
    <mergeCell ref="E29:H29"/>
    <mergeCell ref="E30:H30"/>
    <mergeCell ref="E56:H56"/>
    <mergeCell ref="E57:H57"/>
    <mergeCell ref="B64:I64"/>
    <mergeCell ref="E60:H60"/>
    <mergeCell ref="E61:H61"/>
    <mergeCell ref="E62:H62"/>
    <mergeCell ref="E63:H63"/>
    <mergeCell ref="E59:H59"/>
    <mergeCell ref="E34:H34"/>
    <mergeCell ref="E35:H35"/>
    <mergeCell ref="E36:H36"/>
    <mergeCell ref="A2:I2"/>
    <mergeCell ref="A8:F8"/>
    <mergeCell ref="E16:H16"/>
    <mergeCell ref="E17:H17"/>
    <mergeCell ref="E18:H18"/>
    <mergeCell ref="E19:H19"/>
    <mergeCell ref="E21:H21"/>
    <mergeCell ref="E22:H22"/>
    <mergeCell ref="E23:H23"/>
    <mergeCell ref="E24:H24"/>
    <mergeCell ref="E25:H25"/>
    <mergeCell ref="E32:H32"/>
    <mergeCell ref="B31:I31"/>
    <mergeCell ref="A1:I1"/>
    <mergeCell ref="D4:E4"/>
    <mergeCell ref="A4:C4"/>
    <mergeCell ref="G6:H6"/>
    <mergeCell ref="D6:E6"/>
    <mergeCell ref="A6:C6"/>
    <mergeCell ref="A66:I66"/>
    <mergeCell ref="L36:Q36"/>
    <mergeCell ref="L37:Q37"/>
    <mergeCell ref="L38:Q38"/>
    <mergeCell ref="L35:Q35"/>
    <mergeCell ref="E45:H45"/>
    <mergeCell ref="E58:H58"/>
    <mergeCell ref="E48:H48"/>
    <mergeCell ref="A54:A64"/>
    <mergeCell ref="A32:A42"/>
    <mergeCell ref="A43:A53"/>
    <mergeCell ref="E43:H43"/>
    <mergeCell ref="E44:H44"/>
    <mergeCell ref="E54:H54"/>
    <mergeCell ref="B53:I53"/>
    <mergeCell ref="E55:H55"/>
    <mergeCell ref="L34:Q34"/>
    <mergeCell ref="L26:Q26"/>
    <mergeCell ref="L27:Q27"/>
    <mergeCell ref="L28:Q28"/>
    <mergeCell ref="L29:Q29"/>
    <mergeCell ref="L30:Q30"/>
    <mergeCell ref="K4:N6"/>
    <mergeCell ref="L31:Q31"/>
    <mergeCell ref="L32:Q32"/>
    <mergeCell ref="L33:Q33"/>
    <mergeCell ref="E15:H15"/>
    <mergeCell ref="G8:H8"/>
    <mergeCell ref="B20:I20"/>
    <mergeCell ref="A9:H9"/>
    <mergeCell ref="E10:H10"/>
    <mergeCell ref="E11:H11"/>
    <mergeCell ref="E12:H12"/>
    <mergeCell ref="E13:H13"/>
    <mergeCell ref="E14:H14"/>
    <mergeCell ref="A10:A20"/>
    <mergeCell ref="A21:A31"/>
    <mergeCell ref="E33:H33"/>
  </mergeCells>
  <dataValidations count="2">
    <dataValidation type="list" allowBlank="1" showInputMessage="1" showErrorMessage="1" sqref="C54:C63 C21:C30 C32:C41 C43:C52 C10:C19">
      <formula1>Dchoix</formula1>
    </dataValidation>
    <dataValidation type="list" allowBlank="1" showInputMessage="1" showErrorMessage="1" sqref="D10:D19 D21:D30 D32:D41 D43:D52 D54:D63">
      <formula1>Cobjet</formula1>
    </dataValidation>
  </dataValidations>
  <printOptions horizontalCentered="1"/>
  <pageMargins left="0" right="0" top="0" bottom="0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  <pageSetUpPr fitToPage="1"/>
  </sheetPr>
  <dimension ref="A1:O53"/>
  <sheetViews>
    <sheetView workbookViewId="0">
      <selection activeCell="C18" sqref="C18:E18"/>
    </sheetView>
  </sheetViews>
  <sheetFormatPr baseColWidth="10" defaultRowHeight="15"/>
  <cols>
    <col min="1" max="1" width="18.42578125" bestFit="1" customWidth="1"/>
    <col min="2" max="2" width="5.7109375" customWidth="1"/>
    <col min="4" max="4" width="5.7109375" customWidth="1"/>
    <col min="6" max="6" width="5.7109375" customWidth="1"/>
    <col min="8" max="8" width="5.7109375" customWidth="1"/>
    <col min="9" max="9" width="16.42578125" bestFit="1" customWidth="1"/>
    <col min="10" max="10" width="5.140625" customWidth="1"/>
    <col min="12" max="12" width="14.7109375" bestFit="1" customWidth="1"/>
    <col min="13" max="13" width="15.28515625" bestFit="1" customWidth="1"/>
    <col min="14" max="14" width="13.85546875" bestFit="1" customWidth="1"/>
    <col min="15" max="15" width="12.85546875" bestFit="1" customWidth="1"/>
  </cols>
  <sheetData>
    <row r="1" spans="1:15" ht="24.75" customHeight="1">
      <c r="A1" s="957"/>
      <c r="B1" s="957"/>
      <c r="C1" s="957"/>
      <c r="D1" s="957"/>
      <c r="E1" s="957"/>
      <c r="F1" s="957"/>
      <c r="G1" s="957"/>
      <c r="H1" s="957"/>
      <c r="I1" s="957"/>
      <c r="J1" s="957"/>
    </row>
    <row r="2" spans="1:15" ht="26.25">
      <c r="G2" s="953" t="s">
        <v>446</v>
      </c>
      <c r="H2" s="953"/>
      <c r="I2" s="953"/>
      <c r="J2" s="953"/>
    </row>
    <row r="3" spans="1:15" ht="26.25">
      <c r="A3" s="954" t="s">
        <v>427</v>
      </c>
      <c r="B3" s="954"/>
      <c r="C3" s="954"/>
      <c r="L3" s="471"/>
    </row>
    <row r="4" spans="1:15">
      <c r="A4" s="951" t="s">
        <v>400</v>
      </c>
      <c r="B4" s="951"/>
      <c r="C4" s="951"/>
      <c r="D4" s="951"/>
      <c r="E4" s="951"/>
      <c r="F4" s="951"/>
      <c r="G4" s="951"/>
      <c r="H4" s="951"/>
      <c r="I4" s="951"/>
      <c r="J4" s="951"/>
      <c r="L4" s="475"/>
      <c r="M4" s="475"/>
    </row>
    <row r="6" spans="1:15" ht="15.75" thickBot="1">
      <c r="A6" t="s">
        <v>447</v>
      </c>
      <c r="B6" s="476"/>
      <c r="C6" s="955" t="str">
        <f>MCVS!E9</f>
        <v>GUIN-Maurice</v>
      </c>
      <c r="D6" s="955"/>
      <c r="E6" s="955"/>
      <c r="F6" s="955"/>
      <c r="G6" s="955"/>
      <c r="H6" s="955"/>
      <c r="I6" s="955"/>
      <c r="J6" s="955"/>
    </row>
    <row r="7" spans="1:15">
      <c r="B7" s="476"/>
      <c r="C7" s="477"/>
      <c r="D7" s="477"/>
      <c r="E7" s="477"/>
      <c r="F7" s="477"/>
      <c r="G7" s="477"/>
      <c r="H7" s="477"/>
      <c r="I7" s="477"/>
      <c r="J7" s="477"/>
      <c r="L7" s="498">
        <v>41699</v>
      </c>
      <c r="M7" s="502">
        <v>41730</v>
      </c>
      <c r="N7" s="485">
        <f ca="1">EOMONTH(TODAY(),0)</f>
        <v>41973</v>
      </c>
      <c r="O7" s="486"/>
    </row>
    <row r="8" spans="1:15">
      <c r="B8" s="958"/>
      <c r="C8" s="958"/>
      <c r="D8" s="958"/>
      <c r="E8" s="958"/>
      <c r="F8" s="958"/>
      <c r="G8" s="958"/>
      <c r="H8" s="958"/>
      <c r="I8" s="958"/>
      <c r="J8" s="958"/>
      <c r="L8" s="499" t="s">
        <v>461</v>
      </c>
      <c r="M8" s="500" t="s">
        <v>451</v>
      </c>
      <c r="N8" s="500" t="s">
        <v>452</v>
      </c>
      <c r="O8" s="501" t="s">
        <v>453</v>
      </c>
    </row>
    <row r="9" spans="1:15">
      <c r="B9" s="478"/>
      <c r="C9" s="478"/>
      <c r="D9" s="478"/>
      <c r="E9" s="478"/>
      <c r="F9" s="478"/>
      <c r="G9" s="478"/>
      <c r="H9" s="478"/>
      <c r="I9" s="478"/>
      <c r="J9" s="478"/>
      <c r="L9" s="514">
        <v>2</v>
      </c>
      <c r="M9" s="503">
        <v>2.5</v>
      </c>
      <c r="N9" s="492">
        <f ca="1">DATEDIF(M7,N7,"m")</f>
        <v>7</v>
      </c>
      <c r="O9" s="489">
        <f ca="1">(M9*N9)+L9</f>
        <v>19.5</v>
      </c>
    </row>
    <row r="10" spans="1:15">
      <c r="A10" t="s">
        <v>448</v>
      </c>
      <c r="B10" s="480"/>
      <c r="C10" s="955" t="str">
        <f>MCVS!N2</f>
        <v>BERTRAND-Eric</v>
      </c>
      <c r="D10" s="955"/>
      <c r="E10" s="955"/>
      <c r="F10" s="955"/>
      <c r="G10" s="955"/>
      <c r="H10" s="955"/>
      <c r="I10" s="955"/>
      <c r="J10" s="955"/>
      <c r="L10" s="487" t="s">
        <v>454</v>
      </c>
      <c r="M10" s="488" t="s">
        <v>466</v>
      </c>
      <c r="N10" s="488" t="s">
        <v>450</v>
      </c>
      <c r="O10" s="489" t="s">
        <v>462</v>
      </c>
    </row>
    <row r="11" spans="1:15" ht="15.75" thickBot="1">
      <c r="L11" s="490">
        <f ca="1">O9</f>
        <v>19.5</v>
      </c>
      <c r="M11" s="491">
        <f>O27</f>
        <v>7</v>
      </c>
      <c r="N11" s="494">
        <f ca="1">L11-M11</f>
        <v>12.5</v>
      </c>
      <c r="O11" s="493">
        <f ca="1">EOMONTH(TODAY(),-1)</f>
        <v>41943</v>
      </c>
    </row>
    <row r="12" spans="1:15" ht="15.75" thickBot="1">
      <c r="A12" t="s">
        <v>449</v>
      </c>
    </row>
    <row r="13" spans="1:15" ht="16.5" thickBot="1">
      <c r="B13" s="479"/>
      <c r="C13" t="s">
        <v>428</v>
      </c>
      <c r="D13" s="479"/>
      <c r="E13" t="s">
        <v>429</v>
      </c>
      <c r="F13" s="479"/>
      <c r="G13" t="s">
        <v>430</v>
      </c>
      <c r="H13" s="479"/>
      <c r="I13" t="s">
        <v>431</v>
      </c>
      <c r="L13" s="946" t="s">
        <v>458</v>
      </c>
      <c r="M13" s="947"/>
      <c r="N13" s="947"/>
      <c r="O13" s="948"/>
    </row>
    <row r="14" spans="1:15">
      <c r="B14" s="472"/>
      <c r="D14" s="472"/>
      <c r="F14" s="472"/>
      <c r="H14" s="472"/>
      <c r="L14" s="504" t="s">
        <v>459</v>
      </c>
      <c r="M14" s="505" t="s">
        <v>460</v>
      </c>
      <c r="N14" s="505" t="s">
        <v>463</v>
      </c>
      <c r="O14" s="506" t="s">
        <v>464</v>
      </c>
    </row>
    <row r="15" spans="1:15" ht="15.75" thickBot="1">
      <c r="C15" s="956" t="s">
        <v>432</v>
      </c>
      <c r="E15" s="956" t="s">
        <v>433</v>
      </c>
      <c r="G15" s="956" t="s">
        <v>434</v>
      </c>
      <c r="L15" s="496">
        <v>41860</v>
      </c>
      <c r="M15" s="495">
        <v>41875</v>
      </c>
      <c r="N15" s="482">
        <f>DATEDIF(L15,M15,"d")</f>
        <v>15</v>
      </c>
      <c r="O15" s="508">
        <v>7</v>
      </c>
    </row>
    <row r="16" spans="1:15" ht="16.5" thickBot="1">
      <c r="B16" s="479"/>
      <c r="C16" s="957"/>
      <c r="D16" s="479"/>
      <c r="E16" s="957"/>
      <c r="F16" s="479"/>
      <c r="G16" s="957"/>
      <c r="H16" s="479"/>
      <c r="I16" t="s">
        <v>265</v>
      </c>
      <c r="L16" s="510"/>
      <c r="M16" s="511"/>
      <c r="N16" s="482">
        <f t="shared" ref="N16:N26" si="0">DATEDIF(L16,M16,"d")</f>
        <v>0</v>
      </c>
      <c r="O16" s="508"/>
    </row>
    <row r="17" spans="1:15">
      <c r="L17" s="510"/>
      <c r="M17" s="511"/>
      <c r="N17" s="482">
        <f t="shared" si="0"/>
        <v>0</v>
      </c>
      <c r="O17" s="508"/>
    </row>
    <row r="18" spans="1:15">
      <c r="A18" t="s">
        <v>436</v>
      </c>
      <c r="B18" t="s">
        <v>435</v>
      </c>
      <c r="C18" s="960"/>
      <c r="D18" s="960"/>
      <c r="E18" s="960"/>
      <c r="F18" t="s">
        <v>437</v>
      </c>
      <c r="G18" s="960"/>
      <c r="H18" s="960"/>
      <c r="I18" s="960"/>
      <c r="L18" s="510"/>
      <c r="M18" s="511"/>
      <c r="N18" s="482">
        <f t="shared" si="0"/>
        <v>0</v>
      </c>
      <c r="O18" s="508"/>
    </row>
    <row r="19" spans="1:15">
      <c r="L19" s="510"/>
      <c r="M19" s="511"/>
      <c r="N19" s="482">
        <f t="shared" si="0"/>
        <v>0</v>
      </c>
      <c r="O19" s="508"/>
    </row>
    <row r="20" spans="1:15">
      <c r="A20" t="s">
        <v>438</v>
      </c>
      <c r="B20" s="961"/>
      <c r="C20" s="961"/>
      <c r="D20" s="961"/>
      <c r="E20" s="961"/>
      <c r="F20" s="961"/>
      <c r="G20" s="961"/>
      <c r="H20" s="961"/>
      <c r="I20" s="961"/>
      <c r="J20" s="961"/>
      <c r="L20" s="510"/>
      <c r="M20" s="511"/>
      <c r="N20" s="482">
        <f t="shared" si="0"/>
        <v>0</v>
      </c>
      <c r="O20" s="508"/>
    </row>
    <row r="21" spans="1:15">
      <c r="B21" s="961"/>
      <c r="C21" s="961"/>
      <c r="D21" s="961"/>
      <c r="E21" s="961"/>
      <c r="F21" s="961"/>
      <c r="G21" s="961"/>
      <c r="H21" s="961"/>
      <c r="I21" s="961"/>
      <c r="J21" s="961"/>
      <c r="L21" s="510"/>
      <c r="M21" s="511"/>
      <c r="N21" s="482">
        <f t="shared" si="0"/>
        <v>0</v>
      </c>
      <c r="O21" s="508"/>
    </row>
    <row r="22" spans="1:15">
      <c r="B22" s="961"/>
      <c r="C22" s="961"/>
      <c r="D22" s="961"/>
      <c r="E22" s="961"/>
      <c r="F22" s="961"/>
      <c r="G22" s="961"/>
      <c r="H22" s="961"/>
      <c r="I22" s="961"/>
      <c r="J22" s="961"/>
      <c r="L22" s="510"/>
      <c r="M22" s="511"/>
      <c r="N22" s="482">
        <f t="shared" si="0"/>
        <v>0</v>
      </c>
      <c r="O22" s="508"/>
    </row>
    <row r="23" spans="1:15">
      <c r="A23" s="962" t="s">
        <v>439</v>
      </c>
      <c r="B23" s="962"/>
      <c r="C23" s="962"/>
      <c r="D23" s="962"/>
      <c r="E23" s="962"/>
      <c r="F23" s="962"/>
      <c r="G23" s="962"/>
      <c r="H23" s="962"/>
      <c r="I23" s="962"/>
      <c r="J23" s="962"/>
      <c r="L23" s="510"/>
      <c r="M23" s="511"/>
      <c r="N23" s="482">
        <f t="shared" si="0"/>
        <v>0</v>
      </c>
      <c r="O23" s="508"/>
    </row>
    <row r="24" spans="1:1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L24" s="510"/>
      <c r="M24" s="511"/>
      <c r="N24" s="482">
        <f t="shared" si="0"/>
        <v>0</v>
      </c>
      <c r="O24" s="508"/>
    </row>
    <row r="25" spans="1:15">
      <c r="A25" s="474"/>
      <c r="B25" s="474"/>
      <c r="C25" s="474"/>
      <c r="D25" s="474"/>
      <c r="E25" s="474"/>
      <c r="F25" s="474"/>
      <c r="G25" s="474"/>
      <c r="H25" s="474"/>
      <c r="I25" s="474"/>
      <c r="J25" s="474"/>
      <c r="L25" s="510"/>
      <c r="M25" s="511"/>
      <c r="N25" s="482">
        <f t="shared" si="0"/>
        <v>0</v>
      </c>
      <c r="O25" s="508"/>
    </row>
    <row r="26" spans="1:15" ht="15.75" thickBot="1">
      <c r="A26" s="958"/>
      <c r="B26" s="958"/>
      <c r="C26" s="958"/>
      <c r="D26" s="958"/>
      <c r="E26" s="958"/>
      <c r="F26" s="958"/>
      <c r="G26" s="958"/>
      <c r="H26" s="958"/>
      <c r="I26" s="958"/>
      <c r="J26" s="958"/>
      <c r="L26" s="512"/>
      <c r="M26" s="513"/>
      <c r="N26" s="484">
        <f t="shared" si="0"/>
        <v>0</v>
      </c>
      <c r="O26" s="509"/>
    </row>
    <row r="27" spans="1:15" ht="15.75" thickBot="1">
      <c r="A27" s="959" t="s">
        <v>440</v>
      </c>
      <c r="B27" s="959"/>
      <c r="H27" s="473" t="s">
        <v>7</v>
      </c>
      <c r="I27" s="515">
        <v>41948</v>
      </c>
      <c r="J27" s="481"/>
      <c r="K27" s="481"/>
      <c r="L27" s="949" t="s">
        <v>465</v>
      </c>
      <c r="M27" s="950"/>
      <c r="N27" s="950"/>
      <c r="O27" s="497">
        <f>SUM(O15:O26)</f>
        <v>7</v>
      </c>
    </row>
    <row r="28" spans="1:15">
      <c r="A28" s="959" t="str">
        <f>MCVS!E9</f>
        <v>GUIN-Maurice</v>
      </c>
      <c r="B28" s="959"/>
    </row>
    <row r="31" spans="1:15">
      <c r="A31" s="951" t="s">
        <v>441</v>
      </c>
      <c r="B31" s="951"/>
      <c r="C31" s="951"/>
      <c r="D31" s="951"/>
      <c r="E31" s="951"/>
      <c r="F31" s="951"/>
      <c r="G31" s="951"/>
      <c r="H31" s="951"/>
      <c r="I31" s="951"/>
      <c r="J31" s="951"/>
    </row>
    <row r="32" spans="1:15" ht="15.75" thickBot="1"/>
    <row r="33" spans="1:10" ht="16.5" thickBot="1">
      <c r="B33" s="479"/>
      <c r="C33" t="s">
        <v>442</v>
      </c>
      <c r="D33" s="957"/>
      <c r="E33" s="957"/>
      <c r="F33" s="957"/>
      <c r="G33" s="957"/>
      <c r="H33" s="957"/>
      <c r="I33" s="957"/>
      <c r="J33" s="957"/>
    </row>
    <row r="34" spans="1:10" ht="15.75" thickBot="1">
      <c r="B34" s="472"/>
      <c r="D34" s="957"/>
      <c r="E34" s="957"/>
      <c r="F34" s="957"/>
      <c r="G34" s="957"/>
      <c r="H34" s="957"/>
      <c r="I34" s="957"/>
      <c r="J34" s="957"/>
    </row>
    <row r="35" spans="1:10" ht="16.5" thickBot="1">
      <c r="B35" s="479"/>
      <c r="C35" s="475" t="s">
        <v>443</v>
      </c>
      <c r="D35" s="957"/>
      <c r="E35" s="957"/>
      <c r="F35" s="957"/>
      <c r="G35" s="957"/>
      <c r="H35" s="957"/>
      <c r="I35" s="957"/>
      <c r="J35" s="957"/>
    </row>
    <row r="36" spans="1:10">
      <c r="D36" s="957"/>
      <c r="E36" s="957"/>
      <c r="F36" s="957"/>
      <c r="G36" s="957"/>
      <c r="H36" s="957"/>
      <c r="I36" s="957"/>
      <c r="J36" s="957"/>
    </row>
    <row r="37" spans="1:10">
      <c r="A37" s="952" t="s">
        <v>444</v>
      </c>
      <c r="B37" s="952"/>
      <c r="C37" s="952"/>
      <c r="D37" s="957"/>
      <c r="E37" s="957"/>
      <c r="F37" s="957"/>
      <c r="G37" s="957"/>
      <c r="H37" s="957"/>
      <c r="I37" s="957"/>
      <c r="J37" s="957"/>
    </row>
    <row r="38" spans="1:10">
      <c r="D38" s="957"/>
      <c r="E38" s="957"/>
      <c r="F38" s="957"/>
      <c r="G38" s="957"/>
      <c r="H38" s="957"/>
      <c r="I38" s="957"/>
      <c r="J38" s="957"/>
    </row>
    <row r="39" spans="1:10">
      <c r="D39" s="957"/>
      <c r="E39" s="957"/>
      <c r="F39" s="957"/>
      <c r="G39" s="957"/>
      <c r="H39" s="957"/>
      <c r="I39" s="957"/>
      <c r="J39" s="957"/>
    </row>
    <row r="40" spans="1:10">
      <c r="D40" s="957"/>
      <c r="E40" s="957"/>
      <c r="F40" s="957"/>
      <c r="G40" s="957"/>
      <c r="H40" s="957"/>
      <c r="I40" s="957"/>
      <c r="J40" s="957"/>
    </row>
    <row r="41" spans="1:10">
      <c r="A41" s="958"/>
      <c r="B41" s="958"/>
      <c r="C41" s="958"/>
      <c r="D41" s="958"/>
      <c r="E41" s="958"/>
      <c r="F41" s="958"/>
      <c r="G41" s="958"/>
      <c r="H41" s="958"/>
      <c r="I41" s="958"/>
      <c r="J41" s="958"/>
    </row>
    <row r="42" spans="1:10">
      <c r="A42" s="959" t="s">
        <v>445</v>
      </c>
      <c r="B42" s="959"/>
      <c r="H42" s="473" t="s">
        <v>7</v>
      </c>
      <c r="I42" s="473"/>
    </row>
    <row r="43" spans="1:10">
      <c r="A43" s="959" t="str">
        <f>C10</f>
        <v>BERTRAND-Eric</v>
      </c>
      <c r="B43" s="959"/>
    </row>
    <row r="53" spans="1:10">
      <c r="A53" s="957" t="str">
        <f ca="1">MCVS!P67</f>
        <v>Congé GUIN-Maurice novembre 2014</v>
      </c>
      <c r="B53" s="957"/>
      <c r="C53" s="957"/>
      <c r="D53" s="957"/>
      <c r="E53" s="957"/>
      <c r="F53" s="957"/>
      <c r="G53" s="957"/>
      <c r="H53" s="957"/>
      <c r="I53" s="957"/>
      <c r="J53" s="957"/>
    </row>
  </sheetData>
  <sheetProtection password="ECFA" sheet="1" objects="1" scenarios="1" selectLockedCells="1"/>
  <mergeCells count="28">
    <mergeCell ref="A1:J1"/>
    <mergeCell ref="A43:B43"/>
    <mergeCell ref="A53:J53"/>
    <mergeCell ref="A41:J41"/>
    <mergeCell ref="C10:J10"/>
    <mergeCell ref="A28:B28"/>
    <mergeCell ref="D33:J40"/>
    <mergeCell ref="C18:E18"/>
    <mergeCell ref="G18:I18"/>
    <mergeCell ref="B20:J20"/>
    <mergeCell ref="B21:J21"/>
    <mergeCell ref="A42:B42"/>
    <mergeCell ref="A23:J24"/>
    <mergeCell ref="A27:B27"/>
    <mergeCell ref="B22:J22"/>
    <mergeCell ref="A26:J26"/>
    <mergeCell ref="G2:J2"/>
    <mergeCell ref="A3:C3"/>
    <mergeCell ref="C6:J6"/>
    <mergeCell ref="C15:C16"/>
    <mergeCell ref="E15:E16"/>
    <mergeCell ref="G15:G16"/>
    <mergeCell ref="B8:J8"/>
    <mergeCell ref="L13:O13"/>
    <mergeCell ref="L27:N27"/>
    <mergeCell ref="A4:J4"/>
    <mergeCell ref="A31:J31"/>
    <mergeCell ref="A37:C37"/>
  </mergeCells>
  <dataValidations count="1">
    <dataValidation type="list" allowBlank="1" showInputMessage="1" showErrorMessage="1" sqref="I27">
      <formula1>Date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MCVS!$K$33:$K$34</xm:f>
          </x14:formula1>
          <xm:sqref>B13 D13 F13 H13 B16 D16 F16 H16 B33 B35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87"/>
  <sheetViews>
    <sheetView workbookViewId="0">
      <selection activeCell="A7" sqref="A7"/>
    </sheetView>
  </sheetViews>
  <sheetFormatPr baseColWidth="10" defaultRowHeight="15"/>
  <cols>
    <col min="1" max="1" width="23.28515625" style="8" customWidth="1"/>
    <col min="2" max="3" width="34.28515625" style="8" customWidth="1"/>
    <col min="4" max="4" width="25.7109375" style="8" customWidth="1"/>
    <col min="5" max="16384" width="11.42578125" style="8"/>
  </cols>
  <sheetData>
    <row r="1" spans="1:9" ht="15.75">
      <c r="A1" s="33"/>
      <c r="F1" s="741" t="s">
        <v>371</v>
      </c>
      <c r="G1" s="702"/>
      <c r="H1" s="702"/>
      <c r="I1" s="703"/>
    </row>
    <row r="2" spans="1:9">
      <c r="A2" s="34" t="s">
        <v>147</v>
      </c>
      <c r="B2" s="200" t="s">
        <v>67</v>
      </c>
      <c r="C2" s="200" t="s">
        <v>84</v>
      </c>
      <c r="D2" s="200" t="s">
        <v>85</v>
      </c>
      <c r="F2" s="270" t="s">
        <v>66</v>
      </c>
      <c r="G2" s="269" t="s">
        <v>372</v>
      </c>
      <c r="H2" s="269" t="s">
        <v>373</v>
      </c>
      <c r="I2" s="271" t="str">
        <f>CONCATENATE(G2,":",H2)</f>
        <v>A7:C62</v>
      </c>
    </row>
    <row r="3" spans="1:9">
      <c r="A3" s="200" t="s">
        <v>86</v>
      </c>
      <c r="B3" s="200" t="s">
        <v>87</v>
      </c>
      <c r="C3" s="200" t="s">
        <v>88</v>
      </c>
      <c r="D3" s="200" t="s">
        <v>89</v>
      </c>
      <c r="F3" s="270" t="s">
        <v>194</v>
      </c>
      <c r="G3" s="269" t="s">
        <v>374</v>
      </c>
      <c r="H3" s="269" t="s">
        <v>375</v>
      </c>
      <c r="I3" s="271" t="str">
        <f>CONCATENATE(G3,":",H3)</f>
        <v>A69:C124</v>
      </c>
    </row>
    <row r="4" spans="1:9">
      <c r="A4" s="200" t="s">
        <v>90</v>
      </c>
      <c r="B4" s="200" t="s">
        <v>91</v>
      </c>
      <c r="C4" s="200" t="s">
        <v>92</v>
      </c>
      <c r="D4" s="200" t="s">
        <v>93</v>
      </c>
      <c r="F4" s="270" t="s">
        <v>195</v>
      </c>
      <c r="G4" s="269" t="s">
        <v>376</v>
      </c>
      <c r="H4" s="269" t="s">
        <v>377</v>
      </c>
      <c r="I4" s="271" t="str">
        <f>CONCATENATE(G4,":",H4)</f>
        <v>A131:C186</v>
      </c>
    </row>
    <row r="5" spans="1:9" ht="15.75" thickBot="1">
      <c r="A5" s="228" t="s">
        <v>94</v>
      </c>
      <c r="B5" s="963"/>
      <c r="C5" s="963"/>
      <c r="D5" s="632"/>
      <c r="F5" s="272" t="s">
        <v>67</v>
      </c>
      <c r="G5" s="273" t="s">
        <v>378</v>
      </c>
      <c r="H5" s="273" t="s">
        <v>379</v>
      </c>
      <c r="I5" s="274" t="str">
        <f>CONCATENATE(G5,":",H5)</f>
        <v>A193:C248</v>
      </c>
    </row>
    <row r="6" spans="1:9" ht="15.75" customHeight="1" thickBot="1">
      <c r="A6" s="229" t="s">
        <v>8</v>
      </c>
      <c r="B6" s="230" t="s">
        <v>369</v>
      </c>
      <c r="C6" s="231" t="s">
        <v>370</v>
      </c>
    </row>
    <row r="7" spans="1:9" ht="15.75" customHeight="1">
      <c r="A7" s="232" t="s">
        <v>386</v>
      </c>
      <c r="B7" s="226" t="s">
        <v>472</v>
      </c>
      <c r="C7" s="227" t="s">
        <v>267</v>
      </c>
    </row>
    <row r="8" spans="1:9" ht="15.75" customHeight="1">
      <c r="A8" s="214" t="s">
        <v>318</v>
      </c>
      <c r="B8" s="215" t="s">
        <v>247</v>
      </c>
      <c r="C8" s="217" t="s">
        <v>268</v>
      </c>
    </row>
    <row r="9" spans="1:9" ht="15.75" customHeight="1">
      <c r="A9" s="214" t="s">
        <v>320</v>
      </c>
      <c r="B9" s="215" t="s">
        <v>365</v>
      </c>
      <c r="C9" s="217" t="s">
        <v>268</v>
      </c>
    </row>
    <row r="10" spans="1:9" ht="15.75" customHeight="1">
      <c r="A10" s="214"/>
      <c r="B10" s="215" t="s">
        <v>277</v>
      </c>
      <c r="C10" s="217" t="s">
        <v>269</v>
      </c>
    </row>
    <row r="11" spans="1:9" ht="15.75" customHeight="1">
      <c r="A11" s="214"/>
      <c r="B11" s="215" t="s">
        <v>365</v>
      </c>
      <c r="C11" s="217" t="s">
        <v>253</v>
      </c>
    </row>
    <row r="12" spans="1:9" ht="15.75" customHeight="1">
      <c r="A12" s="214" t="s">
        <v>320</v>
      </c>
      <c r="B12" s="215" t="s">
        <v>247</v>
      </c>
      <c r="C12" s="217" t="s">
        <v>268</v>
      </c>
    </row>
    <row r="13" spans="1:9" ht="15.75" customHeight="1">
      <c r="A13" s="214" t="s">
        <v>318</v>
      </c>
      <c r="B13" s="215" t="s">
        <v>246</v>
      </c>
      <c r="C13" s="217" t="s">
        <v>268</v>
      </c>
    </row>
    <row r="14" spans="1:9" ht="15.75" customHeight="1">
      <c r="A14" s="214"/>
      <c r="B14" s="215" t="s">
        <v>277</v>
      </c>
      <c r="C14" s="217" t="s">
        <v>254</v>
      </c>
    </row>
    <row r="15" spans="1:9" ht="15.75" customHeight="1">
      <c r="A15" s="214"/>
      <c r="B15" s="215"/>
      <c r="C15" s="217"/>
    </row>
    <row r="16" spans="1:9" ht="15.75" customHeight="1">
      <c r="A16" s="214" t="s">
        <v>364</v>
      </c>
      <c r="B16" s="215" t="s">
        <v>246</v>
      </c>
      <c r="C16" s="217" t="s">
        <v>267</v>
      </c>
    </row>
    <row r="17" spans="1:3" ht="15.75" customHeight="1">
      <c r="A17" s="214" t="s">
        <v>318</v>
      </c>
      <c r="B17" s="215" t="s">
        <v>247</v>
      </c>
      <c r="C17" s="217" t="s">
        <v>268</v>
      </c>
    </row>
    <row r="18" spans="1:3" ht="15.75" customHeight="1">
      <c r="A18" s="214" t="s">
        <v>320</v>
      </c>
      <c r="B18" s="215" t="s">
        <v>248</v>
      </c>
      <c r="C18" s="217" t="s">
        <v>268</v>
      </c>
    </row>
    <row r="19" spans="1:3" ht="15.75" customHeight="1">
      <c r="A19" s="214" t="s">
        <v>341</v>
      </c>
      <c r="B19" s="215" t="s">
        <v>249</v>
      </c>
      <c r="C19" s="217" t="s">
        <v>268</v>
      </c>
    </row>
    <row r="20" spans="1:3" ht="15.75" customHeight="1">
      <c r="A20" s="214" t="s">
        <v>321</v>
      </c>
      <c r="B20" s="215" t="s">
        <v>365</v>
      </c>
      <c r="C20" s="217" t="s">
        <v>268</v>
      </c>
    </row>
    <row r="21" spans="1:3" ht="15.75" customHeight="1">
      <c r="A21" s="214"/>
      <c r="B21" s="215" t="s">
        <v>277</v>
      </c>
      <c r="C21" s="217" t="s">
        <v>269</v>
      </c>
    </row>
    <row r="22" spans="1:3" ht="15.75" customHeight="1">
      <c r="A22" s="214"/>
      <c r="B22" s="215" t="s">
        <v>365</v>
      </c>
      <c r="C22" s="217" t="s">
        <v>253</v>
      </c>
    </row>
    <row r="23" spans="1:3" ht="15.75" customHeight="1">
      <c r="A23" s="214" t="s">
        <v>321</v>
      </c>
      <c r="B23" s="215" t="s">
        <v>249</v>
      </c>
      <c r="C23" s="217" t="s">
        <v>268</v>
      </c>
    </row>
    <row r="24" spans="1:3" ht="15.75" customHeight="1">
      <c r="A24" s="214" t="s">
        <v>341</v>
      </c>
      <c r="B24" s="215" t="s">
        <v>248</v>
      </c>
      <c r="C24" s="217" t="s">
        <v>268</v>
      </c>
    </row>
    <row r="25" spans="1:3" ht="15.75" customHeight="1">
      <c r="A25" s="214" t="s">
        <v>320</v>
      </c>
      <c r="B25" s="215" t="s">
        <v>247</v>
      </c>
      <c r="C25" s="217" t="s">
        <v>268</v>
      </c>
    </row>
    <row r="26" spans="1:3" ht="15.75" customHeight="1">
      <c r="A26" s="214" t="s">
        <v>318</v>
      </c>
      <c r="B26" s="215" t="s">
        <v>246</v>
      </c>
      <c r="C26" s="217" t="s">
        <v>268</v>
      </c>
    </row>
    <row r="27" spans="1:3" ht="15.75" customHeight="1">
      <c r="A27" s="214"/>
      <c r="B27" s="215" t="s">
        <v>277</v>
      </c>
      <c r="C27" s="217" t="s">
        <v>254</v>
      </c>
    </row>
    <row r="28" spans="1:3" ht="15.75" customHeight="1">
      <c r="A28" s="214"/>
      <c r="B28" s="215"/>
      <c r="C28" s="217"/>
    </row>
    <row r="29" spans="1:3" ht="15.75" customHeight="1">
      <c r="A29" s="214" t="s">
        <v>364</v>
      </c>
      <c r="B29" s="215" t="s">
        <v>246</v>
      </c>
      <c r="C29" s="217" t="s">
        <v>267</v>
      </c>
    </row>
    <row r="30" spans="1:3" ht="15.75" customHeight="1">
      <c r="A30" s="214" t="s">
        <v>318</v>
      </c>
      <c r="B30" s="215" t="s">
        <v>365</v>
      </c>
      <c r="C30" s="217" t="s">
        <v>268</v>
      </c>
    </row>
    <row r="31" spans="1:3" ht="15.75" customHeight="1">
      <c r="A31" s="214"/>
      <c r="B31" s="215" t="s">
        <v>277</v>
      </c>
      <c r="C31" s="217" t="s">
        <v>269</v>
      </c>
    </row>
    <row r="32" spans="1:3" ht="15.75" customHeight="1">
      <c r="A32" s="214"/>
      <c r="B32" s="215" t="s">
        <v>365</v>
      </c>
      <c r="C32" s="217" t="s">
        <v>253</v>
      </c>
    </row>
    <row r="33" spans="1:3" ht="15.75" customHeight="1">
      <c r="A33" s="214" t="s">
        <v>318</v>
      </c>
      <c r="B33" s="215" t="s">
        <v>246</v>
      </c>
      <c r="C33" s="217" t="s">
        <v>268</v>
      </c>
    </row>
    <row r="34" spans="1:3" ht="15.75" customHeight="1">
      <c r="A34" s="214"/>
      <c r="B34" s="215" t="s">
        <v>277</v>
      </c>
      <c r="C34" s="217" t="s">
        <v>254</v>
      </c>
    </row>
    <row r="35" spans="1:3" ht="15.75" customHeight="1">
      <c r="A35" s="214"/>
      <c r="B35" s="215"/>
      <c r="C35" s="217"/>
    </row>
    <row r="36" spans="1:3" ht="15.75" customHeight="1">
      <c r="A36" s="214" t="s">
        <v>364</v>
      </c>
      <c r="B36" s="215" t="s">
        <v>246</v>
      </c>
      <c r="C36" s="217" t="s">
        <v>267</v>
      </c>
    </row>
    <row r="37" spans="1:3" ht="15.75" customHeight="1">
      <c r="A37" s="214" t="s">
        <v>318</v>
      </c>
      <c r="B37" s="215" t="s">
        <v>247</v>
      </c>
      <c r="C37" s="217" t="s">
        <v>268</v>
      </c>
    </row>
    <row r="38" spans="1:3" ht="15.75" customHeight="1">
      <c r="A38" s="214" t="s">
        <v>320</v>
      </c>
      <c r="B38" s="215" t="s">
        <v>248</v>
      </c>
      <c r="C38" s="217" t="s">
        <v>268</v>
      </c>
    </row>
    <row r="39" spans="1:3" ht="15.75" customHeight="1">
      <c r="A39" s="214" t="s">
        <v>341</v>
      </c>
      <c r="B39" s="215" t="s">
        <v>365</v>
      </c>
      <c r="C39" s="217" t="s">
        <v>268</v>
      </c>
    </row>
    <row r="40" spans="1:3" ht="15.75" customHeight="1">
      <c r="A40" s="214"/>
      <c r="B40" s="215" t="s">
        <v>277</v>
      </c>
      <c r="C40" s="217" t="s">
        <v>269</v>
      </c>
    </row>
    <row r="41" spans="1:3" ht="15.75" customHeight="1">
      <c r="A41" s="214"/>
      <c r="B41" s="215" t="s">
        <v>365</v>
      </c>
      <c r="C41" s="217" t="s">
        <v>253</v>
      </c>
    </row>
    <row r="42" spans="1:3" ht="15.75" customHeight="1">
      <c r="A42" s="214" t="s">
        <v>341</v>
      </c>
      <c r="B42" s="215" t="s">
        <v>248</v>
      </c>
      <c r="C42" s="217" t="s">
        <v>268</v>
      </c>
    </row>
    <row r="43" spans="1:3" ht="15.75" customHeight="1">
      <c r="A43" s="214" t="s">
        <v>320</v>
      </c>
      <c r="B43" s="215" t="s">
        <v>247</v>
      </c>
      <c r="C43" s="217" t="s">
        <v>268</v>
      </c>
    </row>
    <row r="44" spans="1:3" ht="15.75" customHeight="1">
      <c r="A44" s="214" t="s">
        <v>318</v>
      </c>
      <c r="B44" s="215" t="s">
        <v>246</v>
      </c>
      <c r="C44" s="217" t="s">
        <v>268</v>
      </c>
    </row>
    <row r="45" spans="1:3" ht="15.75" customHeight="1">
      <c r="A45" s="214"/>
      <c r="B45" s="215" t="s">
        <v>277</v>
      </c>
      <c r="C45" s="217" t="s">
        <v>254</v>
      </c>
    </row>
    <row r="46" spans="1:3" ht="15.75" customHeight="1">
      <c r="A46" s="214"/>
      <c r="B46" s="215"/>
      <c r="C46" s="217"/>
    </row>
    <row r="47" spans="1:3" ht="15.75" customHeight="1">
      <c r="A47" s="214" t="s">
        <v>364</v>
      </c>
      <c r="B47" s="215" t="s">
        <v>246</v>
      </c>
      <c r="C47" s="217" t="s">
        <v>267</v>
      </c>
    </row>
    <row r="48" spans="1:3" ht="15.75" customHeight="1">
      <c r="A48" s="214" t="s">
        <v>318</v>
      </c>
      <c r="B48" s="215" t="s">
        <v>247</v>
      </c>
      <c r="C48" s="217" t="s">
        <v>268</v>
      </c>
    </row>
    <row r="49" spans="1:4" ht="15.75" customHeight="1">
      <c r="A49" s="214" t="s">
        <v>320</v>
      </c>
      <c r="B49" s="215" t="s">
        <v>249</v>
      </c>
      <c r="C49" s="217" t="s">
        <v>268</v>
      </c>
    </row>
    <row r="50" spans="1:4" ht="15.75" customHeight="1">
      <c r="A50" s="214" t="s">
        <v>321</v>
      </c>
      <c r="B50" s="215" t="s">
        <v>365</v>
      </c>
      <c r="C50" s="217" t="s">
        <v>268</v>
      </c>
    </row>
    <row r="51" spans="1:4" ht="15.75" customHeight="1">
      <c r="A51" s="214"/>
      <c r="B51" s="215" t="s">
        <v>277</v>
      </c>
      <c r="C51" s="217" t="s">
        <v>269</v>
      </c>
    </row>
    <row r="52" spans="1:4" ht="15.75" customHeight="1">
      <c r="A52" s="214"/>
      <c r="B52" s="215" t="s">
        <v>365</v>
      </c>
      <c r="C52" s="217" t="s">
        <v>253</v>
      </c>
    </row>
    <row r="53" spans="1:4" ht="15.75" customHeight="1">
      <c r="A53" s="214" t="s">
        <v>321</v>
      </c>
      <c r="B53" s="215" t="s">
        <v>249</v>
      </c>
      <c r="C53" s="217" t="s">
        <v>268</v>
      </c>
    </row>
    <row r="54" spans="1:4" ht="15.75" customHeight="1">
      <c r="A54" s="214" t="s">
        <v>320</v>
      </c>
      <c r="B54" s="215" t="s">
        <v>247</v>
      </c>
      <c r="C54" s="217" t="s">
        <v>268</v>
      </c>
    </row>
    <row r="55" spans="1:4" ht="15.75" customHeight="1">
      <c r="A55" s="214" t="s">
        <v>318</v>
      </c>
      <c r="B55" s="226" t="s">
        <v>472</v>
      </c>
      <c r="C55" s="217" t="s">
        <v>268</v>
      </c>
    </row>
    <row r="56" spans="1:4" ht="15.75" customHeight="1">
      <c r="A56" s="214"/>
      <c r="B56" s="215" t="s">
        <v>277</v>
      </c>
      <c r="C56" s="217" t="s">
        <v>254</v>
      </c>
    </row>
    <row r="57" spans="1:4" ht="15.75" customHeight="1">
      <c r="A57" s="214"/>
      <c r="B57" s="215"/>
      <c r="C57" s="217"/>
    </row>
    <row r="58" spans="1:4" ht="15.75" customHeight="1">
      <c r="A58" s="214"/>
      <c r="B58" s="215"/>
      <c r="C58" s="217"/>
    </row>
    <row r="59" spans="1:4" ht="15.75" customHeight="1">
      <c r="A59" s="214"/>
      <c r="B59" s="215"/>
      <c r="C59" s="217"/>
    </row>
    <row r="60" spans="1:4" ht="15.75" customHeight="1">
      <c r="A60" s="214"/>
      <c r="B60" s="215"/>
      <c r="C60" s="217"/>
    </row>
    <row r="61" spans="1:4" ht="15.75" customHeight="1">
      <c r="A61" s="214"/>
      <c r="B61" s="215"/>
      <c r="C61" s="217"/>
    </row>
    <row r="62" spans="1:4" ht="15.75" customHeight="1" thickBot="1">
      <c r="A62" s="218"/>
      <c r="B62" s="219"/>
      <c r="C62" s="220"/>
    </row>
    <row r="64" spans="1:4">
      <c r="A64" s="35" t="s">
        <v>148</v>
      </c>
      <c r="B64" s="200" t="s">
        <v>66</v>
      </c>
      <c r="C64" s="200" t="s">
        <v>68</v>
      </c>
      <c r="D64" s="200" t="s">
        <v>95</v>
      </c>
    </row>
    <row r="65" spans="1:4">
      <c r="A65" s="200" t="s">
        <v>96</v>
      </c>
      <c r="B65" s="200" t="s">
        <v>97</v>
      </c>
      <c r="C65" s="200" t="s">
        <v>98</v>
      </c>
      <c r="D65" s="200" t="s">
        <v>99</v>
      </c>
    </row>
    <row r="66" spans="1:4">
      <c r="A66" s="200" t="s">
        <v>100</v>
      </c>
      <c r="B66" s="200" t="s">
        <v>101</v>
      </c>
      <c r="C66" s="200" t="s">
        <v>102</v>
      </c>
      <c r="D66" s="200" t="s">
        <v>103</v>
      </c>
    </row>
    <row r="67" spans="1:4" ht="15.75" thickBot="1">
      <c r="A67" s="200" t="s">
        <v>104</v>
      </c>
      <c r="B67" s="201" t="s">
        <v>105</v>
      </c>
      <c r="C67" s="201"/>
      <c r="D67" s="201"/>
    </row>
    <row r="68" spans="1:4" ht="15.75" thickBot="1">
      <c r="A68" s="229" t="s">
        <v>8</v>
      </c>
      <c r="B68" s="230" t="s">
        <v>369</v>
      </c>
      <c r="C68" s="231" t="s">
        <v>370</v>
      </c>
    </row>
    <row r="69" spans="1:4">
      <c r="A69" s="235" t="s">
        <v>345</v>
      </c>
      <c r="B69" s="226" t="s">
        <v>472</v>
      </c>
      <c r="C69" s="216" t="s">
        <v>267</v>
      </c>
    </row>
    <row r="70" spans="1:4">
      <c r="A70" s="214" t="s">
        <v>318</v>
      </c>
      <c r="B70" s="215" t="s">
        <v>247</v>
      </c>
      <c r="C70" s="217" t="s">
        <v>268</v>
      </c>
    </row>
    <row r="71" spans="1:4">
      <c r="A71" s="214" t="s">
        <v>320</v>
      </c>
      <c r="B71" s="215" t="s">
        <v>365</v>
      </c>
      <c r="C71" s="217" t="s">
        <v>268</v>
      </c>
    </row>
    <row r="72" spans="1:4">
      <c r="A72" s="214"/>
      <c r="B72" s="215" t="s">
        <v>277</v>
      </c>
      <c r="C72" s="217" t="s">
        <v>269</v>
      </c>
    </row>
    <row r="73" spans="1:4">
      <c r="A73" s="214"/>
      <c r="B73" s="215" t="s">
        <v>365</v>
      </c>
      <c r="C73" s="217" t="s">
        <v>253</v>
      </c>
    </row>
    <row r="74" spans="1:4">
      <c r="A74" s="214" t="s">
        <v>320</v>
      </c>
      <c r="B74" s="215" t="s">
        <v>247</v>
      </c>
      <c r="C74" s="217" t="s">
        <v>268</v>
      </c>
    </row>
    <row r="75" spans="1:4">
      <c r="A75" s="214" t="s">
        <v>318</v>
      </c>
      <c r="B75" s="215" t="s">
        <v>246</v>
      </c>
      <c r="C75" s="217" t="s">
        <v>268</v>
      </c>
    </row>
    <row r="76" spans="1:4">
      <c r="A76" s="214"/>
      <c r="B76" s="215" t="s">
        <v>277</v>
      </c>
      <c r="C76" s="217" t="s">
        <v>254</v>
      </c>
    </row>
    <row r="77" spans="1:4">
      <c r="A77" s="214"/>
      <c r="B77" s="215"/>
      <c r="C77" s="217"/>
    </row>
    <row r="78" spans="1:4">
      <c r="A78" s="214" t="s">
        <v>366</v>
      </c>
      <c r="B78" s="215" t="s">
        <v>246</v>
      </c>
      <c r="C78" s="217" t="s">
        <v>267</v>
      </c>
    </row>
    <row r="79" spans="1:4">
      <c r="A79" s="214" t="s">
        <v>318</v>
      </c>
      <c r="B79" s="215" t="s">
        <v>247</v>
      </c>
      <c r="C79" s="217" t="s">
        <v>268</v>
      </c>
    </row>
    <row r="80" spans="1:4">
      <c r="A80" s="214" t="s">
        <v>320</v>
      </c>
      <c r="B80" s="215" t="s">
        <v>248</v>
      </c>
      <c r="C80" s="217" t="s">
        <v>268</v>
      </c>
    </row>
    <row r="81" spans="1:3">
      <c r="A81" s="214" t="s">
        <v>341</v>
      </c>
      <c r="B81" s="215" t="s">
        <v>249</v>
      </c>
      <c r="C81" s="217" t="s">
        <v>268</v>
      </c>
    </row>
    <row r="82" spans="1:3">
      <c r="A82" s="214" t="s">
        <v>321</v>
      </c>
      <c r="B82" s="215" t="s">
        <v>365</v>
      </c>
      <c r="C82" s="217" t="s">
        <v>268</v>
      </c>
    </row>
    <row r="83" spans="1:3">
      <c r="A83" s="214"/>
      <c r="B83" s="215" t="s">
        <v>277</v>
      </c>
      <c r="C83" s="217" t="s">
        <v>269</v>
      </c>
    </row>
    <row r="84" spans="1:3">
      <c r="A84" s="214"/>
      <c r="B84" s="215" t="s">
        <v>365</v>
      </c>
      <c r="C84" s="217" t="s">
        <v>253</v>
      </c>
    </row>
    <row r="85" spans="1:3">
      <c r="A85" s="214" t="s">
        <v>321</v>
      </c>
      <c r="B85" s="215" t="s">
        <v>249</v>
      </c>
      <c r="C85" s="217" t="s">
        <v>268</v>
      </c>
    </row>
    <row r="86" spans="1:3">
      <c r="A86" s="214" t="s">
        <v>341</v>
      </c>
      <c r="B86" s="215" t="s">
        <v>248</v>
      </c>
      <c r="C86" s="217" t="s">
        <v>268</v>
      </c>
    </row>
    <row r="87" spans="1:3">
      <c r="A87" s="214" t="s">
        <v>320</v>
      </c>
      <c r="B87" s="215" t="s">
        <v>247</v>
      </c>
      <c r="C87" s="217" t="s">
        <v>268</v>
      </c>
    </row>
    <row r="88" spans="1:3">
      <c r="A88" s="214" t="s">
        <v>318</v>
      </c>
      <c r="B88" s="215" t="s">
        <v>246</v>
      </c>
      <c r="C88" s="217" t="s">
        <v>268</v>
      </c>
    </row>
    <row r="89" spans="1:3">
      <c r="A89" s="214"/>
      <c r="B89" s="215" t="s">
        <v>277</v>
      </c>
      <c r="C89" s="217" t="s">
        <v>254</v>
      </c>
    </row>
    <row r="90" spans="1:3">
      <c r="A90" s="214"/>
      <c r="B90" s="215"/>
      <c r="C90" s="217"/>
    </row>
    <row r="91" spans="1:3">
      <c r="A91" s="214" t="s">
        <v>366</v>
      </c>
      <c r="B91" s="215" t="s">
        <v>246</v>
      </c>
      <c r="C91" s="217" t="s">
        <v>267</v>
      </c>
    </row>
    <row r="92" spans="1:3">
      <c r="A92" s="214" t="s">
        <v>318</v>
      </c>
      <c r="B92" s="215" t="s">
        <v>365</v>
      </c>
      <c r="C92" s="217" t="s">
        <v>268</v>
      </c>
    </row>
    <row r="93" spans="1:3">
      <c r="A93" s="214"/>
      <c r="B93" s="215" t="s">
        <v>277</v>
      </c>
      <c r="C93" s="217" t="s">
        <v>269</v>
      </c>
    </row>
    <row r="94" spans="1:3">
      <c r="A94" s="214"/>
      <c r="B94" s="215" t="s">
        <v>365</v>
      </c>
      <c r="C94" s="217" t="s">
        <v>253</v>
      </c>
    </row>
    <row r="95" spans="1:3">
      <c r="A95" s="214" t="s">
        <v>318</v>
      </c>
      <c r="B95" s="215" t="s">
        <v>246</v>
      </c>
      <c r="C95" s="217" t="s">
        <v>268</v>
      </c>
    </row>
    <row r="96" spans="1:3">
      <c r="A96" s="214"/>
      <c r="B96" s="215" t="s">
        <v>277</v>
      </c>
      <c r="C96" s="217" t="s">
        <v>254</v>
      </c>
    </row>
    <row r="97" spans="1:3">
      <c r="A97" s="214"/>
      <c r="B97" s="215"/>
      <c r="C97" s="217"/>
    </row>
    <row r="98" spans="1:3">
      <c r="A98" s="214" t="s">
        <v>366</v>
      </c>
      <c r="B98" s="215" t="s">
        <v>246</v>
      </c>
      <c r="C98" s="217" t="s">
        <v>267</v>
      </c>
    </row>
    <row r="99" spans="1:3">
      <c r="A99" s="214" t="s">
        <v>318</v>
      </c>
      <c r="B99" s="215" t="s">
        <v>247</v>
      </c>
      <c r="C99" s="217" t="s">
        <v>268</v>
      </c>
    </row>
    <row r="100" spans="1:3">
      <c r="A100" s="214" t="s">
        <v>320</v>
      </c>
      <c r="B100" s="215" t="s">
        <v>248</v>
      </c>
      <c r="C100" s="217" t="s">
        <v>268</v>
      </c>
    </row>
    <row r="101" spans="1:3">
      <c r="A101" s="214" t="s">
        <v>341</v>
      </c>
      <c r="B101" s="215" t="s">
        <v>365</v>
      </c>
      <c r="C101" s="217" t="s">
        <v>268</v>
      </c>
    </row>
    <row r="102" spans="1:3">
      <c r="A102" s="214"/>
      <c r="B102" s="215" t="s">
        <v>277</v>
      </c>
      <c r="C102" s="217" t="s">
        <v>269</v>
      </c>
    </row>
    <row r="103" spans="1:3">
      <c r="A103" s="214"/>
      <c r="B103" s="215" t="s">
        <v>365</v>
      </c>
      <c r="C103" s="217" t="s">
        <v>253</v>
      </c>
    </row>
    <row r="104" spans="1:3">
      <c r="A104" s="214" t="s">
        <v>341</v>
      </c>
      <c r="B104" s="215" t="s">
        <v>248</v>
      </c>
      <c r="C104" s="217" t="s">
        <v>268</v>
      </c>
    </row>
    <row r="105" spans="1:3">
      <c r="A105" s="214" t="s">
        <v>320</v>
      </c>
      <c r="B105" s="215" t="s">
        <v>247</v>
      </c>
      <c r="C105" s="217" t="s">
        <v>268</v>
      </c>
    </row>
    <row r="106" spans="1:3">
      <c r="A106" s="214" t="s">
        <v>318</v>
      </c>
      <c r="B106" s="215" t="s">
        <v>246</v>
      </c>
      <c r="C106" s="217" t="s">
        <v>268</v>
      </c>
    </row>
    <row r="107" spans="1:3">
      <c r="A107" s="214"/>
      <c r="B107" s="215" t="s">
        <v>277</v>
      </c>
      <c r="C107" s="217" t="s">
        <v>254</v>
      </c>
    </row>
    <row r="108" spans="1:3">
      <c r="A108" s="214"/>
      <c r="B108" s="215"/>
      <c r="C108" s="217"/>
    </row>
    <row r="109" spans="1:3">
      <c r="A109" s="214" t="s">
        <v>366</v>
      </c>
      <c r="B109" s="215" t="s">
        <v>246</v>
      </c>
      <c r="C109" s="217" t="s">
        <v>267</v>
      </c>
    </row>
    <row r="110" spans="1:3">
      <c r="A110" s="214" t="s">
        <v>318</v>
      </c>
      <c r="B110" s="215" t="s">
        <v>247</v>
      </c>
      <c r="C110" s="217" t="s">
        <v>268</v>
      </c>
    </row>
    <row r="111" spans="1:3">
      <c r="A111" s="214" t="s">
        <v>320</v>
      </c>
      <c r="B111" s="215" t="s">
        <v>249</v>
      </c>
      <c r="C111" s="217" t="s">
        <v>268</v>
      </c>
    </row>
    <row r="112" spans="1:3">
      <c r="A112" s="214" t="s">
        <v>321</v>
      </c>
      <c r="B112" s="215" t="s">
        <v>365</v>
      </c>
      <c r="C112" s="217" t="s">
        <v>268</v>
      </c>
    </row>
    <row r="113" spans="1:4">
      <c r="A113" s="214"/>
      <c r="B113" s="215" t="s">
        <v>277</v>
      </c>
      <c r="C113" s="217" t="s">
        <v>269</v>
      </c>
    </row>
    <row r="114" spans="1:4">
      <c r="A114" s="214"/>
      <c r="B114" s="215" t="s">
        <v>365</v>
      </c>
      <c r="C114" s="217" t="s">
        <v>253</v>
      </c>
    </row>
    <row r="115" spans="1:4">
      <c r="A115" s="214" t="s">
        <v>321</v>
      </c>
      <c r="B115" s="215" t="s">
        <v>249</v>
      </c>
      <c r="C115" s="217" t="s">
        <v>268</v>
      </c>
    </row>
    <row r="116" spans="1:4">
      <c r="A116" s="214" t="s">
        <v>320</v>
      </c>
      <c r="B116" s="215" t="s">
        <v>247</v>
      </c>
      <c r="C116" s="217" t="s">
        <v>268</v>
      </c>
    </row>
    <row r="117" spans="1:4">
      <c r="A117" s="214" t="s">
        <v>318</v>
      </c>
      <c r="B117" s="226" t="s">
        <v>472</v>
      </c>
      <c r="C117" s="217" t="s">
        <v>268</v>
      </c>
    </row>
    <row r="118" spans="1:4">
      <c r="A118" s="214"/>
      <c r="B118" s="215" t="s">
        <v>277</v>
      </c>
      <c r="C118" s="217" t="s">
        <v>254</v>
      </c>
    </row>
    <row r="119" spans="1:4">
      <c r="A119" s="214"/>
      <c r="B119" s="215"/>
      <c r="C119" s="217"/>
    </row>
    <row r="120" spans="1:4">
      <c r="A120" s="214"/>
      <c r="B120" s="215"/>
      <c r="C120" s="217"/>
    </row>
    <row r="121" spans="1:4">
      <c r="A121" s="214"/>
      <c r="B121" s="215"/>
      <c r="C121" s="217"/>
    </row>
    <row r="122" spans="1:4">
      <c r="A122" s="214"/>
      <c r="B122" s="215"/>
      <c r="C122" s="217"/>
    </row>
    <row r="123" spans="1:4">
      <c r="A123" s="214"/>
      <c r="B123" s="215"/>
      <c r="C123" s="217"/>
    </row>
    <row r="124" spans="1:4" ht="15.75" thickBot="1">
      <c r="A124" s="218"/>
      <c r="B124" s="219"/>
      <c r="C124" s="220"/>
    </row>
    <row r="126" spans="1:4">
      <c r="A126" s="36" t="s">
        <v>149</v>
      </c>
      <c r="B126" s="200" t="s">
        <v>87</v>
      </c>
      <c r="C126" s="200" t="s">
        <v>69</v>
      </c>
      <c r="D126" s="200" t="s">
        <v>106</v>
      </c>
    </row>
    <row r="127" spans="1:4">
      <c r="A127" s="200" t="s">
        <v>107</v>
      </c>
      <c r="B127" s="200" t="s">
        <v>108</v>
      </c>
      <c r="C127" s="200" t="s">
        <v>109</v>
      </c>
      <c r="D127" s="200" t="s">
        <v>110</v>
      </c>
    </row>
    <row r="128" spans="1:4">
      <c r="A128" s="200" t="s">
        <v>111</v>
      </c>
      <c r="B128" s="200" t="s">
        <v>112</v>
      </c>
      <c r="C128" s="200" t="s">
        <v>113</v>
      </c>
      <c r="D128" s="200" t="s">
        <v>114</v>
      </c>
    </row>
    <row r="129" spans="1:4" ht="15.75" thickBot="1">
      <c r="A129" s="200" t="s">
        <v>115</v>
      </c>
      <c r="B129" s="632"/>
      <c r="C129" s="632"/>
      <c r="D129" s="632"/>
    </row>
    <row r="130" spans="1:4" ht="15.75" thickBot="1">
      <c r="A130" s="229" t="s">
        <v>8</v>
      </c>
      <c r="B130" s="230" t="s">
        <v>369</v>
      </c>
      <c r="C130" s="231" t="s">
        <v>370</v>
      </c>
    </row>
    <row r="131" spans="1:4">
      <c r="A131" s="236" t="s">
        <v>345</v>
      </c>
      <c r="B131" s="226" t="s">
        <v>472</v>
      </c>
      <c r="C131" s="216" t="s">
        <v>267</v>
      </c>
    </row>
    <row r="132" spans="1:4">
      <c r="A132" s="214" t="s">
        <v>318</v>
      </c>
      <c r="B132" s="215" t="s">
        <v>247</v>
      </c>
      <c r="C132" s="217" t="s">
        <v>268</v>
      </c>
    </row>
    <row r="133" spans="1:4">
      <c r="A133" s="214" t="s">
        <v>320</v>
      </c>
      <c r="B133" s="215" t="s">
        <v>365</v>
      </c>
      <c r="C133" s="217" t="s">
        <v>268</v>
      </c>
    </row>
    <row r="134" spans="1:4">
      <c r="A134" s="214"/>
      <c r="B134" s="215" t="s">
        <v>277</v>
      </c>
      <c r="C134" s="217" t="s">
        <v>269</v>
      </c>
    </row>
    <row r="135" spans="1:4">
      <c r="A135" s="214"/>
      <c r="B135" s="215" t="s">
        <v>365</v>
      </c>
      <c r="C135" s="217" t="s">
        <v>253</v>
      </c>
    </row>
    <row r="136" spans="1:4">
      <c r="A136" s="214" t="s">
        <v>320</v>
      </c>
      <c r="B136" s="215" t="s">
        <v>247</v>
      </c>
      <c r="C136" s="217" t="s">
        <v>268</v>
      </c>
    </row>
    <row r="137" spans="1:4">
      <c r="A137" s="214" t="s">
        <v>318</v>
      </c>
      <c r="B137" s="215" t="s">
        <v>246</v>
      </c>
      <c r="C137" s="217" t="s">
        <v>268</v>
      </c>
    </row>
    <row r="138" spans="1:4">
      <c r="A138" s="214"/>
      <c r="B138" s="215" t="s">
        <v>277</v>
      </c>
      <c r="C138" s="217" t="s">
        <v>254</v>
      </c>
    </row>
    <row r="139" spans="1:4">
      <c r="A139" s="214"/>
      <c r="B139" s="215"/>
      <c r="C139" s="217"/>
    </row>
    <row r="140" spans="1:4">
      <c r="A140" s="214" t="s">
        <v>367</v>
      </c>
      <c r="B140" s="215" t="s">
        <v>246</v>
      </c>
      <c r="C140" s="217" t="s">
        <v>267</v>
      </c>
    </row>
    <row r="141" spans="1:4">
      <c r="A141" s="214" t="s">
        <v>318</v>
      </c>
      <c r="B141" s="215" t="s">
        <v>247</v>
      </c>
      <c r="C141" s="217" t="s">
        <v>268</v>
      </c>
    </row>
    <row r="142" spans="1:4">
      <c r="A142" s="214" t="s">
        <v>320</v>
      </c>
      <c r="B142" s="215" t="s">
        <v>248</v>
      </c>
      <c r="C142" s="217" t="s">
        <v>268</v>
      </c>
    </row>
    <row r="143" spans="1:4">
      <c r="A143" s="214" t="s">
        <v>341</v>
      </c>
      <c r="B143" s="215" t="s">
        <v>249</v>
      </c>
      <c r="C143" s="217" t="s">
        <v>268</v>
      </c>
    </row>
    <row r="144" spans="1:4">
      <c r="A144" s="214" t="s">
        <v>321</v>
      </c>
      <c r="B144" s="215" t="s">
        <v>365</v>
      </c>
      <c r="C144" s="217" t="s">
        <v>268</v>
      </c>
    </row>
    <row r="145" spans="1:3">
      <c r="A145" s="214"/>
      <c r="B145" s="215" t="s">
        <v>277</v>
      </c>
      <c r="C145" s="217" t="s">
        <v>269</v>
      </c>
    </row>
    <row r="146" spans="1:3">
      <c r="A146" s="214"/>
      <c r="B146" s="215" t="s">
        <v>365</v>
      </c>
      <c r="C146" s="217" t="s">
        <v>253</v>
      </c>
    </row>
    <row r="147" spans="1:3">
      <c r="A147" s="214" t="s">
        <v>321</v>
      </c>
      <c r="B147" s="215" t="s">
        <v>249</v>
      </c>
      <c r="C147" s="217" t="s">
        <v>268</v>
      </c>
    </row>
    <row r="148" spans="1:3">
      <c r="A148" s="214" t="s">
        <v>341</v>
      </c>
      <c r="B148" s="215" t="s">
        <v>248</v>
      </c>
      <c r="C148" s="217" t="s">
        <v>268</v>
      </c>
    </row>
    <row r="149" spans="1:3">
      <c r="A149" s="214" t="s">
        <v>320</v>
      </c>
      <c r="B149" s="215" t="s">
        <v>247</v>
      </c>
      <c r="C149" s="217" t="s">
        <v>268</v>
      </c>
    </row>
    <row r="150" spans="1:3">
      <c r="A150" s="214" t="s">
        <v>318</v>
      </c>
      <c r="B150" s="215" t="s">
        <v>246</v>
      </c>
      <c r="C150" s="217" t="s">
        <v>268</v>
      </c>
    </row>
    <row r="151" spans="1:3">
      <c r="A151" s="214"/>
      <c r="B151" s="215" t="s">
        <v>277</v>
      </c>
      <c r="C151" s="217" t="s">
        <v>254</v>
      </c>
    </row>
    <row r="152" spans="1:3">
      <c r="A152" s="214"/>
      <c r="B152" s="215"/>
      <c r="C152" s="217"/>
    </row>
    <row r="153" spans="1:3">
      <c r="A153" s="214" t="s">
        <v>367</v>
      </c>
      <c r="B153" s="215" t="s">
        <v>246</v>
      </c>
      <c r="C153" s="217" t="s">
        <v>267</v>
      </c>
    </row>
    <row r="154" spans="1:3">
      <c r="A154" s="214" t="s">
        <v>318</v>
      </c>
      <c r="B154" s="215" t="s">
        <v>365</v>
      </c>
      <c r="C154" s="217" t="s">
        <v>268</v>
      </c>
    </row>
    <row r="155" spans="1:3">
      <c r="A155" s="214"/>
      <c r="B155" s="215" t="s">
        <v>277</v>
      </c>
      <c r="C155" s="217" t="s">
        <v>269</v>
      </c>
    </row>
    <row r="156" spans="1:3">
      <c r="A156" s="214"/>
      <c r="B156" s="215" t="s">
        <v>365</v>
      </c>
      <c r="C156" s="217" t="s">
        <v>253</v>
      </c>
    </row>
    <row r="157" spans="1:3">
      <c r="A157" s="214" t="s">
        <v>318</v>
      </c>
      <c r="B157" s="215" t="s">
        <v>246</v>
      </c>
      <c r="C157" s="217" t="s">
        <v>268</v>
      </c>
    </row>
    <row r="158" spans="1:3">
      <c r="A158" s="214"/>
      <c r="B158" s="215" t="s">
        <v>277</v>
      </c>
      <c r="C158" s="217" t="s">
        <v>254</v>
      </c>
    </row>
    <row r="159" spans="1:3">
      <c r="A159" s="214"/>
      <c r="B159" s="215"/>
      <c r="C159" s="217"/>
    </row>
    <row r="160" spans="1:3">
      <c r="A160" s="214" t="s">
        <v>367</v>
      </c>
      <c r="B160" s="215" t="s">
        <v>246</v>
      </c>
      <c r="C160" s="217" t="s">
        <v>267</v>
      </c>
    </row>
    <row r="161" spans="1:3">
      <c r="A161" s="214" t="s">
        <v>318</v>
      </c>
      <c r="B161" s="215" t="s">
        <v>247</v>
      </c>
      <c r="C161" s="217" t="s">
        <v>268</v>
      </c>
    </row>
    <row r="162" spans="1:3">
      <c r="A162" s="214" t="s">
        <v>320</v>
      </c>
      <c r="B162" s="215" t="s">
        <v>248</v>
      </c>
      <c r="C162" s="217" t="s">
        <v>268</v>
      </c>
    </row>
    <row r="163" spans="1:3">
      <c r="A163" s="214" t="s">
        <v>341</v>
      </c>
      <c r="B163" s="215" t="s">
        <v>365</v>
      </c>
      <c r="C163" s="217" t="s">
        <v>268</v>
      </c>
    </row>
    <row r="164" spans="1:3">
      <c r="A164" s="214"/>
      <c r="B164" s="215" t="s">
        <v>277</v>
      </c>
      <c r="C164" s="217" t="s">
        <v>269</v>
      </c>
    </row>
    <row r="165" spans="1:3">
      <c r="A165" s="214"/>
      <c r="B165" s="215" t="s">
        <v>365</v>
      </c>
      <c r="C165" s="217" t="s">
        <v>253</v>
      </c>
    </row>
    <row r="166" spans="1:3">
      <c r="A166" s="214" t="s">
        <v>341</v>
      </c>
      <c r="B166" s="215" t="s">
        <v>248</v>
      </c>
      <c r="C166" s="217" t="s">
        <v>268</v>
      </c>
    </row>
    <row r="167" spans="1:3">
      <c r="A167" s="214" t="s">
        <v>320</v>
      </c>
      <c r="B167" s="215" t="s">
        <v>247</v>
      </c>
      <c r="C167" s="217" t="s">
        <v>268</v>
      </c>
    </row>
    <row r="168" spans="1:3">
      <c r="A168" s="214" t="s">
        <v>318</v>
      </c>
      <c r="B168" s="215" t="s">
        <v>246</v>
      </c>
      <c r="C168" s="217" t="s">
        <v>268</v>
      </c>
    </row>
    <row r="169" spans="1:3">
      <c r="A169" s="214"/>
      <c r="B169" s="215" t="s">
        <v>277</v>
      </c>
      <c r="C169" s="217" t="s">
        <v>254</v>
      </c>
    </row>
    <row r="170" spans="1:3">
      <c r="A170" s="214"/>
      <c r="B170" s="215"/>
      <c r="C170" s="217"/>
    </row>
    <row r="171" spans="1:3">
      <c r="A171" s="214" t="s">
        <v>367</v>
      </c>
      <c r="B171" s="215" t="s">
        <v>246</v>
      </c>
      <c r="C171" s="217" t="s">
        <v>267</v>
      </c>
    </row>
    <row r="172" spans="1:3">
      <c r="A172" s="214" t="s">
        <v>318</v>
      </c>
      <c r="B172" s="215" t="s">
        <v>247</v>
      </c>
      <c r="C172" s="217" t="s">
        <v>268</v>
      </c>
    </row>
    <row r="173" spans="1:3">
      <c r="A173" s="214" t="s">
        <v>320</v>
      </c>
      <c r="B173" s="215" t="s">
        <v>249</v>
      </c>
      <c r="C173" s="217" t="s">
        <v>268</v>
      </c>
    </row>
    <row r="174" spans="1:3">
      <c r="A174" s="214" t="s">
        <v>321</v>
      </c>
      <c r="B174" s="215" t="s">
        <v>365</v>
      </c>
      <c r="C174" s="217" t="s">
        <v>268</v>
      </c>
    </row>
    <row r="175" spans="1:3">
      <c r="A175" s="214"/>
      <c r="B175" s="215" t="s">
        <v>277</v>
      </c>
      <c r="C175" s="217" t="s">
        <v>269</v>
      </c>
    </row>
    <row r="176" spans="1:3">
      <c r="A176" s="214"/>
      <c r="B176" s="215" t="s">
        <v>365</v>
      </c>
      <c r="C176" s="217" t="s">
        <v>253</v>
      </c>
    </row>
    <row r="177" spans="1:4">
      <c r="A177" s="214" t="s">
        <v>321</v>
      </c>
      <c r="B177" s="215" t="s">
        <v>249</v>
      </c>
      <c r="C177" s="217" t="s">
        <v>268</v>
      </c>
    </row>
    <row r="178" spans="1:4">
      <c r="A178" s="214" t="s">
        <v>320</v>
      </c>
      <c r="B178" s="215" t="s">
        <v>247</v>
      </c>
      <c r="C178" s="217" t="s">
        <v>268</v>
      </c>
    </row>
    <row r="179" spans="1:4">
      <c r="A179" s="214" t="s">
        <v>318</v>
      </c>
      <c r="B179" s="226" t="s">
        <v>472</v>
      </c>
      <c r="C179" s="217" t="s">
        <v>268</v>
      </c>
    </row>
    <row r="180" spans="1:4">
      <c r="A180" s="214"/>
      <c r="B180" s="215" t="s">
        <v>277</v>
      </c>
      <c r="C180" s="217" t="s">
        <v>254</v>
      </c>
    </row>
    <row r="181" spans="1:4">
      <c r="A181" s="214"/>
      <c r="B181" s="215"/>
      <c r="C181" s="217"/>
    </row>
    <row r="182" spans="1:4">
      <c r="A182" s="214"/>
      <c r="B182" s="215"/>
      <c r="C182" s="217"/>
    </row>
    <row r="183" spans="1:4">
      <c r="A183" s="214"/>
      <c r="B183" s="215"/>
      <c r="C183" s="217"/>
    </row>
    <row r="184" spans="1:4">
      <c r="A184" s="214"/>
      <c r="B184" s="215"/>
      <c r="C184" s="217"/>
    </row>
    <row r="185" spans="1:4">
      <c r="A185" s="214"/>
      <c r="B185" s="215"/>
      <c r="C185" s="217"/>
    </row>
    <row r="186" spans="1:4" ht="15.75" thickBot="1">
      <c r="A186" s="218"/>
      <c r="B186" s="219"/>
      <c r="C186" s="220"/>
    </row>
    <row r="188" spans="1:4">
      <c r="A188" s="37" t="s">
        <v>150</v>
      </c>
      <c r="B188" s="200" t="s">
        <v>91</v>
      </c>
      <c r="C188" s="200" t="s">
        <v>116</v>
      </c>
      <c r="D188" s="200" t="s">
        <v>117</v>
      </c>
    </row>
    <row r="189" spans="1:4">
      <c r="A189" s="200" t="s">
        <v>118</v>
      </c>
      <c r="B189" s="200" t="s">
        <v>119</v>
      </c>
      <c r="C189" s="200" t="s">
        <v>120</v>
      </c>
      <c r="D189" s="200" t="s">
        <v>121</v>
      </c>
    </row>
    <row r="190" spans="1:4">
      <c r="A190" s="200" t="s">
        <v>122</v>
      </c>
      <c r="B190" s="200" t="s">
        <v>123</v>
      </c>
      <c r="C190" s="200" t="s">
        <v>124</v>
      </c>
      <c r="D190" s="200" t="s">
        <v>125</v>
      </c>
    </row>
    <row r="191" spans="1:4" ht="15.75" thickBot="1">
      <c r="A191" s="200" t="s">
        <v>126</v>
      </c>
      <c r="B191" s="632"/>
      <c r="C191" s="632"/>
      <c r="D191" s="632"/>
    </row>
    <row r="192" spans="1:4" ht="15.75" thickBot="1">
      <c r="A192" s="229" t="s">
        <v>8</v>
      </c>
      <c r="B192" s="230" t="s">
        <v>369</v>
      </c>
      <c r="C192" s="231" t="s">
        <v>370</v>
      </c>
    </row>
    <row r="193" spans="1:3">
      <c r="A193" s="237" t="s">
        <v>345</v>
      </c>
      <c r="B193" s="226" t="s">
        <v>472</v>
      </c>
      <c r="C193" s="216" t="s">
        <v>267</v>
      </c>
    </row>
    <row r="194" spans="1:3">
      <c r="A194" s="214" t="s">
        <v>318</v>
      </c>
      <c r="B194" s="215" t="s">
        <v>247</v>
      </c>
      <c r="C194" s="217" t="s">
        <v>268</v>
      </c>
    </row>
    <row r="195" spans="1:3">
      <c r="A195" s="214" t="s">
        <v>320</v>
      </c>
      <c r="B195" s="215" t="s">
        <v>365</v>
      </c>
      <c r="C195" s="217" t="s">
        <v>268</v>
      </c>
    </row>
    <row r="196" spans="1:3">
      <c r="A196" s="214"/>
      <c r="B196" s="215" t="s">
        <v>277</v>
      </c>
      <c r="C196" s="217" t="s">
        <v>269</v>
      </c>
    </row>
    <row r="197" spans="1:3">
      <c r="A197" s="214"/>
      <c r="B197" s="215" t="s">
        <v>365</v>
      </c>
      <c r="C197" s="217" t="s">
        <v>253</v>
      </c>
    </row>
    <row r="198" spans="1:3">
      <c r="A198" s="214" t="s">
        <v>320</v>
      </c>
      <c r="B198" s="215" t="s">
        <v>247</v>
      </c>
      <c r="C198" s="217" t="s">
        <v>268</v>
      </c>
    </row>
    <row r="199" spans="1:3">
      <c r="A199" s="214" t="s">
        <v>318</v>
      </c>
      <c r="B199" s="215" t="s">
        <v>246</v>
      </c>
      <c r="C199" s="217" t="s">
        <v>268</v>
      </c>
    </row>
    <row r="200" spans="1:3">
      <c r="A200" s="214"/>
      <c r="B200" s="215" t="s">
        <v>277</v>
      </c>
      <c r="C200" s="217" t="s">
        <v>254</v>
      </c>
    </row>
    <row r="201" spans="1:3">
      <c r="A201" s="214"/>
      <c r="B201" s="215"/>
      <c r="C201" s="217"/>
    </row>
    <row r="202" spans="1:3">
      <c r="A202" s="214" t="s">
        <v>368</v>
      </c>
      <c r="B202" s="215" t="s">
        <v>246</v>
      </c>
      <c r="C202" s="217" t="s">
        <v>267</v>
      </c>
    </row>
    <row r="203" spans="1:3">
      <c r="A203" s="214" t="s">
        <v>318</v>
      </c>
      <c r="B203" s="215" t="s">
        <v>247</v>
      </c>
      <c r="C203" s="217" t="s">
        <v>268</v>
      </c>
    </row>
    <row r="204" spans="1:3">
      <c r="A204" s="214" t="s">
        <v>320</v>
      </c>
      <c r="B204" s="215" t="s">
        <v>248</v>
      </c>
      <c r="C204" s="217" t="s">
        <v>268</v>
      </c>
    </row>
    <row r="205" spans="1:3">
      <c r="A205" s="214" t="s">
        <v>341</v>
      </c>
      <c r="B205" s="215" t="s">
        <v>249</v>
      </c>
      <c r="C205" s="217" t="s">
        <v>268</v>
      </c>
    </row>
    <row r="206" spans="1:3">
      <c r="A206" s="214" t="s">
        <v>321</v>
      </c>
      <c r="B206" s="215" t="s">
        <v>365</v>
      </c>
      <c r="C206" s="217" t="s">
        <v>268</v>
      </c>
    </row>
    <row r="207" spans="1:3">
      <c r="A207" s="214"/>
      <c r="B207" s="215" t="s">
        <v>277</v>
      </c>
      <c r="C207" s="217" t="s">
        <v>269</v>
      </c>
    </row>
    <row r="208" spans="1:3">
      <c r="A208" s="214"/>
      <c r="B208" s="215" t="s">
        <v>365</v>
      </c>
      <c r="C208" s="217" t="s">
        <v>253</v>
      </c>
    </row>
    <row r="209" spans="1:3">
      <c r="A209" s="214" t="s">
        <v>321</v>
      </c>
      <c r="B209" s="215" t="s">
        <v>249</v>
      </c>
      <c r="C209" s="217" t="s">
        <v>268</v>
      </c>
    </row>
    <row r="210" spans="1:3">
      <c r="A210" s="214" t="s">
        <v>341</v>
      </c>
      <c r="B210" s="215" t="s">
        <v>248</v>
      </c>
      <c r="C210" s="217" t="s">
        <v>268</v>
      </c>
    </row>
    <row r="211" spans="1:3">
      <c r="A211" s="214" t="s">
        <v>320</v>
      </c>
      <c r="B211" s="215" t="s">
        <v>247</v>
      </c>
      <c r="C211" s="217" t="s">
        <v>268</v>
      </c>
    </row>
    <row r="212" spans="1:3">
      <c r="A212" s="214" t="s">
        <v>318</v>
      </c>
      <c r="B212" s="215" t="s">
        <v>246</v>
      </c>
      <c r="C212" s="217" t="s">
        <v>268</v>
      </c>
    </row>
    <row r="213" spans="1:3">
      <c r="A213" s="214"/>
      <c r="B213" s="215" t="s">
        <v>277</v>
      </c>
      <c r="C213" s="217" t="s">
        <v>254</v>
      </c>
    </row>
    <row r="214" spans="1:3">
      <c r="A214" s="214"/>
      <c r="B214" s="215"/>
      <c r="C214" s="217"/>
    </row>
    <row r="215" spans="1:3">
      <c r="A215" s="214" t="s">
        <v>368</v>
      </c>
      <c r="B215" s="215" t="s">
        <v>246</v>
      </c>
      <c r="C215" s="217" t="s">
        <v>267</v>
      </c>
    </row>
    <row r="216" spans="1:3">
      <c r="A216" s="214" t="s">
        <v>318</v>
      </c>
      <c r="B216" s="215" t="s">
        <v>365</v>
      </c>
      <c r="C216" s="217" t="s">
        <v>268</v>
      </c>
    </row>
    <row r="217" spans="1:3">
      <c r="A217" s="214"/>
      <c r="B217" s="215" t="s">
        <v>277</v>
      </c>
      <c r="C217" s="217" t="s">
        <v>269</v>
      </c>
    </row>
    <row r="218" spans="1:3">
      <c r="A218" s="214"/>
      <c r="B218" s="215" t="s">
        <v>365</v>
      </c>
      <c r="C218" s="217" t="s">
        <v>253</v>
      </c>
    </row>
    <row r="219" spans="1:3">
      <c r="A219" s="214" t="s">
        <v>318</v>
      </c>
      <c r="B219" s="215" t="s">
        <v>246</v>
      </c>
      <c r="C219" s="217" t="s">
        <v>268</v>
      </c>
    </row>
    <row r="220" spans="1:3">
      <c r="A220" s="214"/>
      <c r="B220" s="215" t="s">
        <v>277</v>
      </c>
      <c r="C220" s="217" t="s">
        <v>254</v>
      </c>
    </row>
    <row r="221" spans="1:3">
      <c r="A221" s="214"/>
      <c r="B221" s="215"/>
      <c r="C221" s="217"/>
    </row>
    <row r="222" spans="1:3">
      <c r="A222" s="214" t="s">
        <v>368</v>
      </c>
      <c r="B222" s="215" t="s">
        <v>246</v>
      </c>
      <c r="C222" s="217" t="s">
        <v>267</v>
      </c>
    </row>
    <row r="223" spans="1:3">
      <c r="A223" s="214" t="s">
        <v>318</v>
      </c>
      <c r="B223" s="215" t="s">
        <v>247</v>
      </c>
      <c r="C223" s="217" t="s">
        <v>268</v>
      </c>
    </row>
    <row r="224" spans="1:3">
      <c r="A224" s="214" t="s">
        <v>320</v>
      </c>
      <c r="B224" s="215" t="s">
        <v>248</v>
      </c>
      <c r="C224" s="217" t="s">
        <v>268</v>
      </c>
    </row>
    <row r="225" spans="1:3">
      <c r="A225" s="214" t="s">
        <v>341</v>
      </c>
      <c r="B225" s="215" t="s">
        <v>365</v>
      </c>
      <c r="C225" s="217" t="s">
        <v>268</v>
      </c>
    </row>
    <row r="226" spans="1:3">
      <c r="A226" s="214"/>
      <c r="B226" s="215" t="s">
        <v>277</v>
      </c>
      <c r="C226" s="217" t="s">
        <v>269</v>
      </c>
    </row>
    <row r="227" spans="1:3">
      <c r="A227" s="214"/>
      <c r="B227" s="215" t="s">
        <v>365</v>
      </c>
      <c r="C227" s="217" t="s">
        <v>253</v>
      </c>
    </row>
    <row r="228" spans="1:3">
      <c r="A228" s="214" t="s">
        <v>341</v>
      </c>
      <c r="B228" s="215" t="s">
        <v>248</v>
      </c>
      <c r="C228" s="217" t="s">
        <v>268</v>
      </c>
    </row>
    <row r="229" spans="1:3">
      <c r="A229" s="214" t="s">
        <v>320</v>
      </c>
      <c r="B229" s="215" t="s">
        <v>247</v>
      </c>
      <c r="C229" s="217" t="s">
        <v>268</v>
      </c>
    </row>
    <row r="230" spans="1:3">
      <c r="A230" s="214" t="s">
        <v>318</v>
      </c>
      <c r="B230" s="215" t="s">
        <v>246</v>
      </c>
      <c r="C230" s="217" t="s">
        <v>268</v>
      </c>
    </row>
    <row r="231" spans="1:3">
      <c r="A231" s="214"/>
      <c r="B231" s="215" t="s">
        <v>277</v>
      </c>
      <c r="C231" s="217" t="s">
        <v>254</v>
      </c>
    </row>
    <row r="232" spans="1:3">
      <c r="A232" s="214"/>
      <c r="B232" s="215"/>
      <c r="C232" s="217"/>
    </row>
    <row r="233" spans="1:3">
      <c r="A233" s="214" t="s">
        <v>368</v>
      </c>
      <c r="B233" s="215" t="s">
        <v>246</v>
      </c>
      <c r="C233" s="217" t="s">
        <v>267</v>
      </c>
    </row>
    <row r="234" spans="1:3">
      <c r="A234" s="214" t="s">
        <v>318</v>
      </c>
      <c r="B234" s="215" t="s">
        <v>247</v>
      </c>
      <c r="C234" s="217" t="s">
        <v>268</v>
      </c>
    </row>
    <row r="235" spans="1:3">
      <c r="A235" s="214" t="s">
        <v>320</v>
      </c>
      <c r="B235" s="215" t="s">
        <v>249</v>
      </c>
      <c r="C235" s="217" t="s">
        <v>268</v>
      </c>
    </row>
    <row r="236" spans="1:3">
      <c r="A236" s="214" t="s">
        <v>321</v>
      </c>
      <c r="B236" s="215" t="s">
        <v>365</v>
      </c>
      <c r="C236" s="217" t="s">
        <v>268</v>
      </c>
    </row>
    <row r="237" spans="1:3">
      <c r="A237" s="214"/>
      <c r="B237" s="215" t="s">
        <v>277</v>
      </c>
      <c r="C237" s="217" t="s">
        <v>269</v>
      </c>
    </row>
    <row r="238" spans="1:3">
      <c r="A238" s="214"/>
      <c r="B238" s="215" t="s">
        <v>365</v>
      </c>
      <c r="C238" s="217" t="s">
        <v>253</v>
      </c>
    </row>
    <row r="239" spans="1:3">
      <c r="A239" s="214" t="s">
        <v>321</v>
      </c>
      <c r="B239" s="215" t="s">
        <v>249</v>
      </c>
      <c r="C239" s="217" t="s">
        <v>268</v>
      </c>
    </row>
    <row r="240" spans="1:3">
      <c r="A240" s="214" t="s">
        <v>320</v>
      </c>
      <c r="B240" s="215" t="s">
        <v>247</v>
      </c>
      <c r="C240" s="217" t="s">
        <v>268</v>
      </c>
    </row>
    <row r="241" spans="1:3">
      <c r="A241" s="214" t="s">
        <v>318</v>
      </c>
      <c r="B241" s="226" t="s">
        <v>472</v>
      </c>
      <c r="C241" s="217" t="s">
        <v>268</v>
      </c>
    </row>
    <row r="242" spans="1:3">
      <c r="A242" s="214"/>
      <c r="B242" s="215" t="s">
        <v>277</v>
      </c>
      <c r="C242" s="217" t="s">
        <v>254</v>
      </c>
    </row>
    <row r="243" spans="1:3">
      <c r="A243" s="214"/>
      <c r="B243" s="215"/>
      <c r="C243" s="217"/>
    </row>
    <row r="244" spans="1:3">
      <c r="A244" s="214"/>
      <c r="B244" s="215"/>
      <c r="C244" s="217"/>
    </row>
    <row r="245" spans="1:3">
      <c r="A245" s="214"/>
      <c r="B245" s="215"/>
      <c r="C245" s="217"/>
    </row>
    <row r="246" spans="1:3">
      <c r="A246" s="214"/>
      <c r="B246" s="215"/>
      <c r="C246" s="217"/>
    </row>
    <row r="247" spans="1:3">
      <c r="A247" s="214"/>
      <c r="B247" s="215"/>
      <c r="C247" s="217"/>
    </row>
    <row r="248" spans="1:3" ht="15.75" thickBot="1">
      <c r="A248" s="218"/>
      <c r="B248" s="219"/>
      <c r="C248" s="220"/>
    </row>
    <row r="250" spans="1:3" ht="15.75" thickBot="1">
      <c r="A250" s="964" t="s">
        <v>478</v>
      </c>
      <c r="B250" s="964"/>
      <c r="C250" s="964"/>
    </row>
    <row r="251" spans="1:3">
      <c r="A251" s="578" t="s">
        <v>479</v>
      </c>
      <c r="B251" s="99" t="s">
        <v>258</v>
      </c>
      <c r="C251" s="579" t="s">
        <v>259</v>
      </c>
    </row>
    <row r="252" spans="1:3">
      <c r="A252" s="580" t="s">
        <v>480</v>
      </c>
      <c r="B252" s="565" t="s">
        <v>258</v>
      </c>
      <c r="C252" s="353" t="s">
        <v>259</v>
      </c>
    </row>
    <row r="253" spans="1:3">
      <c r="A253" s="580" t="s">
        <v>481</v>
      </c>
      <c r="B253" s="565" t="s">
        <v>258</v>
      </c>
      <c r="C253" s="353" t="s">
        <v>259</v>
      </c>
    </row>
    <row r="254" spans="1:3">
      <c r="A254" s="580" t="s">
        <v>482</v>
      </c>
      <c r="B254" s="565" t="s">
        <v>258</v>
      </c>
      <c r="C254" s="353" t="s">
        <v>259</v>
      </c>
    </row>
    <row r="255" spans="1:3">
      <c r="A255" s="580" t="s">
        <v>483</v>
      </c>
      <c r="B255" s="565" t="s">
        <v>258</v>
      </c>
      <c r="C255" s="353" t="s">
        <v>259</v>
      </c>
    </row>
    <row r="256" spans="1:3">
      <c r="A256" s="580" t="s">
        <v>484</v>
      </c>
      <c r="B256" s="565" t="s">
        <v>259</v>
      </c>
      <c r="C256" s="353" t="s">
        <v>259</v>
      </c>
    </row>
    <row r="257" spans="1:3">
      <c r="A257" s="580" t="s">
        <v>485</v>
      </c>
      <c r="B257" s="565" t="s">
        <v>259</v>
      </c>
      <c r="C257" s="353" t="s">
        <v>259</v>
      </c>
    </row>
    <row r="258" spans="1:3">
      <c r="A258" s="581" t="s">
        <v>479</v>
      </c>
      <c r="B258" s="565" t="s">
        <v>258</v>
      </c>
      <c r="C258" s="353" t="s">
        <v>259</v>
      </c>
    </row>
    <row r="259" spans="1:3">
      <c r="A259" s="580" t="s">
        <v>480</v>
      </c>
      <c r="B259" s="565" t="s">
        <v>258</v>
      </c>
      <c r="C259" s="353" t="s">
        <v>259</v>
      </c>
    </row>
    <row r="260" spans="1:3">
      <c r="A260" s="580" t="s">
        <v>481</v>
      </c>
      <c r="B260" s="565" t="s">
        <v>258</v>
      </c>
      <c r="C260" s="353" t="s">
        <v>259</v>
      </c>
    </row>
    <row r="261" spans="1:3">
      <c r="A261" s="580" t="s">
        <v>482</v>
      </c>
      <c r="B261" s="565" t="s">
        <v>258</v>
      </c>
      <c r="C261" s="353" t="s">
        <v>259</v>
      </c>
    </row>
    <row r="262" spans="1:3">
      <c r="A262" s="580" t="s">
        <v>483</v>
      </c>
      <c r="B262" s="565" t="s">
        <v>258</v>
      </c>
      <c r="C262" s="353" t="s">
        <v>259</v>
      </c>
    </row>
    <row r="263" spans="1:3">
      <c r="A263" s="580" t="s">
        <v>484</v>
      </c>
      <c r="B263" s="565" t="s">
        <v>259</v>
      </c>
      <c r="C263" s="353" t="s">
        <v>259</v>
      </c>
    </row>
    <row r="264" spans="1:3">
      <c r="A264" s="580" t="s">
        <v>485</v>
      </c>
      <c r="B264" s="565" t="s">
        <v>259</v>
      </c>
      <c r="C264" s="353" t="s">
        <v>259</v>
      </c>
    </row>
    <row r="265" spans="1:3">
      <c r="A265" s="581" t="s">
        <v>479</v>
      </c>
      <c r="B265" s="565" t="s">
        <v>258</v>
      </c>
      <c r="C265" s="353" t="s">
        <v>259</v>
      </c>
    </row>
    <row r="266" spans="1:3">
      <c r="A266" s="580" t="s">
        <v>480</v>
      </c>
      <c r="B266" s="565" t="s">
        <v>258</v>
      </c>
      <c r="C266" s="353" t="s">
        <v>259</v>
      </c>
    </row>
    <row r="267" spans="1:3">
      <c r="A267" s="580" t="s">
        <v>481</v>
      </c>
      <c r="B267" s="565" t="s">
        <v>258</v>
      </c>
      <c r="C267" s="353" t="s">
        <v>259</v>
      </c>
    </row>
    <row r="268" spans="1:3">
      <c r="A268" s="580" t="s">
        <v>482</v>
      </c>
      <c r="B268" s="565" t="s">
        <v>258</v>
      </c>
      <c r="C268" s="353" t="s">
        <v>259</v>
      </c>
    </row>
    <row r="269" spans="1:3">
      <c r="A269" s="580" t="s">
        <v>483</v>
      </c>
      <c r="B269" s="565" t="s">
        <v>258</v>
      </c>
      <c r="C269" s="353" t="s">
        <v>259</v>
      </c>
    </row>
    <row r="270" spans="1:3">
      <c r="A270" s="580" t="s">
        <v>484</v>
      </c>
      <c r="B270" s="565" t="s">
        <v>259</v>
      </c>
      <c r="C270" s="353" t="s">
        <v>259</v>
      </c>
    </row>
    <row r="271" spans="1:3">
      <c r="A271" s="580" t="s">
        <v>485</v>
      </c>
      <c r="B271" s="565" t="s">
        <v>259</v>
      </c>
      <c r="C271" s="353" t="s">
        <v>259</v>
      </c>
    </row>
    <row r="272" spans="1:3">
      <c r="A272" s="581" t="s">
        <v>479</v>
      </c>
      <c r="B272" s="565" t="s">
        <v>258</v>
      </c>
      <c r="C272" s="353" t="s">
        <v>259</v>
      </c>
    </row>
    <row r="273" spans="1:3">
      <c r="A273" s="580" t="s">
        <v>480</v>
      </c>
      <c r="B273" s="565" t="s">
        <v>258</v>
      </c>
      <c r="C273" s="353" t="s">
        <v>259</v>
      </c>
    </row>
    <row r="274" spans="1:3">
      <c r="A274" s="580" t="s">
        <v>481</v>
      </c>
      <c r="B274" s="565" t="s">
        <v>258</v>
      </c>
      <c r="C274" s="353" t="s">
        <v>259</v>
      </c>
    </row>
    <row r="275" spans="1:3">
      <c r="A275" s="580" t="s">
        <v>482</v>
      </c>
      <c r="B275" s="565" t="s">
        <v>258</v>
      </c>
      <c r="C275" s="353" t="s">
        <v>259</v>
      </c>
    </row>
    <row r="276" spans="1:3">
      <c r="A276" s="580" t="s">
        <v>483</v>
      </c>
      <c r="B276" s="565" t="s">
        <v>258</v>
      </c>
      <c r="C276" s="353" t="s">
        <v>259</v>
      </c>
    </row>
    <row r="277" spans="1:3">
      <c r="A277" s="580" t="s">
        <v>484</v>
      </c>
      <c r="B277" s="565" t="s">
        <v>259</v>
      </c>
      <c r="C277" s="353" t="s">
        <v>259</v>
      </c>
    </row>
    <row r="278" spans="1:3">
      <c r="A278" s="580" t="s">
        <v>485</v>
      </c>
      <c r="B278" s="565" t="s">
        <v>259</v>
      </c>
      <c r="C278" s="353" t="s">
        <v>259</v>
      </c>
    </row>
    <row r="279" spans="1:3">
      <c r="A279" s="581" t="s">
        <v>479</v>
      </c>
      <c r="B279" s="565" t="s">
        <v>258</v>
      </c>
      <c r="C279" s="353" t="s">
        <v>259</v>
      </c>
    </row>
    <row r="280" spans="1:3">
      <c r="A280" s="580" t="s">
        <v>480</v>
      </c>
      <c r="B280" s="565" t="s">
        <v>258</v>
      </c>
      <c r="C280" s="353" t="s">
        <v>259</v>
      </c>
    </row>
    <row r="281" spans="1:3">
      <c r="A281" s="580" t="s">
        <v>481</v>
      </c>
      <c r="B281" s="565" t="s">
        <v>258</v>
      </c>
      <c r="C281" s="353" t="s">
        <v>259</v>
      </c>
    </row>
    <row r="282" spans="1:3">
      <c r="A282" s="580" t="s">
        <v>482</v>
      </c>
      <c r="B282" s="565" t="s">
        <v>258</v>
      </c>
      <c r="C282" s="353" t="s">
        <v>259</v>
      </c>
    </row>
    <row r="283" spans="1:3">
      <c r="A283" s="580" t="s">
        <v>483</v>
      </c>
      <c r="B283" s="565" t="s">
        <v>258</v>
      </c>
      <c r="C283" s="353" t="s">
        <v>259</v>
      </c>
    </row>
    <row r="284" spans="1:3">
      <c r="A284" s="580" t="s">
        <v>484</v>
      </c>
      <c r="B284" s="565" t="s">
        <v>259</v>
      </c>
      <c r="C284" s="353" t="s">
        <v>259</v>
      </c>
    </row>
    <row r="285" spans="1:3">
      <c r="A285" s="580" t="s">
        <v>485</v>
      </c>
      <c r="B285" s="565" t="s">
        <v>259</v>
      </c>
      <c r="C285" s="353" t="s">
        <v>259</v>
      </c>
    </row>
    <row r="286" spans="1:3">
      <c r="A286" s="581" t="s">
        <v>479</v>
      </c>
      <c r="B286" s="565" t="s">
        <v>258</v>
      </c>
      <c r="C286" s="353" t="s">
        <v>259</v>
      </c>
    </row>
    <row r="287" spans="1:3" ht="15.75" thickBot="1">
      <c r="A287" s="582" t="s">
        <v>480</v>
      </c>
      <c r="B287" s="567" t="s">
        <v>258</v>
      </c>
      <c r="C287" s="583" t="s">
        <v>259</v>
      </c>
    </row>
  </sheetData>
  <sheetProtection selectLockedCells="1"/>
  <mergeCells count="5">
    <mergeCell ref="B5:D5"/>
    <mergeCell ref="B129:D129"/>
    <mergeCell ref="B191:D191"/>
    <mergeCell ref="F1:I1"/>
    <mergeCell ref="A250:C250"/>
  </mergeCells>
  <conditionalFormatting sqref="C7">
    <cfRule type="expression" dxfId="63" priority="2648">
      <formula>$A7:$A61="Séparation/J"</formula>
    </cfRule>
  </conditionalFormatting>
  <conditionalFormatting sqref="C7">
    <cfRule type="expression" dxfId="62" priority="2497">
      <formula>$A7:$A61="Séparation/J"</formula>
    </cfRule>
  </conditionalFormatting>
  <conditionalFormatting sqref="C7">
    <cfRule type="expression" dxfId="61" priority="2723">
      <formula>$A7:$A61="Séparation/J"</formula>
    </cfRule>
  </conditionalFormatting>
  <conditionalFormatting sqref="C7">
    <cfRule type="expression" dxfId="60" priority="2526">
      <formula>$A7:$A61="Séparation/J"</formula>
    </cfRule>
  </conditionalFormatting>
  <conditionalFormatting sqref="C7">
    <cfRule type="expression" dxfId="59" priority="2510">
      <formula>$A7:$A61="Séparation/J"</formula>
    </cfRule>
    <cfRule type="expression" dxfId="58" priority="2511">
      <formula>$A7:$A54="Séparation/J"</formula>
    </cfRule>
  </conditionalFormatting>
  <conditionalFormatting sqref="C7">
    <cfRule type="expression" dxfId="57" priority="2477">
      <formula>$A7:$A61="Séparation/J"</formula>
    </cfRule>
  </conditionalFormatting>
  <conditionalFormatting sqref="C7">
    <cfRule type="expression" dxfId="56" priority="2468">
      <formula>$A7:$A61="Séparation/J"</formula>
    </cfRule>
  </conditionalFormatting>
  <conditionalFormatting sqref="C8:C62">
    <cfRule type="expression" dxfId="55" priority="103">
      <formula>$A8:$A62="Séparation/J"</formula>
    </cfRule>
  </conditionalFormatting>
  <conditionalFormatting sqref="C8:C62">
    <cfRule type="expression" dxfId="54" priority="99">
      <formula>$A8:$A62="Séparation/J"</formula>
    </cfRule>
  </conditionalFormatting>
  <conditionalFormatting sqref="C8:C62">
    <cfRule type="expression" dxfId="53" priority="104">
      <formula>$A8:$A62="Séparation/J"</formula>
    </cfRule>
  </conditionalFormatting>
  <conditionalFormatting sqref="C8:C62">
    <cfRule type="expression" dxfId="52" priority="102">
      <formula>$A8:$A62="Séparation/J"</formula>
    </cfRule>
  </conditionalFormatting>
  <conditionalFormatting sqref="C8:C62">
    <cfRule type="expression" dxfId="51" priority="100">
      <formula>$A8:$A62="Séparation/J"</formula>
    </cfRule>
    <cfRule type="expression" dxfId="50" priority="101">
      <formula>$A8:$A55="Séparation/J"</formula>
    </cfRule>
  </conditionalFormatting>
  <conditionalFormatting sqref="C8:C62">
    <cfRule type="expression" dxfId="49" priority="98">
      <formula>$A8:$A62="Séparation/J"</formula>
    </cfRule>
  </conditionalFormatting>
  <conditionalFormatting sqref="C8:C62">
    <cfRule type="expression" dxfId="48" priority="97">
      <formula>$A8:$A62="Séparation/J"</formula>
    </cfRule>
  </conditionalFormatting>
  <conditionalFormatting sqref="C69">
    <cfRule type="expression" dxfId="47" priority="47">
      <formula>$A69:$A123="Séparation/J"</formula>
    </cfRule>
  </conditionalFormatting>
  <conditionalFormatting sqref="C69">
    <cfRule type="expression" dxfId="46" priority="43">
      <formula>$A69:$A123="Séparation/J"</formula>
    </cfRule>
  </conditionalFormatting>
  <conditionalFormatting sqref="C69">
    <cfRule type="expression" dxfId="45" priority="48">
      <formula>$A69:$A123="Séparation/J"</formula>
    </cfRule>
  </conditionalFormatting>
  <conditionalFormatting sqref="C69">
    <cfRule type="expression" dxfId="44" priority="46">
      <formula>$A69:$A123="Séparation/J"</formula>
    </cfRule>
  </conditionalFormatting>
  <conditionalFormatting sqref="C69">
    <cfRule type="expression" dxfId="43" priority="44">
      <formula>$A69:$A123="Séparation/J"</formula>
    </cfRule>
    <cfRule type="expression" dxfId="42" priority="45">
      <formula>$A69:$A116="Séparation/J"</formula>
    </cfRule>
  </conditionalFormatting>
  <conditionalFormatting sqref="C69">
    <cfRule type="expression" dxfId="41" priority="42">
      <formula>$A69:$A123="Séparation/J"</formula>
    </cfRule>
  </conditionalFormatting>
  <conditionalFormatting sqref="C69">
    <cfRule type="expression" dxfId="40" priority="41">
      <formula>$A69:$A123="Séparation/J"</formula>
    </cfRule>
  </conditionalFormatting>
  <conditionalFormatting sqref="C70:C124">
    <cfRule type="expression" dxfId="39" priority="39">
      <formula>$A70:$A124="Séparation/J"</formula>
    </cfRule>
  </conditionalFormatting>
  <conditionalFormatting sqref="C70:C124">
    <cfRule type="expression" dxfId="38" priority="35">
      <formula>$A70:$A124="Séparation/J"</formula>
    </cfRule>
  </conditionalFormatting>
  <conditionalFormatting sqref="C70:C124">
    <cfRule type="expression" dxfId="37" priority="40">
      <formula>$A70:$A124="Séparation/J"</formula>
    </cfRule>
  </conditionalFormatting>
  <conditionalFormatting sqref="C70:C124">
    <cfRule type="expression" dxfId="36" priority="38">
      <formula>$A70:$A124="Séparation/J"</formula>
    </cfRule>
  </conditionalFormatting>
  <conditionalFormatting sqref="C70:C124">
    <cfRule type="expression" dxfId="35" priority="36">
      <formula>$A70:$A124="Séparation/J"</formula>
    </cfRule>
    <cfRule type="expression" dxfId="34" priority="37">
      <formula>$A70:$A117="Séparation/J"</formula>
    </cfRule>
  </conditionalFormatting>
  <conditionalFormatting sqref="C70:C124">
    <cfRule type="expression" dxfId="33" priority="34">
      <formula>$A70:$A124="Séparation/J"</formula>
    </cfRule>
  </conditionalFormatting>
  <conditionalFormatting sqref="C70:C124">
    <cfRule type="expression" dxfId="32" priority="33">
      <formula>$A70:$A124="Séparation/J"</formula>
    </cfRule>
  </conditionalFormatting>
  <conditionalFormatting sqref="C131">
    <cfRule type="expression" dxfId="31" priority="31">
      <formula>$A131:$A185="Séparation/J"</formula>
    </cfRule>
  </conditionalFormatting>
  <conditionalFormatting sqref="C131">
    <cfRule type="expression" dxfId="30" priority="27">
      <formula>$A131:$A185="Séparation/J"</formula>
    </cfRule>
  </conditionalFormatting>
  <conditionalFormatting sqref="C131">
    <cfRule type="expression" dxfId="29" priority="32">
      <formula>$A131:$A185="Séparation/J"</formula>
    </cfRule>
  </conditionalFormatting>
  <conditionalFormatting sqref="C131">
    <cfRule type="expression" dxfId="28" priority="30">
      <formula>$A131:$A185="Séparation/J"</formula>
    </cfRule>
  </conditionalFormatting>
  <conditionalFormatting sqref="C131">
    <cfRule type="expression" dxfId="27" priority="28">
      <formula>$A131:$A185="Séparation/J"</formula>
    </cfRule>
    <cfRule type="expression" dxfId="26" priority="29">
      <formula>$A131:$A178="Séparation/J"</formula>
    </cfRule>
  </conditionalFormatting>
  <conditionalFormatting sqref="C131">
    <cfRule type="expression" dxfId="25" priority="26">
      <formula>$A131:$A185="Séparation/J"</formula>
    </cfRule>
  </conditionalFormatting>
  <conditionalFormatting sqref="C131">
    <cfRule type="expression" dxfId="24" priority="25">
      <formula>$A131:$A185="Séparation/J"</formula>
    </cfRule>
  </conditionalFormatting>
  <conditionalFormatting sqref="C132:C186">
    <cfRule type="expression" dxfId="23" priority="23">
      <formula>$A132:$A186="Séparation/J"</formula>
    </cfRule>
  </conditionalFormatting>
  <conditionalFormatting sqref="C132:C186">
    <cfRule type="expression" dxfId="22" priority="19">
      <formula>$A132:$A186="Séparation/J"</formula>
    </cfRule>
  </conditionalFormatting>
  <conditionalFormatting sqref="C132:C186">
    <cfRule type="expression" dxfId="21" priority="24">
      <formula>$A132:$A186="Séparation/J"</formula>
    </cfRule>
  </conditionalFormatting>
  <conditionalFormatting sqref="C132:C186">
    <cfRule type="expression" dxfId="20" priority="22">
      <formula>$A132:$A186="Séparation/J"</formula>
    </cfRule>
  </conditionalFormatting>
  <conditionalFormatting sqref="C132:C186">
    <cfRule type="expression" dxfId="19" priority="20">
      <formula>$A132:$A186="Séparation/J"</formula>
    </cfRule>
    <cfRule type="expression" dxfId="18" priority="21">
      <formula>$A132:$A179="Séparation/J"</formula>
    </cfRule>
  </conditionalFormatting>
  <conditionalFormatting sqref="C132:C186">
    <cfRule type="expression" dxfId="17" priority="18">
      <formula>$A132:$A186="Séparation/J"</formula>
    </cfRule>
  </conditionalFormatting>
  <conditionalFormatting sqref="C132:C186">
    <cfRule type="expression" dxfId="16" priority="17">
      <formula>$A132:$A186="Séparation/J"</formula>
    </cfRule>
  </conditionalFormatting>
  <conditionalFormatting sqref="C193">
    <cfRule type="expression" dxfId="15" priority="15">
      <formula>$A193:$A247="Séparation/J"</formula>
    </cfRule>
  </conditionalFormatting>
  <conditionalFormatting sqref="C193">
    <cfRule type="expression" dxfId="14" priority="11">
      <formula>$A193:$A247="Séparation/J"</formula>
    </cfRule>
  </conditionalFormatting>
  <conditionalFormatting sqref="C193">
    <cfRule type="expression" dxfId="13" priority="16">
      <formula>$A193:$A247="Séparation/J"</formula>
    </cfRule>
  </conditionalFormatting>
  <conditionalFormatting sqref="C193">
    <cfRule type="expression" dxfId="12" priority="14">
      <formula>$A193:$A247="Séparation/J"</formula>
    </cfRule>
  </conditionalFormatting>
  <conditionalFormatting sqref="C193">
    <cfRule type="expression" dxfId="11" priority="12">
      <formula>$A193:$A247="Séparation/J"</formula>
    </cfRule>
    <cfRule type="expression" dxfId="10" priority="13">
      <formula>$A193:$A240="Séparation/J"</formula>
    </cfRule>
  </conditionalFormatting>
  <conditionalFormatting sqref="C193">
    <cfRule type="expression" dxfId="9" priority="10">
      <formula>$A193:$A247="Séparation/J"</formula>
    </cfRule>
  </conditionalFormatting>
  <conditionalFormatting sqref="C193">
    <cfRule type="expression" dxfId="8" priority="9">
      <formula>$A193:$A247="Séparation/J"</formula>
    </cfRule>
  </conditionalFormatting>
  <conditionalFormatting sqref="C194:C248">
    <cfRule type="expression" dxfId="7" priority="7">
      <formula>$A194:$A248="Séparation/J"</formula>
    </cfRule>
  </conditionalFormatting>
  <conditionalFormatting sqref="C194:C248">
    <cfRule type="expression" dxfId="6" priority="3">
      <formula>$A194:$A248="Séparation/J"</formula>
    </cfRule>
  </conditionalFormatting>
  <conditionalFormatting sqref="C194:C248">
    <cfRule type="expression" dxfId="5" priority="8">
      <formula>$A194:$A248="Séparation/J"</formula>
    </cfRule>
  </conditionalFormatting>
  <conditionalFormatting sqref="C194:C248">
    <cfRule type="expression" dxfId="4" priority="6">
      <formula>$A194:$A248="Séparation/J"</formula>
    </cfRule>
  </conditionalFormatting>
  <conditionalFormatting sqref="C194:C248">
    <cfRule type="expression" dxfId="3" priority="4">
      <formula>$A194:$A248="Séparation/J"</formula>
    </cfRule>
    <cfRule type="expression" dxfId="2" priority="5">
      <formula>$A194:$A241="Séparation/J"</formula>
    </cfRule>
  </conditionalFormatting>
  <conditionalFormatting sqref="C194:C248">
    <cfRule type="expression" dxfId="1" priority="2">
      <formula>$A194:$A248="Séparation/J"</formula>
    </cfRule>
  </conditionalFormatting>
  <conditionalFormatting sqref="C194:C248">
    <cfRule type="expression" dxfId="0" priority="1">
      <formula>$A194:$A248="Séparation/J"</formula>
    </cfRule>
  </conditionalFormatting>
  <dataValidations count="5">
    <dataValidation type="list" allowBlank="1" showInputMessage="1" showErrorMessage="1" sqref="C7:C62 C131:C186 C69:C124 C193:C248">
      <formula1>Dchoix</formula1>
    </dataValidation>
    <dataValidation type="list" allowBlank="1" showInputMessage="1" sqref="A131:A186 A7:A62 A69:A124 A193:A248">
      <formula1>IF(A7&lt;&gt; "",OFFSET(f_noms,MATCH(A7&amp;"*",f_noms,0)-1,,COUNTIF(f_noms,A7&amp;"*"),1),f_noms)</formula1>
    </dataValidation>
    <dataValidation type="list" allowBlank="1" showInputMessage="1" sqref="B131:B186 B69:B124 B7:B62 B193:B248">
      <formula1>IF(B7&lt;&gt;"",OFFSET(f_ville,MATCH(B7&amp;"*", f_ville,0)-1,,COUNTIF(f_ville, B7&amp;"*"),1), f_ville)</formula1>
    </dataValidation>
    <dataValidation type="list" allowBlank="1" showInputMessage="1" showErrorMessage="1" sqref="B251:B287">
      <formula1>Travail</formula1>
    </dataValidation>
    <dataValidation type="list" allowBlank="1" showInputMessage="1" showErrorMessage="1" sqref="C251:C287">
      <formula1>Formation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MCVS</vt:lpstr>
      <vt:lpstr>Justificatifs</vt:lpstr>
      <vt:lpstr>RecapFrais</vt:lpstr>
      <vt:lpstr>Semaine1</vt:lpstr>
      <vt:lpstr>RecapMois</vt:lpstr>
      <vt:lpstr>RapportActivité</vt:lpstr>
      <vt:lpstr>Congé</vt:lpstr>
      <vt:lpstr>SType</vt:lpstr>
      <vt:lpstr>Bchoix</vt:lpstr>
      <vt:lpstr>Cobjet</vt:lpstr>
      <vt:lpstr>Congés</vt:lpstr>
      <vt:lpstr>Date</vt:lpstr>
      <vt:lpstr>Date2</vt:lpstr>
      <vt:lpstr>Dchoix</vt:lpstr>
      <vt:lpstr>Formation</vt:lpstr>
      <vt:lpstr>Justificatifs!Impression_des_titres</vt:lpstr>
      <vt:lpstr>Jchoix</vt:lpstr>
      <vt:lpstr>JJChoix</vt:lpstr>
      <vt:lpstr>Jours</vt:lpstr>
      <vt:lpstr>l_nom</vt:lpstr>
      <vt:lpstr>l_prenom</vt:lpstr>
      <vt:lpstr>l_ville</vt:lpstr>
      <vt:lpstr>Lchoix</vt:lpstr>
      <vt:lpstr>LNoms</vt:lpstr>
      <vt:lpstr>Mois</vt:lpstr>
      <vt:lpstr>Nfrais</vt:lpstr>
      <vt:lpstr>NonPré</vt:lpstr>
      <vt:lpstr>p_nom</vt:lpstr>
      <vt:lpstr>p_prenom</vt:lpstr>
      <vt:lpstr>p_ville</vt:lpstr>
      <vt:lpstr>Pchoix</vt:lpstr>
      <vt:lpstr>Présence</vt:lpstr>
      <vt:lpstr>Splanning</vt:lpstr>
      <vt:lpstr>Travail</vt:lpstr>
      <vt:lpstr>ville2</vt:lpstr>
      <vt:lpstr>Congé!Zone_d_impression</vt:lpstr>
      <vt:lpstr>Justificatifs!Zone_d_impression</vt:lpstr>
      <vt:lpstr>RapportActivité!Zone_d_impression</vt:lpstr>
      <vt:lpstr>RecapFrais!Zone_d_impression</vt:lpstr>
      <vt:lpstr>Semaine1!Zone_d_impression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GUIN</dc:creator>
  <cp:lastModifiedBy>Guy Blancher</cp:lastModifiedBy>
  <cp:lastPrinted>2014-11-07T19:26:36Z</cp:lastPrinted>
  <dcterms:created xsi:type="dcterms:W3CDTF">2014-03-25T13:01:49Z</dcterms:created>
  <dcterms:modified xsi:type="dcterms:W3CDTF">2014-11-09T19:09:01Z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PictureInsertFromFile" visible="true"/>
      </mso:documentControls>
    </mso:qat>
  </mso:ribbon>
</mso:customUI>
</file>